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19-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_FilterDatabase" localSheetId="0" hidden="1">Report!$A$192:$H$193</definedName>
    <definedName name="_xlnm.Print_Area" localSheetId="0">Report!$A$1:$H$425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6" i="1" l="1"/>
  <c r="G230" i="1"/>
  <c r="G226" i="1"/>
  <c r="E205" i="1"/>
  <c r="E196" i="1"/>
  <c r="L196" i="1"/>
  <c r="J196" i="1"/>
  <c r="G197" i="1"/>
  <c r="D30" i="5" l="1"/>
  <c r="F30" i="5" s="1"/>
  <c r="D29" i="5"/>
  <c r="F29" i="5" s="1"/>
  <c r="D28" i="5"/>
  <c r="F28" i="5" s="1"/>
  <c r="D27" i="5"/>
  <c r="F27" i="5" s="1"/>
  <c r="D26" i="5"/>
  <c r="F26" i="5" s="1"/>
  <c r="D25" i="5"/>
  <c r="F25" i="5" s="1"/>
  <c r="E18" i="5"/>
  <c r="G18" i="5" s="1"/>
  <c r="J119" i="1" s="1"/>
  <c r="G19" i="5"/>
  <c r="G20" i="5"/>
  <c r="G21" i="5"/>
  <c r="G22" i="5"/>
  <c r="G23" i="5"/>
  <c r="G233" i="1"/>
  <c r="G232" i="1"/>
  <c r="G231" i="1"/>
  <c r="G229" i="1"/>
  <c r="G228" i="1"/>
  <c r="G227" i="1"/>
  <c r="G200" i="1"/>
  <c r="G199" i="1"/>
  <c r="G198" i="1"/>
  <c r="C16" i="1" l="1"/>
  <c r="E272" i="1" l="1"/>
  <c r="D272" i="1"/>
  <c r="E271" i="1"/>
  <c r="D271" i="1"/>
  <c r="E270" i="1"/>
  <c r="D270" i="1"/>
  <c r="E269" i="1"/>
  <c r="D269" i="1"/>
  <c r="E268" i="1"/>
  <c r="D268" i="1"/>
  <c r="K268" i="1"/>
  <c r="J268" i="1"/>
  <c r="E263" i="1"/>
  <c r="D263" i="1"/>
  <c r="E262" i="1"/>
  <c r="D262" i="1"/>
  <c r="E261" i="1"/>
  <c r="D261" i="1"/>
  <c r="E260" i="1"/>
  <c r="D260" i="1"/>
  <c r="E259" i="1"/>
  <c r="D259" i="1"/>
  <c r="E258" i="1"/>
  <c r="D258" i="1"/>
  <c r="E257" i="1"/>
  <c r="D257" i="1"/>
  <c r="E256" i="1"/>
  <c r="D256" i="1"/>
  <c r="E255" i="1"/>
  <c r="D255" i="1"/>
  <c r="E254" i="1"/>
  <c r="D254" i="1"/>
  <c r="E253" i="1"/>
  <c r="D253" i="1"/>
  <c r="E252" i="1"/>
  <c r="D252" i="1"/>
  <c r="E250" i="1"/>
  <c r="D250" i="1"/>
  <c r="E249" i="1"/>
  <c r="D249" i="1"/>
  <c r="E248" i="1"/>
  <c r="D248" i="1"/>
  <c r="F248" i="1" s="1"/>
  <c r="E247" i="1"/>
  <c r="D247" i="1"/>
  <c r="E246" i="1"/>
  <c r="D246" i="1"/>
  <c r="E245" i="1"/>
  <c r="D245" i="1"/>
  <c r="E244" i="1"/>
  <c r="D244" i="1"/>
  <c r="E243" i="1"/>
  <c r="D243" i="1"/>
  <c r="E242" i="1"/>
  <c r="D242" i="1"/>
  <c r="E241" i="1"/>
  <c r="D241" i="1"/>
  <c r="E240" i="1"/>
  <c r="D240" i="1"/>
  <c r="E239" i="1"/>
  <c r="D239" i="1"/>
  <c r="E238" i="1"/>
  <c r="D238"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D190" i="1"/>
  <c r="D189" i="1"/>
  <c r="F189" i="1" s="1"/>
  <c r="H189" i="1" s="1"/>
  <c r="D188" i="1"/>
  <c r="F188" i="1" s="1"/>
  <c r="H188" i="1" s="1"/>
  <c r="D187" i="1"/>
  <c r="F187" i="1" s="1"/>
  <c r="H187" i="1" s="1"/>
  <c r="D186" i="1"/>
  <c r="F186" i="1" s="1"/>
  <c r="H186" i="1" s="1"/>
  <c r="D185" i="1"/>
  <c r="F185" i="1" s="1"/>
  <c r="H185" i="1" s="1"/>
  <c r="D184" i="1"/>
  <c r="F184" i="1" s="1"/>
  <c r="H184" i="1" s="1"/>
  <c r="D183" i="1"/>
  <c r="F183" i="1" s="1"/>
  <c r="H183" i="1" s="1"/>
  <c r="D182" i="1"/>
  <c r="D181" i="1"/>
  <c r="D180" i="1"/>
  <c r="F180" i="1" s="1"/>
  <c r="H180" i="1" s="1"/>
  <c r="D179" i="1"/>
  <c r="F179" i="1" s="1"/>
  <c r="H179" i="1" s="1"/>
  <c r="D178" i="1"/>
  <c r="F178" i="1" s="1"/>
  <c r="H178" i="1" s="1"/>
  <c r="D177" i="1"/>
  <c r="D176" i="1"/>
  <c r="F176" i="1" s="1"/>
  <c r="H176" i="1" s="1"/>
  <c r="D175" i="1"/>
  <c r="F175" i="1" s="1"/>
  <c r="H175" i="1" s="1"/>
  <c r="D174" i="1"/>
  <c r="F174" i="1" s="1"/>
  <c r="H174" i="1" s="1"/>
  <c r="D173" i="1"/>
  <c r="D172" i="1"/>
  <c r="F172" i="1" s="1"/>
  <c r="H172" i="1" s="1"/>
  <c r="D171" i="1"/>
  <c r="D170" i="1"/>
  <c r="F170" i="1" s="1"/>
  <c r="H170" i="1" s="1"/>
  <c r="D169" i="1"/>
  <c r="F169" i="1" s="1"/>
  <c r="H169" i="1" s="1"/>
  <c r="D168" i="1"/>
  <c r="F168" i="1" s="1"/>
  <c r="H168" i="1" s="1"/>
  <c r="D167" i="1"/>
  <c r="F167" i="1" s="1"/>
  <c r="H167" i="1" s="1"/>
  <c r="D166" i="1"/>
  <c r="D165" i="1"/>
  <c r="D164" i="1"/>
  <c r="F164" i="1" s="1"/>
  <c r="H164" i="1" s="1"/>
  <c r="F261" i="1"/>
  <c r="H261" i="1" s="1"/>
  <c r="J225" i="1"/>
  <c r="J183" i="1"/>
  <c r="J164" i="1"/>
  <c r="I204" i="1"/>
  <c r="E221" i="1"/>
  <c r="D221" i="1"/>
  <c r="E220" i="1"/>
  <c r="D220" i="1"/>
  <c r="E219" i="1"/>
  <c r="D219" i="1"/>
  <c r="E218" i="1"/>
  <c r="D218" i="1"/>
  <c r="E217" i="1"/>
  <c r="D217" i="1"/>
  <c r="E216" i="1"/>
  <c r="D216" i="1"/>
  <c r="E215" i="1"/>
  <c r="D215" i="1"/>
  <c r="E212" i="1"/>
  <c r="D212" i="1"/>
  <c r="E211" i="1"/>
  <c r="D211" i="1"/>
  <c r="E210" i="1"/>
  <c r="D210" i="1"/>
  <c r="E209" i="1"/>
  <c r="D209" i="1"/>
  <c r="E208" i="1"/>
  <c r="D208" i="1"/>
  <c r="E207" i="1"/>
  <c r="D207" i="1"/>
  <c r="E206" i="1"/>
  <c r="D205" i="1"/>
  <c r="E203" i="1"/>
  <c r="D203" i="1"/>
  <c r="E202" i="1"/>
  <c r="D202" i="1"/>
  <c r="E201" i="1"/>
  <c r="D201" i="1"/>
  <c r="E200" i="1"/>
  <c r="D200" i="1"/>
  <c r="E199" i="1"/>
  <c r="D199" i="1"/>
  <c r="E198" i="1"/>
  <c r="D198" i="1"/>
  <c r="E197" i="1"/>
  <c r="D197" i="1"/>
  <c r="D196" i="1"/>
  <c r="F196" i="1" s="1"/>
  <c r="D161" i="1"/>
  <c r="F161" i="1" s="1"/>
  <c r="H161" i="1" s="1"/>
  <c r="D160" i="1"/>
  <c r="F160" i="1" s="1"/>
  <c r="H160" i="1" s="1"/>
  <c r="D159" i="1"/>
  <c r="D158" i="1"/>
  <c r="F158" i="1" s="1"/>
  <c r="H158" i="1" s="1"/>
  <c r="D157" i="1"/>
  <c r="F157" i="1" s="1"/>
  <c r="H157" i="1" s="1"/>
  <c r="D156" i="1"/>
  <c r="D155" i="1"/>
  <c r="F155" i="1" s="1"/>
  <c r="H155" i="1" s="1"/>
  <c r="D154" i="1"/>
  <c r="F154" i="1" s="1"/>
  <c r="H154" i="1" s="1"/>
  <c r="D153" i="1"/>
  <c r="F153" i="1" s="1"/>
  <c r="H153" i="1" s="1"/>
  <c r="D152" i="1"/>
  <c r="F152" i="1" s="1"/>
  <c r="H152" i="1" s="1"/>
  <c r="D151" i="1"/>
  <c r="D150" i="1"/>
  <c r="D149" i="1"/>
  <c r="D148" i="1"/>
  <c r="K205" i="1"/>
  <c r="F206" i="1"/>
  <c r="H206" i="1" s="1"/>
  <c r="O206" i="1" s="1"/>
  <c r="K198" i="1"/>
  <c r="J198" i="1"/>
  <c r="J197" i="1"/>
  <c r="K196" i="1"/>
  <c r="I158" i="1"/>
  <c r="I154" i="1"/>
  <c r="I149" i="1"/>
  <c r="I148" i="1"/>
  <c r="F253" i="1"/>
  <c r="H253" i="1" s="1"/>
  <c r="A253" i="1"/>
  <c r="A254" i="1" s="1"/>
  <c r="A255" i="1" s="1"/>
  <c r="A256" i="1" s="1"/>
  <c r="A257" i="1" s="1"/>
  <c r="A258" i="1" s="1"/>
  <c r="A259" i="1" s="1"/>
  <c r="A260" i="1" s="1"/>
  <c r="A261" i="1" s="1"/>
  <c r="A262" i="1" s="1"/>
  <c r="A263" i="1" s="1"/>
  <c r="A264" i="1" s="1"/>
  <c r="F244" i="1"/>
  <c r="A239" i="1"/>
  <c r="A240" i="1" s="1"/>
  <c r="A241" i="1" s="1"/>
  <c r="A242" i="1" s="1"/>
  <c r="A243" i="1" s="1"/>
  <c r="A244" i="1" s="1"/>
  <c r="A245" i="1" s="1"/>
  <c r="A246" i="1" s="1"/>
  <c r="A247" i="1" s="1"/>
  <c r="A248" i="1" s="1"/>
  <c r="A249" i="1" s="1"/>
  <c r="A250" i="1" s="1"/>
  <c r="A225" i="1"/>
  <c r="A226" i="1" s="1"/>
  <c r="A227" i="1" s="1"/>
  <c r="A228" i="1" s="1"/>
  <c r="A229" i="1" s="1"/>
  <c r="A230" i="1" s="1"/>
  <c r="A231" i="1" s="1"/>
  <c r="A232" i="1" s="1"/>
  <c r="A233" i="1" s="1"/>
  <c r="A234" i="1" s="1"/>
  <c r="A235" i="1" s="1"/>
  <c r="A236" i="1" s="1"/>
  <c r="A215" i="1"/>
  <c r="A216" i="1" s="1"/>
  <c r="A217" i="1" s="1"/>
  <c r="A218" i="1" s="1"/>
  <c r="A219" i="1" s="1"/>
  <c r="A220" i="1" s="1"/>
  <c r="A221" i="1" s="1"/>
  <c r="A206" i="1"/>
  <c r="A207" i="1" s="1"/>
  <c r="A208" i="1" s="1"/>
  <c r="A209" i="1" s="1"/>
  <c r="A210" i="1" s="1"/>
  <c r="A211" i="1" s="1"/>
  <c r="A212" i="1" s="1"/>
  <c r="F190" i="1"/>
  <c r="H190" i="1" s="1"/>
  <c r="F182" i="1"/>
  <c r="H182" i="1" s="1"/>
  <c r="F166" i="1"/>
  <c r="H166" i="1" s="1"/>
  <c r="F181" i="1"/>
  <c r="H181" i="1" s="1"/>
  <c r="F177" i="1"/>
  <c r="H177" i="1" s="1"/>
  <c r="F173" i="1"/>
  <c r="H173" i="1" s="1"/>
  <c r="F165" i="1"/>
  <c r="H165" i="1" s="1"/>
  <c r="A165" i="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F159" i="1"/>
  <c r="H159" i="1" s="1"/>
  <c r="F156" i="1"/>
  <c r="H156" i="1" s="1"/>
  <c r="C103" i="1"/>
  <c r="E43" i="1"/>
  <c r="F228" i="1" l="1"/>
  <c r="H228" i="1" s="1"/>
  <c r="F231" i="1"/>
  <c r="H231" i="1" s="1"/>
  <c r="F224" i="1"/>
  <c r="H224" i="1" s="1"/>
  <c r="F249" i="1"/>
  <c r="M249" i="1" s="1"/>
  <c r="F209" i="1"/>
  <c r="F215" i="1"/>
  <c r="H215" i="1" s="1"/>
  <c r="F258" i="1"/>
  <c r="H258" i="1" s="1"/>
  <c r="F226" i="1"/>
  <c r="H226" i="1" s="1"/>
  <c r="F230" i="1"/>
  <c r="H230" i="1" s="1"/>
  <c r="F234" i="1"/>
  <c r="H234" i="1" s="1"/>
  <c r="F252" i="1"/>
  <c r="H252" i="1" s="1"/>
  <c r="F256" i="1"/>
  <c r="H256" i="1" s="1"/>
  <c r="F260" i="1"/>
  <c r="H260" i="1" s="1"/>
  <c r="F254" i="1"/>
  <c r="H254" i="1" s="1"/>
  <c r="F232" i="1"/>
  <c r="H232" i="1" s="1"/>
  <c r="F241" i="1"/>
  <c r="H241" i="1" s="1"/>
  <c r="F245" i="1"/>
  <c r="F262" i="1"/>
  <c r="H262" i="1" s="1"/>
  <c r="F229" i="1"/>
  <c r="H229" i="1" s="1"/>
  <c r="F238" i="1"/>
  <c r="H238" i="1" s="1"/>
  <c r="F242" i="1"/>
  <c r="H242" i="1" s="1"/>
  <c r="F255" i="1"/>
  <c r="H255" i="1" s="1"/>
  <c r="F259" i="1"/>
  <c r="H259" i="1" s="1"/>
  <c r="F263" i="1"/>
  <c r="H263" i="1" s="1"/>
  <c r="F200" i="1"/>
  <c r="H200" i="1" s="1"/>
  <c r="F210" i="1"/>
  <c r="H210" i="1" s="1"/>
  <c r="O210" i="1" s="1"/>
  <c r="F216" i="1"/>
  <c r="H216" i="1" s="1"/>
  <c r="F257" i="1"/>
  <c r="H257" i="1" s="1"/>
  <c r="F211" i="1"/>
  <c r="H211" i="1" s="1"/>
  <c r="O211" i="1" s="1"/>
  <c r="C137" i="1"/>
  <c r="C139" i="1"/>
  <c r="F202" i="1"/>
  <c r="H202" i="1" s="1"/>
  <c r="C133" i="1"/>
  <c r="C138" i="1"/>
  <c r="C132" i="1"/>
  <c r="M210" i="1"/>
  <c r="H244" i="1"/>
  <c r="M244" i="1"/>
  <c r="H209" i="1"/>
  <c r="O209" i="1" s="1"/>
  <c r="M209" i="1"/>
  <c r="H245" i="1"/>
  <c r="M245" i="1"/>
  <c r="M206" i="1"/>
  <c r="H248" i="1"/>
  <c r="M248" i="1"/>
  <c r="F171" i="1"/>
  <c r="H171" i="1" s="1"/>
  <c r="G133" i="1" s="1"/>
  <c r="F201" i="1"/>
  <c r="H201" i="1" s="1"/>
  <c r="F207" i="1"/>
  <c r="F218" i="1"/>
  <c r="H218" i="1" s="1"/>
  <c r="F225" i="1"/>
  <c r="H225" i="1" s="1"/>
  <c r="F233" i="1"/>
  <c r="H233" i="1" s="1"/>
  <c r="F205" i="1"/>
  <c r="F208" i="1"/>
  <c r="F219" i="1"/>
  <c r="H219" i="1" s="1"/>
  <c r="F227" i="1"/>
  <c r="F235" i="1"/>
  <c r="H235" i="1" s="1"/>
  <c r="F246" i="1"/>
  <c r="F250" i="1"/>
  <c r="F212" i="1"/>
  <c r="F239" i="1"/>
  <c r="F243" i="1"/>
  <c r="F247" i="1"/>
  <c r="F220" i="1"/>
  <c r="H220" i="1" s="1"/>
  <c r="F217" i="1"/>
  <c r="H217" i="1" s="1"/>
  <c r="O216" i="1" s="1"/>
  <c r="F221" i="1"/>
  <c r="H221" i="1" s="1"/>
  <c r="F240" i="1"/>
  <c r="F236" i="1"/>
  <c r="H236" i="1" s="1"/>
  <c r="F203" i="1"/>
  <c r="H203" i="1" s="1"/>
  <c r="C89" i="1"/>
  <c r="M241" i="1" l="1"/>
  <c r="C140" i="1"/>
  <c r="H249" i="1"/>
  <c r="M238" i="1"/>
  <c r="M211" i="1"/>
  <c r="E133" i="1"/>
  <c r="M242" i="1"/>
  <c r="C134" i="1"/>
  <c r="C141" i="1" s="1"/>
  <c r="E138" i="1"/>
  <c r="H208" i="1"/>
  <c r="O208" i="1" s="1"/>
  <c r="M208" i="1"/>
  <c r="H205" i="1"/>
  <c r="M205" i="1"/>
  <c r="H239" i="1"/>
  <c r="M239" i="1"/>
  <c r="H246" i="1"/>
  <c r="M246" i="1"/>
  <c r="H212" i="1"/>
  <c r="O212" i="1" s="1"/>
  <c r="M212" i="1"/>
  <c r="H250" i="1"/>
  <c r="M250" i="1"/>
  <c r="H207" i="1"/>
  <c r="O207" i="1" s="1"/>
  <c r="M207" i="1"/>
  <c r="H243" i="1"/>
  <c r="M243" i="1"/>
  <c r="H240" i="1"/>
  <c r="M240" i="1"/>
  <c r="H247" i="1"/>
  <c r="J247" i="1" s="1"/>
  <c r="M247" i="1"/>
  <c r="H227" i="1"/>
  <c r="F148" i="1"/>
  <c r="G138" i="1" l="1"/>
  <c r="N205" i="1"/>
  <c r="O205" i="1"/>
  <c r="H148" i="1"/>
  <c r="E31" i="1"/>
  <c r="E26" i="1"/>
  <c r="H196"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B275" i="1" l="1"/>
  <c r="F149" i="1" l="1"/>
  <c r="F150" i="1"/>
  <c r="H150" i="1" s="1"/>
  <c r="F151" i="1"/>
  <c r="H151" i="1" s="1"/>
  <c r="H149" i="1" l="1"/>
  <c r="G132" i="1" s="1"/>
  <c r="G134" i="1" s="1"/>
  <c r="E132" i="1"/>
  <c r="E134" i="1" s="1"/>
  <c r="G58" i="1"/>
  <c r="C58" i="1"/>
  <c r="G56" i="1"/>
  <c r="C56" i="1"/>
  <c r="S33" i="1" l="1"/>
  <c r="F11" i="5" l="1"/>
  <c r="G11" i="5" s="1"/>
  <c r="F10" i="5"/>
  <c r="G10" i="5" s="1"/>
  <c r="F9" i="5"/>
  <c r="G9" i="5" s="1"/>
  <c r="F8" i="5"/>
  <c r="G8" i="5" s="1"/>
  <c r="F7" i="5"/>
  <c r="G7" i="5" s="1"/>
  <c r="F6" i="5"/>
  <c r="G6" i="5" s="1"/>
  <c r="F5" i="5"/>
  <c r="G5" i="5" s="1"/>
  <c r="G12" i="5" s="1"/>
  <c r="D297" i="1"/>
  <c r="B276" i="1"/>
  <c r="F272" i="1"/>
  <c r="F271" i="1"/>
  <c r="F270" i="1"/>
  <c r="F269" i="1"/>
  <c r="F268" i="1"/>
  <c r="M268" i="1" s="1"/>
  <c r="A269" i="1"/>
  <c r="A270" i="1" s="1"/>
  <c r="A271" i="1" s="1"/>
  <c r="A272" i="1" s="1"/>
  <c r="F199" i="1"/>
  <c r="H199" i="1" s="1"/>
  <c r="F198" i="1"/>
  <c r="H198" i="1" s="1"/>
  <c r="F197" i="1"/>
  <c r="A197" i="1"/>
  <c r="A198" i="1" s="1"/>
  <c r="A199" i="1" s="1"/>
  <c r="A200" i="1" s="1"/>
  <c r="A201" i="1" s="1"/>
  <c r="A202" i="1" s="1"/>
  <c r="A203" i="1" s="1"/>
  <c r="A149" i="1"/>
  <c r="A150" i="1" s="1"/>
  <c r="A151" i="1" s="1"/>
  <c r="A152" i="1" s="1"/>
  <c r="A153" i="1" s="1"/>
  <c r="A154" i="1" s="1"/>
  <c r="A155" i="1" s="1"/>
  <c r="A156" i="1" s="1"/>
  <c r="A157" i="1" s="1"/>
  <c r="A158" i="1" s="1"/>
  <c r="A159" i="1" s="1"/>
  <c r="A160" i="1" s="1"/>
  <c r="A161" i="1" s="1"/>
  <c r="F129" i="1"/>
  <c r="C75" i="1"/>
  <c r="B76" i="1" s="1"/>
  <c r="D62" i="1"/>
  <c r="G51" i="1"/>
  <c r="G52" i="1" s="1"/>
  <c r="C51" i="1"/>
  <c r="C52" i="1" s="1"/>
  <c r="E44" i="1"/>
  <c r="E45" i="1" s="1"/>
  <c r="E28" i="1"/>
  <c r="I15" i="1"/>
  <c r="Z13" i="1"/>
  <c r="E8" i="1"/>
  <c r="E3" i="1"/>
  <c r="D69" i="1" s="1"/>
  <c r="E137" i="1" l="1"/>
  <c r="H270" i="1"/>
  <c r="M270" i="1"/>
  <c r="H272" i="1"/>
  <c r="M272" i="1"/>
  <c r="H271" i="1"/>
  <c r="M271" i="1"/>
  <c r="H269" i="1"/>
  <c r="M269" i="1"/>
  <c r="H268" i="1"/>
  <c r="E139" i="1"/>
  <c r="H197" i="1"/>
  <c r="G137" i="1" s="1"/>
  <c r="H76" i="1"/>
  <c r="E140" i="1" l="1"/>
  <c r="E141" i="1" s="1"/>
  <c r="G139" i="1"/>
  <c r="G140" i="1" s="1"/>
  <c r="G141" i="1" s="1"/>
  <c r="J79" i="1"/>
  <c r="D81" i="1"/>
  <c r="J80" i="1"/>
  <c r="C79" i="1" s="1"/>
  <c r="D79" i="1" s="1"/>
  <c r="D84" i="1"/>
  <c r="D82" i="1"/>
  <c r="J78" i="1"/>
  <c r="D86" i="1"/>
  <c r="J75" i="1"/>
  <c r="J77" i="1" s="1"/>
  <c r="D87" i="1"/>
  <c r="D83" i="1"/>
  <c r="J81" i="1"/>
  <c r="J82" i="1" s="1"/>
  <c r="J87" i="1" s="1"/>
  <c r="J88" i="1" s="1"/>
  <c r="C80" i="1" s="1"/>
  <c r="D85" i="1"/>
  <c r="D88" i="1"/>
  <c r="J85" i="1"/>
  <c r="J83" i="1"/>
  <c r="J84" i="1"/>
  <c r="J86" i="1"/>
  <c r="B90" i="1" l="1"/>
  <c r="J76" i="1"/>
  <c r="E79" i="1"/>
  <c r="D80" i="1"/>
  <c r="G79" i="1"/>
  <c r="D73" i="1" s="1"/>
  <c r="H90" i="1"/>
  <c r="I76" i="1" l="1"/>
  <c r="I77" i="1" s="1"/>
  <c r="I75" i="1" s="1"/>
  <c r="C77" i="1" s="1"/>
  <c r="J92" i="1"/>
  <c r="D102" i="1"/>
  <c r="D96" i="1"/>
  <c r="J94" i="1"/>
  <c r="C93" i="1" s="1"/>
  <c r="D100" i="1"/>
  <c r="J89" i="1"/>
  <c r="J91" i="1" s="1"/>
  <c r="D97" i="1"/>
  <c r="D101" i="1"/>
  <c r="D95" i="1"/>
  <c r="D99" i="1"/>
  <c r="J93" i="1"/>
  <c r="D98" i="1"/>
  <c r="J95" i="1"/>
  <c r="J100" i="1"/>
  <c r="J99" i="1"/>
  <c r="J98" i="1"/>
  <c r="J97" i="1"/>
  <c r="F74" i="1"/>
  <c r="D74" i="1"/>
  <c r="J96" i="1" l="1"/>
  <c r="J101" i="1" s="1"/>
  <c r="J102" i="1" s="1"/>
  <c r="C94" i="1" s="1"/>
  <c r="E93" i="1" s="1"/>
  <c r="B104" i="1"/>
  <c r="D93" i="1"/>
  <c r="H104" i="1"/>
  <c r="G93" i="1" l="1"/>
  <c r="D94" i="1"/>
  <c r="I90" i="1" s="1"/>
  <c r="I91" i="1" s="1"/>
  <c r="J106" i="1"/>
  <c r="D115" i="1"/>
  <c r="J108" i="1"/>
  <c r="D107" i="1" s="1"/>
  <c r="D114" i="1"/>
  <c r="D113" i="1"/>
  <c r="J107" i="1"/>
  <c r="J103" i="1"/>
  <c r="J105" i="1" s="1"/>
  <c r="D111" i="1"/>
  <c r="D116" i="1"/>
  <c r="D110" i="1"/>
  <c r="D109" i="1"/>
  <c r="D112" i="1"/>
  <c r="J113" i="1"/>
  <c r="J111" i="1"/>
  <c r="J109" i="1"/>
  <c r="J110" i="1" s="1"/>
  <c r="J115" i="1" s="1"/>
  <c r="J116"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9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<sst xmlns="http://schemas.openxmlformats.org/spreadsheetml/2006/main" count="789" uniqueCount="409">
  <si>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</si>
  <si>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</si>
  <si>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</si>
  <si>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</si>
  <si>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</si>
  <si>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</si>
  <si>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</si>
  <si>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</si>
  <si>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</si>
  <si>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</si>
  <si>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</si>
  <si>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</si>
  <si>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</si>
  <si>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</si>
  <si>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</si>
  <si>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</si>
  <si>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</si>
  <si>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</si>
  <si>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</si>
  <si>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</si>
  <si>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</si>
  <si>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</si>
  <si>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</si>
  <si>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</si>
  <si>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</si>
  <si>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</si>
  <si>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</si>
  <si>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</si>
  <si>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</si>
  <si>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</si>
  <si>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</si>
  <si>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</si>
  <si>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</si>
  <si>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</si>
  <si>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</si>
  <si>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</si>
  <si>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</si>
  <si>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</si>
  <si>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</si>
  <si>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</si>
  <si>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</si>
  <si>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</si>
  <si>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</si>
  <si>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</si>
  <si>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</si>
  <si>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</si>
  <si>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</si>
  <si>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</si>
  <si>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</si>
  <si>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</si>
  <si>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</si>
  <si>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</si>
  <si>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</si>
  <si>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</si>
  <si>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</si>
  <si>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</si>
  <si>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</si>
  <si>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</si>
  <si>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</si>
  <si>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</si>
  <si>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</si>
  <si>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</si>
  <si>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</si>
  <si>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</si>
  <si>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</si>
  <si>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</si>
  <si>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</si>
  <si>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</si>
  <si>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</si>
  <si>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</si>
  <si>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</si>
  <si>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</si>
  <si>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</si>
  <si>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</si>
  <si>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</si>
  <si>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</si>
  <si>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</si>
  <si>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</si>
  <si>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</si>
  <si>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</si>
  <si>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</si>
  <si>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</si>
  <si>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</si>
  <si>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</si>
  <si>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</si>
  <si>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</si>
  <si>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</si>
  <si>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</si>
  <si>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</si>
  <si>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</si>
  <si>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</si>
  <si>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</si>
  <si>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</si>
  <si>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</si>
  <si>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</si>
  <si>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</si>
  <si>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</si>
  <si>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</si>
  <si>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</si>
  <si>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</si>
  <si>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</si>
  <si>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</si>
  <si>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</si>
  <si>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</si>
  <si>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</si>
  <si>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</si>
  <si>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</si>
  <si>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</si>
  <si>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</si>
  <si>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</si>
  <si>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</si>
  <si>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</si>
  <si>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</si>
  <si>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</si>
  <si>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</si>
  <si>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</si>
  <si>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</si>
  <si>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</si>
  <si>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</si>
  <si>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</si>
  <si>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</si>
  <si>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</si>
  <si>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</si>
  <si>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</si>
  <si>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</si>
  <si>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</si>
  <si>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</si>
  <si>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</si>
  <si>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</si>
  <si>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</si>
  <si>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</si>
  <si>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</si>
  <si>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</si>
  <si>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</si>
  <si>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</si>
  <si>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</si>
  <si>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</si>
  <si>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</si>
  <si>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</si>
  <si>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</si>
  <si>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</si>
  <si>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</si>
  <si>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</si>
  <si>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</si>
  <si>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</si>
  <si>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</si>
  <si>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</si>
  <si>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</si>
  <si>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</si>
  <si>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</si>
  <si>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</si>
  <si>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</si>
  <si>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</si>
  <si>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</si>
  <si>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</si>
  <si>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</si>
  <si>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</si>
  <si>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</si>
  <si>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</si>
  <si>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</si>
  <si>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</si>
  <si>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</si>
  <si>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</si>
  <si>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</si>
  <si>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</si>
  <si>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</si>
  <si>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</si>
  <si>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</si>
  <si>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</si>
  <si>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</si>
  <si>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</si>
  <si>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</si>
  <si>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</si>
  <si>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</si>
  <si>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</si>
  <si>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</si>
  <si>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</si>
  <si>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</si>
  <si>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</si>
  <si>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</si>
  <si>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</si>
  <si>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</si>
  <si>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</si>
  <si>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</si>
  <si>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</si>
  <si>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</si>
  <si>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</si>
  <si>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</si>
  <si>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</si>
  <si>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</si>
  <si>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</si>
  <si>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</si>
  <si>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</si>
  <si>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</si>
  <si>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</si>
  <si>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</si>
  <si>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</si>
  <si>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</si>
  <si>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</si>
  <si>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</si>
  <si>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</si>
  <si>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</si>
  <si>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</si>
  <si>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</si>
  <si>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</si>
  <si>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</si>
  <si>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</si>
  <si>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</si>
  <si>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</si>
  <si>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</si>
  <si>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</si>
  <si>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</si>
  <si>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</si>
  <si>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</si>
  <si>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</si>
  <si>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</si>
  <si>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</si>
  <si>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</si>
  <si>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</si>
  <si>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</si>
  <si>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</si>
  <si>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</si>
  <si>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</si>
  <si>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</si>
  <si>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</si>
  <si>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</si>
  <si>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</si>
  <si>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</si>
  <si>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</si>
  <si>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</si>
  <si>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</si>
  <si>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</si>
  <si>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</si>
  <si>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</si>
  <si>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</si>
  <si>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</si>
  <si>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</si>
  <si>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</si>
  <si>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</si>
  <si>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</si>
  <si>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</si>
  <si>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</si>
  <si>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</si>
  <si>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</si>
  <si>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</si>
  <si>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</si>
  <si>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</si>
  <si>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</si>
  <si>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</si>
  <si>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</si>
  <si>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</si>
  <si>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</si>
  <si>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</si>
  <si>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</si>
  <si>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</si>
  <si>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</si>
  <si>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</si>
  <si>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</si>
  <si>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</si>
  <si>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</si>
  <si>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</si>
  <si>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</si>
  <si>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</si>
  <si>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</si>
  <si>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</si>
  <si>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</si>
  <si>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</si>
  <si>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</si>
  <si>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</si>
  <si>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</si>
  <si>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</si>
  <si>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</si>
  <si>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</si>
  <si>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</si>
  <si>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</si>
  <si>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</si>
  <si>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</si>
  <si>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</si>
  <si>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</si>
  <si>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</si>
  <si>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</si>
  <si>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</si>
  <si>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</si>
  <si>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</si>
  <si>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</si>
  <si>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</si>
  <si>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</si>
  <si>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</si>
  <si>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</si>
  <si>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</si>
  <si>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</si>
  <si>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</si>
  <si>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</si>
  <si>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</si>
  <si>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</si>
  <si>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</si>
  <si>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</si>
  <si>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</si>
  <si>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</si>
  <si>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</si>
  <si>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</si>
  <si>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</si>
  <si>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</si>
  <si>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</si>
  <si>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</si>
  <si>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</si>
  <si>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</si>
  <si>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</si>
  <si>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</si>
  <si>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</si>
  <si>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</si>
  <si>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</si>
  <si>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</si>
  <si>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</si>
  <si>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</si>
  <si>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</si>
  <si>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</si>
  <si>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</si>
  <si>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</si>
  <si>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</si>
  <si>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</si>
  <si>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</si>
  <si>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</si>
  <si>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</si>
  <si>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</si>
  <si>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</si>
  <si>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</si>
  <si>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</si>
  <si>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</si>
  <si>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</si>
  <si>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</si>
  <si>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</si>
  <si>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</si>
  <si>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</si>
  <si>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</si>
  <si>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</si>
  <si>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</si>
  <si>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</si>
  <si>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</si>
  <si>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</si>
  <si>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</si>
  <si>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</si>
  <si>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</si>
  <si>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</si>
  <si>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</si>
  <si>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</si>
  <si>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</si>
  <si>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Uma Infratech</t>
  </si>
  <si>
    <t>The Nature</t>
  </si>
  <si>
    <t>Mr. Vijay Garad  7666096113</t>
  </si>
  <si>
    <t>Wing A, B &amp; D</t>
  </si>
  <si>
    <t>P51700077155</t>
  </si>
  <si>
    <t>147 H. No. 2/2/1, 2/A, 3/A, 3/B, 4/1</t>
  </si>
  <si>
    <t>Titwala</t>
  </si>
  <si>
    <t>Survey No</t>
  </si>
  <si>
    <t>Kalyan Dombivli Municipal Corporation (KDMC)</t>
  </si>
  <si>
    <t>KDMCC/B/2024/APL/00434</t>
  </si>
  <si>
    <t>Wing A &amp; B = Gr + 1st to 14th Floor
Wing D (Mhada) = Gr + 1st to 7th Floor</t>
  </si>
  <si>
    <t>A Wing = Gr + 1st to 14th Floor</t>
  </si>
  <si>
    <t>B Wing = Gr + 1st to 14th Floor</t>
  </si>
  <si>
    <t>A Wing = Gr + 1st to 14th Floor
B Wing = Gr + 1st to 14th Floor
D Wing = Gr + 1st to 7th Floor</t>
  </si>
  <si>
    <t>D Wing = Gr + 1st to 7th Floor</t>
  </si>
  <si>
    <t>As per RERA - 30/06/2030</t>
  </si>
  <si>
    <r>
      <t xml:space="preserve">Proposed Amenities :                                                                                                                                                                                                                         </t>
    </r>
    <r>
      <rPr>
        <b/>
        <sz val="12"/>
        <rFont val="Times New Roman"/>
        <family val="1"/>
      </rPr>
      <t xml:space="preserve">                                               </t>
    </r>
  </si>
  <si>
    <t>Vitrified tiles flooring, Granite Kitchen Platform, Decorative Entrance, Landscaping &amp; Garden, etc.</t>
  </si>
  <si>
    <t>Wing A</t>
  </si>
  <si>
    <t>Shop</t>
  </si>
  <si>
    <t>Wing B</t>
  </si>
  <si>
    <t>1st Floor For Residential</t>
  </si>
  <si>
    <t>1BHK</t>
  </si>
  <si>
    <t>2BHK</t>
  </si>
  <si>
    <t>2nd to 7th, 9th to 12th &amp; 14th Floor</t>
  </si>
  <si>
    <t>Shops</t>
  </si>
  <si>
    <t>Sale Flats</t>
  </si>
  <si>
    <r>
      <t xml:space="preserve">Shop No.
</t>
    </r>
    <r>
      <rPr>
        <b/>
        <sz val="11"/>
        <rFont val="Times New Roman"/>
        <family val="1"/>
      </rPr>
      <t>(Approved Plan)</t>
    </r>
  </si>
  <si>
    <t>Balcony + WS Area</t>
  </si>
  <si>
    <t>8th &amp; 13th Floor (Part Refuge Area)</t>
  </si>
  <si>
    <t>Refuge Area</t>
  </si>
  <si>
    <t>Ground Floor For  Entrance Lobby, Meter Room &amp; Parking</t>
  </si>
  <si>
    <t>Carpet area + Encl Balcony Area</t>
  </si>
  <si>
    <t>Ground Floor For Entrance Lobby &amp; Parking</t>
  </si>
  <si>
    <t>1st to 7th Floor For Residential</t>
  </si>
  <si>
    <t>Wing D EWS (For Mhada)</t>
  </si>
  <si>
    <t>Mhada Flats Wing D EWS</t>
  </si>
  <si>
    <t>Sale Flats - 290, Mhada Flats - 35, Shops - 41</t>
  </si>
  <si>
    <t>19.294308,73.220014</t>
  </si>
  <si>
    <t>https://maps.app.goo.gl/HSqtTQvyBkZiGKR78</t>
  </si>
  <si>
    <t>Neel Sidhi Morya</t>
  </si>
  <si>
    <t>Narayan Nagar Road</t>
  </si>
  <si>
    <t>Titwala East</t>
  </si>
  <si>
    <t>2.40KM from Titwala Railway Station</t>
  </si>
  <si>
    <t>15.00 M. Wide Road</t>
  </si>
  <si>
    <t>30.00 M. Wide Road</t>
  </si>
  <si>
    <t>Other Plot</t>
  </si>
  <si>
    <t>Houses</t>
  </si>
  <si>
    <t>Internal Road</t>
  </si>
  <si>
    <t>We considered Gross carpet area = Net carpet + Enclose balcony + Balcony + WS Area.</t>
  </si>
  <si>
    <t xml:space="preserve"> </t>
  </si>
  <si>
    <t>Water, MSEB, Society, Development Chargers</t>
  </si>
  <si>
    <t>Builder</t>
  </si>
  <si>
    <t>Visitor</t>
  </si>
  <si>
    <t>FIRE/HQ/KDMC/OW/2023/E-328</t>
  </si>
  <si>
    <t>Wing A &amp; B = Gr + 1st to 14th Floor 44.70 Mts.
Wing D (Mhada) = Gr + 1st to 7th Floor 23.45Mts</t>
  </si>
  <si>
    <t>Approved Plans, CC, Builder Saleable Area, Cost Sheet.</t>
  </si>
  <si>
    <t>Mr. Vijay 7718832641</t>
  </si>
  <si>
    <t>03 Buildings</t>
  </si>
  <si>
    <t>Mangesh Bapardekar</t>
  </si>
  <si>
    <t>Wing A &amp; B = Construction work is in process at the time of Visit.
Wing D = Work not yet started.</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</si>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</sst>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5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3"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64" fontId="6" fillId="0" borderId="0" xfId="1" applyNumberFormat="1" applyFont="1" applyAlignment="1">
      <alignment horizontal="center" vertical="center"/>
    </xf>
    <xf numFmtId="0" fontId="6" fillId="0" borderId="0" xfId="1" applyFont="1" applyAlignment="1">
      <alignment horizontal="center" vertical="center"/>
    </xf>
    <xf numFmtId="1" fontId="11" fillId="0" borderId="1" xfId="1" applyNumberFormat="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0" fontId="6" fillId="0" borderId="0" xfId="1" applyFont="1" applyAlignment="1">
      <alignment vertical="center"/>
    </xf>
    <xf numFmtId="2" fontId="6" fillId="0" borderId="0" xfId="1" applyNumberFormat="1" applyFont="1" applyAlignment="1">
      <alignment horizontal="center" vertical="center"/>
    </xf>
    <xf numFmtId="164" fontId="4" fillId="0" borderId="0" xfId="4" applyNumberFormat="1"/>
    <xf numFmtId="0" fontId="11"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24" fillId="2" borderId="15" xfId="0" applyFont="1" applyFill="1" applyBorder="1"/>
    <xf numFmtId="0" fontId="25" fillId="0" borderId="9" xfId="0" applyFont="1" applyBorder="1"/>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7" fillId="0" borderId="3"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26"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Fill="1" applyBorder="1" applyAlignment="1" applyProtection="1">
      <alignment horizontal="left" vertical="top"/>
      <protection locked="0"/>
    </xf>
    <xf numFmtId="0" fontId="11" fillId="0"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7" fillId="0" borderId="16" xfId="1" applyFont="1" applyBorder="1" applyAlignment="1" applyProtection="1">
      <alignment horizontal="center" vertical="top"/>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3" xfId="0" applyFont="1" applyBorder="1" applyAlignment="1" applyProtection="1">
      <alignment horizontal="center" vertical="center"/>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20" xfId="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1" fontId="5" fillId="0" borderId="21"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5" fillId="0" borderId="8" xfId="0" applyNumberFormat="1" applyFont="1" applyBorder="1" applyAlignment="1" applyProtection="1">
      <alignment horizontal="center" vertical="center" wrapText="1"/>
      <protection locked="0"/>
    </xf>
    <xf numFmtId="1" fontId="5" fillId="0" borderId="9" xfId="0"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6" fillId="0" borderId="35"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9" fontId="11" fillId="0" borderId="3" xfId="8" applyFont="1" applyFill="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457200</xdr:colOff>
      <xdr:row>384</xdr:row>
      <xdr:rowOff>28575</xdr:rowOff>
    </xdr:from>
    <xdr:to>
      <xdr:col>7</xdr:col>
      <xdr:colOff>275550</xdr:colOff>
      <xdr:row>417</xdr:row>
      <xdr:rowOff>180621</xdr:rowOff>
    </xdr:to>
    <xdr:grpSp>
      <xdr:nvGrpSpPr>
        <xdr:cNvPr id="2" name="Group 1"/>
        <xdr:cNvGrpSpPr/>
      </xdr:nvGrpSpPr>
      <xdr:grpSpPr>
        <a:xfrm>
          <a:off x="457200" y="77225525"/>
          <a:ext cx="5673050" cy="6648096"/>
          <a:chOff x="690113" y="414068"/>
          <a:chExt cx="5400000" cy="6752871"/>
        </a:xfrm>
      </xdr:grpSpPr>
      <xdr:pic>
        <xdr:nvPicPr>
          <xdr:cNvPr id="3" name="Picture 2"/>
          <xdr:cNvPicPr>
            <a:picLocks noChangeAspect="1"/>
          </xdr:cNvPicPr>
        </xdr:nvPicPr>
        <xdr:blipFill rotWithShape="1">
          <a:blip xmlns:r="http://schemas.openxmlformats.org/officeDocument/2006/relationships" r:embed="rId1"/>
          <a:srcRect l="23911" t="43396" r="34320" b="17218"/>
          <a:stretch/>
        </xdr:blipFill>
        <xdr:spPr>
          <a:xfrm>
            <a:off x="690113" y="414068"/>
            <a:ext cx="5400000" cy="2862858"/>
          </a:xfrm>
          <a:prstGeom prst="rect">
            <a:avLst/>
          </a:prstGeom>
          <a:ln>
            <a:solidFill>
              <a:schemeClr val="tx1"/>
            </a:solidFill>
          </a:ln>
        </xdr:spPr>
      </xdr:pic>
      <xdr:grpSp>
        <xdr:nvGrpSpPr>
          <xdr:cNvPr id="4" name="Group 3"/>
          <xdr:cNvGrpSpPr/>
        </xdr:nvGrpSpPr>
        <xdr:grpSpPr>
          <a:xfrm>
            <a:off x="690113" y="3459193"/>
            <a:ext cx="5400000" cy="3707746"/>
            <a:chOff x="690113" y="3459193"/>
            <a:chExt cx="5400000" cy="3707746"/>
          </a:xfrm>
        </xdr:grpSpPr>
        <xdr:pic>
          <xdr:nvPicPr>
            <xdr:cNvPr id="5" name="Picture 4"/>
            <xdr:cNvPicPr>
              <a:picLocks noChangeAspect="1"/>
            </xdr:cNvPicPr>
          </xdr:nvPicPr>
          <xdr:blipFill rotWithShape="1">
            <a:blip xmlns:r="http://schemas.openxmlformats.org/officeDocument/2006/relationships" r:embed="rId2"/>
            <a:srcRect l="36000" t="36360" r="26342" b="17649"/>
            <a:stretch/>
          </xdr:blipFill>
          <xdr:spPr>
            <a:xfrm>
              <a:off x="690113" y="3459193"/>
              <a:ext cx="5400000" cy="3707746"/>
            </a:xfrm>
            <a:prstGeom prst="rect">
              <a:avLst/>
            </a:prstGeom>
            <a:ln>
              <a:solidFill>
                <a:schemeClr val="tx1"/>
              </a:solidFill>
            </a:ln>
          </xdr:spPr>
        </xdr:pic>
        <xdr:sp macro="" textlink="">
          <xdr:nvSpPr>
            <xdr:cNvPr id="6" name="Rectangle 5"/>
            <xdr:cNvSpPr/>
          </xdr:nvSpPr>
          <xdr:spPr>
            <a:xfrm rot="20947962">
              <a:off x="2329133" y="4450424"/>
              <a:ext cx="1362973" cy="1725283"/>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0</xdr:col>
      <xdr:colOff>257175</xdr:colOff>
      <xdr:row>341</xdr:row>
      <xdr:rowOff>9525</xdr:rowOff>
    </xdr:from>
    <xdr:to>
      <xdr:col>7</xdr:col>
      <xdr:colOff>435525</xdr:colOff>
      <xdr:row>376</xdr:row>
      <xdr:rowOff>64650</xdr:rowOff>
    </xdr:to>
    <xdr:grpSp>
      <xdr:nvGrpSpPr>
        <xdr:cNvPr id="19" name="Group 18"/>
        <xdr:cNvGrpSpPr/>
      </xdr:nvGrpSpPr>
      <xdr:grpSpPr>
        <a:xfrm>
          <a:off x="257175" y="68741925"/>
          <a:ext cx="6033050" cy="6944875"/>
          <a:chOff x="0" y="0"/>
          <a:chExt cx="5760000" cy="7056000"/>
        </a:xfrm>
      </xdr:grpSpPr>
      <xdr:pic>
        <xdr:nvPicPr>
          <xdr:cNvPr id="20" name="Picture 19"/>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r="-628"/>
          <a:stretch/>
        </xdr:blipFill>
        <xdr:spPr>
          <a:xfrm>
            <a:off x="0" y="0"/>
            <a:ext cx="5760000" cy="7056000"/>
          </a:xfrm>
          <a:prstGeom prst="rect">
            <a:avLst/>
          </a:prstGeom>
          <a:ln>
            <a:solidFill>
              <a:schemeClr val="tx1"/>
            </a:solidFill>
          </a:ln>
        </xdr:spPr>
      </xdr:pic>
      <xdr:sp macro="" textlink="">
        <xdr:nvSpPr>
          <xdr:cNvPr id="21" name="Rectangle 20"/>
          <xdr:cNvSpPr/>
        </xdr:nvSpPr>
        <xdr:spPr>
          <a:xfrm>
            <a:off x="1266405" y="692149"/>
            <a:ext cx="1873609" cy="8197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Rectangle 21"/>
          <xdr:cNvSpPr/>
        </xdr:nvSpPr>
        <xdr:spPr>
          <a:xfrm>
            <a:off x="3140014" y="621101"/>
            <a:ext cx="1725284" cy="724619"/>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Rectangle 22"/>
          <xdr:cNvSpPr/>
        </xdr:nvSpPr>
        <xdr:spPr>
          <a:xfrm>
            <a:off x="4140679" y="1345720"/>
            <a:ext cx="724619" cy="1483744"/>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TextBox 5"/>
          <xdr:cNvSpPr txBox="1"/>
        </xdr:nvSpPr>
        <xdr:spPr>
          <a:xfrm>
            <a:off x="1517650" y="1511898"/>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25" name="TextBox 6"/>
          <xdr:cNvSpPr txBox="1"/>
        </xdr:nvSpPr>
        <xdr:spPr>
          <a:xfrm>
            <a:off x="4820060" y="1142566"/>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2060"/>
                </a:solidFill>
              </a:rPr>
              <a:t>Wing B</a:t>
            </a:r>
            <a:endParaRPr lang="en-IN" b="1">
              <a:solidFill>
                <a:srgbClr val="002060"/>
              </a:solidFill>
            </a:endParaRPr>
          </a:p>
        </xdr:txBody>
      </xdr:sp>
      <xdr:sp macro="" textlink="">
        <xdr:nvSpPr>
          <xdr:cNvPr id="26" name="Rectangle 25"/>
          <xdr:cNvSpPr/>
        </xdr:nvSpPr>
        <xdr:spPr>
          <a:xfrm rot="1052663">
            <a:off x="931418" y="4441695"/>
            <a:ext cx="923284" cy="2386356"/>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7" name="TextBox 8"/>
          <xdr:cNvSpPr txBox="1"/>
        </xdr:nvSpPr>
        <xdr:spPr>
          <a:xfrm>
            <a:off x="29573" y="5450207"/>
            <a:ext cx="86914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rgbClr val="0070C0"/>
                </a:solidFill>
              </a:rPr>
              <a:t>Wing </a:t>
            </a:r>
            <a:r>
              <a:rPr lang="en-IN">
                <a:solidFill>
                  <a:srgbClr val="0070C0"/>
                </a:solidFill>
              </a:rPr>
              <a:t>D</a:t>
            </a:r>
            <a:endParaRPr lang="en-US">
              <a:solidFill>
                <a:srgbClr val="0070C0"/>
              </a:solidFill>
            </a:endParaRPr>
          </a:p>
        </xdr:txBody>
      </xdr:sp>
    </xdr:grpSp>
    <xdr:clientData/>
  </xdr:twoCellAnchor>
  <xdr:twoCellAnchor>
    <xdr:from>
      <xdr:col>9</xdr:col>
      <xdr:colOff>0</xdr:colOff>
      <xdr:row>296</xdr:row>
      <xdr:rowOff>0</xdr:rowOff>
    </xdr:from>
    <xdr:to>
      <xdr:col>9</xdr:col>
      <xdr:colOff>633763</xdr:colOff>
      <xdr:row>297</xdr:row>
      <xdr:rowOff>83434</xdr:rowOff>
    </xdr:to>
    <xdr:sp macro="" textlink="">
      <xdr:nvSpPr>
        <xdr:cNvPr id="38" name="TextBox 37"/>
        <xdr:cNvSpPr txBox="1"/>
      </xdr:nvSpPr>
      <xdr:spPr>
        <a:xfrm>
          <a:off x="7842250" y="59880500"/>
          <a:ext cx="633763" cy="2802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1" cap="none" spc="0">
              <a:ln w="0"/>
              <a:solidFill>
                <a:sysClr val="windowText" lastClr="000000"/>
              </a:solidFill>
              <a:effectLst>
                <a:outerShdw blurRad="38100" dist="25400" dir="5400000" algn="ctr" rotWithShape="0">
                  <a:srgbClr val="6E747A">
                    <a:alpha val="43000"/>
                  </a:srgbClr>
                </a:outerShdw>
              </a:effectLst>
            </a:rPr>
            <a:t>Wing A</a:t>
          </a:r>
        </a:p>
      </xdr:txBody>
    </xdr:sp>
    <xdr:clientData/>
  </xdr:twoCellAnchor>
  <xdr:twoCellAnchor>
    <xdr:from>
      <xdr:col>0</xdr:col>
      <xdr:colOff>88900</xdr:colOff>
      <xdr:row>297</xdr:row>
      <xdr:rowOff>82550</xdr:rowOff>
    </xdr:from>
    <xdr:to>
      <xdr:col>7</xdr:col>
      <xdr:colOff>721182</xdr:colOff>
      <xdr:row>334</xdr:row>
      <xdr:rowOff>90685</xdr:rowOff>
    </xdr:to>
    <xdr:grpSp>
      <xdr:nvGrpSpPr>
        <xdr:cNvPr id="7" name="Group 6"/>
        <xdr:cNvGrpSpPr/>
      </xdr:nvGrpSpPr>
      <xdr:grpSpPr>
        <a:xfrm>
          <a:off x="88900" y="60159900"/>
          <a:ext cx="6486982" cy="7285235"/>
          <a:chOff x="88900" y="60159900"/>
          <a:chExt cx="6486982" cy="7285235"/>
        </a:xfrm>
      </xdr:grpSpPr>
      <xdr:pic>
        <xdr:nvPicPr>
          <xdr:cNvPr id="39" name="Picture 3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346921" y="65281764"/>
            <a:ext cx="1618313" cy="216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505216" y="60159900"/>
            <a:ext cx="2049863" cy="2736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847983" y="65281764"/>
            <a:ext cx="1618313" cy="216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597452" y="65285135"/>
            <a:ext cx="1618313" cy="2160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297058" y="60159900"/>
            <a:ext cx="2049863" cy="2736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51530" y="63008832"/>
            <a:ext cx="2877714" cy="216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88900" y="60159900"/>
            <a:ext cx="2049863" cy="2736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957569" y="63008832"/>
            <a:ext cx="1618313" cy="216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184250" y="63008832"/>
            <a:ext cx="1618313" cy="2160000"/>
          </a:xfrm>
          <a:prstGeom prst="rect">
            <a:avLst/>
          </a:prstGeom>
          <a:ln>
            <a:solidFill>
              <a:schemeClr val="tx1"/>
            </a:solidFill>
          </a:ln>
        </xdr:spPr>
      </xdr:pic>
      <xdr:sp macro="" textlink="">
        <xdr:nvSpPr>
          <xdr:cNvPr id="48" name="TextBox 47"/>
          <xdr:cNvSpPr txBox="1"/>
        </xdr:nvSpPr>
        <xdr:spPr>
          <a:xfrm>
            <a:off x="1041400" y="60261500"/>
            <a:ext cx="633763" cy="2802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1" cap="none" spc="0">
                <a:ln w="0"/>
                <a:solidFill>
                  <a:sysClr val="windowText" lastClr="000000"/>
                </a:solidFill>
                <a:effectLst>
                  <a:outerShdw blurRad="38100" dist="25400" dir="5400000" algn="ctr" rotWithShape="0">
                    <a:srgbClr val="6E747A">
                      <a:alpha val="43000"/>
                    </a:srgbClr>
                  </a:outerShdw>
                </a:effectLst>
              </a:rPr>
              <a:t>Wing A</a:t>
            </a:r>
          </a:p>
        </xdr:txBody>
      </xdr:sp>
      <xdr:sp macro="" textlink="">
        <xdr:nvSpPr>
          <xdr:cNvPr id="49" name="TextBox 48"/>
          <xdr:cNvSpPr txBox="1"/>
        </xdr:nvSpPr>
        <xdr:spPr>
          <a:xfrm>
            <a:off x="2570108" y="60515500"/>
            <a:ext cx="633763" cy="2802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1" cap="none" spc="0">
                <a:ln w="0"/>
                <a:solidFill>
                  <a:sysClr val="windowText" lastClr="000000"/>
                </a:solidFill>
                <a:effectLst>
                  <a:outerShdw blurRad="38100" dist="25400" dir="5400000" algn="ctr" rotWithShape="0">
                    <a:srgbClr val="6E747A">
                      <a:alpha val="43000"/>
                    </a:srgbClr>
                  </a:outerShdw>
                </a:effectLst>
              </a:rPr>
              <a:t>Wing A</a:t>
            </a:r>
          </a:p>
        </xdr:txBody>
      </xdr:sp>
      <xdr:sp macro="" textlink="">
        <xdr:nvSpPr>
          <xdr:cNvPr id="50" name="TextBox 49"/>
          <xdr:cNvSpPr txBox="1"/>
        </xdr:nvSpPr>
        <xdr:spPr>
          <a:xfrm>
            <a:off x="4644916" y="61214000"/>
            <a:ext cx="633763" cy="2802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1" cap="none" spc="0">
                <a:ln w="0"/>
                <a:solidFill>
                  <a:sysClr val="windowText" lastClr="000000"/>
                </a:solidFill>
                <a:effectLst>
                  <a:outerShdw blurRad="38100" dist="25400" dir="5400000" algn="ctr" rotWithShape="0">
                    <a:srgbClr val="6E747A">
                      <a:alpha val="43000"/>
                    </a:srgbClr>
                  </a:outerShdw>
                </a:effectLst>
              </a:rPr>
              <a:t>Wing A</a:t>
            </a:r>
          </a:p>
        </xdr:txBody>
      </xdr:sp>
      <xdr:sp macro="" textlink="">
        <xdr:nvSpPr>
          <xdr:cNvPr id="51" name="TextBox 50"/>
          <xdr:cNvSpPr txBox="1"/>
        </xdr:nvSpPr>
        <xdr:spPr>
          <a:xfrm>
            <a:off x="1535830" y="63618432"/>
            <a:ext cx="633763" cy="2802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1" cap="none" spc="0">
                <a:ln w="0"/>
                <a:solidFill>
                  <a:sysClr val="windowText" lastClr="000000"/>
                </a:solidFill>
                <a:effectLst>
                  <a:outerShdw blurRad="38100" dist="25400" dir="5400000" algn="ctr" rotWithShape="0">
                    <a:srgbClr val="6E747A">
                      <a:alpha val="43000"/>
                    </a:srgbClr>
                  </a:outerShdw>
                </a:effectLst>
              </a:rPr>
              <a:t>Wing 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xdr:colOff>
      <xdr:row>14</xdr:row>
      <xdr:rowOff>0</xdr:rowOff>
    </xdr:from>
    <xdr:to>
      <xdr:col>6</xdr:col>
      <xdr:colOff>4567</xdr:colOff>
      <xdr:row>32</xdr:row>
      <xdr:rowOff>171000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7" y="2678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SqtTQvyBkZiGKR7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83"/>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208" t="s">
        <v>160</v>
      </c>
      <c r="B1" s="208"/>
      <c r="C1" s="208"/>
      <c r="D1" s="208"/>
      <c r="E1" s="208"/>
      <c r="F1" s="208"/>
      <c r="G1" s="208"/>
      <c r="H1" s="208"/>
    </row>
    <row r="2" spans="1:26" ht="16.5" customHeight="1" x14ac:dyDescent="0.35">
      <c r="A2" s="209" t="s">
        <v>0</v>
      </c>
      <c r="B2" s="209"/>
      <c r="C2" s="209"/>
      <c r="D2" s="209"/>
      <c r="E2" s="209"/>
      <c r="F2" s="209"/>
      <c r="G2" s="209"/>
      <c r="H2" s="209"/>
    </row>
    <row r="3" spans="1:26" x14ac:dyDescent="0.35">
      <c r="A3" s="180" t="s">
        <v>1</v>
      </c>
      <c r="B3" s="180"/>
      <c r="C3" s="180"/>
      <c r="D3" s="180"/>
      <c r="E3" s="180" t="str">
        <f ca="1">TEXT(TODAY(),"DD/MM/YYYY")</f>
        <v>19/09/2025</v>
      </c>
      <c r="F3" s="180"/>
      <c r="G3" s="180"/>
      <c r="H3" s="180"/>
      <c r="K3" s="52" t="s">
        <v>233</v>
      </c>
      <c r="L3" s="49" t="s">
        <v>231</v>
      </c>
      <c r="M3" s="49" t="s">
        <v>236</v>
      </c>
      <c r="N3" s="49" t="s">
        <v>234</v>
      </c>
      <c r="O3" s="49" t="s">
        <v>339</v>
      </c>
      <c r="P3" s="49" t="s">
        <v>237</v>
      </c>
    </row>
    <row r="4" spans="1:26" ht="15" customHeight="1" x14ac:dyDescent="0.35">
      <c r="A4" s="180" t="s">
        <v>230</v>
      </c>
      <c r="B4" s="180"/>
      <c r="C4" s="180"/>
      <c r="D4" s="180"/>
      <c r="E4" s="180" t="s">
        <v>231</v>
      </c>
      <c r="F4" s="180"/>
      <c r="G4" s="180"/>
      <c r="H4" s="180"/>
      <c r="K4" s="48" t="s">
        <v>232</v>
      </c>
      <c r="L4" s="49" t="s">
        <v>166</v>
      </c>
      <c r="M4" s="49" t="s">
        <v>241</v>
      </c>
      <c r="N4" s="49" t="s">
        <v>243</v>
      </c>
      <c r="O4" s="49" t="s">
        <v>340</v>
      </c>
      <c r="P4" s="49"/>
    </row>
    <row r="5" spans="1:26" ht="15" customHeight="1" x14ac:dyDescent="0.35">
      <c r="A5" s="180" t="s">
        <v>2</v>
      </c>
      <c r="B5" s="180"/>
      <c r="C5" s="180"/>
      <c r="D5" s="180"/>
      <c r="E5" s="180" t="s">
        <v>240</v>
      </c>
      <c r="F5" s="180"/>
      <c r="G5" s="180"/>
      <c r="H5" s="180"/>
      <c r="K5" s="48"/>
      <c r="L5" s="49" t="s">
        <v>238</v>
      </c>
      <c r="M5" s="49" t="s">
        <v>242</v>
      </c>
      <c r="N5" s="49" t="s">
        <v>244</v>
      </c>
      <c r="O5" s="49" t="s">
        <v>341</v>
      </c>
      <c r="P5" s="49"/>
    </row>
    <row r="6" spans="1:26" x14ac:dyDescent="0.35">
      <c r="A6" s="180" t="s">
        <v>3</v>
      </c>
      <c r="B6" s="180"/>
      <c r="C6" s="180"/>
      <c r="D6" s="180"/>
      <c r="E6" s="210">
        <v>45906</v>
      </c>
      <c r="F6" s="211"/>
      <c r="G6" s="211"/>
      <c r="H6" s="211"/>
      <c r="K6" s="48"/>
      <c r="L6" s="49" t="s">
        <v>239</v>
      </c>
      <c r="M6" s="49"/>
      <c r="N6" s="49"/>
      <c r="O6" s="49" t="s">
        <v>342</v>
      </c>
      <c r="P6" s="49"/>
    </row>
    <row r="7" spans="1:26" ht="16.5" customHeight="1" x14ac:dyDescent="0.35">
      <c r="A7" s="180" t="s">
        <v>4</v>
      </c>
      <c r="B7" s="180"/>
      <c r="C7" s="180"/>
      <c r="D7" s="180"/>
      <c r="E7" s="180" t="s">
        <v>347</v>
      </c>
      <c r="F7" s="180"/>
      <c r="G7" s="180"/>
      <c r="H7" s="180"/>
      <c r="K7" s="48"/>
      <c r="L7" s="49" t="s">
        <v>240</v>
      </c>
      <c r="M7" s="49"/>
      <c r="N7" s="49"/>
      <c r="O7" s="49" t="s">
        <v>342</v>
      </c>
      <c r="P7" s="49"/>
    </row>
    <row r="8" spans="1:26" ht="15" customHeight="1" x14ac:dyDescent="0.35">
      <c r="A8" s="180" t="s">
        <v>5</v>
      </c>
      <c r="B8" s="180"/>
      <c r="C8" s="180"/>
      <c r="D8" s="180"/>
      <c r="E8" s="180" t="str">
        <f>E7</f>
        <v>Uma Infratech</v>
      </c>
      <c r="F8" s="180"/>
      <c r="G8" s="180"/>
      <c r="H8" s="180"/>
      <c r="K8" s="48"/>
      <c r="L8" s="49"/>
      <c r="M8" s="49"/>
      <c r="N8" s="49"/>
      <c r="O8" s="49" t="s">
        <v>343</v>
      </c>
      <c r="P8" s="49"/>
    </row>
    <row r="9" spans="1:26" x14ac:dyDescent="0.35">
      <c r="A9" s="180" t="s">
        <v>6</v>
      </c>
      <c r="B9" s="180"/>
      <c r="C9" s="180"/>
      <c r="D9" s="180"/>
      <c r="E9" s="115" t="s">
        <v>348</v>
      </c>
      <c r="F9" s="115"/>
      <c r="G9" s="115"/>
      <c r="H9" s="115"/>
      <c r="K9" s="48"/>
      <c r="L9" s="49"/>
      <c r="M9" s="49"/>
      <c r="N9" s="49"/>
      <c r="O9" s="49" t="s">
        <v>344</v>
      </c>
      <c r="P9" s="49"/>
    </row>
    <row r="10" spans="1:26" ht="16" customHeight="1" x14ac:dyDescent="0.35">
      <c r="A10" s="180" t="s">
        <v>163</v>
      </c>
      <c r="B10" s="180"/>
      <c r="C10" s="180"/>
      <c r="D10" s="180"/>
      <c r="E10" s="180" t="s">
        <v>349</v>
      </c>
      <c r="F10" s="180"/>
      <c r="G10" s="180"/>
      <c r="H10" s="180"/>
      <c r="K10" s="48"/>
      <c r="L10" s="49"/>
      <c r="M10" s="49"/>
      <c r="N10" s="49"/>
      <c r="O10" s="49" t="s">
        <v>345</v>
      </c>
      <c r="P10" s="49"/>
    </row>
    <row r="11" spans="1:26" x14ac:dyDescent="0.35">
      <c r="A11" s="180" t="s">
        <v>164</v>
      </c>
      <c r="B11" s="180"/>
      <c r="C11" s="180"/>
      <c r="D11" s="180"/>
      <c r="E11" s="180" t="s">
        <v>404</v>
      </c>
      <c r="F11" s="180"/>
      <c r="G11" s="180"/>
      <c r="H11" s="180"/>
      <c r="O11" s="49" t="s">
        <v>346</v>
      </c>
    </row>
    <row r="12" spans="1:26" x14ac:dyDescent="0.35">
      <c r="A12" s="180" t="s">
        <v>7</v>
      </c>
      <c r="B12" s="180"/>
      <c r="C12" s="180"/>
      <c r="D12" s="180"/>
      <c r="E12" s="180" t="s">
        <v>350</v>
      </c>
      <c r="F12" s="180"/>
      <c r="G12" s="180"/>
      <c r="H12" s="180"/>
    </row>
    <row r="13" spans="1:26" x14ac:dyDescent="0.35">
      <c r="A13" s="180" t="s">
        <v>167</v>
      </c>
      <c r="B13" s="180"/>
      <c r="C13" s="180"/>
      <c r="D13" s="180"/>
      <c r="E13" s="180" t="s">
        <v>28</v>
      </c>
      <c r="F13" s="180"/>
      <c r="G13" s="180"/>
      <c r="H13" s="180"/>
      <c r="S13" s="49" t="s">
        <v>176</v>
      </c>
      <c r="T13" s="49" t="s">
        <v>185</v>
      </c>
      <c r="U13" s="49" t="s">
        <v>168</v>
      </c>
      <c r="V13" s="49" t="s">
        <v>190</v>
      </c>
      <c r="W13" s="49" t="s">
        <v>208</v>
      </c>
      <c r="X13"/>
      <c r="Y13" t="s">
        <v>190</v>
      </c>
      <c r="Z13" t="e">
        <f ca="1">OFFSET($S$13,1,MATCH($G20,$S$13:$W$13,0)-1,15,1)</f>
        <v>#VALUE!</v>
      </c>
    </row>
    <row r="14" spans="1:26" ht="32.25" customHeight="1" x14ac:dyDescent="0.35">
      <c r="A14" s="126" t="s">
        <v>276</v>
      </c>
      <c r="B14" s="126"/>
      <c r="C14" s="126"/>
      <c r="D14" s="126"/>
      <c r="E14" s="149" t="s">
        <v>403</v>
      </c>
      <c r="F14" s="149"/>
      <c r="G14" s="149"/>
      <c r="H14" s="149"/>
      <c r="S14" s="49" t="s">
        <v>176</v>
      </c>
      <c r="T14" s="49" t="s">
        <v>183</v>
      </c>
      <c r="U14" s="49" t="s">
        <v>205</v>
      </c>
      <c r="V14" s="49" t="s">
        <v>191</v>
      </c>
      <c r="W14" s="49" t="s">
        <v>209</v>
      </c>
      <c r="X14"/>
      <c r="Y14"/>
      <c r="Z14"/>
    </row>
    <row r="15" spans="1:26" x14ac:dyDescent="0.35">
      <c r="A15" s="126" t="s">
        <v>8</v>
      </c>
      <c r="B15" s="126"/>
      <c r="C15" s="126"/>
      <c r="D15" s="126"/>
      <c r="E15" s="149" t="s">
        <v>351</v>
      </c>
      <c r="F15" s="180"/>
      <c r="G15" s="180"/>
      <c r="H15" s="180"/>
      <c r="I15" s="227" t="e">
        <f ca="1">OFFSET($D$5,1,MATCH($J13,$D$5:$H$5,0)-1,15,1)</f>
        <v>#N/A</v>
      </c>
      <c r="J15" s="228"/>
      <c r="K15" s="228"/>
      <c r="L15" s="228"/>
      <c r="M15" s="228"/>
      <c r="N15" s="228"/>
      <c r="O15" s="228"/>
      <c r="P15" s="228"/>
      <c r="S15" s="49" t="s">
        <v>177</v>
      </c>
      <c r="T15" s="49" t="s">
        <v>184</v>
      </c>
      <c r="U15" s="49" t="s">
        <v>206</v>
      </c>
      <c r="V15" s="49" t="s">
        <v>192</v>
      </c>
      <c r="W15" s="49" t="s">
        <v>222</v>
      </c>
      <c r="X15"/>
      <c r="Y15"/>
      <c r="Z15"/>
    </row>
    <row r="16" spans="1:26" ht="33" customHeight="1" x14ac:dyDescent="0.35">
      <c r="A16" s="203" t="s">
        <v>9</v>
      </c>
      <c r="B16" s="203"/>
      <c r="C16" s="203" t="str">
        <f>CONCATENATE((IF(OR(E9="",E9="NA"),"",E9)),", ",(IF(OR(A17="",A17="NA"),"",A17)),".",(IF(OR(C17="",C17="NA"),"",C17)),", near ",(IF(OR(C22="",C22="NA"),"",C22)),", ",(IF(OR(C19="",C19="NA"),"",C19)),", ",(IF(OR(G19="",G19="NA"),"",G19)),", ",(IF(OR(C20="",C20="NA"),"",C20)),", ",(IF(OR(C21="",C21="NA"),"",C21)),", ",(IF(OR(G20="",G20="NA"),"",G20))," - ",(IF(OR(G21="",G21="NA"),"",G21)),".")</f>
        <v>The Nature, Survey No.147 H. No. 2/2/1, 2/A, 3/A, 3/B, 4/1, near Neel Sidhi Morya, Narayan Nagar Road, Titwala, Titwala East, Kalyan, Thane - 421605.</v>
      </c>
      <c r="D16" s="203"/>
      <c r="E16" s="203"/>
      <c r="F16" s="203"/>
      <c r="G16" s="203"/>
      <c r="H16" s="203"/>
      <c r="S16" s="49" t="s">
        <v>178</v>
      </c>
      <c r="T16" s="49" t="s">
        <v>186</v>
      </c>
      <c r="U16" s="49" t="s">
        <v>207</v>
      </c>
      <c r="V16" s="49" t="s">
        <v>193</v>
      </c>
      <c r="W16" s="49" t="s">
        <v>210</v>
      </c>
      <c r="X16"/>
      <c r="Y16"/>
      <c r="Z16"/>
    </row>
    <row r="17" spans="1:26" x14ac:dyDescent="0.35">
      <c r="A17" s="149" t="s">
        <v>354</v>
      </c>
      <c r="B17" s="149"/>
      <c r="C17" s="149" t="s">
        <v>352</v>
      </c>
      <c r="D17" s="149"/>
      <c r="E17" s="149"/>
      <c r="F17" s="149"/>
      <c r="G17" s="149"/>
      <c r="H17" s="149"/>
      <c r="S17" s="49" t="s">
        <v>179</v>
      </c>
      <c r="T17" s="49" t="s">
        <v>187</v>
      </c>
      <c r="U17" s="49" t="s">
        <v>168</v>
      </c>
      <c r="V17" s="49" t="s">
        <v>194</v>
      </c>
      <c r="W17" s="49" t="s">
        <v>211</v>
      </c>
      <c r="X17"/>
      <c r="Y17"/>
      <c r="Z17"/>
    </row>
    <row r="18" spans="1:26" ht="15.75" customHeight="1" x14ac:dyDescent="0.35">
      <c r="A18" s="149" t="s">
        <v>158</v>
      </c>
      <c r="B18" s="149"/>
      <c r="C18" s="149" t="s">
        <v>28</v>
      </c>
      <c r="D18" s="149"/>
      <c r="E18" s="149"/>
      <c r="F18" s="149"/>
      <c r="G18" s="149"/>
      <c r="H18" s="149"/>
      <c r="S18" s="49" t="s">
        <v>180</v>
      </c>
      <c r="T18" s="49" t="s">
        <v>185</v>
      </c>
      <c r="U18" s="49"/>
      <c r="V18" s="49" t="s">
        <v>195</v>
      </c>
      <c r="W18" s="49" t="s">
        <v>212</v>
      </c>
      <c r="X18"/>
      <c r="Y18"/>
      <c r="Z18"/>
    </row>
    <row r="19" spans="1:26" ht="15.75" customHeight="1" x14ac:dyDescent="0.35">
      <c r="A19" s="203" t="s">
        <v>10</v>
      </c>
      <c r="B19" s="203"/>
      <c r="C19" s="180" t="s">
        <v>388</v>
      </c>
      <c r="D19" s="180"/>
      <c r="E19" s="203" t="s">
        <v>70</v>
      </c>
      <c r="F19" s="203"/>
      <c r="G19" s="149" t="s">
        <v>353</v>
      </c>
      <c r="H19" s="149"/>
      <c r="S19" s="49" t="s">
        <v>181</v>
      </c>
      <c r="T19" s="49" t="s">
        <v>188</v>
      </c>
      <c r="U19" s="49"/>
      <c r="V19" s="49" t="s">
        <v>196</v>
      </c>
      <c r="W19" s="49" t="s">
        <v>213</v>
      </c>
      <c r="X19"/>
      <c r="Y19"/>
      <c r="Z19"/>
    </row>
    <row r="20" spans="1:26" x14ac:dyDescent="0.35">
      <c r="A20" s="180" t="s">
        <v>12</v>
      </c>
      <c r="B20" s="180"/>
      <c r="C20" s="149" t="s">
        <v>389</v>
      </c>
      <c r="D20" s="149"/>
      <c r="E20" s="149" t="s">
        <v>11</v>
      </c>
      <c r="F20" s="149"/>
      <c r="G20" s="207" t="s">
        <v>176</v>
      </c>
      <c r="H20" s="207"/>
      <c r="S20" s="49" t="s">
        <v>182</v>
      </c>
      <c r="T20" s="49" t="s">
        <v>189</v>
      </c>
      <c r="U20" s="49"/>
      <c r="V20" s="49" t="s">
        <v>197</v>
      </c>
      <c r="W20" s="49" t="s">
        <v>214</v>
      </c>
      <c r="X20"/>
      <c r="Y20"/>
      <c r="Z20"/>
    </row>
    <row r="21" spans="1:26" x14ac:dyDescent="0.35">
      <c r="A21" s="180" t="s">
        <v>71</v>
      </c>
      <c r="B21" s="180"/>
      <c r="C21" s="149" t="s">
        <v>178</v>
      </c>
      <c r="D21" s="149"/>
      <c r="E21" s="149" t="s">
        <v>13</v>
      </c>
      <c r="F21" s="149"/>
      <c r="G21" s="149">
        <v>421605</v>
      </c>
      <c r="H21" s="149"/>
      <c r="S21" s="49"/>
      <c r="T21" s="49"/>
      <c r="U21" s="49"/>
      <c r="V21" s="49" t="s">
        <v>198</v>
      </c>
      <c r="W21" s="49" t="s">
        <v>215</v>
      </c>
      <c r="X21"/>
      <c r="Y21"/>
      <c r="Z21"/>
    </row>
    <row r="22" spans="1:26" ht="32.25" customHeight="1" x14ac:dyDescent="0.35">
      <c r="A22" s="180" t="s">
        <v>117</v>
      </c>
      <c r="B22" s="180"/>
      <c r="C22" s="149" t="s">
        <v>387</v>
      </c>
      <c r="D22" s="149"/>
      <c r="E22" s="149" t="s">
        <v>14</v>
      </c>
      <c r="F22" s="149"/>
      <c r="G22" s="149" t="s">
        <v>390</v>
      </c>
      <c r="H22" s="149"/>
      <c r="S22" s="49"/>
      <c r="T22" s="49"/>
      <c r="U22" s="49"/>
      <c r="V22" s="49" t="s">
        <v>199</v>
      </c>
      <c r="W22" s="49" t="s">
        <v>216</v>
      </c>
      <c r="X22"/>
      <c r="Y22"/>
      <c r="Z22"/>
    </row>
    <row r="23" spans="1:26" ht="15" customHeight="1" x14ac:dyDescent="0.35">
      <c r="A23" s="203" t="s">
        <v>73</v>
      </c>
      <c r="B23" s="203"/>
      <c r="C23" s="203"/>
      <c r="D23" s="203"/>
      <c r="E23" s="180" t="s">
        <v>15</v>
      </c>
      <c r="F23" s="180"/>
      <c r="G23" s="180"/>
      <c r="H23" s="180"/>
      <c r="S23" s="49"/>
      <c r="T23" s="49"/>
      <c r="U23" s="49"/>
      <c r="V23" s="49" t="s">
        <v>200</v>
      </c>
      <c r="W23" s="49" t="s">
        <v>217</v>
      </c>
      <c r="X23"/>
      <c r="Y23"/>
      <c r="Z23"/>
    </row>
    <row r="24" spans="1:26" ht="18.75" customHeight="1" x14ac:dyDescent="0.35">
      <c r="A24" s="203"/>
      <c r="B24" s="203"/>
      <c r="C24" s="203"/>
      <c r="D24" s="203"/>
      <c r="E24" s="180"/>
      <c r="F24" s="180"/>
      <c r="G24" s="180"/>
      <c r="H24" s="180"/>
      <c r="S24" s="49"/>
      <c r="T24" s="49"/>
      <c r="U24" s="49"/>
      <c r="V24" s="49" t="s">
        <v>201</v>
      </c>
      <c r="W24" s="49" t="s">
        <v>218</v>
      </c>
      <c r="X24"/>
      <c r="Y24"/>
      <c r="Z24"/>
    </row>
    <row r="25" spans="1:26" ht="15" customHeight="1" x14ac:dyDescent="0.35">
      <c r="A25" s="203" t="s">
        <v>16</v>
      </c>
      <c r="B25" s="203"/>
      <c r="C25" s="203"/>
      <c r="D25" s="203"/>
      <c r="E25" s="149" t="s">
        <v>17</v>
      </c>
      <c r="F25" s="149"/>
      <c r="G25" s="149"/>
      <c r="H25" s="149"/>
      <c r="S25" s="49"/>
      <c r="T25" s="49"/>
      <c r="U25" s="49"/>
      <c r="V25" s="49" t="s">
        <v>202</v>
      </c>
      <c r="W25" s="49" t="s">
        <v>219</v>
      </c>
      <c r="X25"/>
      <c r="Y25"/>
      <c r="Z25"/>
    </row>
    <row r="26" spans="1:26" ht="15" customHeight="1" x14ac:dyDescent="0.35">
      <c r="A26" s="126" t="s">
        <v>18</v>
      </c>
      <c r="B26" s="126"/>
      <c r="C26" s="126"/>
      <c r="D26" s="126"/>
      <c r="E26" s="149" t="str">
        <f>IF(AND(G20="Mumbai"),"Upper Class","Middle Class")</f>
        <v>Middle Class</v>
      </c>
      <c r="F26" s="149"/>
      <c r="G26" s="149"/>
      <c r="H26" s="149"/>
      <c r="S26" s="49"/>
      <c r="T26" s="49"/>
      <c r="U26" s="49"/>
      <c r="V26" s="49" t="s">
        <v>203</v>
      </c>
      <c r="W26" s="49" t="s">
        <v>220</v>
      </c>
      <c r="X26"/>
      <c r="Y26"/>
      <c r="Z26"/>
    </row>
    <row r="27" spans="1:26" x14ac:dyDescent="0.35">
      <c r="A27" s="126" t="s">
        <v>19</v>
      </c>
      <c r="B27" s="126"/>
      <c r="C27" s="126"/>
      <c r="D27" s="126"/>
      <c r="E27" s="149" t="s">
        <v>20</v>
      </c>
      <c r="F27" s="149"/>
      <c r="G27" s="149"/>
      <c r="H27" s="149"/>
      <c r="S27" s="49"/>
      <c r="T27" s="49"/>
      <c r="U27" s="49"/>
      <c r="V27" s="49" t="s">
        <v>204</v>
      </c>
      <c r="W27" s="49" t="s">
        <v>221</v>
      </c>
      <c r="X27"/>
      <c r="Y27"/>
      <c r="Z27"/>
    </row>
    <row r="28" spans="1:26" ht="15.75" customHeight="1" x14ac:dyDescent="0.35">
      <c r="A28" s="126" t="s">
        <v>21</v>
      </c>
      <c r="B28" s="126"/>
      <c r="C28" s="126"/>
      <c r="D28" s="126"/>
      <c r="E28" s="149" t="str">
        <f>IF(AND(G20="Mumbai"),"Developed","Developing")</f>
        <v>Developing</v>
      </c>
      <c r="F28" s="149"/>
      <c r="G28" s="149"/>
      <c r="H28" s="149"/>
    </row>
    <row r="29" spans="1:26" x14ac:dyDescent="0.35">
      <c r="A29" s="126" t="s">
        <v>22</v>
      </c>
      <c r="B29" s="126"/>
      <c r="C29" s="126"/>
      <c r="D29" s="126"/>
      <c r="E29" s="149" t="s">
        <v>23</v>
      </c>
      <c r="F29" s="149"/>
      <c r="G29" s="149"/>
      <c r="H29" s="149"/>
    </row>
    <row r="30" spans="1:26" ht="15.75" customHeight="1" x14ac:dyDescent="0.35">
      <c r="A30" s="126" t="s">
        <v>78</v>
      </c>
      <c r="B30" s="126"/>
      <c r="C30" s="126"/>
      <c r="D30" s="126"/>
      <c r="E30" s="149" t="s">
        <v>79</v>
      </c>
      <c r="F30" s="149"/>
      <c r="G30" s="149"/>
      <c r="H30" s="149"/>
    </row>
    <row r="31" spans="1:26" ht="15" customHeight="1" x14ac:dyDescent="0.35">
      <c r="A31" s="126" t="s">
        <v>30</v>
      </c>
      <c r="B31" s="126"/>
      <c r="C31" s="126"/>
      <c r="D31" s="126"/>
      <c r="E31" s="14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9"/>
      <c r="G31" s="149"/>
      <c r="H31" s="149"/>
    </row>
    <row r="32" spans="1:26" ht="15.75" customHeight="1" x14ac:dyDescent="0.35">
      <c r="A32" s="126" t="s">
        <v>90</v>
      </c>
      <c r="B32" s="126"/>
      <c r="C32" s="126"/>
      <c r="D32" s="126"/>
      <c r="E32" s="149" t="s">
        <v>31</v>
      </c>
      <c r="F32" s="149"/>
      <c r="G32" s="149"/>
      <c r="H32" s="149"/>
    </row>
    <row r="33" spans="1:19" s="19" customFormat="1" x14ac:dyDescent="0.35">
      <c r="A33" s="206" t="s">
        <v>91</v>
      </c>
      <c r="B33" s="206"/>
      <c r="C33" s="205" t="s">
        <v>169</v>
      </c>
      <c r="D33" s="205"/>
      <c r="E33" s="205"/>
      <c r="F33" s="205" t="s">
        <v>29</v>
      </c>
      <c r="G33" s="205"/>
      <c r="H33" s="205"/>
      <c r="S33" s="19" t="e">
        <f ca="1">OFFSET($S$13,1,MATCH($G20,$S$13:$W$13,0)-1,15,1)</f>
        <v>#VALUE!</v>
      </c>
    </row>
    <row r="34" spans="1:19" s="19" customFormat="1" x14ac:dyDescent="0.35">
      <c r="A34" s="163" t="s">
        <v>24</v>
      </c>
      <c r="B34" s="163" t="s">
        <v>28</v>
      </c>
      <c r="C34" s="164" t="s">
        <v>392</v>
      </c>
      <c r="D34" s="164"/>
      <c r="E34" s="164"/>
      <c r="F34" s="164" t="s">
        <v>395</v>
      </c>
      <c r="G34" s="164"/>
      <c r="H34" s="164"/>
    </row>
    <row r="35" spans="1:19" x14ac:dyDescent="0.35">
      <c r="A35" s="163" t="s">
        <v>25</v>
      </c>
      <c r="B35" s="163" t="s">
        <v>28</v>
      </c>
      <c r="C35" s="164" t="s">
        <v>393</v>
      </c>
      <c r="D35" s="164"/>
      <c r="E35" s="164"/>
      <c r="F35" s="164" t="s">
        <v>394</v>
      </c>
      <c r="G35" s="164"/>
      <c r="H35" s="164"/>
    </row>
    <row r="36" spans="1:19" s="19" customFormat="1" x14ac:dyDescent="0.35">
      <c r="A36" s="163" t="s">
        <v>27</v>
      </c>
      <c r="B36" s="163" t="s">
        <v>28</v>
      </c>
      <c r="C36" s="164" t="s">
        <v>391</v>
      </c>
      <c r="D36" s="164"/>
      <c r="E36" s="164"/>
      <c r="F36" s="164" t="s">
        <v>387</v>
      </c>
      <c r="G36" s="164"/>
      <c r="H36" s="164"/>
    </row>
    <row r="37" spans="1:19" x14ac:dyDescent="0.35">
      <c r="A37" s="163" t="s">
        <v>26</v>
      </c>
      <c r="B37" s="163" t="s">
        <v>28</v>
      </c>
      <c r="C37" s="164" t="s">
        <v>393</v>
      </c>
      <c r="D37" s="164"/>
      <c r="E37" s="164"/>
      <c r="F37" s="164" t="s">
        <v>394</v>
      </c>
      <c r="G37" s="164"/>
      <c r="H37" s="164"/>
    </row>
    <row r="38" spans="1:19" x14ac:dyDescent="0.35">
      <c r="A38" s="126" t="s">
        <v>277</v>
      </c>
      <c r="B38" s="126"/>
      <c r="C38" s="126"/>
      <c r="D38" s="126"/>
      <c r="E38" s="126"/>
      <c r="F38" s="126"/>
      <c r="G38" s="126"/>
      <c r="H38" s="126"/>
    </row>
    <row r="39" spans="1:19" ht="15.75" customHeight="1" x14ac:dyDescent="0.35">
      <c r="A39" s="126" t="s">
        <v>161</v>
      </c>
      <c r="B39" s="126"/>
      <c r="C39" s="166" t="s">
        <v>385</v>
      </c>
      <c r="D39" s="166"/>
      <c r="E39" s="166"/>
      <c r="F39" s="166"/>
      <c r="G39" s="166"/>
      <c r="H39" s="166"/>
    </row>
    <row r="40" spans="1:19" x14ac:dyDescent="0.35">
      <c r="A40" s="126" t="s">
        <v>157</v>
      </c>
      <c r="B40" s="126"/>
      <c r="C40" s="148" t="s">
        <v>386</v>
      </c>
      <c r="D40" s="149"/>
      <c r="E40" s="149"/>
      <c r="F40" s="149"/>
      <c r="G40" s="149"/>
      <c r="H40" s="149"/>
    </row>
    <row r="41" spans="1:19" x14ac:dyDescent="0.35">
      <c r="A41" s="166" t="s">
        <v>32</v>
      </c>
      <c r="B41" s="166"/>
      <c r="C41" s="166"/>
      <c r="D41" s="166"/>
      <c r="E41" s="166"/>
      <c r="F41" s="166"/>
      <c r="G41" s="166"/>
      <c r="H41" s="166"/>
    </row>
    <row r="42" spans="1:19" x14ac:dyDescent="0.35">
      <c r="A42" s="126" t="s">
        <v>33</v>
      </c>
      <c r="B42" s="126"/>
      <c r="C42" s="126"/>
      <c r="D42" s="126"/>
      <c r="E42" s="165">
        <v>8010</v>
      </c>
      <c r="F42" s="165"/>
      <c r="G42" s="165"/>
      <c r="H42" s="165"/>
    </row>
    <row r="43" spans="1:19" x14ac:dyDescent="0.35">
      <c r="A43" s="126" t="s">
        <v>34</v>
      </c>
      <c r="B43" s="126"/>
      <c r="C43" s="126"/>
      <c r="D43" s="126"/>
      <c r="E43" s="182">
        <f>8811/E42</f>
        <v>1.1000000000000001</v>
      </c>
      <c r="F43" s="182"/>
      <c r="G43" s="182"/>
      <c r="H43" s="182"/>
    </row>
    <row r="44" spans="1:19" x14ac:dyDescent="0.35">
      <c r="A44" s="126" t="s">
        <v>35</v>
      </c>
      <c r="B44" s="126"/>
      <c r="C44" s="126"/>
      <c r="D44" s="126"/>
      <c r="E44" s="182">
        <f>E46/E42-E43</f>
        <v>1.1712821473158552</v>
      </c>
      <c r="F44" s="182"/>
      <c r="G44" s="182"/>
      <c r="H44" s="182"/>
    </row>
    <row r="45" spans="1:19" x14ac:dyDescent="0.35">
      <c r="A45" s="126" t="s">
        <v>36</v>
      </c>
      <c r="B45" s="126"/>
      <c r="C45" s="126"/>
      <c r="D45" s="126"/>
      <c r="E45" s="182">
        <f>E43+E44</f>
        <v>2.2712821473158553</v>
      </c>
      <c r="F45" s="182"/>
      <c r="G45" s="182"/>
      <c r="H45" s="182"/>
    </row>
    <row r="46" spans="1:19" x14ac:dyDescent="0.35">
      <c r="A46" s="126" t="s">
        <v>89</v>
      </c>
      <c r="B46" s="126"/>
      <c r="C46" s="126"/>
      <c r="D46" s="126"/>
      <c r="E46" s="183">
        <v>18192.97</v>
      </c>
      <c r="F46" s="183"/>
      <c r="G46" s="183"/>
      <c r="H46" s="183"/>
    </row>
    <row r="47" spans="1:19" x14ac:dyDescent="0.35">
      <c r="A47" s="180" t="s">
        <v>37</v>
      </c>
      <c r="B47" s="180"/>
      <c r="C47" s="180"/>
      <c r="D47" s="180"/>
      <c r="E47" s="180" t="s">
        <v>405</v>
      </c>
      <c r="F47" s="180"/>
      <c r="G47" s="180"/>
      <c r="H47" s="180"/>
    </row>
    <row r="48" spans="1:19" x14ac:dyDescent="0.35">
      <c r="A48" s="166" t="s">
        <v>38</v>
      </c>
      <c r="B48" s="166"/>
      <c r="C48" s="166"/>
      <c r="D48" s="166"/>
      <c r="E48" s="166"/>
      <c r="F48" s="166"/>
      <c r="G48" s="166"/>
      <c r="H48" s="166"/>
    </row>
    <row r="49" spans="1:24" ht="33.75" customHeight="1" x14ac:dyDescent="0.35">
      <c r="A49" s="168" t="s">
        <v>146</v>
      </c>
      <c r="B49" s="170"/>
      <c r="C49" s="189" t="s">
        <v>355</v>
      </c>
      <c r="D49" s="190"/>
      <c r="E49" s="190"/>
      <c r="F49" s="190"/>
      <c r="G49" s="190"/>
      <c r="H49" s="191"/>
      <c r="R49" t="s">
        <v>250</v>
      </c>
      <c r="S49" s="53" t="s">
        <v>168</v>
      </c>
      <c r="T49" s="53" t="s">
        <v>176</v>
      </c>
      <c r="U49" s="53" t="s">
        <v>190</v>
      </c>
      <c r="V49" s="53" t="s">
        <v>185</v>
      </c>
    </row>
    <row r="50" spans="1:24" ht="15.75" customHeight="1" x14ac:dyDescent="0.35">
      <c r="A50" s="168" t="s">
        <v>39</v>
      </c>
      <c r="B50" s="170"/>
      <c r="C50" s="168" t="s">
        <v>356</v>
      </c>
      <c r="D50" s="169"/>
      <c r="E50" s="170"/>
      <c r="F50" s="17" t="s">
        <v>40</v>
      </c>
      <c r="G50" s="171">
        <v>45470</v>
      </c>
      <c r="H50" s="170"/>
      <c r="R50"/>
      <c r="S50" s="53" t="s">
        <v>251</v>
      </c>
      <c r="T50" s="53" t="s">
        <v>256</v>
      </c>
      <c r="U50" s="53" t="s">
        <v>267</v>
      </c>
      <c r="V50" s="53" t="s">
        <v>272</v>
      </c>
    </row>
    <row r="51" spans="1:24" x14ac:dyDescent="0.35">
      <c r="A51" s="168" t="s">
        <v>41</v>
      </c>
      <c r="B51" s="170"/>
      <c r="C51" s="168" t="str">
        <f>C50</f>
        <v>KDMCC/B/2024/APL/00434</v>
      </c>
      <c r="D51" s="169"/>
      <c r="E51" s="170"/>
      <c r="F51" s="17" t="s">
        <v>40</v>
      </c>
      <c r="G51" s="171">
        <f>G50</f>
        <v>45470</v>
      </c>
      <c r="H51" s="170"/>
      <c r="R51"/>
      <c r="S51" s="53" t="s">
        <v>252</v>
      </c>
      <c r="T51" s="53" t="s">
        <v>257</v>
      </c>
      <c r="U51" s="53" t="s">
        <v>265</v>
      </c>
      <c r="V51" s="53" t="s">
        <v>273</v>
      </c>
    </row>
    <row r="52" spans="1:24" s="20" customFormat="1" ht="15.75" customHeight="1" x14ac:dyDescent="0.35">
      <c r="A52" s="176" t="s">
        <v>150</v>
      </c>
      <c r="B52" s="177"/>
      <c r="C52" s="168" t="str">
        <f>C51</f>
        <v>KDMCC/B/2024/APL/00434</v>
      </c>
      <c r="D52" s="169"/>
      <c r="E52" s="170"/>
      <c r="F52" s="17" t="s">
        <v>40</v>
      </c>
      <c r="G52" s="171">
        <f>G51</f>
        <v>45470</v>
      </c>
      <c r="H52" s="170"/>
      <c r="R52"/>
      <c r="S52" s="53" t="s">
        <v>253</v>
      </c>
      <c r="T52" s="53" t="s">
        <v>258</v>
      </c>
      <c r="U52" s="53" t="s">
        <v>255</v>
      </c>
      <c r="V52" s="53" t="s">
        <v>274</v>
      </c>
    </row>
    <row r="53" spans="1:24" s="20" customFormat="1" ht="33.75" customHeight="1" x14ac:dyDescent="0.35">
      <c r="A53" s="178"/>
      <c r="B53" s="179"/>
      <c r="C53" s="168" t="s">
        <v>357</v>
      </c>
      <c r="D53" s="169"/>
      <c r="E53" s="169"/>
      <c r="F53" s="169"/>
      <c r="G53" s="169"/>
      <c r="H53" s="170"/>
      <c r="R53"/>
      <c r="S53" s="53" t="s">
        <v>254</v>
      </c>
      <c r="T53" s="53" t="s">
        <v>261</v>
      </c>
      <c r="U53" s="53" t="s">
        <v>268</v>
      </c>
      <c r="V53" s="73"/>
    </row>
    <row r="54" spans="1:24" s="20" customFormat="1" x14ac:dyDescent="0.35">
      <c r="A54" s="186" t="s">
        <v>278</v>
      </c>
      <c r="B54" s="188"/>
      <c r="C54" s="168" t="s">
        <v>401</v>
      </c>
      <c r="D54" s="169"/>
      <c r="E54" s="170"/>
      <c r="F54" s="17" t="s">
        <v>40</v>
      </c>
      <c r="G54" s="171">
        <v>45196</v>
      </c>
      <c r="H54" s="170"/>
      <c r="R54"/>
      <c r="S54" s="53" t="s">
        <v>253</v>
      </c>
      <c r="T54" s="53" t="s">
        <v>355</v>
      </c>
      <c r="U54" s="53" t="s">
        <v>255</v>
      </c>
      <c r="V54" s="53" t="s">
        <v>274</v>
      </c>
    </row>
    <row r="55" spans="1:24" s="20" customFormat="1" ht="32.25" customHeight="1" x14ac:dyDescent="0.35">
      <c r="A55" s="194"/>
      <c r="B55" s="234"/>
      <c r="C55" s="156" t="s">
        <v>402</v>
      </c>
      <c r="D55" s="157"/>
      <c r="E55" s="157"/>
      <c r="F55" s="157"/>
      <c r="G55" s="157"/>
      <c r="H55" s="158"/>
      <c r="R55"/>
      <c r="S55" s="53" t="s">
        <v>255</v>
      </c>
      <c r="T55" s="53" t="s">
        <v>259</v>
      </c>
      <c r="U55" s="53" t="s">
        <v>269</v>
      </c>
      <c r="V55" s="74"/>
      <c r="W55" s="18"/>
      <c r="X55" s="18"/>
    </row>
    <row r="56" spans="1:24" s="20" customFormat="1" ht="34.5" hidden="1" customHeight="1" x14ac:dyDescent="0.35">
      <c r="A56" s="172" t="s">
        <v>279</v>
      </c>
      <c r="B56" s="173"/>
      <c r="C56" s="168" t="str">
        <f>C55</f>
        <v>Wing A &amp; B = Gr + 1st to 14th Floor 44.70 Mts.
Wing D (Mhada) = Gr + 1st to 7th Floor 23.45Mts</v>
      </c>
      <c r="D56" s="169"/>
      <c r="E56" s="170"/>
      <c r="F56" s="17" t="s">
        <v>40</v>
      </c>
      <c r="G56" s="168">
        <f>G55</f>
        <v>0</v>
      </c>
      <c r="H56" s="170"/>
      <c r="R56"/>
      <c r="S56" s="74"/>
      <c r="T56" s="53" t="s">
        <v>260</v>
      </c>
      <c r="U56" s="53" t="s">
        <v>270</v>
      </c>
      <c r="V56" s="74"/>
      <c r="W56" s="18"/>
      <c r="X56" s="18"/>
    </row>
    <row r="57" spans="1:24" s="20" customFormat="1" ht="41.25" hidden="1" customHeight="1" x14ac:dyDescent="0.35">
      <c r="A57" s="174"/>
      <c r="B57" s="175"/>
      <c r="C57" s="168"/>
      <c r="D57" s="169"/>
      <c r="E57" s="169"/>
      <c r="F57" s="169"/>
      <c r="G57" s="169"/>
      <c r="H57" s="170"/>
      <c r="R57"/>
      <c r="S57" s="74"/>
      <c r="T57" s="53" t="s">
        <v>262</v>
      </c>
      <c r="U57" s="53" t="s">
        <v>271</v>
      </c>
      <c r="V57" s="74"/>
      <c r="W57" s="18"/>
      <c r="X57" s="18"/>
    </row>
    <row r="58" spans="1:24" s="20" customFormat="1" ht="15.75" hidden="1" customHeight="1" x14ac:dyDescent="0.35">
      <c r="A58" s="172" t="s">
        <v>280</v>
      </c>
      <c r="B58" s="173"/>
      <c r="C58" s="168">
        <f>C57</f>
        <v>0</v>
      </c>
      <c r="D58" s="169"/>
      <c r="E58" s="170"/>
      <c r="F58" s="17" t="s">
        <v>40</v>
      </c>
      <c r="G58" s="168">
        <f>G57</f>
        <v>0</v>
      </c>
      <c r="H58" s="170"/>
      <c r="R58"/>
      <c r="S58" s="74"/>
      <c r="T58" s="53" t="s">
        <v>263</v>
      </c>
      <c r="U58" s="74" t="s">
        <v>294</v>
      </c>
      <c r="V58" s="74"/>
      <c r="W58" s="18"/>
      <c r="X58" s="18"/>
    </row>
    <row r="59" spans="1:24" s="20" customFormat="1" ht="33.75" hidden="1" customHeight="1" x14ac:dyDescent="0.35">
      <c r="A59" s="174"/>
      <c r="B59" s="175"/>
      <c r="C59" s="168"/>
      <c r="D59" s="169"/>
      <c r="E59" s="169"/>
      <c r="F59" s="169"/>
      <c r="G59" s="169"/>
      <c r="H59" s="170"/>
      <c r="R59"/>
      <c r="S59" s="74"/>
      <c r="T59" s="53" t="s">
        <v>264</v>
      </c>
      <c r="U59" s="74"/>
      <c r="V59" s="74"/>
      <c r="W59" s="18"/>
      <c r="X59" s="18"/>
    </row>
    <row r="60" spans="1:24" x14ac:dyDescent="0.35">
      <c r="A60" s="229" t="s">
        <v>42</v>
      </c>
      <c r="B60" s="230"/>
      <c r="C60" s="229" t="s">
        <v>102</v>
      </c>
      <c r="D60" s="231"/>
      <c r="E60" s="230"/>
      <c r="F60" s="40" t="s">
        <v>40</v>
      </c>
      <c r="G60" s="232" t="s">
        <v>28</v>
      </c>
      <c r="H60" s="233"/>
      <c r="R60"/>
      <c r="S60" s="74"/>
      <c r="T60" s="53" t="s">
        <v>266</v>
      </c>
      <c r="U60" s="74"/>
      <c r="V60" s="74"/>
    </row>
    <row r="61" spans="1:24" x14ac:dyDescent="0.35">
      <c r="A61" s="202" t="s">
        <v>44</v>
      </c>
      <c r="B61" s="202"/>
      <c r="C61" s="202"/>
      <c r="D61" s="202"/>
      <c r="E61" s="202"/>
      <c r="F61" s="202"/>
      <c r="G61" s="202"/>
      <c r="H61" s="202"/>
      <c r="S61" s="74"/>
      <c r="T61" s="53" t="s">
        <v>275</v>
      </c>
      <c r="U61" s="74"/>
      <c r="V61" s="74"/>
    </row>
    <row r="62" spans="1:24" x14ac:dyDescent="0.35">
      <c r="A62" s="203" t="s">
        <v>88</v>
      </c>
      <c r="B62" s="203"/>
      <c r="C62" s="203"/>
      <c r="D62" s="126">
        <f>E46</f>
        <v>18192.97</v>
      </c>
      <c r="E62" s="126"/>
      <c r="F62" s="126"/>
      <c r="G62" s="126"/>
      <c r="H62" s="126"/>
      <c r="R62"/>
    </row>
    <row r="63" spans="1:24" x14ac:dyDescent="0.35">
      <c r="A63" s="149" t="s">
        <v>45</v>
      </c>
      <c r="B63" s="180"/>
      <c r="C63" s="180"/>
      <c r="D63" s="180" t="s">
        <v>384</v>
      </c>
      <c r="E63" s="180"/>
      <c r="F63" s="180"/>
      <c r="G63" s="180"/>
      <c r="H63" s="180"/>
      <c r="I63" s="21"/>
      <c r="R63"/>
    </row>
    <row r="64" spans="1:24" ht="48.75" customHeight="1" x14ac:dyDescent="0.35">
      <c r="A64" s="186" t="s">
        <v>46</v>
      </c>
      <c r="B64" s="187"/>
      <c r="C64" s="188"/>
      <c r="D64" s="184" t="s">
        <v>360</v>
      </c>
      <c r="E64" s="185"/>
      <c r="F64" s="185"/>
      <c r="G64" s="185"/>
      <c r="H64" s="185"/>
      <c r="R64"/>
    </row>
    <row r="65" spans="1:19" ht="15.75" customHeight="1" x14ac:dyDescent="0.35">
      <c r="A65" s="186" t="s">
        <v>86</v>
      </c>
      <c r="B65" s="187"/>
      <c r="C65" s="187"/>
      <c r="D65" s="196" t="s">
        <v>358</v>
      </c>
      <c r="E65" s="197"/>
      <c r="F65" s="197"/>
      <c r="G65" s="197"/>
      <c r="H65" s="198"/>
      <c r="R65"/>
    </row>
    <row r="66" spans="1:19" ht="15.75" customHeight="1" x14ac:dyDescent="0.35">
      <c r="A66" s="192"/>
      <c r="B66" s="193"/>
      <c r="C66" s="193"/>
      <c r="D66" s="199" t="s">
        <v>359</v>
      </c>
      <c r="E66" s="200"/>
      <c r="F66" s="200"/>
      <c r="G66" s="200"/>
      <c r="H66" s="201"/>
      <c r="R66"/>
    </row>
    <row r="67" spans="1:19" ht="15.75" customHeight="1" x14ac:dyDescent="0.35">
      <c r="A67" s="194"/>
      <c r="B67" s="195"/>
      <c r="C67" s="195"/>
      <c r="D67" s="235" t="s">
        <v>361</v>
      </c>
      <c r="E67" s="236"/>
      <c r="F67" s="236"/>
      <c r="G67" s="236"/>
      <c r="H67" s="237"/>
      <c r="S67"/>
    </row>
    <row r="68" spans="1:19" ht="15.75" customHeight="1" x14ac:dyDescent="0.35">
      <c r="A68" s="126" t="s">
        <v>43</v>
      </c>
      <c r="B68" s="126"/>
      <c r="C68" s="126"/>
      <c r="D68" s="167" t="s">
        <v>362</v>
      </c>
      <c r="E68" s="167"/>
      <c r="F68" s="167"/>
      <c r="G68" s="167"/>
      <c r="H68" s="167"/>
      <c r="J68" s="22"/>
      <c r="K68" s="21"/>
      <c r="N68" s="21"/>
      <c r="S68"/>
    </row>
    <row r="69" spans="1:19" ht="15.75" customHeight="1" x14ac:dyDescent="0.35">
      <c r="A69" s="126" t="s">
        <v>84</v>
      </c>
      <c r="B69" s="126"/>
      <c r="C69" s="126"/>
      <c r="D69" s="181" t="str">
        <f>(IF(G60="NA","60 Years After Completion",IF(G60&lt;&gt;"NA",""&amp;60-ROUNDDOWN((E3-G60)/360,0)&amp;" Years"," ")))</f>
        <v>60 Years After Completion</v>
      </c>
      <c r="E69" s="181"/>
      <c r="F69" s="181"/>
      <c r="G69" s="181"/>
      <c r="H69" s="181"/>
      <c r="N69" s="21"/>
      <c r="S69"/>
    </row>
    <row r="70" spans="1:19" ht="15.75" customHeight="1" x14ac:dyDescent="0.35">
      <c r="A70" s="126" t="s">
        <v>85</v>
      </c>
      <c r="B70" s="126"/>
      <c r="C70" s="126"/>
      <c r="D70" s="203" t="s">
        <v>23</v>
      </c>
      <c r="E70" s="203"/>
      <c r="F70" s="203"/>
      <c r="G70" s="203"/>
      <c r="H70" s="203"/>
      <c r="J70" s="23"/>
      <c r="K70" s="23"/>
      <c r="S70"/>
    </row>
    <row r="71" spans="1:19" ht="38.5" customHeight="1" x14ac:dyDescent="0.35">
      <c r="A71" s="180" t="s">
        <v>363</v>
      </c>
      <c r="B71" s="180"/>
      <c r="C71" s="180"/>
      <c r="D71" s="149" t="s">
        <v>364</v>
      </c>
      <c r="E71" s="203"/>
      <c r="F71" s="203"/>
      <c r="G71" s="203"/>
      <c r="H71" s="203"/>
      <c r="S71"/>
    </row>
    <row r="72" spans="1:19" x14ac:dyDescent="0.35">
      <c r="A72" s="203" t="s">
        <v>143</v>
      </c>
      <c r="B72" s="203"/>
      <c r="C72" s="203"/>
      <c r="D72" s="203" t="s">
        <v>28</v>
      </c>
      <c r="E72" s="203"/>
      <c r="F72" s="203"/>
      <c r="G72" s="203"/>
      <c r="H72" s="203"/>
      <c r="I72" s="24"/>
      <c r="J72" s="24"/>
      <c r="K72" s="24"/>
      <c r="L72" s="24"/>
      <c r="M72" s="24"/>
      <c r="N72" s="24"/>
    </row>
    <row r="73" spans="1:19" ht="15.75" customHeight="1" x14ac:dyDescent="0.35">
      <c r="A73" s="126" t="s">
        <v>83</v>
      </c>
      <c r="B73" s="126"/>
      <c r="C73" s="126"/>
      <c r="D73" s="149" t="str">
        <f ca="1">(IF(G79&gt;95%,"Nothing",IF(G79&gt;0%,"Cement, Aggregate, Steel, etc",IF(G79=0%,"Work not yet Started"))))</f>
        <v>Cement, Aggregate, Steel, etc</v>
      </c>
      <c r="E73" s="149"/>
      <c r="F73" s="149"/>
      <c r="G73" s="149"/>
      <c r="H73" s="149"/>
      <c r="J73" s="23"/>
      <c r="S73"/>
    </row>
    <row r="74" spans="1:19" ht="33.75" customHeight="1" thickBot="1" x14ac:dyDescent="0.4">
      <c r="A74" s="203" t="s">
        <v>115</v>
      </c>
      <c r="B74" s="203"/>
      <c r="C74" s="203"/>
      <c r="D74" s="149" t="str">
        <f ca="1">(IF(D73="Nothing","Yes",IF(D73="Cement, Aggregate, Steel, etc","Under Construction",IF(D73="Work not yet Started","Work not yet Started"))))</f>
        <v>Under Construction</v>
      </c>
      <c r="E74" s="149"/>
      <c r="F74" s="149" t="str">
        <f ca="1">(IF(D73="Nothing","Yes",IF(D73="Cement, Aggregate, Steel, etc","Under Construction",IF(D73="Work not yet Started","Work not yet Started"))))</f>
        <v>Under Construction</v>
      </c>
      <c r="G74" s="149"/>
      <c r="H74" s="149"/>
      <c r="S74"/>
    </row>
    <row r="75" spans="1:19" ht="15.75" customHeight="1" x14ac:dyDescent="0.35">
      <c r="A75" s="204" t="s">
        <v>135</v>
      </c>
      <c r="B75" s="204"/>
      <c r="C75" s="204" t="str">
        <f>D65</f>
        <v>A Wing = Gr + 1st to 14th Floor</v>
      </c>
      <c r="D75" s="204"/>
      <c r="E75" s="204"/>
      <c r="F75" s="204"/>
      <c r="G75" s="204"/>
      <c r="H75" s="204"/>
      <c r="I75" s="96" t="str">
        <f ca="1">IF(D88=100%,"All work Completed. Possession granted to the Building.",IF(D87=100%,"All work Completed, Waiting for OC",I76&amp;""&amp;I77&amp;""&amp;J76&amp;""&amp;J75&amp;" "&amp;J77))</f>
        <v>Excavation, Plinth, RCC Slab, Brickwork Completed, Internal Plaster upto 10 Floor Completed</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Internal Plaster upto 10 Floor</v>
      </c>
      <c r="S75"/>
    </row>
    <row r="76" spans="1:19" x14ac:dyDescent="0.35">
      <c r="A76" s="46" t="s">
        <v>137</v>
      </c>
      <c r="B76" s="46">
        <f>IF(AND(ISNUMBER(SEARCH("1B",C75))),1,IF(AND(ISNUMBER(SEARCH("2B",C75))),2,IF(AND(ISNUMBER(SEARCH("3B",C75))),3,IF(AND(ISNUMBER(SEARCH("4B",C75))),4,IF(ISNUMBER(SEARCH("5B",C75)),5,0)))))</f>
        <v>0</v>
      </c>
      <c r="C76" s="46" t="s">
        <v>69</v>
      </c>
      <c r="D76" s="46">
        <v>1</v>
      </c>
      <c r="E76" s="46" t="s">
        <v>68</v>
      </c>
      <c r="F76" s="46">
        <v>0</v>
      </c>
      <c r="G76" s="46" t="s">
        <v>77</v>
      </c>
      <c r="H76" s="46">
        <f ca="1">--TRIM(RIGHT(SUBSTITUTE(LEFT(C75,_xlfn.AGGREGATE(16,6,FIND({0,1,2,3,4,5,6,7,8,9},C75,ROW(INDIRECT("1:"&amp;LEN(C75)))),1))," ",REPT(" ",LEN(C75))),LEN(C75)))</f>
        <v>14</v>
      </c>
      <c r="I76" s="97" t="str">
        <f ca="1">IF(D79=100%,"Excavation","")&amp;IF(D80=100%,", Plinth","")&amp;IF(D81=100%,", RCC Slab","")&amp;IF(D82=100%,", Brickwork","")&amp;IF(D83=100%,", Internal Plaster","")&amp;IF(D84=100%,", External Plaster","")&amp;IF(D85=100%,", Flooring","")&amp;IF(D86=100%,", Painting","")&amp;IF(D87=100%,", Building common Amenities","")</f>
        <v>Excavation, Plinth, RCC Slab, Brickwork</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2.25" customHeight="1" x14ac:dyDescent="0.35">
      <c r="A77" s="115" t="s">
        <v>87</v>
      </c>
      <c r="B77" s="115"/>
      <c r="C77" s="116" t="str">
        <f ca="1">I75</f>
        <v>Excavation, Plinth, RCC Slab, Brickwork Completed, Internal Plaster upto 10 Floor Completed</v>
      </c>
      <c r="D77" s="116"/>
      <c r="E77" s="116"/>
      <c r="F77" s="116"/>
      <c r="G77" s="116"/>
      <c r="H77" s="116"/>
      <c r="I77" s="97" t="str">
        <f ca="1">IF(I76&lt;&gt;""," Completed","")</f>
        <v xml:space="preserve"> Completed</v>
      </c>
      <c r="J77" s="45" t="str">
        <f ca="1">IF(J75&lt;&gt;"","Completed","")</f>
        <v>Completed</v>
      </c>
      <c r="S77"/>
    </row>
    <row r="78" spans="1:19" ht="15.75" customHeight="1" x14ac:dyDescent="0.35">
      <c r="A78" s="100" t="s">
        <v>47</v>
      </c>
      <c r="B78" s="100"/>
      <c r="C78" s="94" t="s">
        <v>134</v>
      </c>
      <c r="D78" s="94" t="s">
        <v>80</v>
      </c>
      <c r="E78" s="102" t="s">
        <v>82</v>
      </c>
      <c r="F78" s="102"/>
      <c r="G78" s="102" t="s">
        <v>81</v>
      </c>
      <c r="H78" s="102"/>
      <c r="I78" s="13" t="s">
        <v>136</v>
      </c>
      <c r="J78" s="25">
        <f ca="1">H76*25%</f>
        <v>3.5</v>
      </c>
      <c r="S78"/>
    </row>
    <row r="79" spans="1:19" x14ac:dyDescent="0.35">
      <c r="A79" s="118" t="s">
        <v>123</v>
      </c>
      <c r="B79" s="100"/>
      <c r="C79" s="81">
        <f ca="1">J80</f>
        <v>14</v>
      </c>
      <c r="D79" s="82">
        <f ca="1">((100/H76)*C79)/100</f>
        <v>1</v>
      </c>
      <c r="E79" s="103">
        <f ca="1">(((C80/H76*10)+(40/(D76+F76+H76)*C81)+(7.5/(H76)*C82)+(7.5/(H76)*C83)+(10/H76*C84)+(10/H76*C85)+(5/H76*C86)+(5/H76*C87)+(5/H76*C88))/100)</f>
        <v>0.62857142857142856</v>
      </c>
      <c r="F79" s="104"/>
      <c r="G79" s="103">
        <f ca="1">((((C79/H76)*20)+((C80/H76)*25)+(30/(H76+F76+D76)*C81)+(5/H76*C82)+(5/H76*C83)+(5/H76*C84)+(5/H76*C85)+(0/H76*C86)+(0/H76*C87)+(5/H76*C88))/100)</f>
        <v>0.83571428571428574</v>
      </c>
      <c r="H79" s="120"/>
      <c r="I79" s="13" t="s">
        <v>97</v>
      </c>
      <c r="J79" s="26">
        <f ca="1">H76*50%</f>
        <v>7</v>
      </c>
    </row>
    <row r="80" spans="1:19" x14ac:dyDescent="0.35">
      <c r="A80" s="118" t="s">
        <v>48</v>
      </c>
      <c r="B80" s="100"/>
      <c r="C80" s="89">
        <f ca="1">J88</f>
        <v>14</v>
      </c>
      <c r="D80" s="82">
        <f ca="1">((100/H76)*C80)/100</f>
        <v>1</v>
      </c>
      <c r="E80" s="105"/>
      <c r="F80" s="106"/>
      <c r="G80" s="105"/>
      <c r="H80" s="121"/>
      <c r="I80" s="13" t="s">
        <v>98</v>
      </c>
      <c r="J80" s="26">
        <f ca="1">H76</f>
        <v>14</v>
      </c>
      <c r="S80"/>
    </row>
    <row r="81" spans="1:19" ht="15.75" customHeight="1" x14ac:dyDescent="0.35">
      <c r="A81" s="118" t="s">
        <v>124</v>
      </c>
      <c r="B81" s="100"/>
      <c r="C81" s="81">
        <v>15</v>
      </c>
      <c r="D81" s="82">
        <f ca="1">((100/(D76+F76+H76))*C81)/100</f>
        <v>1</v>
      </c>
      <c r="E81" s="105"/>
      <c r="F81" s="106"/>
      <c r="G81" s="105"/>
      <c r="H81" s="121"/>
      <c r="I81" s="13" t="s">
        <v>99</v>
      </c>
      <c r="J81" s="27">
        <f ca="1">(IF(B76&gt;1,(H76/(B76+2)),H76/4))</f>
        <v>3.5</v>
      </c>
      <c r="S81"/>
    </row>
    <row r="82" spans="1:19" ht="15.75" customHeight="1" x14ac:dyDescent="0.35">
      <c r="A82" s="118" t="s">
        <v>131</v>
      </c>
      <c r="B82" s="100" t="s">
        <v>125</v>
      </c>
      <c r="C82" s="81">
        <v>14</v>
      </c>
      <c r="D82" s="82">
        <f ca="1">((100/H76)*C82)/100</f>
        <v>1</v>
      </c>
      <c r="E82" s="105"/>
      <c r="F82" s="106"/>
      <c r="G82" s="105"/>
      <c r="H82" s="121"/>
      <c r="I82" s="13" t="s">
        <v>100</v>
      </c>
      <c r="J82" s="27">
        <f ca="1">(IF(B76&gt;1,(H76/(B76+2)+J81),H76/4+J81))</f>
        <v>7</v>
      </c>
    </row>
    <row r="83" spans="1:19" ht="15.75" customHeight="1" x14ac:dyDescent="0.35">
      <c r="A83" s="118" t="s">
        <v>132</v>
      </c>
      <c r="B83" s="100" t="s">
        <v>125</v>
      </c>
      <c r="C83" s="81">
        <v>10</v>
      </c>
      <c r="D83" s="82">
        <f ca="1">((100/H76)*C83)/100</f>
        <v>0.7142857142857143</v>
      </c>
      <c r="E83" s="105"/>
      <c r="F83" s="106"/>
      <c r="G83" s="105"/>
      <c r="H83" s="121"/>
      <c r="I83" s="13" t="s">
        <v>141</v>
      </c>
      <c r="J83" s="27">
        <f>(IF(B76&gt;1,(H76/(B76+2)+J82),0))</f>
        <v>0</v>
      </c>
    </row>
    <row r="84" spans="1:19" ht="15" customHeight="1" x14ac:dyDescent="0.35">
      <c r="A84" s="118" t="s">
        <v>130</v>
      </c>
      <c r="B84" s="100" t="s">
        <v>127</v>
      </c>
      <c r="C84" s="81">
        <v>0</v>
      </c>
      <c r="D84" s="82">
        <f ca="1">((100/(H76))*C84)/100</f>
        <v>0</v>
      </c>
      <c r="E84" s="105"/>
      <c r="F84" s="106"/>
      <c r="G84" s="105"/>
      <c r="H84" s="121"/>
      <c r="I84" s="13" t="s">
        <v>138</v>
      </c>
      <c r="J84" s="27">
        <f>(IF(B76&gt;2,(H76/(B76+2)+J83),0))</f>
        <v>0</v>
      </c>
    </row>
    <row r="85" spans="1:19" ht="15.75" customHeight="1" x14ac:dyDescent="0.35">
      <c r="A85" s="118" t="s">
        <v>126</v>
      </c>
      <c r="B85" s="100" t="s">
        <v>126</v>
      </c>
      <c r="C85" s="81">
        <v>0</v>
      </c>
      <c r="D85" s="82">
        <f ca="1">((100/H76)*C85)/100</f>
        <v>0</v>
      </c>
      <c r="E85" s="105"/>
      <c r="F85" s="106"/>
      <c r="G85" s="105"/>
      <c r="H85" s="121"/>
      <c r="I85" s="13" t="s">
        <v>139</v>
      </c>
      <c r="J85" s="28">
        <f>(IF(B76&gt;3,(H76/(B76+2)+J84),0))</f>
        <v>0</v>
      </c>
    </row>
    <row r="86" spans="1:19" ht="15.75" customHeight="1" x14ac:dyDescent="0.35">
      <c r="A86" s="118" t="s">
        <v>133</v>
      </c>
      <c r="B86" s="100"/>
      <c r="C86" s="81">
        <v>0</v>
      </c>
      <c r="D86" s="82">
        <f ca="1">((100/H76)*C86)/100</f>
        <v>0</v>
      </c>
      <c r="E86" s="105"/>
      <c r="F86" s="106"/>
      <c r="G86" s="105"/>
      <c r="H86" s="121"/>
      <c r="I86" s="13" t="s">
        <v>140</v>
      </c>
      <c r="J86" s="27">
        <f>(IF(B76&gt;4,(H76/(B76+2)+J85),0))</f>
        <v>0</v>
      </c>
    </row>
    <row r="87" spans="1:19" ht="15.75" customHeight="1" x14ac:dyDescent="0.35">
      <c r="A87" s="118" t="s">
        <v>128</v>
      </c>
      <c r="B87" s="100" t="s">
        <v>128</v>
      </c>
      <c r="C87" s="81">
        <v>0</v>
      </c>
      <c r="D87" s="82">
        <f ca="1">((100/(H76))*C87)/100</f>
        <v>0</v>
      </c>
      <c r="E87" s="105"/>
      <c r="F87" s="106"/>
      <c r="G87" s="105"/>
      <c r="H87" s="121"/>
      <c r="I87" s="13" t="s">
        <v>142</v>
      </c>
      <c r="J87" s="27">
        <f ca="1">(IF(B76=1,(H76/(B76+3)+J82),IF(B76=0,(H76/4+J82),IF(B76&gt;1,0))))</f>
        <v>10.5</v>
      </c>
    </row>
    <row r="88" spans="1:19" ht="16" thickBot="1" x14ac:dyDescent="0.4">
      <c r="A88" s="224" t="s">
        <v>129</v>
      </c>
      <c r="B88" s="225"/>
      <c r="C88" s="83">
        <v>0</v>
      </c>
      <c r="D88" s="84">
        <f ca="1">((100/(H76))*C88)/100</f>
        <v>0</v>
      </c>
      <c r="E88" s="107"/>
      <c r="F88" s="108"/>
      <c r="G88" s="107"/>
      <c r="H88" s="122"/>
      <c r="I88" s="14" t="s">
        <v>101</v>
      </c>
      <c r="J88" s="29">
        <f ca="1">(IF(B76&gt;1.5,(H76/(B76+2)+J82+MAX(0,J83-J82)+MAX(0,J84-J83)+MAX(0,J85-J84)+MAX(0,J86-J85)+MAX(0,J87-J86)),IF(B76=1,(H76/(B76+3)+J87),IF(B76=0,H76/4+J87))))</f>
        <v>14</v>
      </c>
    </row>
    <row r="89" spans="1:19" ht="15.75" customHeight="1" x14ac:dyDescent="0.35">
      <c r="A89" s="109" t="s">
        <v>135</v>
      </c>
      <c r="B89" s="110"/>
      <c r="C89" s="111" t="str">
        <f>D66</f>
        <v>B Wing = Gr + 1st to 14th Floor</v>
      </c>
      <c r="D89" s="112"/>
      <c r="E89" s="112"/>
      <c r="F89" s="112"/>
      <c r="G89" s="112"/>
      <c r="H89" s="113"/>
      <c r="I89" s="42" t="str">
        <f ca="1">IF(D102=100%,"All work Completed. Possession granted to the Building.",IF(D101=100%,"All work Completed, Waiting for OC",I90&amp;""&amp;I91&amp;""&amp;J90&amp;""&amp;J89&amp;" "&amp;J91))</f>
        <v>Excavation, Plinth Completed, RCC upto 1 Slab Completed</v>
      </c>
      <c r="J89"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1 Slab</v>
      </c>
      <c r="S89"/>
    </row>
    <row r="90" spans="1:19" x14ac:dyDescent="0.35">
      <c r="A90" s="15" t="s">
        <v>137</v>
      </c>
      <c r="B90" s="46">
        <f>IF(AND(ISNUMBER(SEARCH("1B",C89))),1,IF(AND(ISNUMBER(SEARCH("2B",C89))),2,IF(AND(ISNUMBER(SEARCH("3B",C89))),3,IF(AND(ISNUMBER(SEARCH("4B",C89))),4,IF(ISNUMBER(SEARCH("5B",C89)),5,0)))))</f>
        <v>0</v>
      </c>
      <c r="C90" s="46" t="s">
        <v>69</v>
      </c>
      <c r="D90" s="46">
        <v>1</v>
      </c>
      <c r="E90" s="46" t="s">
        <v>68</v>
      </c>
      <c r="F90" s="46">
        <v>0</v>
      </c>
      <c r="G90" s="46" t="s">
        <v>77</v>
      </c>
      <c r="H90" s="16">
        <f ca="1">--TRIM(RIGHT(SUBSTITUTE(LEFT(C89,_xlfn.AGGREGATE(16,6,FIND({0,1,2,3,4,5,6,7,8,9},C89,ROW(INDIRECT("1:"&amp;LEN(C89)))),1))," ",REPT(" ",LEN(C89))),LEN(C89)))</f>
        <v>14</v>
      </c>
      <c r="I90" s="44" t="str">
        <f ca="1">IF(D93=100%,"Excavation","")&amp;IF(D94=100%,", Plinth","")&amp;IF(D95=100%,", RCC Slab","")&amp;IF(D96=100%,", Brickwork","")&amp;IF(D97=100%,", Internal Plaster","")&amp;IF(D98=100%,", External Plaster","")&amp;IF(D99=100%,", Flooring","")&amp;IF(D100=100%,", Painting","")&amp;IF(D101=100%,", Building common Amenities","")</f>
        <v>Excavation, Plinth</v>
      </c>
      <c r="J90" s="45"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x14ac:dyDescent="0.35">
      <c r="A91" s="114" t="s">
        <v>87</v>
      </c>
      <c r="B91" s="115"/>
      <c r="C91" s="116" t="str">
        <f ca="1">I89</f>
        <v>Excavation, Plinth Completed, RCC upto 1 Slab Completed</v>
      </c>
      <c r="D91" s="116"/>
      <c r="E91" s="116"/>
      <c r="F91" s="116"/>
      <c r="G91" s="116"/>
      <c r="H91" s="117"/>
      <c r="I91" s="44" t="str">
        <f ca="1">IF(I90&lt;&gt;""," Completed","")</f>
        <v xml:space="preserve"> Completed</v>
      </c>
      <c r="J91" s="45" t="str">
        <f ca="1">IF(J89&lt;&gt;"","Completed","")</f>
        <v>Completed</v>
      </c>
      <c r="S91"/>
    </row>
    <row r="92" spans="1:19" ht="15.75" customHeight="1" x14ac:dyDescent="0.35">
      <c r="A92" s="118" t="s">
        <v>47</v>
      </c>
      <c r="B92" s="100"/>
      <c r="C92" s="81" t="s">
        <v>134</v>
      </c>
      <c r="D92" s="81" t="s">
        <v>80</v>
      </c>
      <c r="E92" s="102" t="s">
        <v>82</v>
      </c>
      <c r="F92" s="102"/>
      <c r="G92" s="102" t="s">
        <v>81</v>
      </c>
      <c r="H92" s="119"/>
      <c r="I92" s="13" t="s">
        <v>136</v>
      </c>
      <c r="J92" s="25">
        <f ca="1">H90*25%</f>
        <v>3.5</v>
      </c>
      <c r="S92"/>
    </row>
    <row r="93" spans="1:19" x14ac:dyDescent="0.35">
      <c r="A93" s="118" t="s">
        <v>123</v>
      </c>
      <c r="B93" s="100"/>
      <c r="C93" s="81">
        <f ca="1">J94</f>
        <v>14</v>
      </c>
      <c r="D93" s="82">
        <f ca="1">((100/H90)*C93)/100</f>
        <v>1</v>
      </c>
      <c r="E93" s="103">
        <f ca="1">(((C94/H90*10)+(40/(D90+F90+H90)*C95)+(7.5/(H90)*C96)+(7.5/(H90)*C97)+(10/H90*C98)+(10/H90*C99)+(5/H90*C100)+(5/H90*C101)+(5/H90*C102))/100)</f>
        <v>0.12666666666666665</v>
      </c>
      <c r="F93" s="104"/>
      <c r="G93" s="103">
        <f ca="1">((((C93/H90)*20)+((C94/H90)*25)+(30/(H90+F90+D90)*C95)+(5/H90*C96)+(5/H90*C97)+(5/H90*C98)+(5/H90*C99)+(0/H90*C100)+(0/H90*C101)+(5/H90*C102))/100)</f>
        <v>0.47</v>
      </c>
      <c r="H93" s="120"/>
      <c r="I93" s="13" t="s">
        <v>97</v>
      </c>
      <c r="J93" s="26">
        <f ca="1">H90*50%</f>
        <v>7</v>
      </c>
    </row>
    <row r="94" spans="1:19" x14ac:dyDescent="0.35">
      <c r="A94" s="118" t="s">
        <v>48</v>
      </c>
      <c r="B94" s="100"/>
      <c r="C94" s="89">
        <f ca="1">J102</f>
        <v>14</v>
      </c>
      <c r="D94" s="82">
        <f ca="1">((100/H90)*C94)/100</f>
        <v>1</v>
      </c>
      <c r="E94" s="105"/>
      <c r="F94" s="106"/>
      <c r="G94" s="105"/>
      <c r="H94" s="121"/>
      <c r="I94" s="13" t="s">
        <v>98</v>
      </c>
      <c r="J94" s="26">
        <f ca="1">H90</f>
        <v>14</v>
      </c>
      <c r="S94"/>
    </row>
    <row r="95" spans="1:19" ht="15.75" customHeight="1" x14ac:dyDescent="0.35">
      <c r="A95" s="118" t="s">
        <v>124</v>
      </c>
      <c r="B95" s="100"/>
      <c r="C95" s="81">
        <v>1</v>
      </c>
      <c r="D95" s="82">
        <f ca="1">((100/(D90+F90+H90))*C95)/100</f>
        <v>6.6666666666666666E-2</v>
      </c>
      <c r="E95" s="105"/>
      <c r="F95" s="106"/>
      <c r="G95" s="105"/>
      <c r="H95" s="121"/>
      <c r="I95" s="13" t="s">
        <v>99</v>
      </c>
      <c r="J95" s="27">
        <f ca="1">(IF(B90&gt;1,(H90/(B90+2)),H90/4))</f>
        <v>3.5</v>
      </c>
      <c r="S95"/>
    </row>
    <row r="96" spans="1:19" ht="15.75" customHeight="1" x14ac:dyDescent="0.35">
      <c r="A96" s="118" t="s">
        <v>131</v>
      </c>
      <c r="B96" s="100" t="s">
        <v>125</v>
      </c>
      <c r="C96" s="81">
        <v>0</v>
      </c>
      <c r="D96" s="82">
        <f ca="1">((100/H90)*C96)/100</f>
        <v>0</v>
      </c>
      <c r="E96" s="105"/>
      <c r="F96" s="106"/>
      <c r="G96" s="105"/>
      <c r="H96" s="121"/>
      <c r="I96" s="13" t="s">
        <v>100</v>
      </c>
      <c r="J96" s="27">
        <f ca="1">(IF(B90&gt;1,(H90/(B90+2)+J95),H90/4+J95))</f>
        <v>7</v>
      </c>
    </row>
    <row r="97" spans="1:19" ht="15.75" customHeight="1" x14ac:dyDescent="0.35">
      <c r="A97" s="118" t="s">
        <v>132</v>
      </c>
      <c r="B97" s="100" t="s">
        <v>125</v>
      </c>
      <c r="C97" s="81">
        <v>0</v>
      </c>
      <c r="D97" s="82">
        <f ca="1">((100/H90)*C97)/100</f>
        <v>0</v>
      </c>
      <c r="E97" s="105"/>
      <c r="F97" s="106"/>
      <c r="G97" s="105"/>
      <c r="H97" s="121"/>
      <c r="I97" s="13" t="s">
        <v>141</v>
      </c>
      <c r="J97" s="27">
        <f>(IF(B90&gt;1,(H90/(B90+2)+J96),0))</f>
        <v>0</v>
      </c>
    </row>
    <row r="98" spans="1:19" ht="15" customHeight="1" x14ac:dyDescent="0.35">
      <c r="A98" s="118" t="s">
        <v>130</v>
      </c>
      <c r="B98" s="100" t="s">
        <v>127</v>
      </c>
      <c r="C98" s="81">
        <v>0</v>
      </c>
      <c r="D98" s="82">
        <f ca="1">((100/(H90))*C98)/100</f>
        <v>0</v>
      </c>
      <c r="E98" s="105"/>
      <c r="F98" s="106"/>
      <c r="G98" s="105"/>
      <c r="H98" s="121"/>
      <c r="I98" s="13" t="s">
        <v>138</v>
      </c>
      <c r="J98" s="27">
        <f>(IF(B90&gt;2,(H90/(B90+2)+J97),0))</f>
        <v>0</v>
      </c>
    </row>
    <row r="99" spans="1:19" ht="15.75" customHeight="1" x14ac:dyDescent="0.35">
      <c r="A99" s="118" t="s">
        <v>126</v>
      </c>
      <c r="B99" s="100" t="s">
        <v>126</v>
      </c>
      <c r="C99" s="81">
        <v>0</v>
      </c>
      <c r="D99" s="82">
        <f ca="1">((100/H90)*C99)/100</f>
        <v>0</v>
      </c>
      <c r="E99" s="105"/>
      <c r="F99" s="106"/>
      <c r="G99" s="105"/>
      <c r="H99" s="121"/>
      <c r="I99" s="13" t="s">
        <v>139</v>
      </c>
      <c r="J99" s="28">
        <f>(IF(B90&gt;3,(H90/(B90+2)+J98),0))</f>
        <v>0</v>
      </c>
    </row>
    <row r="100" spans="1:19" ht="15.75" customHeight="1" x14ac:dyDescent="0.35">
      <c r="A100" s="118" t="s">
        <v>133</v>
      </c>
      <c r="B100" s="100"/>
      <c r="C100" s="81">
        <v>0</v>
      </c>
      <c r="D100" s="82">
        <f ca="1">((100/H90)*C100)/100</f>
        <v>0</v>
      </c>
      <c r="E100" s="105"/>
      <c r="F100" s="106"/>
      <c r="G100" s="105"/>
      <c r="H100" s="121"/>
      <c r="I100" s="13" t="s">
        <v>140</v>
      </c>
      <c r="J100" s="27">
        <f>(IF(B90&gt;4,(H90/(B90+2)+J99),0))</f>
        <v>0</v>
      </c>
    </row>
    <row r="101" spans="1:19" ht="15.75" customHeight="1" x14ac:dyDescent="0.35">
      <c r="A101" s="118" t="s">
        <v>128</v>
      </c>
      <c r="B101" s="100" t="s">
        <v>128</v>
      </c>
      <c r="C101" s="81">
        <v>0</v>
      </c>
      <c r="D101" s="82">
        <f ca="1">((100/(H90))*C101)/100</f>
        <v>0</v>
      </c>
      <c r="E101" s="105"/>
      <c r="F101" s="106"/>
      <c r="G101" s="105"/>
      <c r="H101" s="121"/>
      <c r="I101" s="13" t="s">
        <v>142</v>
      </c>
      <c r="J101" s="27">
        <f ca="1">(IF(B90=1,(H90/(B90+3)+J96),IF(B90=0,(H90/4+J96),IF(B90&gt;1,0))))</f>
        <v>10.5</v>
      </c>
    </row>
    <row r="102" spans="1:19" ht="16" thickBot="1" x14ac:dyDescent="0.4">
      <c r="A102" s="251" t="s">
        <v>129</v>
      </c>
      <c r="B102" s="252"/>
      <c r="C102" s="253">
        <v>0</v>
      </c>
      <c r="D102" s="254">
        <f ca="1">((100/(H90))*C102)/100</f>
        <v>0</v>
      </c>
      <c r="E102" s="105"/>
      <c r="F102" s="106"/>
      <c r="G102" s="105"/>
      <c r="H102" s="121"/>
      <c r="I102" s="14" t="s">
        <v>101</v>
      </c>
      <c r="J102" s="29">
        <f ca="1">(IF(B90&gt;1.5,(H90/(B90+2)+J96+MAX(0,J97-J96)+MAX(0,J98-J97)+MAX(0,J99-J98)+MAX(0,J100-J99)+MAX(0,J101-J100)),IF(B90=1,(H90/(B90+3)+J101),IF(B90=0,H90/4+J101))))</f>
        <v>14</v>
      </c>
    </row>
    <row r="103" spans="1:19" ht="15.75" customHeight="1" x14ac:dyDescent="0.35">
      <c r="A103" s="204" t="s">
        <v>135</v>
      </c>
      <c r="B103" s="204"/>
      <c r="C103" s="116" t="str">
        <f>D67</f>
        <v>D Wing = Gr + 1st to 7th Floor</v>
      </c>
      <c r="D103" s="116"/>
      <c r="E103" s="116"/>
      <c r="F103" s="116"/>
      <c r="G103" s="116"/>
      <c r="H103" s="116"/>
      <c r="I103" s="96" t="str">
        <f ca="1">IF(D116=100%,"All work Completed. Possession granted to the Building.",IF(D115=100%,"All work Completed, Waiting for OC",I104&amp;""&amp;I105&amp;""&amp;J104&amp;""&amp;J103&amp;" "&amp;J105))</f>
        <v xml:space="preserve">Work not yet Started. </v>
      </c>
      <c r="J103" s="43"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x14ac:dyDescent="0.35">
      <c r="A104" s="99" t="s">
        <v>137</v>
      </c>
      <c r="B104" s="99">
        <f>IF(AND(ISNUMBER(SEARCH("1B",C103))),1,IF(AND(ISNUMBER(SEARCH("2B",C103))),2,IF(AND(ISNUMBER(SEARCH("3B",C103))),3,IF(AND(ISNUMBER(SEARCH("4B",C103))),4,IF(ISNUMBER(SEARCH("5B",C103)),5,0)))))</f>
        <v>0</v>
      </c>
      <c r="C104" s="99" t="s">
        <v>69</v>
      </c>
      <c r="D104" s="99">
        <v>1</v>
      </c>
      <c r="E104" s="99" t="s">
        <v>68</v>
      </c>
      <c r="F104" s="99">
        <v>0</v>
      </c>
      <c r="G104" s="99" t="s">
        <v>77</v>
      </c>
      <c r="H104" s="99">
        <f ca="1">--TRIM(RIGHT(SUBSTITUTE(LEFT(C103,_xlfn.AGGREGATE(16,6,FIND({0,1,2,3,4,5,6,7,8,9},C103,ROW(INDIRECT("1:"&amp;LEN(C103)))),1))," ",REPT(" ",LEN(C103))),LEN(C103)))</f>
        <v>7</v>
      </c>
      <c r="I104" s="97" t="str">
        <f ca="1">IF(D107=100%,"Excavation","")&amp;IF(D108=100%,", Plinth","")&amp;IF(D109=100%,", RCC Slab","")&amp;IF(D110=100%,", Brickwork","")&amp;IF(D111=100%,", Internal Plaster","")&amp;IF(D112=100%,", External Plaster","")&amp;IF(D113=100%,", Flooring","")&amp;IF(D114=100%,", Painting","")&amp;IF(D115=100%,", Building common Amenities","")</f>
        <v/>
      </c>
      <c r="J104" s="45" t="str">
        <f>(IF(C107=0,"Work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Work not yet Started.</v>
      </c>
      <c r="S104"/>
    </row>
    <row r="105" spans="1:19" x14ac:dyDescent="0.35">
      <c r="A105" s="115" t="s">
        <v>87</v>
      </c>
      <c r="B105" s="115"/>
      <c r="C105" s="116" t="str">
        <f ca="1">I103</f>
        <v xml:space="preserve">Work not yet Started. </v>
      </c>
      <c r="D105" s="116"/>
      <c r="E105" s="116"/>
      <c r="F105" s="116"/>
      <c r="G105" s="116"/>
      <c r="H105" s="116"/>
      <c r="I105" s="97" t="str">
        <f ca="1">IF(I104&lt;&gt;""," Completed","")</f>
        <v/>
      </c>
      <c r="J105" s="45" t="str">
        <f ca="1">IF(J103&lt;&gt;"","Completed","")</f>
        <v/>
      </c>
      <c r="S105"/>
    </row>
    <row r="106" spans="1:19" ht="15.75" customHeight="1" x14ac:dyDescent="0.35">
      <c r="A106" s="100" t="s">
        <v>47</v>
      </c>
      <c r="B106" s="100"/>
      <c r="C106" s="98" t="s">
        <v>134</v>
      </c>
      <c r="D106" s="98" t="s">
        <v>80</v>
      </c>
      <c r="E106" s="102" t="s">
        <v>82</v>
      </c>
      <c r="F106" s="102"/>
      <c r="G106" s="102" t="s">
        <v>81</v>
      </c>
      <c r="H106" s="102"/>
      <c r="I106" s="13" t="s">
        <v>136</v>
      </c>
      <c r="J106" s="25">
        <f ca="1">H104*25%</f>
        <v>1.75</v>
      </c>
      <c r="S106"/>
    </row>
    <row r="107" spans="1:19" x14ac:dyDescent="0.35">
      <c r="A107" s="100" t="s">
        <v>123</v>
      </c>
      <c r="B107" s="100"/>
      <c r="C107" s="98">
        <v>0</v>
      </c>
      <c r="D107" s="82">
        <f ca="1">((100/H104)*C107)/100</f>
        <v>0</v>
      </c>
      <c r="E107" s="101">
        <f ca="1">(((C108/H104*10)+(40/(D104+F104+H104)*C109)+(7.5/(H104)*C110)+(7.5/(H104)*C111)+(10/H104*C112)+(10/H104*C113)+(5/H104*C114)+(5/H104*C115)+(5/H104*C116))/100)</f>
        <v>0</v>
      </c>
      <c r="F107" s="101"/>
      <c r="G107" s="101">
        <f ca="1">((((C107/H104)*20)+((C108/H104)*25)+(30/(H104+F104+D104)*C109)+(5/H104*C110)+(5/H104*C111)+(5/H104*C112)+(5/H104*C113)+(0/H104*C114)+(0/H104*C115)+(5/H104*C116))/100)</f>
        <v>0</v>
      </c>
      <c r="H107" s="101"/>
      <c r="I107" s="13" t="s">
        <v>97</v>
      </c>
      <c r="J107" s="26">
        <f ca="1">H104*50%</f>
        <v>3.5</v>
      </c>
    </row>
    <row r="108" spans="1:19" x14ac:dyDescent="0.35">
      <c r="A108" s="100" t="s">
        <v>48</v>
      </c>
      <c r="B108" s="100"/>
      <c r="C108" s="98">
        <v>0</v>
      </c>
      <c r="D108" s="82">
        <f ca="1">((100/H104)*C108)/100</f>
        <v>0</v>
      </c>
      <c r="E108" s="101"/>
      <c r="F108" s="101"/>
      <c r="G108" s="101"/>
      <c r="H108" s="101"/>
      <c r="I108" s="13" t="s">
        <v>98</v>
      </c>
      <c r="J108" s="26">
        <f ca="1">H104</f>
        <v>7</v>
      </c>
      <c r="S108"/>
    </row>
    <row r="109" spans="1:19" ht="15.75" customHeight="1" x14ac:dyDescent="0.35">
      <c r="A109" s="100" t="s">
        <v>124</v>
      </c>
      <c r="B109" s="100"/>
      <c r="C109" s="98">
        <v>0</v>
      </c>
      <c r="D109" s="82">
        <f ca="1">((100/(D104+F104+H104))*C109)/100</f>
        <v>0</v>
      </c>
      <c r="E109" s="101"/>
      <c r="F109" s="101"/>
      <c r="G109" s="101"/>
      <c r="H109" s="101"/>
      <c r="I109" s="13" t="s">
        <v>99</v>
      </c>
      <c r="J109" s="27">
        <f ca="1">(IF(B104&gt;1,(H104/(B104+2)),H104/4))</f>
        <v>1.75</v>
      </c>
      <c r="S109"/>
    </row>
    <row r="110" spans="1:19" ht="15.75" customHeight="1" x14ac:dyDescent="0.35">
      <c r="A110" s="100" t="s">
        <v>131</v>
      </c>
      <c r="B110" s="100" t="s">
        <v>125</v>
      </c>
      <c r="C110" s="98">
        <v>0</v>
      </c>
      <c r="D110" s="82">
        <f ca="1">((100/H104)*C110)/100</f>
        <v>0</v>
      </c>
      <c r="E110" s="101"/>
      <c r="F110" s="101"/>
      <c r="G110" s="101"/>
      <c r="H110" s="101"/>
      <c r="I110" s="13" t="s">
        <v>100</v>
      </c>
      <c r="J110" s="27">
        <f ca="1">(IF(B104&gt;1,(H104/(B104+2)+J109),H104/4+J109))</f>
        <v>3.5</v>
      </c>
    </row>
    <row r="111" spans="1:19" ht="15.75" customHeight="1" x14ac:dyDescent="0.35">
      <c r="A111" s="100" t="s">
        <v>132</v>
      </c>
      <c r="B111" s="100" t="s">
        <v>125</v>
      </c>
      <c r="C111" s="98">
        <v>0</v>
      </c>
      <c r="D111" s="82">
        <f ca="1">((100/H104)*C111)/100</f>
        <v>0</v>
      </c>
      <c r="E111" s="101"/>
      <c r="F111" s="101"/>
      <c r="G111" s="101"/>
      <c r="H111" s="101"/>
      <c r="I111" s="13" t="s">
        <v>141</v>
      </c>
      <c r="J111" s="27">
        <f>(IF(B104&gt;1,(H104/(B104+2)+J110),0))</f>
        <v>0</v>
      </c>
    </row>
    <row r="112" spans="1:19" ht="15" customHeight="1" x14ac:dyDescent="0.35">
      <c r="A112" s="100" t="s">
        <v>130</v>
      </c>
      <c r="B112" s="100" t="s">
        <v>127</v>
      </c>
      <c r="C112" s="98">
        <v>0</v>
      </c>
      <c r="D112" s="82">
        <f ca="1">((100/(H104))*C112)/100</f>
        <v>0</v>
      </c>
      <c r="E112" s="101"/>
      <c r="F112" s="101"/>
      <c r="G112" s="101"/>
      <c r="H112" s="101"/>
      <c r="I112" s="13" t="s">
        <v>138</v>
      </c>
      <c r="J112" s="27">
        <f>(IF(B104&gt;2,(H104/(B104+2)+J111),0))</f>
        <v>0</v>
      </c>
    </row>
    <row r="113" spans="1:22" ht="15.75" customHeight="1" x14ac:dyDescent="0.35">
      <c r="A113" s="100" t="s">
        <v>126</v>
      </c>
      <c r="B113" s="100" t="s">
        <v>126</v>
      </c>
      <c r="C113" s="98">
        <v>0</v>
      </c>
      <c r="D113" s="82">
        <f ca="1">((100/H104)*C113)/100</f>
        <v>0</v>
      </c>
      <c r="E113" s="101"/>
      <c r="F113" s="101"/>
      <c r="G113" s="101"/>
      <c r="H113" s="101"/>
      <c r="I113" s="13" t="s">
        <v>139</v>
      </c>
      <c r="J113" s="28">
        <f>(IF(B104&gt;3,(H104/(B104+2)+J112),0))</f>
        <v>0</v>
      </c>
    </row>
    <row r="114" spans="1:22" ht="15.75" customHeight="1" x14ac:dyDescent="0.35">
      <c r="A114" s="100" t="s">
        <v>133</v>
      </c>
      <c r="B114" s="100"/>
      <c r="C114" s="98">
        <v>0</v>
      </c>
      <c r="D114" s="82">
        <f ca="1">((100/H104)*C114)/100</f>
        <v>0</v>
      </c>
      <c r="E114" s="101"/>
      <c r="F114" s="101"/>
      <c r="G114" s="101"/>
      <c r="H114" s="101"/>
      <c r="I114" s="13" t="s">
        <v>140</v>
      </c>
      <c r="J114" s="27">
        <f>(IF(B104&gt;4,(H104/(B104+2)+J113),0))</f>
        <v>0</v>
      </c>
    </row>
    <row r="115" spans="1:22" ht="15.75" customHeight="1" x14ac:dyDescent="0.35">
      <c r="A115" s="100" t="s">
        <v>128</v>
      </c>
      <c r="B115" s="100" t="s">
        <v>128</v>
      </c>
      <c r="C115" s="98">
        <v>0</v>
      </c>
      <c r="D115" s="82">
        <f ca="1">((100/(H104))*C115)/100</f>
        <v>0</v>
      </c>
      <c r="E115" s="101"/>
      <c r="F115" s="101"/>
      <c r="G115" s="101"/>
      <c r="H115" s="101"/>
      <c r="I115" s="13" t="s">
        <v>142</v>
      </c>
      <c r="J115" s="27">
        <f ca="1">(IF(B104=1,(H104/(B104+3)+J110),IF(B104=0,(H104/4+J110),IF(B104&gt;1,0))))</f>
        <v>5.25</v>
      </c>
    </row>
    <row r="116" spans="1:22" ht="16" thickBot="1" x14ac:dyDescent="0.4">
      <c r="A116" s="100" t="s">
        <v>129</v>
      </c>
      <c r="B116" s="100"/>
      <c r="C116" s="98">
        <v>0</v>
      </c>
      <c r="D116" s="82">
        <f ca="1">((100/(H104))*C116)/100</f>
        <v>0</v>
      </c>
      <c r="E116" s="101"/>
      <c r="F116" s="101"/>
      <c r="G116" s="101"/>
      <c r="H116" s="101"/>
      <c r="I116" s="14" t="s">
        <v>101</v>
      </c>
      <c r="J116" s="29">
        <f ca="1">(IF(B104&gt;1.5,(H104/(B104+2)+J110+MAX(0,J111-J110)+MAX(0,J112-J111)+MAX(0,J113-J112)+MAX(0,J114-J113)+MAX(0,J115-J114)),IF(B104=1,(H104/(B104+3)+J115),IF(B104=0,H104/4+J115))))</f>
        <v>7</v>
      </c>
    </row>
    <row r="117" spans="1:22" x14ac:dyDescent="0.35">
      <c r="A117" s="166" t="s">
        <v>152</v>
      </c>
      <c r="B117" s="166"/>
      <c r="C117" s="166"/>
      <c r="D117" s="166"/>
      <c r="E117" s="166"/>
      <c r="F117" s="209" t="s">
        <v>156</v>
      </c>
      <c r="G117" s="209"/>
      <c r="H117" s="209"/>
      <c r="R117" t="s">
        <v>250</v>
      </c>
      <c r="S117" t="s">
        <v>168</v>
      </c>
      <c r="T117" t="s">
        <v>176</v>
      </c>
      <c r="U117" t="s">
        <v>190</v>
      </c>
      <c r="V117" t="s">
        <v>185</v>
      </c>
    </row>
    <row r="118" spans="1:22" x14ac:dyDescent="0.35">
      <c r="A118" s="126" t="s">
        <v>154</v>
      </c>
      <c r="B118" s="126"/>
      <c r="C118" s="126"/>
      <c r="D118" s="126"/>
      <c r="E118" s="126"/>
      <c r="F118" s="162">
        <v>4000</v>
      </c>
      <c r="G118" s="162"/>
      <c r="H118" s="162"/>
      <c r="J118" s="18" t="s">
        <v>399</v>
      </c>
      <c r="K118" s="18" t="s">
        <v>400</v>
      </c>
      <c r="R118"/>
      <c r="S118">
        <v>800000</v>
      </c>
      <c r="T118">
        <v>150000</v>
      </c>
      <c r="U118">
        <v>100000</v>
      </c>
      <c r="V118">
        <v>100000</v>
      </c>
    </row>
    <row r="119" spans="1:22" x14ac:dyDescent="0.35">
      <c r="A119" s="126" t="s">
        <v>153</v>
      </c>
      <c r="B119" s="126"/>
      <c r="C119" s="126"/>
      <c r="D119" s="126"/>
      <c r="E119" s="126"/>
      <c r="F119" s="162">
        <v>8000</v>
      </c>
      <c r="G119" s="162"/>
      <c r="H119" s="162"/>
      <c r="J119" s="18">
        <f>valuation!G18</f>
        <v>3600</v>
      </c>
      <c r="K119" s="18">
        <v>4000</v>
      </c>
      <c r="R119"/>
      <c r="S119">
        <v>900000</v>
      </c>
      <c r="T119">
        <v>200000</v>
      </c>
      <c r="U119">
        <v>150000</v>
      </c>
      <c r="V119">
        <v>150000</v>
      </c>
    </row>
    <row r="120" spans="1:22" hidden="1" x14ac:dyDescent="0.35">
      <c r="A120" s="126" t="s">
        <v>155</v>
      </c>
      <c r="B120" s="126"/>
      <c r="C120" s="126"/>
      <c r="D120" s="126"/>
      <c r="E120" s="126"/>
      <c r="F120" s="162">
        <v>0</v>
      </c>
      <c r="G120" s="162"/>
      <c r="H120" s="162"/>
      <c r="R120"/>
      <c r="S120">
        <v>1000000</v>
      </c>
      <c r="T120">
        <v>250000</v>
      </c>
      <c r="U120">
        <v>200000</v>
      </c>
      <c r="V120">
        <v>200000</v>
      </c>
    </row>
    <row r="121" spans="1:22" s="30" customFormat="1" hidden="1" x14ac:dyDescent="0.35">
      <c r="A121" s="126" t="s">
        <v>171</v>
      </c>
      <c r="B121" s="126"/>
      <c r="C121" s="126"/>
      <c r="D121" s="126"/>
      <c r="E121" s="126"/>
      <c r="F121" s="162"/>
      <c r="G121" s="162"/>
      <c r="H121" s="162"/>
      <c r="R121"/>
      <c r="S121">
        <v>1100000</v>
      </c>
      <c r="T121">
        <v>300000</v>
      </c>
      <c r="U121">
        <v>250000</v>
      </c>
      <c r="V121" s="20">
        <v>250000</v>
      </c>
    </row>
    <row r="122" spans="1:22" s="30" customFormat="1" hidden="1" x14ac:dyDescent="0.35">
      <c r="A122" s="126" t="s">
        <v>92</v>
      </c>
      <c r="B122" s="126"/>
      <c r="C122" s="126"/>
      <c r="D122" s="126"/>
      <c r="E122" s="126"/>
      <c r="F122" s="162"/>
      <c r="G122" s="162"/>
      <c r="H122" s="162"/>
      <c r="R122"/>
      <c r="S122">
        <v>1200000</v>
      </c>
      <c r="T122">
        <v>350000</v>
      </c>
      <c r="U122">
        <v>300000</v>
      </c>
      <c r="V122">
        <v>300000</v>
      </c>
    </row>
    <row r="123" spans="1:22" s="30" customFormat="1" hidden="1" x14ac:dyDescent="0.35">
      <c r="A123" s="126" t="s">
        <v>93</v>
      </c>
      <c r="B123" s="126"/>
      <c r="C123" s="126"/>
      <c r="D123" s="126"/>
      <c r="E123" s="126"/>
      <c r="F123" s="162"/>
      <c r="G123" s="162"/>
      <c r="H123" s="162"/>
      <c r="R123"/>
      <c r="S123">
        <v>1300000</v>
      </c>
      <c r="T123">
        <v>400000</v>
      </c>
      <c r="U123">
        <v>350000</v>
      </c>
      <c r="V123" s="20">
        <v>400000</v>
      </c>
    </row>
    <row r="124" spans="1:22" s="30" customFormat="1" hidden="1" x14ac:dyDescent="0.35">
      <c r="A124" s="126" t="s">
        <v>94</v>
      </c>
      <c r="B124" s="126"/>
      <c r="C124" s="126"/>
      <c r="D124" s="126"/>
      <c r="E124" s="126"/>
      <c r="F124" s="162"/>
      <c r="G124" s="162"/>
      <c r="H124" s="162"/>
      <c r="R124"/>
      <c r="S124">
        <v>1400000</v>
      </c>
      <c r="T124">
        <v>500000</v>
      </c>
      <c r="U124">
        <v>400000</v>
      </c>
      <c r="V124"/>
    </row>
    <row r="125" spans="1:22" s="30" customFormat="1" x14ac:dyDescent="0.35">
      <c r="A125" s="126" t="s">
        <v>398</v>
      </c>
      <c r="B125" s="126"/>
      <c r="C125" s="126"/>
      <c r="D125" s="126"/>
      <c r="E125" s="126"/>
      <c r="F125" s="162">
        <v>200000</v>
      </c>
      <c r="G125" s="162"/>
      <c r="H125" s="162"/>
      <c r="R125"/>
      <c r="S125">
        <v>1500000</v>
      </c>
      <c r="T125">
        <v>600000</v>
      </c>
      <c r="U125">
        <v>500000</v>
      </c>
      <c r="V125" s="20"/>
    </row>
    <row r="126" spans="1:22" s="30" customFormat="1" hidden="1" x14ac:dyDescent="0.35">
      <c r="A126" s="126" t="s">
        <v>95</v>
      </c>
      <c r="B126" s="126"/>
      <c r="C126" s="126"/>
      <c r="D126" s="126"/>
      <c r="E126" s="126"/>
      <c r="F126" s="162"/>
      <c r="G126" s="162"/>
      <c r="H126" s="162"/>
      <c r="R126"/>
      <c r="S126">
        <v>1600000</v>
      </c>
      <c r="T126">
        <v>700000</v>
      </c>
      <c r="U126">
        <v>600000</v>
      </c>
      <c r="V126"/>
    </row>
    <row r="127" spans="1:22" s="30" customFormat="1" hidden="1" x14ac:dyDescent="0.35">
      <c r="A127" s="126" t="s">
        <v>96</v>
      </c>
      <c r="B127" s="126"/>
      <c r="C127" s="126"/>
      <c r="D127" s="126"/>
      <c r="E127" s="126"/>
      <c r="F127" s="162"/>
      <c r="G127" s="162"/>
      <c r="H127" s="162"/>
      <c r="R127"/>
      <c r="S127">
        <v>1700000</v>
      </c>
      <c r="T127">
        <v>800000</v>
      </c>
      <c r="U127"/>
      <c r="V127" s="20"/>
    </row>
    <row r="128" spans="1:22" x14ac:dyDescent="0.35">
      <c r="A128" s="126" t="s">
        <v>49</v>
      </c>
      <c r="B128" s="126"/>
      <c r="C128" s="126"/>
      <c r="D128" s="126"/>
      <c r="E128" s="126"/>
      <c r="F128" s="162">
        <v>150000</v>
      </c>
      <c r="G128" s="162"/>
      <c r="H128" s="162"/>
      <c r="R128"/>
      <c r="S128">
        <v>1800000</v>
      </c>
      <c r="T128">
        <v>900000</v>
      </c>
      <c r="U128"/>
    </row>
    <row r="129" spans="1:22" s="31" customFormat="1" x14ac:dyDescent="0.35">
      <c r="A129" s="166" t="s">
        <v>50</v>
      </c>
      <c r="B129" s="166"/>
      <c r="C129" s="166"/>
      <c r="D129" s="166"/>
      <c r="E129" s="166"/>
      <c r="F129" s="162">
        <f>F118*0.8</f>
        <v>3200</v>
      </c>
      <c r="G129" s="162"/>
      <c r="H129" s="162"/>
      <c r="R129" s="18"/>
      <c r="S129" s="18"/>
      <c r="T129">
        <v>1000000</v>
      </c>
      <c r="U129"/>
      <c r="V129" s="18"/>
    </row>
    <row r="130" spans="1:22" s="32" customFormat="1" ht="15.75" customHeight="1" x14ac:dyDescent="0.35">
      <c r="A130" s="133" t="s">
        <v>72</v>
      </c>
      <c r="B130" s="133"/>
      <c r="C130" s="133"/>
      <c r="D130" s="133"/>
      <c r="E130" s="133"/>
      <c r="F130" s="133"/>
      <c r="G130" s="133"/>
      <c r="H130" s="133"/>
      <c r="R130"/>
      <c r="S130" s="18"/>
      <c r="T130"/>
      <c r="U130"/>
      <c r="V130" s="18"/>
    </row>
    <row r="131" spans="1:22" s="32" customFormat="1" ht="15.75" customHeight="1" x14ac:dyDescent="0.35">
      <c r="A131" s="138" t="s">
        <v>51</v>
      </c>
      <c r="B131" s="138"/>
      <c r="C131" s="135" t="s">
        <v>75</v>
      </c>
      <c r="D131" s="135"/>
      <c r="E131" s="137" t="s">
        <v>52</v>
      </c>
      <c r="F131" s="137"/>
      <c r="G131" s="138" t="s">
        <v>53</v>
      </c>
      <c r="H131" s="138"/>
      <c r="R131"/>
      <c r="S131" s="18"/>
      <c r="T131"/>
      <c r="U131" s="18"/>
      <c r="V131" s="18"/>
    </row>
    <row r="132" spans="1:22" s="32" customFormat="1" x14ac:dyDescent="0.35">
      <c r="A132" s="242" t="s">
        <v>372</v>
      </c>
      <c r="B132" s="78" t="s">
        <v>365</v>
      </c>
      <c r="C132" s="131">
        <f>COUNT(D148:D161)</f>
        <v>14</v>
      </c>
      <c r="D132" s="132"/>
      <c r="E132" s="131">
        <f t="shared" ref="E132" si="0">SUM(F148:F161)</f>
        <v>3325.75308</v>
      </c>
      <c r="F132" s="132"/>
      <c r="G132" s="131">
        <f t="shared" ref="G132" si="1">SUM(H148:H161)</f>
        <v>4988.6296199999997</v>
      </c>
      <c r="H132" s="132"/>
      <c r="R132"/>
      <c r="S132" s="18"/>
      <c r="T132"/>
      <c r="U132" s="18"/>
      <c r="V132" s="18"/>
    </row>
    <row r="133" spans="1:22" s="32" customFormat="1" x14ac:dyDescent="0.35">
      <c r="A133" s="243"/>
      <c r="B133" s="78" t="s">
        <v>367</v>
      </c>
      <c r="C133" s="131">
        <f>COUNT(D164:D190)</f>
        <v>27</v>
      </c>
      <c r="D133" s="132"/>
      <c r="E133" s="131">
        <f t="shared" ref="E133" si="2">SUM(F164:F190)</f>
        <v>5645.3089679999985</v>
      </c>
      <c r="F133" s="132"/>
      <c r="G133" s="131">
        <f t="shared" ref="G133" si="3">SUM(H164:H190)</f>
        <v>8467.9634519999963</v>
      </c>
      <c r="H133" s="132"/>
      <c r="R133"/>
      <c r="S133" s="18"/>
      <c r="T133"/>
      <c r="U133" s="18"/>
      <c r="V133" s="18"/>
    </row>
    <row r="134" spans="1:22" s="32" customFormat="1" x14ac:dyDescent="0.35">
      <c r="A134" s="133" t="s">
        <v>145</v>
      </c>
      <c r="B134" s="133"/>
      <c r="C134" s="134">
        <f>SUM(C132:D133)</f>
        <v>41</v>
      </c>
      <c r="D134" s="135"/>
      <c r="E134" s="136">
        <f>SUM(E132:F133)</f>
        <v>8971.062047999998</v>
      </c>
      <c r="F134" s="137"/>
      <c r="G134" s="138">
        <f>SUM(G132:H133)</f>
        <v>13456.593071999996</v>
      </c>
      <c r="H134" s="138"/>
      <c r="R134"/>
      <c r="S134" s="18"/>
      <c r="T134"/>
      <c r="U134" s="18"/>
      <c r="V134" s="18"/>
    </row>
    <row r="135" spans="1:22" s="32" customFormat="1" x14ac:dyDescent="0.35">
      <c r="A135" s="133" t="s">
        <v>67</v>
      </c>
      <c r="B135" s="133"/>
      <c r="C135" s="133"/>
      <c r="D135" s="133"/>
      <c r="E135" s="133"/>
      <c r="F135" s="133"/>
      <c r="G135" s="133"/>
      <c r="H135" s="133"/>
      <c r="T135"/>
    </row>
    <row r="136" spans="1:22" s="32" customFormat="1" ht="15.75" customHeight="1" x14ac:dyDescent="0.35">
      <c r="A136" s="138" t="s">
        <v>51</v>
      </c>
      <c r="B136" s="138"/>
      <c r="C136" s="135" t="s">
        <v>75</v>
      </c>
      <c r="D136" s="135"/>
      <c r="E136" s="137" t="s">
        <v>52</v>
      </c>
      <c r="F136" s="137"/>
      <c r="G136" s="138" t="s">
        <v>53</v>
      </c>
      <c r="H136" s="138"/>
      <c r="T136"/>
    </row>
    <row r="137" spans="1:22" s="32" customFormat="1" x14ac:dyDescent="0.35">
      <c r="A137" s="242" t="s">
        <v>373</v>
      </c>
      <c r="B137" s="78" t="s">
        <v>365</v>
      </c>
      <c r="C137" s="132">
        <f>COUNT(D196:D203)+COUNT(D205:D212)*11+COUNT(D215:D221)*2</f>
        <v>110</v>
      </c>
      <c r="D137" s="132"/>
      <c r="E137" s="131">
        <f>SUM(F196:F203)+SUM(F205:F212)*11+SUM(F215:F221)*2</f>
        <v>50494.742063999991</v>
      </c>
      <c r="F137" s="131"/>
      <c r="G137" s="131">
        <f>SUM(H196:H203)+SUM(H205:H212)*11+SUM(H215:H221)*2</f>
        <v>73548.117832799995</v>
      </c>
      <c r="H137" s="131"/>
      <c r="T137"/>
    </row>
    <row r="138" spans="1:22" s="32" customFormat="1" x14ac:dyDescent="0.35">
      <c r="A138" s="243"/>
      <c r="B138" s="78" t="s">
        <v>367</v>
      </c>
      <c r="C138" s="132">
        <f>COUNT(D224:D236)+COUNT(D238:D250)*11+COUNT(D252:D263)*2</f>
        <v>180</v>
      </c>
      <c r="D138" s="132"/>
      <c r="E138" s="131">
        <f>SUM(F224:F236)+SUM(F238:F250)*11+SUM(F252:F263)*2</f>
        <v>87389.643743999986</v>
      </c>
      <c r="F138" s="131"/>
      <c r="G138" s="131">
        <f>SUM(H224:H236)+SUM(H238:H250)*11+SUM(H252:H263)*2</f>
        <v>127329.5719488</v>
      </c>
      <c r="H138" s="131"/>
      <c r="T138"/>
    </row>
    <row r="139" spans="1:22" s="32" customFormat="1" ht="33.75" customHeight="1" x14ac:dyDescent="0.35">
      <c r="A139" s="244" t="s">
        <v>383</v>
      </c>
      <c r="B139" s="245"/>
      <c r="C139" s="132">
        <f>COUNT(D268:D272)*7</f>
        <v>35</v>
      </c>
      <c r="D139" s="132"/>
      <c r="E139" s="131">
        <f t="shared" ref="E139" si="4">SUM(F268:F272)*7</f>
        <v>13010.866596</v>
      </c>
      <c r="F139" s="131"/>
      <c r="G139" s="131">
        <f t="shared" ref="G139" si="5">SUM(H268:H272)*7</f>
        <v>18865.756564200001</v>
      </c>
      <c r="H139" s="131"/>
      <c r="T139"/>
    </row>
    <row r="140" spans="1:22" s="32" customFormat="1" ht="16" thickBot="1" x14ac:dyDescent="0.4">
      <c r="A140" s="127" t="s">
        <v>145</v>
      </c>
      <c r="B140" s="127"/>
      <c r="C140" s="226">
        <f>SUM(C137:D139)</f>
        <v>325</v>
      </c>
      <c r="D140" s="226"/>
      <c r="E140" s="128">
        <f>SUM(E137:F139)</f>
        <v>150895.252404</v>
      </c>
      <c r="F140" s="129"/>
      <c r="G140" s="130">
        <f>SUM(G137:H139)</f>
        <v>219743.44634580001</v>
      </c>
      <c r="H140" s="130"/>
      <c r="T140"/>
    </row>
    <row r="141" spans="1:22" s="32" customFormat="1" ht="16" thickBot="1" x14ac:dyDescent="0.4">
      <c r="A141" s="219" t="s">
        <v>162</v>
      </c>
      <c r="B141" s="220"/>
      <c r="C141" s="221">
        <f>C134+C140</f>
        <v>366</v>
      </c>
      <c r="D141" s="221"/>
      <c r="E141" s="222">
        <f>E134+E140</f>
        <v>159866.31445199999</v>
      </c>
      <c r="F141" s="222"/>
      <c r="G141" s="154">
        <f>G134+G140</f>
        <v>233200.0394178</v>
      </c>
      <c r="H141" s="155"/>
      <c r="T141"/>
    </row>
    <row r="142" spans="1:22" s="31" customFormat="1" x14ac:dyDescent="0.35">
      <c r="A142" s="218" t="s">
        <v>54</v>
      </c>
      <c r="B142" s="218"/>
      <c r="C142" s="218"/>
      <c r="D142" s="218"/>
      <c r="E142" s="218"/>
      <c r="F142" s="218"/>
      <c r="G142" s="218"/>
      <c r="H142" s="218"/>
      <c r="T142" s="32"/>
    </row>
    <row r="143" spans="1:22" x14ac:dyDescent="0.35">
      <c r="A143" s="205" t="s">
        <v>170</v>
      </c>
      <c r="B143" s="205"/>
      <c r="C143" s="205"/>
      <c r="D143" s="205"/>
      <c r="E143" s="205"/>
      <c r="F143" s="205"/>
      <c r="G143" s="205"/>
      <c r="H143" s="205"/>
      <c r="T143" s="32"/>
    </row>
    <row r="144" spans="1:22" ht="47.25" customHeight="1" x14ac:dyDescent="0.35">
      <c r="A144" s="139" t="s">
        <v>374</v>
      </c>
      <c r="B144" s="139" t="s">
        <v>172</v>
      </c>
      <c r="C144" s="139" t="s">
        <v>55</v>
      </c>
      <c r="D144" s="139" t="s">
        <v>228</v>
      </c>
      <c r="E144" s="150" t="s">
        <v>151</v>
      </c>
      <c r="F144" s="139" t="s">
        <v>56</v>
      </c>
      <c r="G144" s="150" t="s">
        <v>57</v>
      </c>
      <c r="H144" s="85" t="s">
        <v>144</v>
      </c>
      <c r="T144" s="32"/>
    </row>
    <row r="145" spans="1:20" s="34" customFormat="1" x14ac:dyDescent="0.35">
      <c r="A145" s="140"/>
      <c r="B145" s="140"/>
      <c r="C145" s="140"/>
      <c r="D145" s="140"/>
      <c r="E145" s="151"/>
      <c r="F145" s="140"/>
      <c r="G145" s="151"/>
      <c r="H145" s="86">
        <v>0.5</v>
      </c>
      <c r="T145" s="32"/>
    </row>
    <row r="146" spans="1:20" s="80" customFormat="1" x14ac:dyDescent="0.35">
      <c r="A146" s="159" t="s">
        <v>365</v>
      </c>
      <c r="B146" s="160"/>
      <c r="C146" s="160"/>
      <c r="D146" s="160"/>
      <c r="E146" s="160"/>
      <c r="F146" s="160"/>
      <c r="G146" s="160"/>
      <c r="H146" s="161"/>
      <c r="J146" s="33"/>
      <c r="T146" s="32"/>
    </row>
    <row r="147" spans="1:20" s="34" customFormat="1" x14ac:dyDescent="0.35">
      <c r="A147" s="159" t="s">
        <v>378</v>
      </c>
      <c r="B147" s="160"/>
      <c r="C147" s="160"/>
      <c r="D147" s="160"/>
      <c r="E147" s="160"/>
      <c r="F147" s="160"/>
      <c r="G147" s="160"/>
      <c r="H147" s="161"/>
      <c r="J147" s="33"/>
      <c r="M147" s="79">
        <v>10.763999999999999</v>
      </c>
      <c r="T147" s="32"/>
    </row>
    <row r="148" spans="1:20" s="34" customFormat="1" ht="15.75" customHeight="1" x14ac:dyDescent="0.35">
      <c r="A148" s="152">
        <v>1</v>
      </c>
      <c r="B148" s="153"/>
      <c r="C148" s="39" t="s">
        <v>366</v>
      </c>
      <c r="D148" s="79">
        <f>(19.35)*10.764</f>
        <v>208.2834</v>
      </c>
      <c r="E148" s="39">
        <v>0</v>
      </c>
      <c r="F148" s="57">
        <f>D148+(IF(E148&lt;201,E148,IF(E148&lt;301,E148/2,E148/3)))</f>
        <v>208.2834</v>
      </c>
      <c r="G148" s="58">
        <v>0</v>
      </c>
      <c r="H148" s="57">
        <f>(F148+(IF(G148&lt;101,G148,IF(G148&lt;201,G148/2,IF(G148&lt;=301,G148/3,G148/4)))))*(($H$145)+1)</f>
        <v>312.42509999999999</v>
      </c>
      <c r="I148" s="33">
        <f>3*6.45</f>
        <v>19.350000000000001</v>
      </c>
      <c r="L148" s="146"/>
      <c r="M148" s="146"/>
      <c r="N148" s="33"/>
      <c r="T148" s="32"/>
    </row>
    <row r="149" spans="1:20" s="34" customFormat="1" ht="15.75" customHeight="1" x14ac:dyDescent="0.35">
      <c r="A149" s="152">
        <f>A148+1</f>
        <v>2</v>
      </c>
      <c r="B149" s="153"/>
      <c r="C149" s="79" t="s">
        <v>366</v>
      </c>
      <c r="D149" s="79">
        <f>(26.263)*10.764</f>
        <v>282.69493199999999</v>
      </c>
      <c r="E149" s="39">
        <v>0</v>
      </c>
      <c r="F149" s="57">
        <f t="shared" ref="F149:F151" si="6">D149+(IF(E149&lt;201,E149,IF(E149&lt;301,E149/2,E149/3)))</f>
        <v>282.69493199999999</v>
      </c>
      <c r="G149" s="50">
        <v>0</v>
      </c>
      <c r="H149" s="57">
        <f t="shared" ref="H149:H151" si="7">(F149+(IF(G149&lt;101,G149,IF(G149&lt;201,G149/2,IF(G149&lt;=301,G149/3,G149/4)))))*(($H$145)+1)</f>
        <v>424.04239799999999</v>
      </c>
      <c r="I149" s="33">
        <f>2.75*9.55</f>
        <v>26.262500000000003</v>
      </c>
      <c r="L149" s="146"/>
      <c r="M149" s="146"/>
      <c r="N149" s="33"/>
      <c r="T149" s="31"/>
    </row>
    <row r="150" spans="1:20" s="34" customFormat="1" ht="15.75" customHeight="1" x14ac:dyDescent="0.35">
      <c r="A150" s="152">
        <f>A149+1</f>
        <v>3</v>
      </c>
      <c r="B150" s="153"/>
      <c r="C150" s="79" t="s">
        <v>366</v>
      </c>
      <c r="D150" s="79">
        <f>(22.92)*10.764</f>
        <v>246.71088</v>
      </c>
      <c r="E150" s="39">
        <v>0</v>
      </c>
      <c r="F150" s="57">
        <f t="shared" si="6"/>
        <v>246.71088</v>
      </c>
      <c r="G150" s="50">
        <v>0</v>
      </c>
      <c r="H150" s="57">
        <f t="shared" si="7"/>
        <v>370.06632000000002</v>
      </c>
      <c r="I150" s="33"/>
      <c r="L150" s="146"/>
      <c r="M150" s="146"/>
      <c r="N150" s="33"/>
      <c r="T150" s="18"/>
    </row>
    <row r="151" spans="1:20" s="34" customFormat="1" ht="15.75" customHeight="1" x14ac:dyDescent="0.35">
      <c r="A151" s="152">
        <f>A150+1</f>
        <v>4</v>
      </c>
      <c r="B151" s="153"/>
      <c r="C151" s="79" t="s">
        <v>366</v>
      </c>
      <c r="D151" s="79">
        <f>(20.52)*10.764</f>
        <v>220.87727999999998</v>
      </c>
      <c r="E151" s="39">
        <v>0</v>
      </c>
      <c r="F151" s="57">
        <f t="shared" si="6"/>
        <v>220.87727999999998</v>
      </c>
      <c r="G151" s="50">
        <v>0</v>
      </c>
      <c r="H151" s="57">
        <f t="shared" si="7"/>
        <v>331.31592000000001</v>
      </c>
      <c r="I151" s="33"/>
      <c r="L151" s="146"/>
      <c r="M151" s="146"/>
      <c r="N151" s="33"/>
      <c r="T151" s="18"/>
    </row>
    <row r="152" spans="1:20" s="80" customFormat="1" ht="15.75" customHeight="1" x14ac:dyDescent="0.35">
      <c r="A152" s="152">
        <f t="shared" ref="A152:A161" si="8">A151+1</f>
        <v>5</v>
      </c>
      <c r="B152" s="153"/>
      <c r="C152" s="79" t="s">
        <v>366</v>
      </c>
      <c r="D152" s="79">
        <f>(20.52)*10.764</f>
        <v>220.87727999999998</v>
      </c>
      <c r="E152" s="79">
        <v>0</v>
      </c>
      <c r="F152" s="79">
        <f t="shared" ref="F152:F161" si="9">D152+(IF(E152&lt;201,E152,IF(E152&lt;301,E152/2,E152/3)))</f>
        <v>220.87727999999998</v>
      </c>
      <c r="G152" s="79">
        <v>0</v>
      </c>
      <c r="H152" s="79">
        <f t="shared" ref="H152:H161" si="10">(F152+(IF(G152&lt;101,G152,IF(G152&lt;201,G152/2,IF(G152&lt;=301,G152/3,G152/4)))))*(($H$145)+1)</f>
        <v>331.31592000000001</v>
      </c>
      <c r="I152" s="33"/>
      <c r="L152" s="146"/>
      <c r="M152" s="146"/>
      <c r="N152" s="33"/>
      <c r="T152" s="18"/>
    </row>
    <row r="153" spans="1:20" s="80" customFormat="1" ht="15.75" customHeight="1" x14ac:dyDescent="0.35">
      <c r="A153" s="152">
        <f t="shared" si="8"/>
        <v>6</v>
      </c>
      <c r="B153" s="153"/>
      <c r="C153" s="79" t="s">
        <v>366</v>
      </c>
      <c r="D153" s="79">
        <f>(15.96)*10.764</f>
        <v>171.79344</v>
      </c>
      <c r="E153" s="79">
        <v>0</v>
      </c>
      <c r="F153" s="79">
        <f t="shared" si="9"/>
        <v>171.79344</v>
      </c>
      <c r="G153" s="79">
        <v>0</v>
      </c>
      <c r="H153" s="79">
        <f t="shared" si="10"/>
        <v>257.69015999999999</v>
      </c>
      <c r="I153" s="33"/>
      <c r="L153" s="146"/>
      <c r="M153" s="146"/>
      <c r="N153" s="33"/>
      <c r="T153" s="18"/>
    </row>
    <row r="154" spans="1:20" s="80" customFormat="1" ht="15.75" customHeight="1" x14ac:dyDescent="0.35">
      <c r="A154" s="152">
        <f t="shared" si="8"/>
        <v>7</v>
      </c>
      <c r="B154" s="153"/>
      <c r="C154" s="79" t="s">
        <v>366</v>
      </c>
      <c r="D154" s="79">
        <f>(18.415)*10.764</f>
        <v>198.21905999999998</v>
      </c>
      <c r="E154" s="79">
        <v>0</v>
      </c>
      <c r="F154" s="79">
        <f t="shared" si="9"/>
        <v>198.21905999999998</v>
      </c>
      <c r="G154" s="79">
        <v>0</v>
      </c>
      <c r="H154" s="79">
        <f t="shared" si="10"/>
        <v>297.32858999999996</v>
      </c>
      <c r="I154" s="33">
        <f>2.9*6.35</f>
        <v>18.414999999999999</v>
      </c>
      <c r="L154" s="146"/>
      <c r="M154" s="146"/>
      <c r="N154" s="33"/>
      <c r="T154" s="18"/>
    </row>
    <row r="155" spans="1:20" s="80" customFormat="1" ht="15.75" customHeight="1" x14ac:dyDescent="0.35">
      <c r="A155" s="152">
        <f t="shared" si="8"/>
        <v>8</v>
      </c>
      <c r="B155" s="153"/>
      <c r="C155" s="79" t="s">
        <v>366</v>
      </c>
      <c r="D155" s="79">
        <f>(18.415)*10.764</f>
        <v>198.21905999999998</v>
      </c>
      <c r="E155" s="79">
        <v>0</v>
      </c>
      <c r="F155" s="79">
        <f t="shared" si="9"/>
        <v>198.21905999999998</v>
      </c>
      <c r="G155" s="79">
        <v>0</v>
      </c>
      <c r="H155" s="79">
        <f t="shared" si="10"/>
        <v>297.32858999999996</v>
      </c>
      <c r="I155" s="33"/>
      <c r="L155" s="146"/>
      <c r="M155" s="146"/>
      <c r="N155" s="33"/>
      <c r="T155" s="18"/>
    </row>
    <row r="156" spans="1:20" s="80" customFormat="1" ht="15.75" customHeight="1" x14ac:dyDescent="0.35">
      <c r="A156" s="152">
        <f t="shared" si="8"/>
        <v>9</v>
      </c>
      <c r="B156" s="153"/>
      <c r="C156" s="79" t="s">
        <v>366</v>
      </c>
      <c r="D156" s="79">
        <f>(15.96)*10.764</f>
        <v>171.79344</v>
      </c>
      <c r="E156" s="79">
        <v>0</v>
      </c>
      <c r="F156" s="79">
        <f t="shared" si="9"/>
        <v>171.79344</v>
      </c>
      <c r="G156" s="79">
        <v>0</v>
      </c>
      <c r="H156" s="79">
        <f t="shared" si="10"/>
        <v>257.69015999999999</v>
      </c>
      <c r="I156" s="33"/>
      <c r="L156" s="146"/>
      <c r="M156" s="146"/>
      <c r="N156" s="33"/>
      <c r="T156" s="18"/>
    </row>
    <row r="157" spans="1:20" s="80" customFormat="1" ht="15.75" customHeight="1" x14ac:dyDescent="0.35">
      <c r="A157" s="152">
        <f t="shared" si="8"/>
        <v>10</v>
      </c>
      <c r="B157" s="153"/>
      <c r="C157" s="79" t="s">
        <v>366</v>
      </c>
      <c r="D157" s="79">
        <f>(20.9)*10.764</f>
        <v>224.96759999999998</v>
      </c>
      <c r="E157" s="79">
        <v>0</v>
      </c>
      <c r="F157" s="79">
        <f t="shared" si="9"/>
        <v>224.96759999999998</v>
      </c>
      <c r="G157" s="79">
        <v>0</v>
      </c>
      <c r="H157" s="79">
        <f t="shared" si="10"/>
        <v>337.45139999999998</v>
      </c>
      <c r="I157" s="33"/>
      <c r="K157" s="80" t="s">
        <v>397</v>
      </c>
      <c r="L157" s="146"/>
      <c r="M157" s="146"/>
      <c r="N157" s="33"/>
      <c r="T157" s="18"/>
    </row>
    <row r="158" spans="1:20" s="80" customFormat="1" ht="15.75" customHeight="1" x14ac:dyDescent="0.35">
      <c r="A158" s="152">
        <f t="shared" si="8"/>
        <v>11</v>
      </c>
      <c r="B158" s="153"/>
      <c r="C158" s="79" t="s">
        <v>366</v>
      </c>
      <c r="D158" s="79">
        <f>(31.915)*10.764</f>
        <v>343.53305999999998</v>
      </c>
      <c r="E158" s="79">
        <v>0</v>
      </c>
      <c r="F158" s="79">
        <f t="shared" si="9"/>
        <v>343.53305999999998</v>
      </c>
      <c r="G158" s="79">
        <v>0</v>
      </c>
      <c r="H158" s="79">
        <f t="shared" si="10"/>
        <v>515.29958999999997</v>
      </c>
      <c r="I158" s="33">
        <f>4.85*5.3+2.75*2.3</f>
        <v>32.03</v>
      </c>
      <c r="L158" s="146"/>
      <c r="M158" s="146"/>
      <c r="N158" s="33"/>
      <c r="T158" s="18"/>
    </row>
    <row r="159" spans="1:20" s="80" customFormat="1" ht="15.75" customHeight="1" x14ac:dyDescent="0.35">
      <c r="A159" s="152">
        <f t="shared" si="8"/>
        <v>12</v>
      </c>
      <c r="B159" s="153"/>
      <c r="C159" s="79" t="s">
        <v>366</v>
      </c>
      <c r="D159" s="79">
        <f>(22.92)*10.764</f>
        <v>246.71088</v>
      </c>
      <c r="E159" s="79">
        <v>0</v>
      </c>
      <c r="F159" s="79">
        <f t="shared" si="9"/>
        <v>246.71088</v>
      </c>
      <c r="G159" s="79">
        <v>0</v>
      </c>
      <c r="H159" s="79">
        <f t="shared" si="10"/>
        <v>370.06632000000002</v>
      </c>
      <c r="I159" s="33"/>
      <c r="L159" s="146"/>
      <c r="M159" s="146"/>
      <c r="N159" s="33"/>
      <c r="T159" s="18"/>
    </row>
    <row r="160" spans="1:20" s="80" customFormat="1" ht="15.75" customHeight="1" x14ac:dyDescent="0.35">
      <c r="A160" s="152">
        <f t="shared" si="8"/>
        <v>13</v>
      </c>
      <c r="B160" s="153"/>
      <c r="C160" s="79" t="s">
        <v>366</v>
      </c>
      <c r="D160" s="79">
        <f>(26.262)*10.764</f>
        <v>282.684168</v>
      </c>
      <c r="E160" s="79">
        <v>0</v>
      </c>
      <c r="F160" s="79">
        <f t="shared" si="9"/>
        <v>282.684168</v>
      </c>
      <c r="G160" s="79">
        <v>0</v>
      </c>
      <c r="H160" s="79">
        <f t="shared" si="10"/>
        <v>424.026252</v>
      </c>
      <c r="I160" s="33"/>
      <c r="L160" s="146"/>
      <c r="M160" s="146"/>
      <c r="N160" s="33"/>
      <c r="T160" s="18"/>
    </row>
    <row r="161" spans="1:20" s="80" customFormat="1" ht="15.75" customHeight="1" x14ac:dyDescent="0.35">
      <c r="A161" s="152">
        <f t="shared" si="8"/>
        <v>14</v>
      </c>
      <c r="B161" s="153"/>
      <c r="C161" s="79" t="s">
        <v>366</v>
      </c>
      <c r="D161" s="79">
        <f>(28.65)*10.764</f>
        <v>308.38859999999994</v>
      </c>
      <c r="E161" s="79">
        <v>0</v>
      </c>
      <c r="F161" s="79">
        <f t="shared" si="9"/>
        <v>308.38859999999994</v>
      </c>
      <c r="G161" s="79">
        <v>0</v>
      </c>
      <c r="H161" s="79">
        <f t="shared" si="10"/>
        <v>462.58289999999988</v>
      </c>
      <c r="I161" s="33"/>
      <c r="L161" s="146"/>
      <c r="M161" s="146"/>
      <c r="N161" s="33"/>
      <c r="T161" s="18"/>
    </row>
    <row r="162" spans="1:20" s="80" customFormat="1" x14ac:dyDescent="0.35">
      <c r="A162" s="214" t="s">
        <v>367</v>
      </c>
      <c r="B162" s="214"/>
      <c r="C162" s="214"/>
      <c r="D162" s="214"/>
      <c r="E162" s="214"/>
      <c r="F162" s="214"/>
      <c r="G162" s="214"/>
      <c r="H162" s="214"/>
      <c r="J162" s="33"/>
      <c r="T162" s="32"/>
    </row>
    <row r="163" spans="1:20" s="80" customFormat="1" ht="15.75" customHeight="1" x14ac:dyDescent="0.35">
      <c r="A163" s="214" t="s">
        <v>378</v>
      </c>
      <c r="B163" s="214"/>
      <c r="C163" s="214"/>
      <c r="D163" s="214"/>
      <c r="E163" s="214"/>
      <c r="F163" s="214"/>
      <c r="G163" s="214"/>
      <c r="H163" s="214"/>
      <c r="J163" s="33"/>
      <c r="T163" s="32"/>
    </row>
    <row r="164" spans="1:20" s="80" customFormat="1" ht="15.75" customHeight="1" x14ac:dyDescent="0.35">
      <c r="A164" s="147">
        <v>15</v>
      </c>
      <c r="B164" s="147"/>
      <c r="C164" s="95" t="s">
        <v>366</v>
      </c>
      <c r="D164" s="95">
        <f>(20.798)*10.764</f>
        <v>223.86967199999998</v>
      </c>
      <c r="E164" s="95">
        <v>0</v>
      </c>
      <c r="F164" s="95">
        <f>D164+(IF(E164&lt;201,E164,IF(E164&lt;301,E164/2,E164/3)))</f>
        <v>223.86967199999998</v>
      </c>
      <c r="G164" s="58">
        <v>0</v>
      </c>
      <c r="H164" s="95">
        <f>(F164+(IF(G164&lt;101,G164,IF(G164&lt;201,G164/2,IF(G164&lt;=301,G164/3,G164/4)))))*(($H$145)+1)</f>
        <v>335.80450799999994</v>
      </c>
      <c r="I164" s="33"/>
      <c r="J164" s="80">
        <f>2.95*7.05</f>
        <v>20.797499999999999</v>
      </c>
      <c r="L164" s="146"/>
      <c r="M164" s="146"/>
      <c r="N164" s="33"/>
      <c r="T164" s="32"/>
    </row>
    <row r="165" spans="1:20" s="80" customFormat="1" ht="15.75" customHeight="1" x14ac:dyDescent="0.35">
      <c r="A165" s="147">
        <f>A164+1</f>
        <v>16</v>
      </c>
      <c r="B165" s="147"/>
      <c r="C165" s="95" t="s">
        <v>366</v>
      </c>
      <c r="D165" s="95">
        <f>(19.388)*10.764</f>
        <v>208.692432</v>
      </c>
      <c r="E165" s="95">
        <v>0</v>
      </c>
      <c r="F165" s="95">
        <f t="shared" ref="F165:F177" si="11">D165+(IF(E165&lt;201,E165,IF(E165&lt;301,E165/2,E165/3)))</f>
        <v>208.692432</v>
      </c>
      <c r="G165" s="95">
        <v>0</v>
      </c>
      <c r="H165" s="95">
        <f t="shared" ref="H165:H177" si="12">(F165+(IF(G165&lt;101,G165,IF(G165&lt;201,G165/2,IF(G165&lt;=301,G165/3,G165/4)))))*(($H$145)+1)</f>
        <v>313.03864799999997</v>
      </c>
      <c r="I165" s="33"/>
      <c r="L165" s="146"/>
      <c r="M165" s="146"/>
      <c r="N165" s="33"/>
      <c r="T165" s="31"/>
    </row>
    <row r="166" spans="1:20" s="80" customFormat="1" ht="15.75" customHeight="1" x14ac:dyDescent="0.35">
      <c r="A166" s="147">
        <f>A165+1</f>
        <v>17</v>
      </c>
      <c r="B166" s="147"/>
      <c r="C166" s="95" t="s">
        <v>366</v>
      </c>
      <c r="D166" s="95">
        <f>(18.36)*10.764</f>
        <v>197.62703999999999</v>
      </c>
      <c r="E166" s="95">
        <v>0</v>
      </c>
      <c r="F166" s="95">
        <f t="shared" si="11"/>
        <v>197.62703999999999</v>
      </c>
      <c r="G166" s="95">
        <v>0</v>
      </c>
      <c r="H166" s="95">
        <f t="shared" si="12"/>
        <v>296.44056</v>
      </c>
      <c r="I166" s="33"/>
      <c r="L166" s="146"/>
      <c r="M166" s="146"/>
      <c r="N166" s="33"/>
      <c r="T166" s="18"/>
    </row>
    <row r="167" spans="1:20" s="80" customFormat="1" ht="15.75" customHeight="1" x14ac:dyDescent="0.35">
      <c r="A167" s="147">
        <f>A166+1</f>
        <v>18</v>
      </c>
      <c r="B167" s="147"/>
      <c r="C167" s="95" t="s">
        <v>366</v>
      </c>
      <c r="D167" s="95">
        <f>(21.037)*10.764</f>
        <v>226.44226799999998</v>
      </c>
      <c r="E167" s="95">
        <v>0</v>
      </c>
      <c r="F167" s="95">
        <f t="shared" si="11"/>
        <v>226.44226799999998</v>
      </c>
      <c r="G167" s="95">
        <v>0</v>
      </c>
      <c r="H167" s="95">
        <f t="shared" si="12"/>
        <v>339.66340199999996</v>
      </c>
      <c r="I167" s="33"/>
      <c r="L167" s="146"/>
      <c r="M167" s="146"/>
      <c r="N167" s="33"/>
      <c r="T167" s="18"/>
    </row>
    <row r="168" spans="1:20" s="80" customFormat="1" ht="15.75" customHeight="1" x14ac:dyDescent="0.35">
      <c r="A168" s="152">
        <f t="shared" ref="A168:A177" si="13">A167+1</f>
        <v>19</v>
      </c>
      <c r="B168" s="153"/>
      <c r="C168" s="79" t="s">
        <v>366</v>
      </c>
      <c r="D168" s="79">
        <f>(21.038)*10.764</f>
        <v>226.45303199999998</v>
      </c>
      <c r="E168" s="79">
        <v>0</v>
      </c>
      <c r="F168" s="79">
        <f t="shared" si="11"/>
        <v>226.45303199999998</v>
      </c>
      <c r="G168" s="79">
        <v>0</v>
      </c>
      <c r="H168" s="79">
        <f t="shared" si="12"/>
        <v>339.67954799999995</v>
      </c>
      <c r="I168" s="33"/>
      <c r="L168" s="146"/>
      <c r="M168" s="146"/>
      <c r="N168" s="33"/>
      <c r="T168" s="18"/>
    </row>
    <row r="169" spans="1:20" s="80" customFormat="1" ht="15.75" customHeight="1" x14ac:dyDescent="0.35">
      <c r="A169" s="152">
        <f t="shared" si="13"/>
        <v>20</v>
      </c>
      <c r="B169" s="153"/>
      <c r="C169" s="79" t="s">
        <v>366</v>
      </c>
      <c r="D169" s="79">
        <f>(18.36)*10.764</f>
        <v>197.62703999999999</v>
      </c>
      <c r="E169" s="79">
        <v>0</v>
      </c>
      <c r="F169" s="79">
        <f t="shared" si="11"/>
        <v>197.62703999999999</v>
      </c>
      <c r="G169" s="79">
        <v>0</v>
      </c>
      <c r="H169" s="79">
        <f t="shared" si="12"/>
        <v>296.44056</v>
      </c>
      <c r="I169" s="33"/>
      <c r="L169" s="146"/>
      <c r="M169" s="146"/>
      <c r="N169" s="33"/>
      <c r="T169" s="18"/>
    </row>
    <row r="170" spans="1:20" s="80" customFormat="1" ht="15.75" customHeight="1" x14ac:dyDescent="0.35">
      <c r="A170" s="152">
        <f t="shared" si="13"/>
        <v>21</v>
      </c>
      <c r="B170" s="153"/>
      <c r="C170" s="79" t="s">
        <v>366</v>
      </c>
      <c r="D170" s="79">
        <f>(14.3)*10.764</f>
        <v>153.92519999999999</v>
      </c>
      <c r="E170" s="79">
        <v>0</v>
      </c>
      <c r="F170" s="79">
        <f t="shared" si="11"/>
        <v>153.92519999999999</v>
      </c>
      <c r="G170" s="79">
        <v>0</v>
      </c>
      <c r="H170" s="79">
        <f t="shared" si="12"/>
        <v>230.88779999999997</v>
      </c>
      <c r="I170" s="33"/>
      <c r="L170" s="146"/>
      <c r="M170" s="146"/>
      <c r="N170" s="33"/>
      <c r="T170" s="18"/>
    </row>
    <row r="171" spans="1:20" s="80" customFormat="1" ht="15.75" customHeight="1" x14ac:dyDescent="0.35">
      <c r="A171" s="152">
        <f t="shared" si="13"/>
        <v>22</v>
      </c>
      <c r="B171" s="153"/>
      <c r="C171" s="79" t="s">
        <v>366</v>
      </c>
      <c r="D171" s="79">
        <f>(15.34)*10.764</f>
        <v>165.11975999999999</v>
      </c>
      <c r="E171" s="79">
        <v>0</v>
      </c>
      <c r="F171" s="79">
        <f t="shared" si="11"/>
        <v>165.11975999999999</v>
      </c>
      <c r="G171" s="79">
        <v>0</v>
      </c>
      <c r="H171" s="79">
        <f t="shared" si="12"/>
        <v>247.67963999999998</v>
      </c>
      <c r="I171" s="33"/>
      <c r="L171" s="146"/>
      <c r="M171" s="146"/>
      <c r="N171" s="33"/>
      <c r="T171" s="18"/>
    </row>
    <row r="172" spans="1:20" s="80" customFormat="1" ht="15.75" customHeight="1" x14ac:dyDescent="0.35">
      <c r="A172" s="152">
        <f t="shared" si="13"/>
        <v>23</v>
      </c>
      <c r="B172" s="153"/>
      <c r="C172" s="79" t="s">
        <v>366</v>
      </c>
      <c r="D172" s="79">
        <f>(18.012)*10.764</f>
        <v>193.881168</v>
      </c>
      <c r="E172" s="79">
        <v>0</v>
      </c>
      <c r="F172" s="79">
        <f t="shared" si="11"/>
        <v>193.881168</v>
      </c>
      <c r="G172" s="79">
        <v>0</v>
      </c>
      <c r="H172" s="79">
        <f t="shared" si="12"/>
        <v>290.821752</v>
      </c>
      <c r="I172" s="33"/>
      <c r="L172" s="146"/>
      <c r="M172" s="146"/>
      <c r="N172" s="33"/>
      <c r="T172" s="18"/>
    </row>
    <row r="173" spans="1:20" s="80" customFormat="1" ht="15.75" customHeight="1" x14ac:dyDescent="0.35">
      <c r="A173" s="152">
        <f t="shared" si="13"/>
        <v>24</v>
      </c>
      <c r="B173" s="153"/>
      <c r="C173" s="79" t="s">
        <v>366</v>
      </c>
      <c r="D173" s="79">
        <f>(13.755)*10.764</f>
        <v>148.05882</v>
      </c>
      <c r="E173" s="79">
        <v>0</v>
      </c>
      <c r="F173" s="79">
        <f t="shared" si="11"/>
        <v>148.05882</v>
      </c>
      <c r="G173" s="79">
        <v>0</v>
      </c>
      <c r="H173" s="79">
        <f t="shared" si="12"/>
        <v>222.08823000000001</v>
      </c>
      <c r="I173" s="33"/>
      <c r="L173" s="146"/>
      <c r="M173" s="146"/>
      <c r="N173" s="33"/>
      <c r="T173" s="18"/>
    </row>
    <row r="174" spans="1:20" s="80" customFormat="1" ht="15.75" customHeight="1" x14ac:dyDescent="0.35">
      <c r="A174" s="152">
        <f t="shared" si="13"/>
        <v>25</v>
      </c>
      <c r="B174" s="153"/>
      <c r="C174" s="79" t="s">
        <v>366</v>
      </c>
      <c r="D174" s="79">
        <f>(19.977)*10.764</f>
        <v>215.03242799999998</v>
      </c>
      <c r="E174" s="79">
        <v>0</v>
      </c>
      <c r="F174" s="79">
        <f t="shared" si="11"/>
        <v>215.03242799999998</v>
      </c>
      <c r="G174" s="79">
        <v>0</v>
      </c>
      <c r="H174" s="79">
        <f t="shared" si="12"/>
        <v>322.54864199999997</v>
      </c>
      <c r="I174" s="33"/>
      <c r="L174" s="146"/>
      <c r="M174" s="146"/>
      <c r="N174" s="33"/>
      <c r="T174" s="18"/>
    </row>
    <row r="175" spans="1:20" s="80" customFormat="1" ht="15.75" customHeight="1" x14ac:dyDescent="0.35">
      <c r="A175" s="152">
        <f t="shared" si="13"/>
        <v>26</v>
      </c>
      <c r="B175" s="153"/>
      <c r="C175" s="79" t="s">
        <v>366</v>
      </c>
      <c r="D175" s="79">
        <f>(46.698)*10.764</f>
        <v>502.65727199999998</v>
      </c>
      <c r="E175" s="79">
        <v>0</v>
      </c>
      <c r="F175" s="79">
        <f t="shared" si="11"/>
        <v>502.65727199999998</v>
      </c>
      <c r="G175" s="79">
        <v>0</v>
      </c>
      <c r="H175" s="79">
        <f t="shared" si="12"/>
        <v>753.98590799999999</v>
      </c>
      <c r="I175" s="33"/>
      <c r="L175" s="146"/>
      <c r="M175" s="146"/>
      <c r="N175" s="33"/>
      <c r="T175" s="18"/>
    </row>
    <row r="176" spans="1:20" s="80" customFormat="1" ht="15.75" customHeight="1" x14ac:dyDescent="0.35">
      <c r="A176" s="152">
        <f t="shared" si="13"/>
        <v>27</v>
      </c>
      <c r="B176" s="153"/>
      <c r="C176" s="79" t="s">
        <v>366</v>
      </c>
      <c r="D176" s="79">
        <f>(18.125)*10.764</f>
        <v>195.0975</v>
      </c>
      <c r="E176" s="79">
        <v>0</v>
      </c>
      <c r="F176" s="79">
        <f t="shared" si="11"/>
        <v>195.0975</v>
      </c>
      <c r="G176" s="79">
        <v>0</v>
      </c>
      <c r="H176" s="79">
        <f t="shared" si="12"/>
        <v>292.64625000000001</v>
      </c>
      <c r="I176" s="33"/>
      <c r="L176" s="146"/>
      <c r="M176" s="146"/>
      <c r="N176" s="33"/>
      <c r="T176" s="18"/>
    </row>
    <row r="177" spans="1:20" s="80" customFormat="1" ht="15.75" customHeight="1" x14ac:dyDescent="0.35">
      <c r="A177" s="152">
        <f t="shared" si="13"/>
        <v>28</v>
      </c>
      <c r="B177" s="153"/>
      <c r="C177" s="79" t="s">
        <v>366</v>
      </c>
      <c r="D177" s="79">
        <f>(20.452)*10.764</f>
        <v>220.14532800000001</v>
      </c>
      <c r="E177" s="79">
        <v>0</v>
      </c>
      <c r="F177" s="79">
        <f t="shared" si="11"/>
        <v>220.14532800000001</v>
      </c>
      <c r="G177" s="79">
        <v>0</v>
      </c>
      <c r="H177" s="79">
        <f t="shared" si="12"/>
        <v>330.21799199999998</v>
      </c>
      <c r="I177" s="33"/>
      <c r="L177" s="146"/>
      <c r="M177" s="146"/>
      <c r="N177" s="33"/>
      <c r="T177" s="18"/>
    </row>
    <row r="178" spans="1:20" s="80" customFormat="1" ht="15.75" customHeight="1" x14ac:dyDescent="0.35">
      <c r="A178" s="152">
        <f t="shared" ref="A178:A190" si="14">A177+1</f>
        <v>29</v>
      </c>
      <c r="B178" s="153"/>
      <c r="C178" s="79" t="s">
        <v>366</v>
      </c>
      <c r="D178" s="79">
        <f>(20.055)*10.764</f>
        <v>215.87201999999999</v>
      </c>
      <c r="E178" s="79">
        <v>0</v>
      </c>
      <c r="F178" s="79">
        <f t="shared" ref="F178:F190" si="15">D178+(IF(E178&lt;201,E178,IF(E178&lt;301,E178/2,E178/3)))</f>
        <v>215.87201999999999</v>
      </c>
      <c r="G178" s="79">
        <v>0</v>
      </c>
      <c r="H178" s="79">
        <f t="shared" ref="H178:H190" si="16">(F178+(IF(G178&lt;101,G178,IF(G178&lt;201,G178/2,IF(G178&lt;=301,G178/3,G178/4)))))*(($H$145)+1)</f>
        <v>323.80802999999997</v>
      </c>
      <c r="I178" s="33"/>
      <c r="L178" s="146"/>
      <c r="M178" s="146"/>
      <c r="N178" s="33"/>
      <c r="T178" s="18"/>
    </row>
    <row r="179" spans="1:20" s="80" customFormat="1" ht="15.75" customHeight="1" x14ac:dyDescent="0.35">
      <c r="A179" s="152">
        <f t="shared" si="14"/>
        <v>30</v>
      </c>
      <c r="B179" s="153"/>
      <c r="C179" s="79" t="s">
        <v>366</v>
      </c>
      <c r="D179" s="79">
        <f>(15.321)*10.764</f>
        <v>164.915244</v>
      </c>
      <c r="E179" s="79">
        <v>0</v>
      </c>
      <c r="F179" s="79">
        <f t="shared" si="15"/>
        <v>164.915244</v>
      </c>
      <c r="G179" s="79">
        <v>0</v>
      </c>
      <c r="H179" s="79">
        <f t="shared" si="16"/>
        <v>247.37286599999999</v>
      </c>
      <c r="I179" s="33"/>
      <c r="L179" s="146"/>
      <c r="M179" s="146"/>
      <c r="N179" s="33"/>
      <c r="T179" s="18"/>
    </row>
    <row r="180" spans="1:20" s="80" customFormat="1" ht="15.75" customHeight="1" x14ac:dyDescent="0.35">
      <c r="A180" s="152">
        <f t="shared" si="14"/>
        <v>31</v>
      </c>
      <c r="B180" s="153"/>
      <c r="C180" s="79" t="s">
        <v>366</v>
      </c>
      <c r="D180" s="79">
        <f>(18.983)*10.764</f>
        <v>204.333012</v>
      </c>
      <c r="E180" s="79">
        <v>0</v>
      </c>
      <c r="F180" s="79">
        <f t="shared" si="15"/>
        <v>204.333012</v>
      </c>
      <c r="G180" s="79">
        <v>0</v>
      </c>
      <c r="H180" s="79">
        <f t="shared" si="16"/>
        <v>306.49951799999997</v>
      </c>
      <c r="I180" s="33"/>
      <c r="L180" s="146"/>
      <c r="M180" s="146"/>
      <c r="N180" s="33"/>
      <c r="T180" s="18"/>
    </row>
    <row r="181" spans="1:20" s="80" customFormat="1" ht="15.75" customHeight="1" x14ac:dyDescent="0.35">
      <c r="A181" s="152">
        <f t="shared" si="14"/>
        <v>32</v>
      </c>
      <c r="B181" s="153"/>
      <c r="C181" s="79" t="s">
        <v>366</v>
      </c>
      <c r="D181" s="79">
        <f>(18.541)*10.764</f>
        <v>199.57532399999999</v>
      </c>
      <c r="E181" s="79">
        <v>0</v>
      </c>
      <c r="F181" s="79">
        <f t="shared" si="15"/>
        <v>199.57532399999999</v>
      </c>
      <c r="G181" s="79">
        <v>0</v>
      </c>
      <c r="H181" s="79">
        <f t="shared" si="16"/>
        <v>299.36298599999998</v>
      </c>
      <c r="I181" s="33"/>
      <c r="L181" s="146"/>
      <c r="M181" s="146"/>
      <c r="N181" s="33"/>
      <c r="T181" s="18"/>
    </row>
    <row r="182" spans="1:20" s="80" customFormat="1" ht="15.75" customHeight="1" x14ac:dyDescent="0.35">
      <c r="A182" s="152">
        <f t="shared" si="14"/>
        <v>33</v>
      </c>
      <c r="B182" s="153"/>
      <c r="C182" s="79" t="s">
        <v>366</v>
      </c>
      <c r="D182" s="79">
        <f>(15.687)*10.764</f>
        <v>168.85486799999998</v>
      </c>
      <c r="E182" s="79">
        <v>0</v>
      </c>
      <c r="F182" s="79">
        <f t="shared" si="15"/>
        <v>168.85486799999998</v>
      </c>
      <c r="G182" s="79">
        <v>0</v>
      </c>
      <c r="H182" s="79">
        <f t="shared" si="16"/>
        <v>253.28230199999996</v>
      </c>
      <c r="I182" s="33"/>
      <c r="L182" s="146"/>
      <c r="M182" s="146"/>
      <c r="N182" s="33"/>
      <c r="T182" s="18"/>
    </row>
    <row r="183" spans="1:20" s="80" customFormat="1" ht="15.75" customHeight="1" x14ac:dyDescent="0.35">
      <c r="A183" s="152">
        <f t="shared" si="14"/>
        <v>34</v>
      </c>
      <c r="B183" s="153"/>
      <c r="C183" s="79" t="s">
        <v>366</v>
      </c>
      <c r="D183" s="79">
        <f>(25.078)*10.764</f>
        <v>269.939592</v>
      </c>
      <c r="E183" s="79">
        <v>0</v>
      </c>
      <c r="F183" s="79">
        <f t="shared" si="15"/>
        <v>269.939592</v>
      </c>
      <c r="G183" s="79">
        <v>0</v>
      </c>
      <c r="H183" s="79">
        <f t="shared" si="16"/>
        <v>404.90938800000004</v>
      </c>
      <c r="I183" s="33"/>
      <c r="J183" s="80">
        <f>9.36*2.7</f>
        <v>25.271999999999998</v>
      </c>
      <c r="L183" s="146"/>
      <c r="M183" s="146"/>
      <c r="N183" s="33"/>
      <c r="T183" s="18"/>
    </row>
    <row r="184" spans="1:20" s="80" customFormat="1" ht="15.75" customHeight="1" x14ac:dyDescent="0.35">
      <c r="A184" s="152">
        <f t="shared" si="14"/>
        <v>35</v>
      </c>
      <c r="B184" s="153"/>
      <c r="C184" s="79" t="s">
        <v>366</v>
      </c>
      <c r="D184" s="79">
        <f>(15.096)*10.764</f>
        <v>162.49334399999998</v>
      </c>
      <c r="E184" s="79">
        <v>0</v>
      </c>
      <c r="F184" s="79">
        <f t="shared" si="15"/>
        <v>162.49334399999998</v>
      </c>
      <c r="G184" s="79">
        <v>0</v>
      </c>
      <c r="H184" s="79">
        <f t="shared" si="16"/>
        <v>243.74001599999997</v>
      </c>
      <c r="I184" s="33"/>
      <c r="L184" s="146"/>
      <c r="M184" s="146"/>
      <c r="N184" s="33"/>
      <c r="T184" s="18"/>
    </row>
    <row r="185" spans="1:20" s="80" customFormat="1" ht="15.75" customHeight="1" x14ac:dyDescent="0.35">
      <c r="A185" s="152">
        <f t="shared" si="14"/>
        <v>36</v>
      </c>
      <c r="B185" s="153"/>
      <c r="C185" s="79" t="s">
        <v>366</v>
      </c>
      <c r="D185" s="79">
        <f>(11.464)*10.764</f>
        <v>123.39849599999999</v>
      </c>
      <c r="E185" s="79">
        <v>0</v>
      </c>
      <c r="F185" s="79">
        <f t="shared" si="15"/>
        <v>123.39849599999999</v>
      </c>
      <c r="G185" s="79">
        <v>0</v>
      </c>
      <c r="H185" s="79">
        <f t="shared" si="16"/>
        <v>185.09774399999998</v>
      </c>
      <c r="I185" s="33"/>
      <c r="L185" s="146"/>
      <c r="M185" s="146"/>
      <c r="N185" s="33"/>
      <c r="T185" s="18"/>
    </row>
    <row r="186" spans="1:20" s="80" customFormat="1" ht="15.75" customHeight="1" x14ac:dyDescent="0.35">
      <c r="A186" s="152">
        <f t="shared" si="14"/>
        <v>37</v>
      </c>
      <c r="B186" s="153"/>
      <c r="C186" s="79" t="s">
        <v>366</v>
      </c>
      <c r="D186" s="79">
        <f>(15.967)*10.764</f>
        <v>171.868788</v>
      </c>
      <c r="E186" s="79">
        <v>0</v>
      </c>
      <c r="F186" s="79">
        <f t="shared" si="15"/>
        <v>171.868788</v>
      </c>
      <c r="G186" s="79">
        <v>0</v>
      </c>
      <c r="H186" s="79">
        <f t="shared" si="16"/>
        <v>257.80318199999999</v>
      </c>
      <c r="I186" s="33"/>
      <c r="L186" s="146"/>
      <c r="M186" s="146"/>
      <c r="N186" s="33"/>
      <c r="T186" s="18"/>
    </row>
    <row r="187" spans="1:20" s="80" customFormat="1" ht="15.75" customHeight="1" x14ac:dyDescent="0.35">
      <c r="A187" s="152">
        <f t="shared" si="14"/>
        <v>38</v>
      </c>
      <c r="B187" s="153"/>
      <c r="C187" s="79" t="s">
        <v>366</v>
      </c>
      <c r="D187" s="79">
        <f>(23.537)*10.764</f>
        <v>253.35226799999998</v>
      </c>
      <c r="E187" s="79">
        <v>0</v>
      </c>
      <c r="F187" s="79">
        <f t="shared" si="15"/>
        <v>253.35226799999998</v>
      </c>
      <c r="G187" s="79">
        <v>0</v>
      </c>
      <c r="H187" s="79">
        <f t="shared" si="16"/>
        <v>380.02840199999997</v>
      </c>
      <c r="I187" s="33"/>
      <c r="L187" s="146"/>
      <c r="M187" s="146"/>
      <c r="N187" s="33"/>
      <c r="T187" s="18"/>
    </row>
    <row r="188" spans="1:20" s="80" customFormat="1" ht="15.75" customHeight="1" x14ac:dyDescent="0.35">
      <c r="A188" s="152">
        <f t="shared" si="14"/>
        <v>39</v>
      </c>
      <c r="B188" s="153"/>
      <c r="C188" s="79" t="s">
        <v>366</v>
      </c>
      <c r="D188" s="79">
        <f>(20.587)*10.764</f>
        <v>221.598468</v>
      </c>
      <c r="E188" s="79">
        <v>0</v>
      </c>
      <c r="F188" s="79">
        <f t="shared" si="15"/>
        <v>221.598468</v>
      </c>
      <c r="G188" s="79">
        <v>0</v>
      </c>
      <c r="H188" s="79">
        <f t="shared" si="16"/>
        <v>332.39770199999998</v>
      </c>
      <c r="I188" s="33"/>
      <c r="L188" s="146"/>
      <c r="M188" s="146"/>
      <c r="N188" s="33"/>
      <c r="T188" s="18"/>
    </row>
    <row r="189" spans="1:20" s="80" customFormat="1" ht="15.75" customHeight="1" x14ac:dyDescent="0.35">
      <c r="A189" s="152">
        <f t="shared" si="14"/>
        <v>40</v>
      </c>
      <c r="B189" s="153"/>
      <c r="C189" s="79" t="s">
        <v>366</v>
      </c>
      <c r="D189" s="79">
        <f>(23.21)*10.764</f>
        <v>249.83243999999999</v>
      </c>
      <c r="E189" s="79">
        <v>0</v>
      </c>
      <c r="F189" s="79">
        <f t="shared" si="15"/>
        <v>249.83243999999999</v>
      </c>
      <c r="G189" s="79">
        <v>0</v>
      </c>
      <c r="H189" s="79">
        <f t="shared" si="16"/>
        <v>374.74865999999997</v>
      </c>
      <c r="I189" s="33"/>
      <c r="L189" s="146"/>
      <c r="M189" s="146"/>
      <c r="N189" s="33"/>
      <c r="T189" s="18"/>
    </row>
    <row r="190" spans="1:20" s="80" customFormat="1" ht="15.75" customHeight="1" x14ac:dyDescent="0.35">
      <c r="A190" s="152">
        <f t="shared" si="14"/>
        <v>41</v>
      </c>
      <c r="B190" s="153"/>
      <c r="C190" s="79" t="s">
        <v>366</v>
      </c>
      <c r="D190" s="79">
        <f>(15.296)*10.764</f>
        <v>164.64614399999999</v>
      </c>
      <c r="E190" s="79">
        <v>0</v>
      </c>
      <c r="F190" s="79">
        <f t="shared" si="15"/>
        <v>164.64614399999999</v>
      </c>
      <c r="G190" s="79">
        <v>0</v>
      </c>
      <c r="H190" s="79">
        <f t="shared" si="16"/>
        <v>246.96921599999999</v>
      </c>
      <c r="I190" s="33"/>
      <c r="L190" s="146"/>
      <c r="M190" s="146"/>
      <c r="N190" s="33"/>
      <c r="T190" s="18"/>
    </row>
    <row r="191" spans="1:20" s="34" customFormat="1" x14ac:dyDescent="0.35">
      <c r="A191" s="152"/>
      <c r="B191" s="239"/>
      <c r="C191" s="239"/>
      <c r="D191" s="239"/>
      <c r="E191" s="239"/>
      <c r="F191" s="239"/>
      <c r="G191" s="239"/>
      <c r="H191" s="153"/>
      <c r="I191" s="33"/>
      <c r="N191" s="33"/>
    </row>
    <row r="192" spans="1:20" ht="47.25" customHeight="1" x14ac:dyDescent="0.35">
      <c r="A192" s="240" t="s">
        <v>116</v>
      </c>
      <c r="B192" s="141" t="s">
        <v>173</v>
      </c>
      <c r="C192" s="141" t="s">
        <v>55</v>
      </c>
      <c r="D192" s="139" t="s">
        <v>379</v>
      </c>
      <c r="E192" s="139" t="s">
        <v>375</v>
      </c>
      <c r="F192" s="139" t="s">
        <v>56</v>
      </c>
      <c r="G192" s="150" t="s">
        <v>57</v>
      </c>
      <c r="H192" s="85" t="s">
        <v>144</v>
      </c>
      <c r="I192" s="33"/>
      <c r="T192" s="34"/>
    </row>
    <row r="193" spans="1:20" s="34" customFormat="1" x14ac:dyDescent="0.35">
      <c r="A193" s="241"/>
      <c r="B193" s="142"/>
      <c r="C193" s="142"/>
      <c r="D193" s="140"/>
      <c r="E193" s="140"/>
      <c r="F193" s="140"/>
      <c r="G193" s="151"/>
      <c r="H193" s="86">
        <v>0.45</v>
      </c>
      <c r="I193" s="33"/>
    </row>
    <row r="194" spans="1:20" s="80" customFormat="1" x14ac:dyDescent="0.35">
      <c r="A194" s="159" t="s">
        <v>365</v>
      </c>
      <c r="B194" s="160"/>
      <c r="C194" s="160"/>
      <c r="D194" s="160"/>
      <c r="E194" s="160"/>
      <c r="F194" s="160"/>
      <c r="G194" s="160"/>
      <c r="H194" s="161"/>
      <c r="J194" s="33"/>
    </row>
    <row r="195" spans="1:20" s="34" customFormat="1" x14ac:dyDescent="0.35">
      <c r="A195" s="159" t="s">
        <v>368</v>
      </c>
      <c r="B195" s="160"/>
      <c r="C195" s="160"/>
      <c r="D195" s="160"/>
      <c r="E195" s="160"/>
      <c r="F195" s="160"/>
      <c r="G195" s="160"/>
      <c r="H195" s="161"/>
      <c r="I195" s="34">
        <v>1</v>
      </c>
      <c r="J195" s="33"/>
      <c r="N195" s="90">
        <v>10.763999999999999</v>
      </c>
    </row>
    <row r="196" spans="1:20" s="34" customFormat="1" ht="15.75" customHeight="1" x14ac:dyDescent="0.35">
      <c r="A196" s="152">
        <v>1</v>
      </c>
      <c r="B196" s="153"/>
      <c r="C196" s="39" t="s">
        <v>369</v>
      </c>
      <c r="D196" s="79">
        <f>(28.762+5.65)*10.764</f>
        <v>370.41076799999996</v>
      </c>
      <c r="E196" s="79">
        <f>0.75*2.9*10.764</f>
        <v>23.411699999999996</v>
      </c>
      <c r="F196" s="39">
        <f>D196+E196</f>
        <v>393.82246799999996</v>
      </c>
      <c r="G196" s="50">
        <v>0</v>
      </c>
      <c r="H196" s="50">
        <f>F196*(($H$193)+1)+(IF(G196&lt;101,G196,IF(G196&lt;201,G196/2,IF(G196&lt;=301,G196/3,G196/4))))</f>
        <v>571.04257859999996</v>
      </c>
      <c r="I196" s="33"/>
      <c r="J196" s="87">
        <f>2.75*3.4+2.1*2.75+2.9*2.15+1.8*1.2+1.8*1.2+0.9*2.4</f>
        <v>27.84</v>
      </c>
      <c r="K196" s="34">
        <f>2.9+2.75</f>
        <v>5.65</v>
      </c>
      <c r="L196" s="146">
        <f>2.9*0.75</f>
        <v>2.1749999999999998</v>
      </c>
      <c r="M196" s="146"/>
      <c r="N196" s="33"/>
    </row>
    <row r="197" spans="1:20" s="34" customFormat="1" ht="15.75" customHeight="1" x14ac:dyDescent="0.35">
      <c r="A197" s="152">
        <f>A196+1</f>
        <v>2</v>
      </c>
      <c r="B197" s="153"/>
      <c r="C197" s="39" t="s">
        <v>370</v>
      </c>
      <c r="D197" s="79">
        <f>(50.238)*10.764</f>
        <v>540.76183199999991</v>
      </c>
      <c r="E197" s="79">
        <f t="shared" ref="E197:E203" si="17">(2.7)*10.764</f>
        <v>29.062799999999999</v>
      </c>
      <c r="F197" s="50">
        <f>D197+E197</f>
        <v>569.82463199999995</v>
      </c>
      <c r="G197" s="90">
        <f>(0.75*3+1.2*8.65+2*2.75)*10.764</f>
        <v>195.15132000000003</v>
      </c>
      <c r="H197" s="50">
        <f>F197*(($H$193)+1)+(IF(G197&lt;101,G197,IF(G197&lt;201,G197/2,IF(G197&lt;=301,G197/3,G197/4))))</f>
        <v>923.82137639999985</v>
      </c>
      <c r="I197" s="33"/>
      <c r="J197" s="87">
        <f>2.75*4.25+2.8*1.2+2.4*3+2.75*3+3*3.25+1.8*1.2+1.8*1.2+0.9*3.9</f>
        <v>48.077499999999993</v>
      </c>
      <c r="L197" s="146"/>
      <c r="M197" s="146"/>
      <c r="N197" s="33"/>
    </row>
    <row r="198" spans="1:20" s="34" customFormat="1" ht="15.75" customHeight="1" x14ac:dyDescent="0.35">
      <c r="A198" s="152">
        <f>A197+1</f>
        <v>3</v>
      </c>
      <c r="B198" s="153"/>
      <c r="C198" s="39" t="s">
        <v>369</v>
      </c>
      <c r="D198" s="79">
        <f>(29.275+7.75)*10.764</f>
        <v>398.53709999999995</v>
      </c>
      <c r="E198" s="79">
        <f t="shared" si="17"/>
        <v>29.062799999999999</v>
      </c>
      <c r="F198" s="50">
        <f>D198+E198</f>
        <v>427.59989999999993</v>
      </c>
      <c r="G198" s="90">
        <f>(2*2.75+1.1*2.1+2*2.9)*10.764</f>
        <v>146.49803999999997</v>
      </c>
      <c r="H198" s="50">
        <f>F198*(($H$193)+1)+(IF(G198&lt;101,G198,IF(G198&lt;201,G198/2,IF(G198&lt;=301,G198/3,G198/4))))</f>
        <v>693.26887499999987</v>
      </c>
      <c r="I198" s="33"/>
      <c r="J198" s="87">
        <f>2.75*3.4+2.1*3.45+2.9*2.2+1.8*1.2+1.8*1.2+0.6*0.8</f>
        <v>27.774999999999999</v>
      </c>
      <c r="K198" s="34">
        <f>2.75*1+2.1*1+2.9*1</f>
        <v>7.75</v>
      </c>
      <c r="L198" s="146"/>
      <c r="M198" s="146"/>
      <c r="N198" s="33"/>
    </row>
    <row r="199" spans="1:20" s="34" customFormat="1" ht="15.75" customHeight="1" x14ac:dyDescent="0.35">
      <c r="A199" s="152">
        <f>A198+1</f>
        <v>4</v>
      </c>
      <c r="B199" s="153"/>
      <c r="C199" s="39" t="s">
        <v>369</v>
      </c>
      <c r="D199" s="79">
        <f>(29.275+7.75)*10.764</f>
        <v>398.53709999999995</v>
      </c>
      <c r="E199" s="79">
        <f t="shared" si="17"/>
        <v>29.062799999999999</v>
      </c>
      <c r="F199" s="50">
        <f>D199+E199</f>
        <v>427.59989999999993</v>
      </c>
      <c r="G199" s="90">
        <f>(2*2.75+1.1*2.1+2*2.9)*10.764</f>
        <v>146.49803999999997</v>
      </c>
      <c r="H199" s="50">
        <f>F199*(($H$193)+1)+(IF(G199&lt;101,G199,IF(G199&lt;201,G199/2,IF(G199&lt;=301,G199/3,G199/4))))</f>
        <v>693.26887499999987</v>
      </c>
      <c r="I199" s="33"/>
      <c r="L199" s="146"/>
      <c r="M199" s="146"/>
      <c r="N199" s="33"/>
      <c r="T199" s="18"/>
    </row>
    <row r="200" spans="1:20" s="80" customFormat="1" ht="15.75" customHeight="1" x14ac:dyDescent="0.35">
      <c r="A200" s="152">
        <f t="shared" ref="A200:A203" si="18">A199+1</f>
        <v>5</v>
      </c>
      <c r="B200" s="153"/>
      <c r="C200" s="79" t="s">
        <v>370</v>
      </c>
      <c r="D200" s="79">
        <f>(50.238)*10.764</f>
        <v>540.76183199999991</v>
      </c>
      <c r="E200" s="79">
        <f t="shared" si="17"/>
        <v>29.062799999999999</v>
      </c>
      <c r="F200" s="79">
        <f t="shared" ref="F200:F203" si="19">D200+E200</f>
        <v>569.82463199999995</v>
      </c>
      <c r="G200" s="90">
        <f>(0.75*3+1.2*5.55+4.6*2+3.1*1.95)*10.764</f>
        <v>260.00441999999998</v>
      </c>
      <c r="H200" s="79">
        <f t="shared" ref="H200:H203" si="20">F200*(($H$193)+1)+(IF(G200&lt;101,G200,IF(G200&lt;201,G200/2,IF(G200&lt;=301,G200/3,G200/4))))</f>
        <v>912.91385639999987</v>
      </c>
      <c r="I200" s="33"/>
      <c r="L200" s="146"/>
      <c r="M200" s="146"/>
      <c r="N200" s="33"/>
      <c r="T200" s="18"/>
    </row>
    <row r="201" spans="1:20" s="80" customFormat="1" ht="15.75" customHeight="1" x14ac:dyDescent="0.35">
      <c r="A201" s="152">
        <f t="shared" si="18"/>
        <v>6</v>
      </c>
      <c r="B201" s="153"/>
      <c r="C201" s="79" t="s">
        <v>369</v>
      </c>
      <c r="D201" s="79">
        <f>(28.762+5.65)*10.764</f>
        <v>370.41076799999996</v>
      </c>
      <c r="E201" s="79">
        <f t="shared" si="17"/>
        <v>29.062799999999999</v>
      </c>
      <c r="F201" s="79">
        <f t="shared" si="19"/>
        <v>399.47356799999994</v>
      </c>
      <c r="G201" s="79">
        <v>0</v>
      </c>
      <c r="H201" s="79">
        <f t="shared" si="20"/>
        <v>579.2366735999999</v>
      </c>
      <c r="I201" s="33"/>
      <c r="L201" s="146"/>
      <c r="M201" s="146"/>
      <c r="N201" s="33"/>
      <c r="T201" s="18"/>
    </row>
    <row r="202" spans="1:20" s="80" customFormat="1" ht="15.75" customHeight="1" x14ac:dyDescent="0.35">
      <c r="A202" s="152">
        <f t="shared" si="18"/>
        <v>7</v>
      </c>
      <c r="B202" s="153"/>
      <c r="C202" s="79" t="s">
        <v>369</v>
      </c>
      <c r="D202" s="79">
        <f>(29.992+5.858)*10.764</f>
        <v>385.88939999999997</v>
      </c>
      <c r="E202" s="79">
        <f t="shared" si="17"/>
        <v>29.062799999999999</v>
      </c>
      <c r="F202" s="79">
        <f t="shared" si="19"/>
        <v>414.95219999999995</v>
      </c>
      <c r="G202" s="79">
        <v>0</v>
      </c>
      <c r="H202" s="79">
        <f t="shared" si="20"/>
        <v>601.68068999999991</v>
      </c>
      <c r="I202" s="33"/>
      <c r="L202" s="146"/>
      <c r="M202" s="146"/>
      <c r="N202" s="33"/>
      <c r="T202" s="18"/>
    </row>
    <row r="203" spans="1:20" s="80" customFormat="1" ht="15.75" customHeight="1" x14ac:dyDescent="0.35">
      <c r="A203" s="152">
        <f t="shared" si="18"/>
        <v>8</v>
      </c>
      <c r="B203" s="153"/>
      <c r="C203" s="79" t="s">
        <v>369</v>
      </c>
      <c r="D203" s="79">
        <f>(29.992+5.858)*10.764</f>
        <v>385.88939999999997</v>
      </c>
      <c r="E203" s="79">
        <f t="shared" si="17"/>
        <v>29.062799999999999</v>
      </c>
      <c r="F203" s="79">
        <f t="shared" si="19"/>
        <v>414.95219999999995</v>
      </c>
      <c r="G203" s="79">
        <v>0</v>
      </c>
      <c r="H203" s="79">
        <f t="shared" si="20"/>
        <v>601.68068999999991</v>
      </c>
      <c r="I203" s="33"/>
      <c r="L203" s="146"/>
      <c r="M203" s="146"/>
      <c r="N203" s="33"/>
      <c r="T203" s="18"/>
    </row>
    <row r="204" spans="1:20" s="80" customFormat="1" x14ac:dyDescent="0.35">
      <c r="A204" s="214" t="s">
        <v>371</v>
      </c>
      <c r="B204" s="214"/>
      <c r="C204" s="214"/>
      <c r="D204" s="214"/>
      <c r="E204" s="214"/>
      <c r="F204" s="214"/>
      <c r="G204" s="214"/>
      <c r="H204" s="214"/>
      <c r="I204" s="80">
        <f>6+4+1</f>
        <v>11</v>
      </c>
      <c r="J204" s="33"/>
    </row>
    <row r="205" spans="1:20" s="80" customFormat="1" ht="15.75" customHeight="1" x14ac:dyDescent="0.35">
      <c r="A205" s="147">
        <v>1</v>
      </c>
      <c r="B205" s="147"/>
      <c r="C205" s="95" t="s">
        <v>369</v>
      </c>
      <c r="D205" s="95">
        <f>(28.762+5.65)*10.764</f>
        <v>370.41076799999996</v>
      </c>
      <c r="E205" s="95">
        <f>0.75*2.9*10.764</f>
        <v>23.411699999999996</v>
      </c>
      <c r="F205" s="95">
        <f>D205+E205</f>
        <v>393.82246799999996</v>
      </c>
      <c r="G205" s="95">
        <v>0</v>
      </c>
      <c r="H205" s="95">
        <f>F205*(($H$193)+1)+(IF(G205&lt;101,G205,IF(G205&lt;201,G205/2,IF(G205&lt;=301,G205/3,G205/4))))</f>
        <v>571.04257859999996</v>
      </c>
      <c r="I205" s="33"/>
      <c r="K205" s="80">
        <f>2.9+2.75</f>
        <v>5.65</v>
      </c>
      <c r="L205" s="91">
        <v>565</v>
      </c>
      <c r="M205" s="92">
        <f>L205/F205</f>
        <v>1.4346565925233095</v>
      </c>
      <c r="N205" s="33">
        <f>2600000/H205</f>
        <v>4553.0755453898128</v>
      </c>
      <c r="O205" s="33">
        <f>H205*4000</f>
        <v>2284170.3144</v>
      </c>
    </row>
    <row r="206" spans="1:20" s="80" customFormat="1" ht="15.75" customHeight="1" x14ac:dyDescent="0.35">
      <c r="A206" s="147">
        <f>A205+1</f>
        <v>2</v>
      </c>
      <c r="B206" s="147"/>
      <c r="C206" s="95" t="s">
        <v>370</v>
      </c>
      <c r="D206" s="95">
        <f>(50.238)*10.764</f>
        <v>540.76183199999991</v>
      </c>
      <c r="E206" s="95">
        <f>(2.7+0.75*3)*10.764</f>
        <v>53.281799999999997</v>
      </c>
      <c r="F206" s="95">
        <f>D206+E206</f>
        <v>594.04363199999989</v>
      </c>
      <c r="G206" s="95">
        <v>0</v>
      </c>
      <c r="H206" s="95">
        <f>F206*(($H$193)+1)+(IF(G206&lt;101,G206,IF(G206&lt;201,G206/2,IF(G206&lt;=301,G206/3,G206/4))))</f>
        <v>861.36326639999982</v>
      </c>
      <c r="I206" s="33"/>
      <c r="L206" s="91">
        <v>875</v>
      </c>
      <c r="M206" s="92">
        <f t="shared" ref="M206:M212" si="21">L206/F206</f>
        <v>1.4729557777668427</v>
      </c>
      <c r="N206" s="33"/>
      <c r="O206" s="33">
        <f t="shared" ref="O206:O212" si="22">H206*4000</f>
        <v>3445453.0655999994</v>
      </c>
    </row>
    <row r="207" spans="1:20" s="80" customFormat="1" ht="15.75" customHeight="1" x14ac:dyDescent="0.35">
      <c r="A207" s="147">
        <f>A206+1</f>
        <v>3</v>
      </c>
      <c r="B207" s="147"/>
      <c r="C207" s="95" t="s">
        <v>369</v>
      </c>
      <c r="D207" s="95">
        <f>(29.275+7.75)*10.764</f>
        <v>398.53709999999995</v>
      </c>
      <c r="E207" s="95">
        <f>(2.7)*10.764</f>
        <v>29.062799999999999</v>
      </c>
      <c r="F207" s="95">
        <f>D207+E207</f>
        <v>427.59989999999993</v>
      </c>
      <c r="G207" s="95">
        <v>0</v>
      </c>
      <c r="H207" s="95">
        <f>F207*(($H$193)+1)+(IF(G207&lt;101,G207,IF(G207&lt;201,G207/2,IF(G207&lt;=301,G207/3,G207/4))))</f>
        <v>620.01985499999989</v>
      </c>
      <c r="I207" s="33"/>
      <c r="L207" s="91">
        <v>630</v>
      </c>
      <c r="M207" s="92">
        <f t="shared" si="21"/>
        <v>1.4733399142516173</v>
      </c>
      <c r="N207" s="33"/>
      <c r="O207" s="33">
        <f t="shared" si="22"/>
        <v>2480079.4199999995</v>
      </c>
    </row>
    <row r="208" spans="1:20" s="80" customFormat="1" ht="15.75" customHeight="1" x14ac:dyDescent="0.35">
      <c r="A208" s="147">
        <f>A207+1</f>
        <v>4</v>
      </c>
      <c r="B208" s="147"/>
      <c r="C208" s="95" t="s">
        <v>369</v>
      </c>
      <c r="D208" s="95">
        <f>(29.275+7.75)*10.764</f>
        <v>398.53709999999995</v>
      </c>
      <c r="E208" s="95">
        <f>(2.7)*10.764</f>
        <v>29.062799999999999</v>
      </c>
      <c r="F208" s="95">
        <f>D208+E208</f>
        <v>427.59989999999993</v>
      </c>
      <c r="G208" s="95">
        <v>0</v>
      </c>
      <c r="H208" s="95">
        <f>F208*(($H$193)+1)+(IF(G208&lt;101,G208,IF(G208&lt;201,G208/2,IF(G208&lt;=301,G208/3,G208/4))))</f>
        <v>620.01985499999989</v>
      </c>
      <c r="I208" s="33"/>
      <c r="L208" s="91">
        <v>630</v>
      </c>
      <c r="M208" s="92">
        <f t="shared" si="21"/>
        <v>1.4733399142516173</v>
      </c>
      <c r="N208" s="33"/>
      <c r="O208" s="33">
        <f t="shared" si="22"/>
        <v>2480079.4199999995</v>
      </c>
      <c r="T208" s="18"/>
    </row>
    <row r="209" spans="1:20" s="80" customFormat="1" ht="15.75" customHeight="1" x14ac:dyDescent="0.35">
      <c r="A209" s="152">
        <f t="shared" ref="A209:A212" si="23">A208+1</f>
        <v>5</v>
      </c>
      <c r="B209" s="153"/>
      <c r="C209" s="79" t="s">
        <v>370</v>
      </c>
      <c r="D209" s="79">
        <f>(50.238)*10.764</f>
        <v>540.76183199999991</v>
      </c>
      <c r="E209" s="79">
        <f>(2.7+0.75*3)*10.764</f>
        <v>53.281799999999997</v>
      </c>
      <c r="F209" s="79">
        <f t="shared" ref="F209:F212" si="24">D209+E209</f>
        <v>594.04363199999989</v>
      </c>
      <c r="G209" s="79">
        <v>0</v>
      </c>
      <c r="H209" s="79">
        <f t="shared" ref="H209:H212" si="25">F209*(($H$193)+1)+(IF(G209&lt;101,G209,IF(G209&lt;201,G209/2,IF(G209&lt;=301,G209/3,G209/4))))</f>
        <v>861.36326639999982</v>
      </c>
      <c r="I209" s="33"/>
      <c r="L209" s="91">
        <v>875</v>
      </c>
      <c r="M209" s="92">
        <f t="shared" si="21"/>
        <v>1.4729557777668427</v>
      </c>
      <c r="N209" s="33"/>
      <c r="O209" s="33">
        <f t="shared" si="22"/>
        <v>3445453.0655999994</v>
      </c>
      <c r="T209" s="18"/>
    </row>
    <row r="210" spans="1:20" s="80" customFormat="1" ht="15.75" customHeight="1" x14ac:dyDescent="0.35">
      <c r="A210" s="152">
        <f t="shared" si="23"/>
        <v>6</v>
      </c>
      <c r="B210" s="153"/>
      <c r="C210" s="79" t="s">
        <v>369</v>
      </c>
      <c r="D210" s="79">
        <f>(28.762+5.65)*10.764</f>
        <v>370.41076799999996</v>
      </c>
      <c r="E210" s="79">
        <f>(2.7)*10.764</f>
        <v>29.062799999999999</v>
      </c>
      <c r="F210" s="79">
        <f t="shared" si="24"/>
        <v>399.47356799999994</v>
      </c>
      <c r="G210" s="79">
        <v>0</v>
      </c>
      <c r="H210" s="79">
        <f t="shared" si="25"/>
        <v>579.2366735999999</v>
      </c>
      <c r="I210" s="33"/>
      <c r="L210" s="91">
        <v>610</v>
      </c>
      <c r="M210" s="92">
        <f t="shared" si="21"/>
        <v>1.5270096668823907</v>
      </c>
      <c r="N210" s="33"/>
      <c r="O210" s="33">
        <f t="shared" si="22"/>
        <v>2316946.6943999995</v>
      </c>
      <c r="T210" s="18"/>
    </row>
    <row r="211" spans="1:20" s="80" customFormat="1" ht="15.75" customHeight="1" x14ac:dyDescent="0.35">
      <c r="A211" s="152">
        <f t="shared" si="23"/>
        <v>7</v>
      </c>
      <c r="B211" s="153"/>
      <c r="C211" s="79" t="s">
        <v>369</v>
      </c>
      <c r="D211" s="79">
        <f>(29.992+5.858)*10.764</f>
        <v>385.88939999999997</v>
      </c>
      <c r="E211" s="79">
        <f>(2.7)*10.764</f>
        <v>29.062799999999999</v>
      </c>
      <c r="F211" s="79">
        <f t="shared" si="24"/>
        <v>414.95219999999995</v>
      </c>
      <c r="G211" s="79">
        <v>0</v>
      </c>
      <c r="H211" s="79">
        <f t="shared" si="25"/>
        <v>601.68068999999991</v>
      </c>
      <c r="I211" s="33"/>
      <c r="L211" s="91">
        <v>610</v>
      </c>
      <c r="M211" s="92">
        <f t="shared" si="21"/>
        <v>1.4700488393602928</v>
      </c>
      <c r="N211" s="33"/>
      <c r="O211" s="33">
        <f t="shared" si="22"/>
        <v>2406722.7599999998</v>
      </c>
      <c r="T211" s="18"/>
    </row>
    <row r="212" spans="1:20" s="80" customFormat="1" ht="15.75" customHeight="1" x14ac:dyDescent="0.35">
      <c r="A212" s="152">
        <f t="shared" si="23"/>
        <v>8</v>
      </c>
      <c r="B212" s="153"/>
      <c r="C212" s="79" t="s">
        <v>369</v>
      </c>
      <c r="D212" s="79">
        <f>(29.992+5.858)*10.764</f>
        <v>385.88939999999997</v>
      </c>
      <c r="E212" s="79">
        <f>(2.7)*10.764</f>
        <v>29.062799999999999</v>
      </c>
      <c r="F212" s="79">
        <f t="shared" si="24"/>
        <v>414.95219999999995</v>
      </c>
      <c r="G212" s="79">
        <v>0</v>
      </c>
      <c r="H212" s="79">
        <f t="shared" si="25"/>
        <v>601.68068999999991</v>
      </c>
      <c r="I212" s="33"/>
      <c r="L212" s="91">
        <v>610</v>
      </c>
      <c r="M212" s="92">
        <f t="shared" si="21"/>
        <v>1.4700488393602928</v>
      </c>
      <c r="N212" s="33"/>
      <c r="O212" s="33">
        <f t="shared" si="22"/>
        <v>2406722.7599999998</v>
      </c>
      <c r="T212" s="18"/>
    </row>
    <row r="213" spans="1:20" s="80" customFormat="1" x14ac:dyDescent="0.35">
      <c r="A213" s="159" t="s">
        <v>376</v>
      </c>
      <c r="B213" s="160"/>
      <c r="C213" s="160"/>
      <c r="D213" s="160"/>
      <c r="E213" s="160"/>
      <c r="F213" s="160"/>
      <c r="G213" s="160"/>
      <c r="H213" s="161"/>
      <c r="I213" s="80">
        <v>2</v>
      </c>
      <c r="J213" s="33"/>
      <c r="L213" s="88"/>
      <c r="M213" s="88"/>
    </row>
    <row r="214" spans="1:20" s="80" customFormat="1" ht="15.75" customHeight="1" x14ac:dyDescent="0.35">
      <c r="A214" s="152">
        <v>1</v>
      </c>
      <c r="B214" s="153"/>
      <c r="C214" s="152" t="s">
        <v>377</v>
      </c>
      <c r="D214" s="239"/>
      <c r="E214" s="239"/>
      <c r="F214" s="239"/>
      <c r="G214" s="239"/>
      <c r="H214" s="153"/>
      <c r="I214" s="33"/>
      <c r="L214" s="91"/>
      <c r="M214" s="91"/>
      <c r="N214" s="33"/>
    </row>
    <row r="215" spans="1:20" s="80" customFormat="1" ht="15.75" customHeight="1" x14ac:dyDescent="0.35">
      <c r="A215" s="152">
        <f>A214+1</f>
        <v>2</v>
      </c>
      <c r="B215" s="153"/>
      <c r="C215" s="79" t="s">
        <v>370</v>
      </c>
      <c r="D215" s="79">
        <f>(50.238)*10.764</f>
        <v>540.76183199999991</v>
      </c>
      <c r="E215" s="79">
        <f>(2.7+0.75*3)*10.764</f>
        <v>53.281799999999997</v>
      </c>
      <c r="F215" s="79">
        <f>D215+E215</f>
        <v>594.04363199999989</v>
      </c>
      <c r="G215" s="79">
        <v>0</v>
      </c>
      <c r="H215" s="79">
        <f>F215*(($H$193)+1)+(IF(G215&lt;101,G215,IF(G215&lt;201,G215/2,IF(G215&lt;=301,G215/3,G215/4))))</f>
        <v>861.36326639999982</v>
      </c>
      <c r="I215" s="33"/>
      <c r="L215" s="91"/>
      <c r="M215" s="91"/>
      <c r="N215" s="33"/>
    </row>
    <row r="216" spans="1:20" s="80" customFormat="1" ht="15.75" customHeight="1" x14ac:dyDescent="0.35">
      <c r="A216" s="152">
        <f>A215+1</f>
        <v>3</v>
      </c>
      <c r="B216" s="153"/>
      <c r="C216" s="79" t="s">
        <v>369</v>
      </c>
      <c r="D216" s="79">
        <f>(29.275+7.75)*10.764</f>
        <v>398.53709999999995</v>
      </c>
      <c r="E216" s="79">
        <f>(2.7)*10.764</f>
        <v>29.062799999999999</v>
      </c>
      <c r="F216" s="79">
        <f>D216+E216</f>
        <v>427.59989999999993</v>
      </c>
      <c r="G216" s="79">
        <v>0</v>
      </c>
      <c r="H216" s="79">
        <f>F216*(($H$193)+1)+(IF(G216&lt;101,G216,IF(G216&lt;201,G216/2,IF(G216&lt;=301,G216/3,G216/4))))</f>
        <v>620.01985499999989</v>
      </c>
      <c r="I216" s="33"/>
      <c r="L216" s="146"/>
      <c r="M216" s="146"/>
      <c r="N216" s="33"/>
      <c r="O216" s="80">
        <f>2900000/H217</f>
        <v>4677.2695690527535</v>
      </c>
    </row>
    <row r="217" spans="1:20" s="80" customFormat="1" ht="15.75" customHeight="1" x14ac:dyDescent="0.35">
      <c r="A217" s="152">
        <f>A216+1</f>
        <v>4</v>
      </c>
      <c r="B217" s="153"/>
      <c r="C217" s="79" t="s">
        <v>369</v>
      </c>
      <c r="D217" s="79">
        <f>(29.275+7.75)*10.764</f>
        <v>398.53709999999995</v>
      </c>
      <c r="E217" s="79">
        <f>(2.7)*10.764</f>
        <v>29.062799999999999</v>
      </c>
      <c r="F217" s="79">
        <f>D217+E217</f>
        <v>427.59989999999993</v>
      </c>
      <c r="G217" s="79">
        <v>0</v>
      </c>
      <c r="H217" s="79">
        <f>F217*(($H$193)+1)+(IF(G217&lt;101,G217,IF(G217&lt;201,G217/2,IF(G217&lt;=301,G217/3,G217/4))))</f>
        <v>620.01985499999989</v>
      </c>
      <c r="I217" s="33"/>
      <c r="L217" s="146"/>
      <c r="M217" s="146"/>
      <c r="N217" s="33"/>
      <c r="T217" s="18"/>
    </row>
    <row r="218" spans="1:20" s="80" customFormat="1" ht="15.75" customHeight="1" x14ac:dyDescent="0.35">
      <c r="A218" s="152">
        <f t="shared" ref="A218:A221" si="26">A217+1</f>
        <v>5</v>
      </c>
      <c r="B218" s="153"/>
      <c r="C218" s="79" t="s">
        <v>370</v>
      </c>
      <c r="D218" s="79">
        <f>(50.238)*10.764</f>
        <v>540.76183199999991</v>
      </c>
      <c r="E218" s="79">
        <f>(2.7+0.75*3)*10.764</f>
        <v>53.281799999999997</v>
      </c>
      <c r="F218" s="79">
        <f t="shared" ref="F218:F221" si="27">D218+E218</f>
        <v>594.04363199999989</v>
      </c>
      <c r="G218" s="79">
        <v>0</v>
      </c>
      <c r="H218" s="79">
        <f t="shared" ref="H218:H221" si="28">F218*(($H$193)+1)+(IF(G218&lt;101,G218,IF(G218&lt;201,G218/2,IF(G218&lt;=301,G218/3,G218/4))))</f>
        <v>861.36326639999982</v>
      </c>
      <c r="I218" s="33"/>
      <c r="L218" s="146"/>
      <c r="M218" s="146"/>
      <c r="N218" s="33"/>
      <c r="T218" s="18"/>
    </row>
    <row r="219" spans="1:20" s="80" customFormat="1" ht="15.75" customHeight="1" x14ac:dyDescent="0.35">
      <c r="A219" s="152">
        <f t="shared" si="26"/>
        <v>6</v>
      </c>
      <c r="B219" s="153"/>
      <c r="C219" s="79" t="s">
        <v>369</v>
      </c>
      <c r="D219" s="79">
        <f>(28.762+5.65)*10.764</f>
        <v>370.41076799999996</v>
      </c>
      <c r="E219" s="79">
        <f>(2.7)*10.764</f>
        <v>29.062799999999999</v>
      </c>
      <c r="F219" s="79">
        <f t="shared" si="27"/>
        <v>399.47356799999994</v>
      </c>
      <c r="G219" s="79">
        <v>0</v>
      </c>
      <c r="H219" s="79">
        <f t="shared" si="28"/>
        <v>579.2366735999999</v>
      </c>
      <c r="I219" s="33"/>
      <c r="L219" s="146"/>
      <c r="M219" s="146"/>
      <c r="N219" s="33"/>
      <c r="T219" s="18"/>
    </row>
    <row r="220" spans="1:20" s="80" customFormat="1" ht="15.75" customHeight="1" x14ac:dyDescent="0.35">
      <c r="A220" s="152">
        <f t="shared" si="26"/>
        <v>7</v>
      </c>
      <c r="B220" s="153"/>
      <c r="C220" s="79" t="s">
        <v>369</v>
      </c>
      <c r="D220" s="79">
        <f>(29.992+5.858)*10.764</f>
        <v>385.88939999999997</v>
      </c>
      <c r="E220" s="79">
        <f>(2.7)*10.764</f>
        <v>29.062799999999999</v>
      </c>
      <c r="F220" s="79">
        <f t="shared" si="27"/>
        <v>414.95219999999995</v>
      </c>
      <c r="G220" s="79">
        <v>0</v>
      </c>
      <c r="H220" s="79">
        <f t="shared" si="28"/>
        <v>601.68068999999991</v>
      </c>
      <c r="I220" s="33"/>
      <c r="L220" s="146"/>
      <c r="M220" s="146"/>
      <c r="N220" s="33"/>
      <c r="T220" s="18"/>
    </row>
    <row r="221" spans="1:20" s="80" customFormat="1" ht="15.75" customHeight="1" x14ac:dyDescent="0.35">
      <c r="A221" s="152">
        <f t="shared" si="26"/>
        <v>8</v>
      </c>
      <c r="B221" s="153"/>
      <c r="C221" s="79" t="s">
        <v>369</v>
      </c>
      <c r="D221" s="79">
        <f>(29.992+5.858)*10.764</f>
        <v>385.88939999999997</v>
      </c>
      <c r="E221" s="79">
        <f>(2.7)*10.764</f>
        <v>29.062799999999999</v>
      </c>
      <c r="F221" s="79">
        <f t="shared" si="27"/>
        <v>414.95219999999995</v>
      </c>
      <c r="G221" s="79">
        <v>0</v>
      </c>
      <c r="H221" s="79">
        <f t="shared" si="28"/>
        <v>601.68068999999991</v>
      </c>
      <c r="I221" s="33"/>
      <c r="L221" s="146"/>
      <c r="M221" s="146"/>
      <c r="N221" s="33"/>
      <c r="T221" s="18"/>
    </row>
    <row r="222" spans="1:20" s="80" customFormat="1" x14ac:dyDescent="0.35">
      <c r="A222" s="159" t="s">
        <v>367</v>
      </c>
      <c r="B222" s="160"/>
      <c r="C222" s="160"/>
      <c r="D222" s="160"/>
      <c r="E222" s="160"/>
      <c r="F222" s="160"/>
      <c r="G222" s="160"/>
      <c r="H222" s="161"/>
      <c r="J222" s="33"/>
    </row>
    <row r="223" spans="1:20" s="80" customFormat="1" x14ac:dyDescent="0.35">
      <c r="A223" s="159" t="s">
        <v>368</v>
      </c>
      <c r="B223" s="160"/>
      <c r="C223" s="160"/>
      <c r="D223" s="160"/>
      <c r="E223" s="160"/>
      <c r="F223" s="160"/>
      <c r="G223" s="160"/>
      <c r="H223" s="161"/>
      <c r="J223" s="33"/>
    </row>
    <row r="224" spans="1:20" s="80" customFormat="1" ht="15.75" customHeight="1" x14ac:dyDescent="0.35">
      <c r="A224" s="152">
        <v>1</v>
      </c>
      <c r="B224" s="153"/>
      <c r="C224" s="79" t="s">
        <v>369</v>
      </c>
      <c r="D224" s="79">
        <f>(29.09+7.75)*10.764</f>
        <v>396.54576000000003</v>
      </c>
      <c r="E224" s="79">
        <f>(2.7)*10.764</f>
        <v>29.062799999999999</v>
      </c>
      <c r="F224" s="79">
        <f>D224+E224</f>
        <v>425.60856000000001</v>
      </c>
      <c r="G224" s="79">
        <v>0</v>
      </c>
      <c r="H224" s="79">
        <f>F224*(($H$193)+1)+(IF(G224&lt;101,G224,IF(G224&lt;201,G224/2,IF(G224&lt;=301,G224/3,G224/4))))</f>
        <v>617.13241200000004</v>
      </c>
      <c r="I224" s="33"/>
      <c r="L224" s="146"/>
      <c r="M224" s="146"/>
      <c r="N224" s="90">
        <v>10.763999999999999</v>
      </c>
    </row>
    <row r="225" spans="1:20" s="80" customFormat="1" ht="15.75" customHeight="1" x14ac:dyDescent="0.35">
      <c r="A225" s="152">
        <f>A224+1</f>
        <v>2</v>
      </c>
      <c r="B225" s="153"/>
      <c r="C225" s="79" t="s">
        <v>370</v>
      </c>
      <c r="D225" s="79">
        <f>(51.437)*10.764</f>
        <v>553.66786799999988</v>
      </c>
      <c r="E225" s="79">
        <f>(2.7+0.75*3)*10.764</f>
        <v>53.281799999999997</v>
      </c>
      <c r="F225" s="79">
        <f>D225+E225</f>
        <v>606.94966799999986</v>
      </c>
      <c r="G225" s="79">
        <v>0</v>
      </c>
      <c r="H225" s="79">
        <f>F225*(($H$193)+1)+(IF(G225&lt;101,G225,IF(G225&lt;201,G225/2,IF(G225&lt;=301,G225/3,G225/4))))</f>
        <v>880.07701859999975</v>
      </c>
      <c r="I225" s="33"/>
      <c r="J225" s="80">
        <f>2.75*4.25+2.8*1.2+2.4*3+2.75*3+3*3.25+1.75*1.2+1.8*1.2+1.15*0.9+0.9*4.1</f>
        <v>49.232500000000002</v>
      </c>
      <c r="L225" s="146"/>
      <c r="M225" s="146"/>
      <c r="N225" s="33"/>
    </row>
    <row r="226" spans="1:20" s="80" customFormat="1" ht="15.75" customHeight="1" x14ac:dyDescent="0.35">
      <c r="A226" s="152">
        <f>A225+1</f>
        <v>3</v>
      </c>
      <c r="B226" s="153"/>
      <c r="C226" s="79" t="s">
        <v>370</v>
      </c>
      <c r="D226" s="79">
        <f>(51.437)*10.764</f>
        <v>553.66786799999988</v>
      </c>
      <c r="E226" s="79">
        <f t="shared" ref="E226:E233" si="29">(2.7)*10.764</f>
        <v>29.062799999999999</v>
      </c>
      <c r="F226" s="79">
        <f>D226+E226</f>
        <v>582.73066799999992</v>
      </c>
      <c r="G226" s="90">
        <f>(2.2*3+1.4*5.5+1.8*2.75+1.2*3)*10.764</f>
        <v>245.95740000000001</v>
      </c>
      <c r="H226" s="79">
        <f>F226*(($H$193)+1)+(IF(G226&lt;101,G226,IF(G226&lt;201,G226/2,IF(G226&lt;=301,G226/3,G226/4))))</f>
        <v>926.94526859999985</v>
      </c>
      <c r="I226" s="33"/>
      <c r="L226" s="146"/>
      <c r="M226" s="146"/>
      <c r="N226" s="33"/>
    </row>
    <row r="227" spans="1:20" s="80" customFormat="1" ht="15.75" customHeight="1" x14ac:dyDescent="0.35">
      <c r="A227" s="152">
        <f>A226+1</f>
        <v>4</v>
      </c>
      <c r="B227" s="153"/>
      <c r="C227" s="79" t="s">
        <v>370</v>
      </c>
      <c r="D227" s="79">
        <f>(49.69)*10.764</f>
        <v>534.86315999999999</v>
      </c>
      <c r="E227" s="79">
        <f t="shared" si="29"/>
        <v>29.062799999999999</v>
      </c>
      <c r="F227" s="79">
        <f>D227+E227</f>
        <v>563.92596000000003</v>
      </c>
      <c r="G227" s="90">
        <f>(2*3+1.2*5.5+1.8*2.75)*10.764</f>
        <v>188.90819999999999</v>
      </c>
      <c r="H227" s="79">
        <f>F227*(($H$193)+1)+(IF(G227&lt;101,G227,IF(G227&lt;201,G227/2,IF(G227&lt;=301,G227/3,G227/4))))</f>
        <v>912.14674200000002</v>
      </c>
      <c r="I227" s="33"/>
      <c r="L227" s="146"/>
      <c r="M227" s="146"/>
      <c r="N227" s="33"/>
      <c r="T227" s="18"/>
    </row>
    <row r="228" spans="1:20" s="80" customFormat="1" ht="15.75" customHeight="1" x14ac:dyDescent="0.35">
      <c r="A228" s="152">
        <f t="shared" ref="A228:A231" si="30">A227+1</f>
        <v>5</v>
      </c>
      <c r="B228" s="153"/>
      <c r="C228" s="79" t="s">
        <v>369</v>
      </c>
      <c r="D228" s="79">
        <f>(37.018)*10.764</f>
        <v>398.46175199999999</v>
      </c>
      <c r="E228" s="79">
        <f t="shared" si="29"/>
        <v>29.062799999999999</v>
      </c>
      <c r="F228" s="79">
        <f t="shared" ref="F228:F231" si="31">D228+E228</f>
        <v>427.52455199999997</v>
      </c>
      <c r="G228" s="90">
        <f>(2*2.75+1.2*2.1+2*3.05)*10.764</f>
        <v>151.98767999999998</v>
      </c>
      <c r="H228" s="79">
        <f t="shared" ref="H228:H231" si="32">F228*(($H$193)+1)+(IF(G228&lt;101,G228,IF(G228&lt;201,G228/2,IF(G228&lt;=301,G228/3,G228/4))))</f>
        <v>695.90444039999988</v>
      </c>
      <c r="I228" s="33"/>
      <c r="L228" s="146"/>
      <c r="M228" s="146"/>
      <c r="N228" s="33"/>
      <c r="T228" s="18"/>
    </row>
    <row r="229" spans="1:20" s="80" customFormat="1" ht="15.75" customHeight="1" x14ac:dyDescent="0.35">
      <c r="A229" s="152">
        <f t="shared" si="30"/>
        <v>6</v>
      </c>
      <c r="B229" s="153"/>
      <c r="C229" s="79" t="s">
        <v>370</v>
      </c>
      <c r="D229" s="79">
        <f>(52.658)*10.764</f>
        <v>566.81071199999997</v>
      </c>
      <c r="E229" s="79">
        <f t="shared" si="29"/>
        <v>29.062799999999999</v>
      </c>
      <c r="F229" s="79">
        <f t="shared" si="31"/>
        <v>595.87351200000001</v>
      </c>
      <c r="G229" s="90">
        <f>(3.25*2.2+0.75*2.8+0.6*2.7+1.8*11.2)*10.764</f>
        <v>334.00691999999998</v>
      </c>
      <c r="H229" s="79">
        <f t="shared" si="32"/>
        <v>947.51832239999999</v>
      </c>
      <c r="I229" s="33"/>
      <c r="L229" s="146"/>
      <c r="M229" s="146"/>
      <c r="N229" s="33"/>
      <c r="T229" s="18"/>
    </row>
    <row r="230" spans="1:20" s="80" customFormat="1" ht="15.75" customHeight="1" x14ac:dyDescent="0.35">
      <c r="A230" s="152">
        <f t="shared" si="30"/>
        <v>7</v>
      </c>
      <c r="B230" s="153"/>
      <c r="C230" s="79" t="s">
        <v>369</v>
      </c>
      <c r="D230" s="79">
        <f>(29.945+7.75)*10.764</f>
        <v>405.74897999999996</v>
      </c>
      <c r="E230" s="79">
        <f t="shared" si="29"/>
        <v>29.062799999999999</v>
      </c>
      <c r="F230" s="79">
        <f t="shared" si="31"/>
        <v>434.81177999999994</v>
      </c>
      <c r="G230" s="90">
        <f>(1.45*7.8+0.55*2.7+0.75*2.9)*10.764</f>
        <v>161.13707999999997</v>
      </c>
      <c r="H230" s="79">
        <f t="shared" si="32"/>
        <v>711.04562099999987</v>
      </c>
      <c r="I230" s="33"/>
      <c r="L230" s="146"/>
      <c r="M230" s="146"/>
      <c r="N230" s="33"/>
      <c r="T230" s="18"/>
    </row>
    <row r="231" spans="1:20" s="80" customFormat="1" ht="15.75" customHeight="1" x14ac:dyDescent="0.35">
      <c r="A231" s="152">
        <f t="shared" si="30"/>
        <v>8</v>
      </c>
      <c r="B231" s="153"/>
      <c r="C231" s="79" t="s">
        <v>369</v>
      </c>
      <c r="D231" s="79">
        <f>(29.09+7.75)*10.764</f>
        <v>396.54576000000003</v>
      </c>
      <c r="E231" s="79">
        <f t="shared" si="29"/>
        <v>29.062799999999999</v>
      </c>
      <c r="F231" s="79">
        <f t="shared" si="31"/>
        <v>425.60856000000001</v>
      </c>
      <c r="G231" s="90">
        <f>(1.2*7.8+0.75*(2.9+2.7))*10.764</f>
        <v>145.95983999999999</v>
      </c>
      <c r="H231" s="79">
        <f t="shared" si="32"/>
        <v>690.11233200000004</v>
      </c>
      <c r="I231" s="33"/>
      <c r="L231" s="146"/>
      <c r="M231" s="146"/>
      <c r="N231" s="33"/>
      <c r="T231" s="18"/>
    </row>
    <row r="232" spans="1:20" s="80" customFormat="1" ht="15.75" customHeight="1" x14ac:dyDescent="0.35">
      <c r="A232" s="152">
        <f t="shared" ref="A232:A236" si="33">A231+1</f>
        <v>9</v>
      </c>
      <c r="B232" s="153"/>
      <c r="C232" s="79" t="s">
        <v>369</v>
      </c>
      <c r="D232" s="79">
        <f>(32.708)*10.764</f>
        <v>352.06891199999995</v>
      </c>
      <c r="E232" s="79">
        <f t="shared" si="29"/>
        <v>29.062799999999999</v>
      </c>
      <c r="F232" s="79">
        <f t="shared" ref="F232:F236" si="34">D232+E232</f>
        <v>381.13171199999994</v>
      </c>
      <c r="G232" s="90">
        <f>(0.75*2.7+0.9*8.35)*10.764</f>
        <v>102.68855999999998</v>
      </c>
      <c r="H232" s="79">
        <f t="shared" ref="H232:H236" si="35">F232*(($H$193)+1)+(IF(G232&lt;101,G232,IF(G232&lt;201,G232/2,IF(G232&lt;=301,G232/3,G232/4))))</f>
        <v>603.9852623999999</v>
      </c>
      <c r="I232" s="33"/>
      <c r="L232" s="146"/>
      <c r="M232" s="146"/>
      <c r="N232" s="33"/>
      <c r="T232" s="18"/>
    </row>
    <row r="233" spans="1:20" s="80" customFormat="1" ht="15.75" customHeight="1" x14ac:dyDescent="0.35">
      <c r="A233" s="152">
        <f t="shared" si="33"/>
        <v>10</v>
      </c>
      <c r="B233" s="153"/>
      <c r="C233" s="79" t="s">
        <v>370</v>
      </c>
      <c r="D233" s="79">
        <f>(50.238)*10.764</f>
        <v>540.76183199999991</v>
      </c>
      <c r="E233" s="79">
        <f t="shared" si="29"/>
        <v>29.062799999999999</v>
      </c>
      <c r="F233" s="79">
        <f t="shared" si="34"/>
        <v>569.82463199999995</v>
      </c>
      <c r="G233" s="90">
        <f>(1.1*2.55+2.65*0.75+0.4*(2.4+2.75))*10.764</f>
        <v>73.760310000000004</v>
      </c>
      <c r="H233" s="79">
        <f t="shared" si="35"/>
        <v>900.00602639999988</v>
      </c>
      <c r="I233" s="33"/>
      <c r="L233" s="146"/>
      <c r="M233" s="146"/>
      <c r="N233" s="33"/>
      <c r="T233" s="18"/>
    </row>
    <row r="234" spans="1:20" s="80" customFormat="1" ht="15.75" customHeight="1" x14ac:dyDescent="0.35">
      <c r="A234" s="152">
        <f t="shared" si="33"/>
        <v>11</v>
      </c>
      <c r="B234" s="153"/>
      <c r="C234" s="79" t="s">
        <v>370</v>
      </c>
      <c r="D234" s="79">
        <f>(50.238)*10.764</f>
        <v>540.76183199999991</v>
      </c>
      <c r="E234" s="79">
        <f>(2.7+0.75*3)*10.764</f>
        <v>53.281799999999997</v>
      </c>
      <c r="F234" s="79">
        <f t="shared" si="34"/>
        <v>594.04363199999989</v>
      </c>
      <c r="G234" s="79">
        <v>0</v>
      </c>
      <c r="H234" s="79">
        <f t="shared" si="35"/>
        <v>861.36326639999982</v>
      </c>
      <c r="I234" s="33"/>
      <c r="L234" s="146"/>
      <c r="M234" s="146"/>
      <c r="N234" s="33"/>
      <c r="T234" s="18"/>
    </row>
    <row r="235" spans="1:20" s="80" customFormat="1" ht="15.75" customHeight="1" x14ac:dyDescent="0.35">
      <c r="A235" s="152">
        <f t="shared" si="33"/>
        <v>12</v>
      </c>
      <c r="B235" s="153"/>
      <c r="C235" s="79" t="s">
        <v>369</v>
      </c>
      <c r="D235" s="79">
        <f>(29.09+7.75)*10.764</f>
        <v>396.54576000000003</v>
      </c>
      <c r="E235" s="79">
        <f>(2.7)*10.764</f>
        <v>29.062799999999999</v>
      </c>
      <c r="F235" s="79">
        <f t="shared" si="34"/>
        <v>425.60856000000001</v>
      </c>
      <c r="G235" s="79">
        <v>0</v>
      </c>
      <c r="H235" s="79">
        <f t="shared" si="35"/>
        <v>617.13241200000004</v>
      </c>
      <c r="I235" s="33"/>
      <c r="L235" s="146"/>
      <c r="M235" s="146"/>
      <c r="N235" s="33"/>
      <c r="T235" s="18"/>
    </row>
    <row r="236" spans="1:20" s="80" customFormat="1" ht="15.75" customHeight="1" x14ac:dyDescent="0.35">
      <c r="A236" s="152">
        <f t="shared" si="33"/>
        <v>13</v>
      </c>
      <c r="B236" s="153"/>
      <c r="C236" s="79" t="s">
        <v>369</v>
      </c>
      <c r="D236" s="79">
        <f>(28.6+5.65)*10.764</f>
        <v>368.66699999999997</v>
      </c>
      <c r="E236" s="79">
        <f>(2.7)*10.764</f>
        <v>29.062799999999999</v>
      </c>
      <c r="F236" s="79">
        <f t="shared" si="34"/>
        <v>397.72979999999995</v>
      </c>
      <c r="G236" s="79">
        <v>0</v>
      </c>
      <c r="H236" s="79">
        <f t="shared" si="35"/>
        <v>576.70820999999989</v>
      </c>
      <c r="I236" s="33"/>
      <c r="L236" s="146"/>
      <c r="M236" s="146"/>
      <c r="N236" s="33"/>
      <c r="T236" s="18"/>
    </row>
    <row r="237" spans="1:20" s="80" customFormat="1" x14ac:dyDescent="0.35">
      <c r="A237" s="214" t="s">
        <v>371</v>
      </c>
      <c r="B237" s="214"/>
      <c r="C237" s="214"/>
      <c r="D237" s="214"/>
      <c r="E237" s="214"/>
      <c r="F237" s="214"/>
      <c r="G237" s="214"/>
      <c r="H237" s="214"/>
      <c r="J237" s="33"/>
    </row>
    <row r="238" spans="1:20" s="80" customFormat="1" ht="15.75" customHeight="1" x14ac:dyDescent="0.35">
      <c r="A238" s="147">
        <v>1</v>
      </c>
      <c r="B238" s="147"/>
      <c r="C238" s="95" t="s">
        <v>369</v>
      </c>
      <c r="D238" s="95">
        <f>(29.09+7.75)*10.764</f>
        <v>396.54576000000003</v>
      </c>
      <c r="E238" s="95">
        <f>(2.7)*10.764</f>
        <v>29.062799999999999</v>
      </c>
      <c r="F238" s="95">
        <f>D238+E238</f>
        <v>425.60856000000001</v>
      </c>
      <c r="G238" s="95">
        <v>0</v>
      </c>
      <c r="H238" s="95">
        <f>F238*(($H$193)+1)+(IF(G238&lt;101,G238,IF(G238&lt;201,G238/2,IF(G238&lt;=301,G238/3,G238/4))))</f>
        <v>617.13241200000004</v>
      </c>
      <c r="I238" s="33"/>
      <c r="L238" s="88">
        <v>630</v>
      </c>
      <c r="M238" s="92">
        <f>L238/F238</f>
        <v>1.4802333862833961</v>
      </c>
      <c r="N238" s="33"/>
    </row>
    <row r="239" spans="1:20" s="80" customFormat="1" ht="15.75" customHeight="1" x14ac:dyDescent="0.35">
      <c r="A239" s="147">
        <f>A238+1</f>
        <v>2</v>
      </c>
      <c r="B239" s="147"/>
      <c r="C239" s="95" t="s">
        <v>370</v>
      </c>
      <c r="D239" s="95">
        <f>(51.437)*10.764</f>
        <v>553.66786799999988</v>
      </c>
      <c r="E239" s="95">
        <f>(2.7+0.75*3)*10.764</f>
        <v>53.281799999999997</v>
      </c>
      <c r="F239" s="95">
        <f>D239+E239</f>
        <v>606.94966799999986</v>
      </c>
      <c r="G239" s="95">
        <v>0</v>
      </c>
      <c r="H239" s="95">
        <f>F239*(($H$193)+1)+(IF(G239&lt;101,G239,IF(G239&lt;201,G239/2,IF(G239&lt;=301,G239/3,G239/4))))</f>
        <v>880.07701859999975</v>
      </c>
      <c r="I239" s="33"/>
      <c r="L239" s="88">
        <v>875</v>
      </c>
      <c r="M239" s="92">
        <f t="shared" ref="M239:M250" si="36">L239/F239</f>
        <v>1.4416351900863058</v>
      </c>
      <c r="N239" s="33"/>
    </row>
    <row r="240" spans="1:20" s="80" customFormat="1" ht="15.75" customHeight="1" x14ac:dyDescent="0.35">
      <c r="A240" s="147">
        <f>A239+1</f>
        <v>3</v>
      </c>
      <c r="B240" s="147"/>
      <c r="C240" s="95" t="s">
        <v>370</v>
      </c>
      <c r="D240" s="95">
        <f>(51.437)*10.764</f>
        <v>553.66786799999988</v>
      </c>
      <c r="E240" s="95">
        <f>(2.7+0.75*3)*10.764</f>
        <v>53.281799999999997</v>
      </c>
      <c r="F240" s="95">
        <f>D240+E240</f>
        <v>606.94966799999986</v>
      </c>
      <c r="G240" s="95">
        <v>0</v>
      </c>
      <c r="H240" s="95">
        <f>F240*(($H$193)+1)+(IF(G240&lt;101,G240,IF(G240&lt;201,G240/2,IF(G240&lt;=301,G240/3,G240/4))))</f>
        <v>880.07701859999975</v>
      </c>
      <c r="I240" s="33"/>
      <c r="L240" s="88">
        <v>875</v>
      </c>
      <c r="M240" s="92">
        <f t="shared" si="36"/>
        <v>1.4416351900863058</v>
      </c>
      <c r="N240" s="33"/>
    </row>
    <row r="241" spans="1:20" s="80" customFormat="1" ht="15.75" customHeight="1" x14ac:dyDescent="0.35">
      <c r="A241" s="147">
        <f>A240+1</f>
        <v>4</v>
      </c>
      <c r="B241" s="147"/>
      <c r="C241" s="95" t="s">
        <v>369</v>
      </c>
      <c r="D241" s="95">
        <f>(29.69)*10.764</f>
        <v>319.58316000000002</v>
      </c>
      <c r="E241" s="95">
        <f>(2.7)*10.764</f>
        <v>29.062799999999999</v>
      </c>
      <c r="F241" s="95">
        <f>D241+E241</f>
        <v>348.64596</v>
      </c>
      <c r="G241" s="95">
        <v>0</v>
      </c>
      <c r="H241" s="95">
        <f>F241*(($H$193)+1)+(IF(G241&lt;101,G241,IF(G241&lt;201,G241/2,IF(G241&lt;=301,G241/3,G241/4))))</f>
        <v>505.53664199999997</v>
      </c>
      <c r="I241" s="33"/>
      <c r="L241" s="88">
        <v>565</v>
      </c>
      <c r="M241" s="92">
        <f t="shared" si="36"/>
        <v>1.6205551327771015</v>
      </c>
      <c r="N241" s="33"/>
      <c r="T241" s="18"/>
    </row>
    <row r="242" spans="1:20" s="80" customFormat="1" ht="15.75" customHeight="1" x14ac:dyDescent="0.35">
      <c r="A242" s="147">
        <f t="shared" ref="A242:A245" si="37">A241+1</f>
        <v>5</v>
      </c>
      <c r="B242" s="147"/>
      <c r="C242" s="95" t="s">
        <v>369</v>
      </c>
      <c r="D242" s="95">
        <f>(37.018)*10.764</f>
        <v>398.46175199999999</v>
      </c>
      <c r="E242" s="95">
        <f>(2.7)*10.764</f>
        <v>29.062799999999999</v>
      </c>
      <c r="F242" s="95">
        <f t="shared" ref="F242:F245" si="38">D242+E242</f>
        <v>427.52455199999997</v>
      </c>
      <c r="G242" s="95">
        <v>0</v>
      </c>
      <c r="H242" s="95">
        <f t="shared" ref="H242:H245" si="39">F242*(($H$193)+1)+(IF(G242&lt;101,G242,IF(G242&lt;201,G242/2,IF(G242&lt;=301,G242/3,G242/4))))</f>
        <v>619.91060039999991</v>
      </c>
      <c r="I242" s="33"/>
      <c r="L242" s="88">
        <v>630</v>
      </c>
      <c r="M242" s="92">
        <f t="shared" si="36"/>
        <v>1.4735995793757362</v>
      </c>
      <c r="N242" s="33"/>
      <c r="T242" s="18"/>
    </row>
    <row r="243" spans="1:20" s="80" customFormat="1" ht="15.75" customHeight="1" x14ac:dyDescent="0.35">
      <c r="A243" s="147">
        <f t="shared" si="37"/>
        <v>6</v>
      </c>
      <c r="B243" s="147"/>
      <c r="C243" s="95" t="s">
        <v>370</v>
      </c>
      <c r="D243" s="95">
        <f>(52.658)*10.764</f>
        <v>566.81071199999997</v>
      </c>
      <c r="E243" s="95">
        <f>(2.7+0.75*3)*10.764</f>
        <v>53.281799999999997</v>
      </c>
      <c r="F243" s="95">
        <f t="shared" si="38"/>
        <v>620.09251199999994</v>
      </c>
      <c r="G243" s="95">
        <v>0</v>
      </c>
      <c r="H243" s="95">
        <f t="shared" si="39"/>
        <v>899.13414239999986</v>
      </c>
      <c r="I243" s="33"/>
      <c r="L243" s="88">
        <v>875</v>
      </c>
      <c r="M243" s="92">
        <f t="shared" si="36"/>
        <v>1.4110797712712908</v>
      </c>
      <c r="N243" s="33"/>
      <c r="T243" s="18"/>
    </row>
    <row r="244" spans="1:20" s="80" customFormat="1" ht="15.75" customHeight="1" x14ac:dyDescent="0.35">
      <c r="A244" s="147">
        <f t="shared" si="37"/>
        <v>7</v>
      </c>
      <c r="B244" s="147"/>
      <c r="C244" s="95" t="s">
        <v>369</v>
      </c>
      <c r="D244" s="95">
        <f>(29.945+7.75)*10.764</f>
        <v>405.74897999999996</v>
      </c>
      <c r="E244" s="95">
        <f>(2.7)*10.764</f>
        <v>29.062799999999999</v>
      </c>
      <c r="F244" s="95">
        <f t="shared" si="38"/>
        <v>434.81177999999994</v>
      </c>
      <c r="G244" s="95">
        <v>0</v>
      </c>
      <c r="H244" s="95">
        <f t="shared" si="39"/>
        <v>630.47708099999988</v>
      </c>
      <c r="I244" s="33"/>
      <c r="L244" s="88">
        <v>630</v>
      </c>
      <c r="M244" s="92">
        <f t="shared" si="36"/>
        <v>1.448902787316388</v>
      </c>
      <c r="N244" s="33"/>
      <c r="T244" s="18"/>
    </row>
    <row r="245" spans="1:20" s="80" customFormat="1" ht="15.75" customHeight="1" x14ac:dyDescent="0.35">
      <c r="A245" s="147">
        <f t="shared" si="37"/>
        <v>8</v>
      </c>
      <c r="B245" s="147"/>
      <c r="C245" s="95" t="s">
        <v>369</v>
      </c>
      <c r="D245" s="95">
        <f>(29.09+7.75)*10.764</f>
        <v>396.54576000000003</v>
      </c>
      <c r="E245" s="95">
        <f>(2.7)*10.764</f>
        <v>29.062799999999999</v>
      </c>
      <c r="F245" s="95">
        <f t="shared" si="38"/>
        <v>425.60856000000001</v>
      </c>
      <c r="G245" s="95">
        <v>0</v>
      </c>
      <c r="H245" s="95">
        <f t="shared" si="39"/>
        <v>617.13241200000004</v>
      </c>
      <c r="I245" s="33"/>
      <c r="L245" s="88">
        <v>630</v>
      </c>
      <c r="M245" s="92">
        <f t="shared" si="36"/>
        <v>1.4802333862833961</v>
      </c>
      <c r="N245" s="33"/>
      <c r="T245" s="18"/>
    </row>
    <row r="246" spans="1:20" s="80" customFormat="1" ht="15.75" customHeight="1" x14ac:dyDescent="0.35">
      <c r="A246" s="147">
        <f t="shared" ref="A246:A250" si="40">A245+1</f>
        <v>9</v>
      </c>
      <c r="B246" s="147"/>
      <c r="C246" s="95" t="s">
        <v>369</v>
      </c>
      <c r="D246" s="95">
        <f>(32.708)*10.764</f>
        <v>352.06891199999995</v>
      </c>
      <c r="E246" s="95">
        <f>(2.7)*10.764</f>
        <v>29.062799999999999</v>
      </c>
      <c r="F246" s="95">
        <f t="shared" ref="F246:F250" si="41">D246+E246</f>
        <v>381.13171199999994</v>
      </c>
      <c r="G246" s="95">
        <v>0</v>
      </c>
      <c r="H246" s="95">
        <f t="shared" ref="H246:H250" si="42">F246*(($H$193)+1)+(IF(G246&lt;101,G246,IF(G246&lt;201,G246/2,IF(G246&lt;=301,G246/3,G246/4))))</f>
        <v>552.64098239999987</v>
      </c>
      <c r="I246" s="33"/>
      <c r="L246" s="88">
        <v>565</v>
      </c>
      <c r="M246" s="92">
        <f t="shared" si="36"/>
        <v>1.4824271563107299</v>
      </c>
      <c r="N246" s="33"/>
      <c r="T246" s="18"/>
    </row>
    <row r="247" spans="1:20" s="80" customFormat="1" ht="15.75" customHeight="1" x14ac:dyDescent="0.35">
      <c r="A247" s="147">
        <f t="shared" si="40"/>
        <v>10</v>
      </c>
      <c r="B247" s="147"/>
      <c r="C247" s="95" t="s">
        <v>370</v>
      </c>
      <c r="D247" s="95">
        <f>(50.238)*10.764</f>
        <v>540.76183199999991</v>
      </c>
      <c r="E247" s="95">
        <f>(2.7+0.75*3)*10.764</f>
        <v>53.281799999999997</v>
      </c>
      <c r="F247" s="95">
        <f t="shared" si="41"/>
        <v>594.04363199999989</v>
      </c>
      <c r="G247" s="95">
        <v>0</v>
      </c>
      <c r="H247" s="95">
        <f t="shared" si="42"/>
        <v>861.36326639999982</v>
      </c>
      <c r="I247" s="33"/>
      <c r="J247" s="80">
        <f>3600000/H247</f>
        <v>4179.4213201660168</v>
      </c>
      <c r="L247" s="88">
        <v>875</v>
      </c>
      <c r="M247" s="92">
        <f t="shared" si="36"/>
        <v>1.4729557777668427</v>
      </c>
      <c r="N247" s="33"/>
      <c r="T247" s="18"/>
    </row>
    <row r="248" spans="1:20" s="80" customFormat="1" ht="15.75" customHeight="1" x14ac:dyDescent="0.35">
      <c r="A248" s="147">
        <f t="shared" si="40"/>
        <v>11</v>
      </c>
      <c r="B248" s="147"/>
      <c r="C248" s="95" t="s">
        <v>370</v>
      </c>
      <c r="D248" s="95">
        <f>(50.238)*10.764</f>
        <v>540.76183199999991</v>
      </c>
      <c r="E248" s="95">
        <f>(2.7+0.75*3)*10.764</f>
        <v>53.281799999999997</v>
      </c>
      <c r="F248" s="95">
        <f t="shared" si="41"/>
        <v>594.04363199999989</v>
      </c>
      <c r="G248" s="95">
        <v>0</v>
      </c>
      <c r="H248" s="95">
        <f t="shared" si="42"/>
        <v>861.36326639999982</v>
      </c>
      <c r="I248" s="33"/>
      <c r="L248" s="88">
        <v>875</v>
      </c>
      <c r="M248" s="92">
        <f t="shared" si="36"/>
        <v>1.4729557777668427</v>
      </c>
      <c r="N248" s="33"/>
      <c r="T248" s="18"/>
    </row>
    <row r="249" spans="1:20" s="80" customFormat="1" ht="15.75" customHeight="1" x14ac:dyDescent="0.35">
      <c r="A249" s="147">
        <f t="shared" si="40"/>
        <v>12</v>
      </c>
      <c r="B249" s="147"/>
      <c r="C249" s="95" t="s">
        <v>369</v>
      </c>
      <c r="D249" s="95">
        <f>(29.09+7.75)*10.764</f>
        <v>396.54576000000003</v>
      </c>
      <c r="E249" s="95">
        <f>(2.7)*10.764</f>
        <v>29.062799999999999</v>
      </c>
      <c r="F249" s="95">
        <f t="shared" si="41"/>
        <v>425.60856000000001</v>
      </c>
      <c r="G249" s="95">
        <v>0</v>
      </c>
      <c r="H249" s="95">
        <f t="shared" si="42"/>
        <v>617.13241200000004</v>
      </c>
      <c r="I249" s="33"/>
      <c r="L249" s="88">
        <v>630</v>
      </c>
      <c r="M249" s="92">
        <f t="shared" si="36"/>
        <v>1.4802333862833961</v>
      </c>
      <c r="N249" s="33"/>
      <c r="T249" s="18"/>
    </row>
    <row r="250" spans="1:20" s="80" customFormat="1" ht="15.75" customHeight="1" x14ac:dyDescent="0.35">
      <c r="A250" s="152">
        <f t="shared" si="40"/>
        <v>13</v>
      </c>
      <c r="B250" s="153"/>
      <c r="C250" s="79" t="s">
        <v>369</v>
      </c>
      <c r="D250" s="79">
        <f>(28.6+5.65)*10.764</f>
        <v>368.66699999999997</v>
      </c>
      <c r="E250" s="79">
        <f>(2.7)*10.764</f>
        <v>29.062799999999999</v>
      </c>
      <c r="F250" s="79">
        <f t="shared" si="41"/>
        <v>397.72979999999995</v>
      </c>
      <c r="G250" s="79">
        <v>0</v>
      </c>
      <c r="H250" s="79">
        <f t="shared" si="42"/>
        <v>576.70820999999989</v>
      </c>
      <c r="I250" s="33"/>
      <c r="L250" s="88">
        <v>565</v>
      </c>
      <c r="M250" s="92">
        <f t="shared" si="36"/>
        <v>1.420562401912052</v>
      </c>
      <c r="N250" s="33"/>
      <c r="T250" s="18"/>
    </row>
    <row r="251" spans="1:20" s="80" customFormat="1" x14ac:dyDescent="0.35">
      <c r="A251" s="159" t="s">
        <v>376</v>
      </c>
      <c r="B251" s="160"/>
      <c r="C251" s="160"/>
      <c r="D251" s="160"/>
      <c r="E251" s="160"/>
      <c r="F251" s="160"/>
      <c r="G251" s="160"/>
      <c r="H251" s="161"/>
      <c r="J251" s="33"/>
      <c r="L251" s="88"/>
      <c r="M251" s="88"/>
    </row>
    <row r="252" spans="1:20" s="80" customFormat="1" ht="15.75" customHeight="1" x14ac:dyDescent="0.35">
      <c r="A252" s="152">
        <v>1</v>
      </c>
      <c r="B252" s="153"/>
      <c r="C252" s="79" t="s">
        <v>369</v>
      </c>
      <c r="D252" s="79">
        <f>(29.09+7.75)*10.764</f>
        <v>396.54576000000003</v>
      </c>
      <c r="E252" s="79">
        <f>(2.7)*10.764</f>
        <v>29.062799999999999</v>
      </c>
      <c r="F252" s="79">
        <f>D252+E252</f>
        <v>425.60856000000001</v>
      </c>
      <c r="G252" s="79">
        <v>0</v>
      </c>
      <c r="H252" s="79">
        <f>F252*(($H$193)+1)+(IF(G252&lt;101,G252,IF(G252&lt;201,G252/2,IF(G252&lt;=301,G252/3,G252/4))))</f>
        <v>617.13241200000004</v>
      </c>
      <c r="I252" s="33"/>
      <c r="L252" s="146"/>
      <c r="M252" s="146"/>
      <c r="N252" s="33"/>
    </row>
    <row r="253" spans="1:20" s="80" customFormat="1" ht="15.75" customHeight="1" x14ac:dyDescent="0.35">
      <c r="A253" s="152">
        <f>A252+1</f>
        <v>2</v>
      </c>
      <c r="B253" s="153"/>
      <c r="C253" s="79" t="s">
        <v>370</v>
      </c>
      <c r="D253" s="79">
        <f>(51.437)*10.764</f>
        <v>553.66786799999988</v>
      </c>
      <c r="E253" s="79">
        <f>(2.7+0.75*3)*10.764</f>
        <v>53.281799999999997</v>
      </c>
      <c r="F253" s="79">
        <f>D253+E253</f>
        <v>606.94966799999986</v>
      </c>
      <c r="G253" s="79">
        <v>0</v>
      </c>
      <c r="H253" s="79">
        <f>F253*(($H$193)+1)+(IF(G253&lt;101,G253,IF(G253&lt;201,G253/2,IF(G253&lt;=301,G253/3,G253/4))))</f>
        <v>880.07701859999975</v>
      </c>
      <c r="I253" s="33"/>
      <c r="L253" s="146"/>
      <c r="M253" s="146"/>
      <c r="N253" s="33"/>
    </row>
    <row r="254" spans="1:20" s="80" customFormat="1" ht="15.75" customHeight="1" x14ac:dyDescent="0.35">
      <c r="A254" s="152">
        <f>A253+1</f>
        <v>3</v>
      </c>
      <c r="B254" s="153"/>
      <c r="C254" s="79" t="s">
        <v>370</v>
      </c>
      <c r="D254" s="79">
        <f>(51.437)*10.764</f>
        <v>553.66786799999988</v>
      </c>
      <c r="E254" s="79">
        <f>(2.7+0.75*3)*10.764</f>
        <v>53.281799999999997</v>
      </c>
      <c r="F254" s="79">
        <f>D254+E254</f>
        <v>606.94966799999986</v>
      </c>
      <c r="G254" s="79">
        <v>0</v>
      </c>
      <c r="H254" s="79">
        <f>F254*(($H$193)+1)+(IF(G254&lt;101,G254,IF(G254&lt;201,G254/2,IF(G254&lt;=301,G254/3,G254/4))))</f>
        <v>880.07701859999975</v>
      </c>
      <c r="I254" s="33"/>
      <c r="L254" s="146"/>
      <c r="M254" s="146"/>
      <c r="N254" s="33"/>
    </row>
    <row r="255" spans="1:20" s="80" customFormat="1" ht="15.75" customHeight="1" x14ac:dyDescent="0.35">
      <c r="A255" s="152">
        <f>A254+1</f>
        <v>4</v>
      </c>
      <c r="B255" s="153"/>
      <c r="C255" s="79" t="s">
        <v>369</v>
      </c>
      <c r="D255" s="79">
        <f>(29.69)*10.764</f>
        <v>319.58316000000002</v>
      </c>
      <c r="E255" s="79">
        <f>(2.7)*10.764</f>
        <v>29.062799999999999</v>
      </c>
      <c r="F255" s="79">
        <f>D255+E255</f>
        <v>348.64596</v>
      </c>
      <c r="G255" s="79">
        <v>0</v>
      </c>
      <c r="H255" s="79">
        <f>F255*(($H$193)+1)+(IF(G255&lt;101,G255,IF(G255&lt;201,G255/2,IF(G255&lt;=301,G255/3,G255/4))))</f>
        <v>505.53664199999997</v>
      </c>
      <c r="I255" s="33"/>
      <c r="L255" s="146"/>
      <c r="M255" s="146"/>
      <c r="N255" s="33"/>
      <c r="T255" s="18"/>
    </row>
    <row r="256" spans="1:20" s="80" customFormat="1" ht="15.75" customHeight="1" x14ac:dyDescent="0.35">
      <c r="A256" s="152">
        <f t="shared" ref="A256:A259" si="43">A255+1</f>
        <v>5</v>
      </c>
      <c r="B256" s="153"/>
      <c r="C256" s="79" t="s">
        <v>369</v>
      </c>
      <c r="D256" s="79">
        <f>(37.018)*10.764</f>
        <v>398.46175199999999</v>
      </c>
      <c r="E256" s="79">
        <f>(2.7)*10.764</f>
        <v>29.062799999999999</v>
      </c>
      <c r="F256" s="79">
        <f t="shared" ref="F256:F259" si="44">D256+E256</f>
        <v>427.52455199999997</v>
      </c>
      <c r="G256" s="79">
        <v>0</v>
      </c>
      <c r="H256" s="79">
        <f t="shared" ref="H256:H259" si="45">F256*(($H$193)+1)+(IF(G256&lt;101,G256,IF(G256&lt;201,G256/2,IF(G256&lt;=301,G256/3,G256/4))))</f>
        <v>619.91060039999991</v>
      </c>
      <c r="I256" s="33"/>
      <c r="L256" s="146"/>
      <c r="M256" s="146"/>
      <c r="N256" s="33"/>
      <c r="T256" s="18"/>
    </row>
    <row r="257" spans="1:20" s="80" customFormat="1" ht="15.75" customHeight="1" x14ac:dyDescent="0.35">
      <c r="A257" s="152">
        <f t="shared" si="43"/>
        <v>6</v>
      </c>
      <c r="B257" s="153"/>
      <c r="C257" s="79" t="s">
        <v>370</v>
      </c>
      <c r="D257" s="79">
        <f>(52.658)*10.764</f>
        <v>566.81071199999997</v>
      </c>
      <c r="E257" s="79">
        <f>(2.7+0.75*3)*10.764</f>
        <v>53.281799999999997</v>
      </c>
      <c r="F257" s="79">
        <f t="shared" si="44"/>
        <v>620.09251199999994</v>
      </c>
      <c r="G257" s="79">
        <v>0</v>
      </c>
      <c r="H257" s="79">
        <f t="shared" si="45"/>
        <v>899.13414239999986</v>
      </c>
      <c r="I257" s="33"/>
      <c r="L257" s="146"/>
      <c r="M257" s="146"/>
      <c r="N257" s="33"/>
      <c r="T257" s="18"/>
    </row>
    <row r="258" spans="1:20" s="80" customFormat="1" ht="15.75" customHeight="1" x14ac:dyDescent="0.35">
      <c r="A258" s="152">
        <f t="shared" si="43"/>
        <v>7</v>
      </c>
      <c r="B258" s="153"/>
      <c r="C258" s="79" t="s">
        <v>369</v>
      </c>
      <c r="D258" s="79">
        <f>(29.945+7.75)*10.764</f>
        <v>405.74897999999996</v>
      </c>
      <c r="E258" s="79">
        <f>(2.7)*10.764</f>
        <v>29.062799999999999</v>
      </c>
      <c r="F258" s="79">
        <f t="shared" si="44"/>
        <v>434.81177999999994</v>
      </c>
      <c r="G258" s="79">
        <v>0</v>
      </c>
      <c r="H258" s="79">
        <f t="shared" si="45"/>
        <v>630.47708099999988</v>
      </c>
      <c r="I258" s="33"/>
      <c r="L258" s="146"/>
      <c r="M258" s="146"/>
      <c r="N258" s="33"/>
      <c r="T258" s="18"/>
    </row>
    <row r="259" spans="1:20" s="80" customFormat="1" ht="15.75" customHeight="1" x14ac:dyDescent="0.35">
      <c r="A259" s="152">
        <f t="shared" si="43"/>
        <v>8</v>
      </c>
      <c r="B259" s="153"/>
      <c r="C259" s="79" t="s">
        <v>369</v>
      </c>
      <c r="D259" s="79">
        <f>(29.09+7.75)*10.764</f>
        <v>396.54576000000003</v>
      </c>
      <c r="E259" s="79">
        <f>(2.7)*10.764</f>
        <v>29.062799999999999</v>
      </c>
      <c r="F259" s="79">
        <f t="shared" si="44"/>
        <v>425.60856000000001</v>
      </c>
      <c r="G259" s="79">
        <v>0</v>
      </c>
      <c r="H259" s="79">
        <f t="shared" si="45"/>
        <v>617.13241200000004</v>
      </c>
      <c r="I259" s="33"/>
      <c r="L259" s="146"/>
      <c r="M259" s="146"/>
      <c r="N259" s="33"/>
      <c r="T259" s="18"/>
    </row>
    <row r="260" spans="1:20" s="80" customFormat="1" ht="15.75" customHeight="1" x14ac:dyDescent="0.35">
      <c r="A260" s="152">
        <f t="shared" ref="A260:A264" si="46">A259+1</f>
        <v>9</v>
      </c>
      <c r="B260" s="153"/>
      <c r="C260" s="79" t="s">
        <v>369</v>
      </c>
      <c r="D260" s="79">
        <f>(32.708)*10.764</f>
        <v>352.06891199999995</v>
      </c>
      <c r="E260" s="79">
        <f>(2.7)*10.764</f>
        <v>29.062799999999999</v>
      </c>
      <c r="F260" s="79">
        <f t="shared" ref="F260:F263" si="47">D260+E260</f>
        <v>381.13171199999994</v>
      </c>
      <c r="G260" s="79">
        <v>0</v>
      </c>
      <c r="H260" s="79">
        <f t="shared" ref="H260:H263" si="48">F260*(($H$193)+1)+(IF(G260&lt;101,G260,IF(G260&lt;201,G260/2,IF(G260&lt;=301,G260/3,G260/4))))</f>
        <v>552.64098239999987</v>
      </c>
      <c r="I260" s="33"/>
      <c r="L260" s="146"/>
      <c r="M260" s="146"/>
      <c r="N260" s="33"/>
      <c r="T260" s="18"/>
    </row>
    <row r="261" spans="1:20" s="80" customFormat="1" ht="15.75" customHeight="1" x14ac:dyDescent="0.35">
      <c r="A261" s="152">
        <f t="shared" si="46"/>
        <v>10</v>
      </c>
      <c r="B261" s="153"/>
      <c r="C261" s="79" t="s">
        <v>370</v>
      </c>
      <c r="D261" s="79">
        <f>(50.238)*10.764</f>
        <v>540.76183199999991</v>
      </c>
      <c r="E261" s="79">
        <f>(2.7+0.75*3)*10.764</f>
        <v>53.281799999999997</v>
      </c>
      <c r="F261" s="79">
        <f t="shared" si="47"/>
        <v>594.04363199999989</v>
      </c>
      <c r="G261" s="79">
        <v>0</v>
      </c>
      <c r="H261" s="79">
        <f t="shared" si="48"/>
        <v>861.36326639999982</v>
      </c>
      <c r="I261" s="33"/>
      <c r="L261" s="146"/>
      <c r="M261" s="146"/>
      <c r="N261" s="33"/>
      <c r="T261" s="18"/>
    </row>
    <row r="262" spans="1:20" s="80" customFormat="1" ht="15.75" customHeight="1" x14ac:dyDescent="0.35">
      <c r="A262" s="152">
        <f t="shared" si="46"/>
        <v>11</v>
      </c>
      <c r="B262" s="153"/>
      <c r="C262" s="79" t="s">
        <v>370</v>
      </c>
      <c r="D262" s="79">
        <f>(50.238)*10.764</f>
        <v>540.76183199999991</v>
      </c>
      <c r="E262" s="79">
        <f>(2.7+0.75*3)*10.764</f>
        <v>53.281799999999997</v>
      </c>
      <c r="F262" s="79">
        <f t="shared" si="47"/>
        <v>594.04363199999989</v>
      </c>
      <c r="G262" s="79">
        <v>0</v>
      </c>
      <c r="H262" s="79">
        <f t="shared" si="48"/>
        <v>861.36326639999982</v>
      </c>
      <c r="I262" s="33"/>
      <c r="L262" s="146"/>
      <c r="M262" s="146"/>
      <c r="N262" s="33"/>
      <c r="T262" s="18"/>
    </row>
    <row r="263" spans="1:20" s="80" customFormat="1" ht="15.75" customHeight="1" x14ac:dyDescent="0.35">
      <c r="A263" s="152">
        <f t="shared" si="46"/>
        <v>12</v>
      </c>
      <c r="B263" s="153"/>
      <c r="C263" s="79" t="s">
        <v>369</v>
      </c>
      <c r="D263" s="79">
        <f>(29.09+7.75)*10.764</f>
        <v>396.54576000000003</v>
      </c>
      <c r="E263" s="79">
        <f>(2.7)*10.764</f>
        <v>29.062799999999999</v>
      </c>
      <c r="F263" s="79">
        <f t="shared" si="47"/>
        <v>425.60856000000001</v>
      </c>
      <c r="G263" s="79">
        <v>0</v>
      </c>
      <c r="H263" s="79">
        <f t="shared" si="48"/>
        <v>617.13241200000004</v>
      </c>
      <c r="I263" s="33"/>
      <c r="L263" s="146"/>
      <c r="M263" s="146"/>
      <c r="N263" s="33"/>
      <c r="T263" s="18"/>
    </row>
    <row r="264" spans="1:20" s="80" customFormat="1" ht="15.75" customHeight="1" x14ac:dyDescent="0.35">
      <c r="A264" s="152">
        <f t="shared" si="46"/>
        <v>13</v>
      </c>
      <c r="B264" s="153"/>
      <c r="C264" s="152" t="s">
        <v>377</v>
      </c>
      <c r="D264" s="239"/>
      <c r="E264" s="239"/>
      <c r="F264" s="239"/>
      <c r="G264" s="239"/>
      <c r="H264" s="153"/>
      <c r="I264" s="33"/>
      <c r="L264" s="146"/>
      <c r="M264" s="146"/>
      <c r="N264" s="33"/>
      <c r="T264" s="18"/>
    </row>
    <row r="265" spans="1:20" s="80" customFormat="1" x14ac:dyDescent="0.35">
      <c r="A265" s="214" t="s">
        <v>382</v>
      </c>
      <c r="B265" s="214"/>
      <c r="C265" s="214"/>
      <c r="D265" s="214"/>
      <c r="E265" s="214"/>
      <c r="F265" s="214"/>
      <c r="G265" s="214"/>
      <c r="H265" s="214"/>
      <c r="I265" s="33"/>
      <c r="L265" s="146"/>
      <c r="M265" s="146"/>
    </row>
    <row r="266" spans="1:20" s="80" customFormat="1" x14ac:dyDescent="0.35">
      <c r="A266" s="214" t="s">
        <v>380</v>
      </c>
      <c r="B266" s="214"/>
      <c r="C266" s="214"/>
      <c r="D266" s="214"/>
      <c r="E266" s="214"/>
      <c r="F266" s="214"/>
      <c r="G266" s="214"/>
      <c r="H266" s="214"/>
      <c r="I266" s="33"/>
      <c r="L266" s="146"/>
      <c r="M266" s="146"/>
    </row>
    <row r="267" spans="1:20" s="34" customFormat="1" x14ac:dyDescent="0.35">
      <c r="A267" s="214" t="s">
        <v>381</v>
      </c>
      <c r="B267" s="214"/>
      <c r="C267" s="214"/>
      <c r="D267" s="214"/>
      <c r="E267" s="214"/>
      <c r="F267" s="214"/>
      <c r="G267" s="214"/>
      <c r="H267" s="214"/>
      <c r="I267" s="33"/>
      <c r="L267" s="146"/>
      <c r="M267" s="146"/>
      <c r="N267" s="79">
        <v>10.763999999999999</v>
      </c>
    </row>
    <row r="268" spans="1:20" s="34" customFormat="1" x14ac:dyDescent="0.35">
      <c r="A268" s="147">
        <v>1</v>
      </c>
      <c r="B268" s="147"/>
      <c r="C268" s="39" t="s">
        <v>369</v>
      </c>
      <c r="D268" s="79">
        <f>(29.558+2.75)*10.764</f>
        <v>347.76331199999998</v>
      </c>
      <c r="E268" s="79">
        <f>(1.85)*10.764</f>
        <v>19.913399999999999</v>
      </c>
      <c r="F268" s="50">
        <f>D268+E268</f>
        <v>367.67671200000001</v>
      </c>
      <c r="G268" s="50">
        <v>0</v>
      </c>
      <c r="H268" s="50">
        <f>F268*(($H$193)+1)+(IF(G268&lt;101,G268,IF(G268&lt;201,G268/2,IF(G268&lt;=301,G268/3,G268/4))))</f>
        <v>533.13123240000004</v>
      </c>
      <c r="I268" s="33"/>
      <c r="J268" s="34">
        <f>3.3*2.75+2.2*2.15+3.2*2.75+1.5*1.2+1.2*0.9+0.6*1.2+0.9*2.4</f>
        <v>28.364999999999998</v>
      </c>
      <c r="K268" s="34">
        <f>2.75*1</f>
        <v>2.75</v>
      </c>
      <c r="L268" s="34">
        <v>565</v>
      </c>
      <c r="M268" s="92">
        <f>L268/F268</f>
        <v>1.5366760568724842</v>
      </c>
      <c r="N268" s="33"/>
    </row>
    <row r="269" spans="1:20" s="34" customFormat="1" x14ac:dyDescent="0.35">
      <c r="A269" s="147">
        <f>A268+1</f>
        <v>2</v>
      </c>
      <c r="B269" s="147"/>
      <c r="C269" s="39" t="s">
        <v>369</v>
      </c>
      <c r="D269" s="79">
        <f>(29.558+2.75)*10.764</f>
        <v>347.76331199999998</v>
      </c>
      <c r="E269" s="79">
        <f>(1.85)*10.764</f>
        <v>19.913399999999999</v>
      </c>
      <c r="F269" s="50">
        <f>D269+E269</f>
        <v>367.67671200000001</v>
      </c>
      <c r="G269" s="50">
        <v>0</v>
      </c>
      <c r="H269" s="50">
        <f>F269*(($H$193)+1)+(IF(G269&lt;101,G269,IF(G269&lt;201,G269/2,IF(G269&lt;=301,G269/3,G269/4))))</f>
        <v>533.13123240000004</v>
      </c>
      <c r="I269" s="33"/>
      <c r="L269" s="88">
        <v>565</v>
      </c>
      <c r="M269" s="92">
        <f t="shared" ref="M269:M272" si="49">L269/F269</f>
        <v>1.5366760568724842</v>
      </c>
      <c r="N269" s="33"/>
    </row>
    <row r="270" spans="1:20" s="34" customFormat="1" x14ac:dyDescent="0.35">
      <c r="A270" s="147">
        <f>A269+1</f>
        <v>3</v>
      </c>
      <c r="B270" s="147"/>
      <c r="C270" s="39" t="s">
        <v>369</v>
      </c>
      <c r="D270" s="79">
        <f>(29.558+2.75)*10.764</f>
        <v>347.76331199999998</v>
      </c>
      <c r="E270" s="79">
        <f>(1.85)*10.764</f>
        <v>19.913399999999999</v>
      </c>
      <c r="F270" s="50">
        <f>D270+E270</f>
        <v>367.67671200000001</v>
      </c>
      <c r="G270" s="50">
        <v>0</v>
      </c>
      <c r="H270" s="50">
        <f>F270*(($H$193)+1)+(IF(G270&lt;101,G270,IF(G270&lt;201,G270/2,IF(G270&lt;=301,G270/3,G270/4))))</f>
        <v>533.13123240000004</v>
      </c>
      <c r="I270" s="33"/>
      <c r="L270" s="88">
        <v>565</v>
      </c>
      <c r="M270" s="92">
        <f t="shared" si="49"/>
        <v>1.5366760568724842</v>
      </c>
      <c r="N270" s="33"/>
    </row>
    <row r="271" spans="1:20" s="34" customFormat="1" x14ac:dyDescent="0.35">
      <c r="A271" s="147">
        <f>A270+1</f>
        <v>4</v>
      </c>
      <c r="B271" s="147"/>
      <c r="C271" s="39" t="s">
        <v>369</v>
      </c>
      <c r="D271" s="79">
        <f>(29.558+2.75)*10.764</f>
        <v>347.76331199999998</v>
      </c>
      <c r="E271" s="79">
        <f>(1.85)*10.764</f>
        <v>19.913399999999999</v>
      </c>
      <c r="F271" s="50">
        <f>D271+E271</f>
        <v>367.67671200000001</v>
      </c>
      <c r="G271" s="50">
        <v>0</v>
      </c>
      <c r="H271" s="50">
        <f>F271*(($H$193)+1)+(IF(G271&lt;101,G271,IF(G271&lt;201,G271/2,IF(G271&lt;=301,G271/3,G271/4))))</f>
        <v>533.13123240000004</v>
      </c>
      <c r="I271" s="33"/>
      <c r="L271" s="88">
        <v>565</v>
      </c>
      <c r="M271" s="92">
        <f t="shared" si="49"/>
        <v>1.5366760568724842</v>
      </c>
      <c r="N271" s="33"/>
    </row>
    <row r="272" spans="1:20" s="34" customFormat="1" x14ac:dyDescent="0.35">
      <c r="A272" s="147">
        <f>A271+1</f>
        <v>5</v>
      </c>
      <c r="B272" s="147"/>
      <c r="C272" s="39" t="s">
        <v>369</v>
      </c>
      <c r="D272" s="79">
        <f>(28.695+5.5)*10.764</f>
        <v>368.07497999999998</v>
      </c>
      <c r="E272" s="79">
        <f>(1.85)*10.764</f>
        <v>19.913399999999999</v>
      </c>
      <c r="F272" s="50">
        <f>D272+E272</f>
        <v>387.98838000000001</v>
      </c>
      <c r="G272" s="50">
        <v>0</v>
      </c>
      <c r="H272" s="50">
        <f>F272*(($H$193)+1)+(IF(G272&lt;101,G272,IF(G272&lt;201,G272/2,IF(G272&lt;=301,G272/3,G272/4))))</f>
        <v>562.58315100000004</v>
      </c>
      <c r="I272" s="33"/>
      <c r="L272" s="88">
        <v>565</v>
      </c>
      <c r="M272" s="92">
        <f t="shared" si="49"/>
        <v>1.4562291788223143</v>
      </c>
      <c r="N272" s="33"/>
    </row>
    <row r="273" spans="1:20" s="32" customFormat="1" x14ac:dyDescent="0.35">
      <c r="A273" s="238" t="s">
        <v>65</v>
      </c>
      <c r="B273" s="238"/>
      <c r="C273" s="238"/>
      <c r="D273" s="238"/>
      <c r="E273" s="238"/>
      <c r="F273" s="238"/>
      <c r="G273" s="238"/>
      <c r="H273" s="238"/>
      <c r="T273" s="34"/>
    </row>
    <row r="274" spans="1:20" s="32" customFormat="1" ht="32.15" customHeight="1" x14ac:dyDescent="0.35">
      <c r="A274" s="41" t="s">
        <v>148</v>
      </c>
      <c r="B274" s="143" t="s">
        <v>407</v>
      </c>
      <c r="C274" s="144"/>
      <c r="D274" s="144"/>
      <c r="E274" s="144"/>
      <c r="F274" s="144"/>
      <c r="G274" s="144"/>
      <c r="H274" s="145"/>
      <c r="T274" s="34"/>
    </row>
    <row r="275" spans="1:20" s="32" customFormat="1" x14ac:dyDescent="0.35">
      <c r="A275" s="41" t="s">
        <v>148</v>
      </c>
      <c r="B275" s="143" t="str">
        <f>(IF(H192="Saleable area Loading :","We have considered Saleable area of Flats as per our Calculation.","We considered Saleable area of Flat as per Builder area Sheet."))</f>
        <v>We have considered Saleable area of Flats as per our Calculation.</v>
      </c>
      <c r="C275" s="144"/>
      <c r="D275" s="144"/>
      <c r="E275" s="144"/>
      <c r="F275" s="144"/>
      <c r="G275" s="144"/>
      <c r="H275" s="145"/>
      <c r="T275" s="34"/>
    </row>
    <row r="276" spans="1:20" s="32" customFormat="1" x14ac:dyDescent="0.35">
      <c r="A276" s="41" t="s">
        <v>148</v>
      </c>
      <c r="B276" s="143" t="str">
        <f>(IF(H144="Saleable area Loading :","We have considered Saleable area of Commercial as per our Calculation.","We considered Saleable area of Commercial as per Builder area Sheet."))</f>
        <v>We have considered Saleable area of Commercial as per our Calculation.</v>
      </c>
      <c r="C276" s="144"/>
      <c r="D276" s="144"/>
      <c r="E276" s="144"/>
      <c r="F276" s="144"/>
      <c r="G276" s="144"/>
      <c r="H276" s="145"/>
      <c r="T276" s="34"/>
    </row>
    <row r="277" spans="1:20" s="32" customFormat="1" x14ac:dyDescent="0.35">
      <c r="A277" s="41" t="s">
        <v>148</v>
      </c>
      <c r="B277" s="215" t="s">
        <v>118</v>
      </c>
      <c r="C277" s="216"/>
      <c r="D277" s="216"/>
      <c r="E277" s="216"/>
      <c r="F277" s="216"/>
      <c r="G277" s="216"/>
      <c r="H277" s="217"/>
      <c r="T277" s="34"/>
    </row>
    <row r="278" spans="1:20" s="32" customFormat="1" x14ac:dyDescent="0.35">
      <c r="A278" s="41" t="s">
        <v>148</v>
      </c>
      <c r="B278" s="143" t="s">
        <v>396</v>
      </c>
      <c r="C278" s="144"/>
      <c r="D278" s="144"/>
      <c r="E278" s="144"/>
      <c r="F278" s="144"/>
      <c r="G278" s="144"/>
      <c r="H278" s="145"/>
      <c r="T278" s="34"/>
    </row>
    <row r="279" spans="1:20" s="32" customFormat="1" x14ac:dyDescent="0.35">
      <c r="A279" s="41" t="s">
        <v>148</v>
      </c>
      <c r="B279" s="215" t="s">
        <v>147</v>
      </c>
      <c r="C279" s="216"/>
      <c r="D279" s="216"/>
      <c r="E279" s="216"/>
      <c r="F279" s="216"/>
      <c r="G279" s="216"/>
      <c r="H279" s="217"/>
    </row>
    <row r="280" spans="1:20" s="32" customFormat="1" x14ac:dyDescent="0.35">
      <c r="A280" s="41" t="s">
        <v>148</v>
      </c>
      <c r="B280" s="215" t="s">
        <v>119</v>
      </c>
      <c r="C280" s="216"/>
      <c r="D280" s="216"/>
      <c r="E280" s="216"/>
      <c r="F280" s="216"/>
      <c r="G280" s="216"/>
      <c r="H280" s="217"/>
    </row>
    <row r="281" spans="1:20" s="32" customFormat="1" ht="34.5" customHeight="1" x14ac:dyDescent="0.35">
      <c r="A281" s="41" t="s">
        <v>148</v>
      </c>
      <c r="B281" s="215" t="s">
        <v>149</v>
      </c>
      <c r="C281" s="216"/>
      <c r="D281" s="216"/>
      <c r="E281" s="216"/>
      <c r="F281" s="216"/>
      <c r="G281" s="216"/>
      <c r="H281" s="217"/>
    </row>
    <row r="282" spans="1:20" s="32" customFormat="1" x14ac:dyDescent="0.35">
      <c r="A282" s="41" t="s">
        <v>148</v>
      </c>
      <c r="B282" s="215" t="s">
        <v>120</v>
      </c>
      <c r="C282" s="216"/>
      <c r="D282" s="216"/>
      <c r="E282" s="216"/>
      <c r="F282" s="216"/>
      <c r="G282" s="216"/>
      <c r="H282" s="217"/>
    </row>
    <row r="283" spans="1:20" s="32" customFormat="1" ht="32.25" hidden="1" customHeight="1" x14ac:dyDescent="0.35">
      <c r="A283" s="47" t="s">
        <v>148</v>
      </c>
      <c r="B283" s="123" t="s">
        <v>174</v>
      </c>
      <c r="C283" s="124"/>
      <c r="D283" s="124"/>
      <c r="E283" s="124"/>
      <c r="F283" s="124"/>
      <c r="G283" s="124"/>
      <c r="H283" s="125"/>
    </row>
    <row r="284" spans="1:20" s="32" customFormat="1" hidden="1" x14ac:dyDescent="0.35">
      <c r="A284" s="51" t="s">
        <v>148</v>
      </c>
      <c r="B284" s="123" t="s">
        <v>229</v>
      </c>
      <c r="C284" s="124"/>
      <c r="D284" s="124"/>
      <c r="E284" s="124"/>
      <c r="F284" s="124"/>
      <c r="G284" s="124"/>
      <c r="H284" s="125"/>
    </row>
    <row r="285" spans="1:20" x14ac:dyDescent="0.35">
      <c r="A285" s="202" t="s">
        <v>58</v>
      </c>
      <c r="B285" s="202"/>
      <c r="C285" s="202"/>
      <c r="D285" s="202"/>
      <c r="E285" s="202"/>
      <c r="F285" s="202"/>
      <c r="G285" s="202"/>
      <c r="H285" s="202"/>
      <c r="T285" s="32"/>
    </row>
    <row r="286" spans="1:20" x14ac:dyDescent="0.35">
      <c r="A286" s="126" t="s">
        <v>59</v>
      </c>
      <c r="B286" s="126"/>
      <c r="C286" s="126"/>
      <c r="D286" s="126"/>
      <c r="E286" s="126"/>
      <c r="F286" s="126"/>
      <c r="G286" s="126"/>
      <c r="H286" s="126"/>
      <c r="T286" s="32"/>
    </row>
    <row r="287" spans="1:20" ht="15.75" customHeight="1" x14ac:dyDescent="0.35">
      <c r="A287" s="223" t="s">
        <v>60</v>
      </c>
      <c r="B287" s="223"/>
      <c r="C287" s="223"/>
      <c r="D287" s="223"/>
      <c r="E287" s="223"/>
      <c r="F287" s="223"/>
      <c r="G287" s="223"/>
      <c r="H287" s="223"/>
      <c r="T287" s="32"/>
    </row>
    <row r="288" spans="1:20" x14ac:dyDescent="0.35">
      <c r="A288" s="126" t="s">
        <v>61</v>
      </c>
      <c r="B288" s="126"/>
      <c r="C288" s="126"/>
      <c r="D288" s="126"/>
      <c r="E288" s="126"/>
      <c r="F288" s="126"/>
      <c r="G288" s="126"/>
      <c r="H288" s="126"/>
      <c r="T288" s="32"/>
    </row>
    <row r="289" spans="1:20" x14ac:dyDescent="0.35">
      <c r="A289" s="126" t="s">
        <v>62</v>
      </c>
      <c r="B289" s="126"/>
      <c r="C289" s="126"/>
      <c r="D289" s="126"/>
      <c r="E289" s="126"/>
      <c r="F289" s="126"/>
      <c r="G289" s="126"/>
      <c r="H289" s="126"/>
      <c r="T289" s="32"/>
    </row>
    <row r="290" spans="1:20" x14ac:dyDescent="0.35">
      <c r="A290" s="126" t="s">
        <v>121</v>
      </c>
      <c r="B290" s="126"/>
      <c r="C290" s="126"/>
      <c r="D290" s="126"/>
      <c r="E290" s="126"/>
      <c r="F290" s="126"/>
      <c r="G290" s="126"/>
      <c r="H290" s="126"/>
      <c r="T290" s="32"/>
    </row>
    <row r="291" spans="1:20" ht="34" hidden="1" customHeight="1" x14ac:dyDescent="0.35">
      <c r="A291" s="203" t="s">
        <v>122</v>
      </c>
      <c r="B291" s="203"/>
      <c r="C291" s="203"/>
      <c r="D291" s="203"/>
      <c r="E291" s="203"/>
      <c r="F291" s="203"/>
      <c r="G291" s="203"/>
      <c r="H291" s="203"/>
    </row>
    <row r="292" spans="1:20" x14ac:dyDescent="0.35">
      <c r="A292" s="213" t="s">
        <v>74</v>
      </c>
      <c r="B292" s="213"/>
      <c r="C292" s="213" t="s">
        <v>406</v>
      </c>
      <c r="D292" s="213"/>
      <c r="E292" s="213" t="s">
        <v>103</v>
      </c>
      <c r="F292" s="213"/>
      <c r="G292" s="213" t="s">
        <v>408</v>
      </c>
      <c r="H292" s="213"/>
    </row>
    <row r="293" spans="1:20" x14ac:dyDescent="0.35">
      <c r="A293" s="212" t="s">
        <v>76</v>
      </c>
      <c r="B293" s="212"/>
      <c r="C293" s="212"/>
      <c r="D293" s="212"/>
      <c r="E293" s="212"/>
      <c r="F293" s="212"/>
      <c r="G293" s="212"/>
      <c r="H293" s="212"/>
    </row>
    <row r="294" spans="1:20" x14ac:dyDescent="0.35">
      <c r="A294" s="212"/>
      <c r="B294" s="212"/>
      <c r="C294" s="212"/>
      <c r="D294" s="212"/>
      <c r="E294" s="212"/>
      <c r="F294" s="212"/>
      <c r="G294" s="212"/>
      <c r="H294" s="212"/>
    </row>
    <row r="295" spans="1:20" x14ac:dyDescent="0.35">
      <c r="A295" s="212"/>
      <c r="B295" s="212"/>
      <c r="C295" s="212"/>
      <c r="D295" s="212"/>
      <c r="E295" s="212"/>
      <c r="F295" s="212"/>
      <c r="G295" s="212"/>
      <c r="H295" s="212"/>
    </row>
    <row r="296" spans="1:20" x14ac:dyDescent="0.35">
      <c r="A296" s="212"/>
      <c r="B296" s="212"/>
      <c r="C296" s="212"/>
      <c r="D296" s="212"/>
      <c r="E296" s="212"/>
      <c r="F296" s="212"/>
      <c r="G296" s="212"/>
      <c r="H296" s="212"/>
    </row>
    <row r="297" spans="1:20" x14ac:dyDescent="0.35">
      <c r="A297" s="35" t="s">
        <v>63</v>
      </c>
      <c r="B297" s="36"/>
      <c r="C297" s="36"/>
      <c r="D297" s="35" t="str">
        <f>E9</f>
        <v>The Nature</v>
      </c>
      <c r="F297" s="36"/>
      <c r="G297" s="36"/>
      <c r="H297" s="36"/>
    </row>
    <row r="298" spans="1:20" x14ac:dyDescent="0.35">
      <c r="A298" s="36"/>
      <c r="B298" s="36"/>
      <c r="C298" s="36"/>
      <c r="D298" s="36"/>
      <c r="E298" s="36"/>
      <c r="F298" s="36"/>
      <c r="G298" s="36"/>
      <c r="H298" s="36"/>
    </row>
    <row r="299" spans="1:20" x14ac:dyDescent="0.35">
      <c r="A299" s="36"/>
      <c r="B299" s="36"/>
      <c r="C299" s="36"/>
      <c r="D299" s="36"/>
      <c r="E299" s="36"/>
      <c r="F299" s="36"/>
      <c r="G299" s="36"/>
      <c r="H299" s="36"/>
    </row>
    <row r="300" spans="1:20" ht="15" customHeight="1" x14ac:dyDescent="0.35"/>
    <row r="340" spans="1:1" x14ac:dyDescent="0.35">
      <c r="A340" s="38" t="s">
        <v>159</v>
      </c>
    </row>
    <row r="383" spans="1:1" x14ac:dyDescent="0.35">
      <c r="A383" s="38" t="s">
        <v>64</v>
      </c>
    </row>
  </sheetData>
  <mergeCells count="529">
    <mergeCell ref="A265:H265"/>
    <mergeCell ref="L265:M265"/>
    <mergeCell ref="A266:H266"/>
    <mergeCell ref="L266:M266"/>
    <mergeCell ref="A132:A133"/>
    <mergeCell ref="A139:B139"/>
    <mergeCell ref="C139:D139"/>
    <mergeCell ref="E139:F139"/>
    <mergeCell ref="G139:H139"/>
    <mergeCell ref="A137:A138"/>
    <mergeCell ref="C214:H214"/>
    <mergeCell ref="C264:H264"/>
    <mergeCell ref="A260:B260"/>
    <mergeCell ref="L260:M260"/>
    <mergeCell ref="A261:B261"/>
    <mergeCell ref="L261:M261"/>
    <mergeCell ref="A262:B262"/>
    <mergeCell ref="L262:M262"/>
    <mergeCell ref="A263:B263"/>
    <mergeCell ref="L263:M263"/>
    <mergeCell ref="A264:B264"/>
    <mergeCell ref="L264:M264"/>
    <mergeCell ref="A257:B257"/>
    <mergeCell ref="L257:M257"/>
    <mergeCell ref="A258:B258"/>
    <mergeCell ref="L258:M258"/>
    <mergeCell ref="A259:B259"/>
    <mergeCell ref="L259:M259"/>
    <mergeCell ref="A232:B232"/>
    <mergeCell ref="L232:M232"/>
    <mergeCell ref="A233:B233"/>
    <mergeCell ref="L233:M233"/>
    <mergeCell ref="A234:B234"/>
    <mergeCell ref="L234:M234"/>
    <mergeCell ref="A235:B235"/>
    <mergeCell ref="L235:M235"/>
    <mergeCell ref="A236:B236"/>
    <mergeCell ref="L236:M236"/>
    <mergeCell ref="A246:B246"/>
    <mergeCell ref="A247:B247"/>
    <mergeCell ref="A248:B248"/>
    <mergeCell ref="A249:B249"/>
    <mergeCell ref="A252:B252"/>
    <mergeCell ref="L252:M252"/>
    <mergeCell ref="A256:B256"/>
    <mergeCell ref="L256:M256"/>
    <mergeCell ref="A242:B242"/>
    <mergeCell ref="A243:B243"/>
    <mergeCell ref="A255:B255"/>
    <mergeCell ref="L255:M255"/>
    <mergeCell ref="A230:B230"/>
    <mergeCell ref="L230:M230"/>
    <mergeCell ref="A231:B231"/>
    <mergeCell ref="L231:M231"/>
    <mergeCell ref="A237:H237"/>
    <mergeCell ref="A238:B238"/>
    <mergeCell ref="A239:B239"/>
    <mergeCell ref="A244:B244"/>
    <mergeCell ref="A245:B245"/>
    <mergeCell ref="A251:H251"/>
    <mergeCell ref="A250:B250"/>
    <mergeCell ref="A240:B240"/>
    <mergeCell ref="A241:B241"/>
    <mergeCell ref="A253:B253"/>
    <mergeCell ref="L253:M253"/>
    <mergeCell ref="A254:B254"/>
    <mergeCell ref="L254:M254"/>
    <mergeCell ref="L225:M225"/>
    <mergeCell ref="A226:B226"/>
    <mergeCell ref="L226:M226"/>
    <mergeCell ref="A227:B227"/>
    <mergeCell ref="L227:M227"/>
    <mergeCell ref="A228:B228"/>
    <mergeCell ref="L228:M228"/>
    <mergeCell ref="A229:B229"/>
    <mergeCell ref="L229:M229"/>
    <mergeCell ref="L219:M219"/>
    <mergeCell ref="A220:B220"/>
    <mergeCell ref="L220:M220"/>
    <mergeCell ref="A221:B221"/>
    <mergeCell ref="L221:M221"/>
    <mergeCell ref="A222:H222"/>
    <mergeCell ref="A223:H223"/>
    <mergeCell ref="A224:B224"/>
    <mergeCell ref="L224:M224"/>
    <mergeCell ref="A215:B215"/>
    <mergeCell ref="A216:B216"/>
    <mergeCell ref="L216:M216"/>
    <mergeCell ref="A217:B217"/>
    <mergeCell ref="L217:M217"/>
    <mergeCell ref="A218:B218"/>
    <mergeCell ref="L218:M218"/>
    <mergeCell ref="A209:B209"/>
    <mergeCell ref="A210:B210"/>
    <mergeCell ref="A211:B211"/>
    <mergeCell ref="A212:B212"/>
    <mergeCell ref="L202:M202"/>
    <mergeCell ref="A203:B203"/>
    <mergeCell ref="L203:M203"/>
    <mergeCell ref="A204:H204"/>
    <mergeCell ref="A205:B205"/>
    <mergeCell ref="A206:B206"/>
    <mergeCell ref="A207:B207"/>
    <mergeCell ref="L189:M189"/>
    <mergeCell ref="A190:B190"/>
    <mergeCell ref="L190:M190"/>
    <mergeCell ref="A194:H194"/>
    <mergeCell ref="A200:B200"/>
    <mergeCell ref="L200:M200"/>
    <mergeCell ref="A191:H191"/>
    <mergeCell ref="A201:B201"/>
    <mergeCell ref="L201:M201"/>
    <mergeCell ref="A192:A193"/>
    <mergeCell ref="F192:F193"/>
    <mergeCell ref="L184:M184"/>
    <mergeCell ref="A185:B185"/>
    <mergeCell ref="L185:M185"/>
    <mergeCell ref="A186:B186"/>
    <mergeCell ref="L186:M186"/>
    <mergeCell ref="A187:B187"/>
    <mergeCell ref="L187:M187"/>
    <mergeCell ref="A188:B188"/>
    <mergeCell ref="L188:M188"/>
    <mergeCell ref="L179:M179"/>
    <mergeCell ref="A180:B180"/>
    <mergeCell ref="L180:M180"/>
    <mergeCell ref="A181:B181"/>
    <mergeCell ref="L181:M181"/>
    <mergeCell ref="A182:B182"/>
    <mergeCell ref="L182:M182"/>
    <mergeCell ref="A183:B183"/>
    <mergeCell ref="L183:M183"/>
    <mergeCell ref="L174:M174"/>
    <mergeCell ref="A175:B175"/>
    <mergeCell ref="L175:M175"/>
    <mergeCell ref="A176:B176"/>
    <mergeCell ref="L176:M176"/>
    <mergeCell ref="A177:B177"/>
    <mergeCell ref="L177:M177"/>
    <mergeCell ref="A178:B178"/>
    <mergeCell ref="L178:M178"/>
    <mergeCell ref="L169:M169"/>
    <mergeCell ref="A170:B170"/>
    <mergeCell ref="L170:M170"/>
    <mergeCell ref="A171:B171"/>
    <mergeCell ref="L171:M171"/>
    <mergeCell ref="A172:B172"/>
    <mergeCell ref="L172:M172"/>
    <mergeCell ref="A173:B173"/>
    <mergeCell ref="L173:M173"/>
    <mergeCell ref="L164:M164"/>
    <mergeCell ref="A165:B165"/>
    <mergeCell ref="L165:M165"/>
    <mergeCell ref="A166:B166"/>
    <mergeCell ref="L166:M166"/>
    <mergeCell ref="A167:B167"/>
    <mergeCell ref="L167:M167"/>
    <mergeCell ref="A168:B168"/>
    <mergeCell ref="L168:M168"/>
    <mergeCell ref="L161:M161"/>
    <mergeCell ref="A152:B152"/>
    <mergeCell ref="L152:M152"/>
    <mergeCell ref="A153:B153"/>
    <mergeCell ref="L153:M153"/>
    <mergeCell ref="A154:B154"/>
    <mergeCell ref="L154:M154"/>
    <mergeCell ref="A155:B155"/>
    <mergeCell ref="L155:M155"/>
    <mergeCell ref="A156:B156"/>
    <mergeCell ref="L156:M156"/>
    <mergeCell ref="A157:B157"/>
    <mergeCell ref="L157:M157"/>
    <mergeCell ref="A158:B158"/>
    <mergeCell ref="L158:M158"/>
    <mergeCell ref="A159:B159"/>
    <mergeCell ref="L159:M159"/>
    <mergeCell ref="A160:B160"/>
    <mergeCell ref="L160:M160"/>
    <mergeCell ref="E43:H43"/>
    <mergeCell ref="A43:D43"/>
    <mergeCell ref="A84:B84"/>
    <mergeCell ref="A50:B50"/>
    <mergeCell ref="D67:H67"/>
    <mergeCell ref="C52:E52"/>
    <mergeCell ref="A273:H273"/>
    <mergeCell ref="A72:C72"/>
    <mergeCell ref="D73:H73"/>
    <mergeCell ref="A79:B79"/>
    <mergeCell ref="G78:H78"/>
    <mergeCell ref="A87:B87"/>
    <mergeCell ref="A88:B88"/>
    <mergeCell ref="A83:B83"/>
    <mergeCell ref="A80:B80"/>
    <mergeCell ref="A82:B82"/>
    <mergeCell ref="E78:F78"/>
    <mergeCell ref="A85:B85"/>
    <mergeCell ref="A150:B150"/>
    <mergeCell ref="A125:E125"/>
    <mergeCell ref="F120:H120"/>
    <mergeCell ref="A124:E124"/>
    <mergeCell ref="A161:B161"/>
    <mergeCell ref="A162:H162"/>
    <mergeCell ref="I15:P15"/>
    <mergeCell ref="F127:H127"/>
    <mergeCell ref="F125:H125"/>
    <mergeCell ref="A143:H143"/>
    <mergeCell ref="G131:H131"/>
    <mergeCell ref="A126:E126"/>
    <mergeCell ref="A149:B149"/>
    <mergeCell ref="A60:B60"/>
    <mergeCell ref="C60:E60"/>
    <mergeCell ref="D62:H62"/>
    <mergeCell ref="F126:H126"/>
    <mergeCell ref="E131:F131"/>
    <mergeCell ref="A131:B131"/>
    <mergeCell ref="C136:D136"/>
    <mergeCell ref="D72:H72"/>
    <mergeCell ref="D63:H63"/>
    <mergeCell ref="G60:H60"/>
    <mergeCell ref="A54:B55"/>
    <mergeCell ref="C54:E54"/>
    <mergeCell ref="G54:H54"/>
    <mergeCell ref="A56:B57"/>
    <mergeCell ref="C56:E56"/>
    <mergeCell ref="A123:E123"/>
    <mergeCell ref="F123:H123"/>
    <mergeCell ref="A290:H290"/>
    <mergeCell ref="A287:H287"/>
    <mergeCell ref="A268:B268"/>
    <mergeCell ref="A136:B136"/>
    <mergeCell ref="D192:D193"/>
    <mergeCell ref="E192:E193"/>
    <mergeCell ref="A97:B97"/>
    <mergeCell ref="A99:B99"/>
    <mergeCell ref="F118:H118"/>
    <mergeCell ref="G132:H132"/>
    <mergeCell ref="A102:B102"/>
    <mergeCell ref="F124:H124"/>
    <mergeCell ref="C131:D131"/>
    <mergeCell ref="C140:D140"/>
    <mergeCell ref="A195:H195"/>
    <mergeCell ref="B278:H278"/>
    <mergeCell ref="B274:H274"/>
    <mergeCell ref="B275:H275"/>
    <mergeCell ref="B277:H277"/>
    <mergeCell ref="A286:H286"/>
    <mergeCell ref="F117:H117"/>
    <mergeCell ref="F122:H122"/>
    <mergeCell ref="A196:B196"/>
    <mergeCell ref="A151:B151"/>
    <mergeCell ref="A148:B148"/>
    <mergeCell ref="B283:H283"/>
    <mergeCell ref="A141:B141"/>
    <mergeCell ref="C141:D141"/>
    <mergeCell ref="E141:F141"/>
    <mergeCell ref="B282:H282"/>
    <mergeCell ref="B280:H280"/>
    <mergeCell ref="A271:B271"/>
    <mergeCell ref="B281:H281"/>
    <mergeCell ref="G144:G145"/>
    <mergeCell ref="A146:H146"/>
    <mergeCell ref="A163:H163"/>
    <mergeCell ref="A164:B164"/>
    <mergeCell ref="A169:B169"/>
    <mergeCell ref="A174:B174"/>
    <mergeCell ref="A179:B179"/>
    <mergeCell ref="A184:B184"/>
    <mergeCell ref="A189:B189"/>
    <mergeCell ref="A202:B202"/>
    <mergeCell ref="A208:B208"/>
    <mergeCell ref="A213:H213"/>
    <mergeCell ref="A214:B214"/>
    <mergeCell ref="A219:B219"/>
    <mergeCell ref="A225:B225"/>
    <mergeCell ref="A120:E120"/>
    <mergeCell ref="A117:E117"/>
    <mergeCell ref="F121:H121"/>
    <mergeCell ref="G92:H92"/>
    <mergeCell ref="A293:H296"/>
    <mergeCell ref="A292:B292"/>
    <mergeCell ref="E292:F292"/>
    <mergeCell ref="C292:D292"/>
    <mergeCell ref="G292:H292"/>
    <mergeCell ref="A130:H130"/>
    <mergeCell ref="A128:E128"/>
    <mergeCell ref="F128:H128"/>
    <mergeCell ref="A129:E129"/>
    <mergeCell ref="F129:H129"/>
    <mergeCell ref="A267:H267"/>
    <mergeCell ref="A288:H288"/>
    <mergeCell ref="A135:H135"/>
    <mergeCell ref="A291:H291"/>
    <mergeCell ref="A289:H289"/>
    <mergeCell ref="A285:H285"/>
    <mergeCell ref="G136:H136"/>
    <mergeCell ref="B279:H279"/>
    <mergeCell ref="E136:F136"/>
    <mergeCell ref="A142:H14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7:B77"/>
    <mergeCell ref="A75:B75"/>
    <mergeCell ref="C75:H75"/>
    <mergeCell ref="A70:C70"/>
    <mergeCell ref="D70:H70"/>
    <mergeCell ref="C77:H77"/>
    <mergeCell ref="A71:C71"/>
    <mergeCell ref="D71:H71"/>
    <mergeCell ref="A74:C74"/>
    <mergeCell ref="D74:H74"/>
    <mergeCell ref="A73:C73"/>
    <mergeCell ref="D69:H69"/>
    <mergeCell ref="A44:D44"/>
    <mergeCell ref="E44:H44"/>
    <mergeCell ref="E45:H45"/>
    <mergeCell ref="E46:H46"/>
    <mergeCell ref="E47:H47"/>
    <mergeCell ref="C57:H57"/>
    <mergeCell ref="C59:H59"/>
    <mergeCell ref="A48:H48"/>
    <mergeCell ref="D64:H64"/>
    <mergeCell ref="A64:C64"/>
    <mergeCell ref="A45:D45"/>
    <mergeCell ref="A49:B49"/>
    <mergeCell ref="C49:H49"/>
    <mergeCell ref="A65:C67"/>
    <mergeCell ref="D65:H65"/>
    <mergeCell ref="D66:H66"/>
    <mergeCell ref="G52:H52"/>
    <mergeCell ref="A61:H61"/>
    <mergeCell ref="A62:C62"/>
    <mergeCell ref="A63:C63"/>
    <mergeCell ref="C53:H53"/>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A78:B78"/>
    <mergeCell ref="L151:M151"/>
    <mergeCell ref="L150:M150"/>
    <mergeCell ref="L149:M149"/>
    <mergeCell ref="L148:M148"/>
    <mergeCell ref="A86:B86"/>
    <mergeCell ref="C137:D137"/>
    <mergeCell ref="E137:F137"/>
    <mergeCell ref="G137:H137"/>
    <mergeCell ref="A118:E118"/>
    <mergeCell ref="A89:B89"/>
    <mergeCell ref="C89:H89"/>
    <mergeCell ref="A147:H147"/>
    <mergeCell ref="E144:E145"/>
    <mergeCell ref="A93:B93"/>
    <mergeCell ref="C91:H91"/>
    <mergeCell ref="A94:B94"/>
    <mergeCell ref="A95:B95"/>
    <mergeCell ref="G93:H102"/>
    <mergeCell ref="A96:B96"/>
    <mergeCell ref="F119:H119"/>
    <mergeCell ref="A119:E119"/>
    <mergeCell ref="D144:D145"/>
    <mergeCell ref="A121:E121"/>
    <mergeCell ref="L267:M267"/>
    <mergeCell ref="A272:B272"/>
    <mergeCell ref="A269:B269"/>
    <mergeCell ref="A270:B270"/>
    <mergeCell ref="A40:B40"/>
    <mergeCell ref="C40:H40"/>
    <mergeCell ref="F144:F145"/>
    <mergeCell ref="C132:D132"/>
    <mergeCell ref="E132:F132"/>
    <mergeCell ref="B144:B145"/>
    <mergeCell ref="A144:A145"/>
    <mergeCell ref="C192:C193"/>
    <mergeCell ref="G192:G193"/>
    <mergeCell ref="L199:M199"/>
    <mergeCell ref="L196:M196"/>
    <mergeCell ref="A197:B197"/>
    <mergeCell ref="G141:H141"/>
    <mergeCell ref="L197:M197"/>
    <mergeCell ref="A198:B198"/>
    <mergeCell ref="L198:M198"/>
    <mergeCell ref="C55:H55"/>
    <mergeCell ref="A199:B199"/>
    <mergeCell ref="A115:B115"/>
    <mergeCell ref="A91:B91"/>
    <mergeCell ref="A81:B81"/>
    <mergeCell ref="E79:F88"/>
    <mergeCell ref="G79:H88"/>
    <mergeCell ref="B284:H284"/>
    <mergeCell ref="A122:E122"/>
    <mergeCell ref="A140:B140"/>
    <mergeCell ref="E140:F140"/>
    <mergeCell ref="A127:E127"/>
    <mergeCell ref="G140:H140"/>
    <mergeCell ref="C133:D133"/>
    <mergeCell ref="E133:F133"/>
    <mergeCell ref="G133:H133"/>
    <mergeCell ref="A134:B134"/>
    <mergeCell ref="C134:D134"/>
    <mergeCell ref="E134:F134"/>
    <mergeCell ref="G134:H134"/>
    <mergeCell ref="C138:D138"/>
    <mergeCell ref="E138:F138"/>
    <mergeCell ref="G138:H138"/>
    <mergeCell ref="A116:B116"/>
    <mergeCell ref="C144:C145"/>
    <mergeCell ref="B192:B193"/>
    <mergeCell ref="B276:H276"/>
    <mergeCell ref="A92:B92"/>
    <mergeCell ref="E92:F92"/>
    <mergeCell ref="E93:F102"/>
    <mergeCell ref="A103:B103"/>
    <mergeCell ref="C103:H103"/>
    <mergeCell ref="A105:B105"/>
    <mergeCell ref="C105:H105"/>
    <mergeCell ref="A106:B106"/>
    <mergeCell ref="E106:F106"/>
    <mergeCell ref="G106:H106"/>
    <mergeCell ref="A98:B98"/>
    <mergeCell ref="A100:B100"/>
    <mergeCell ref="A101:B101"/>
    <mergeCell ref="A107:B107"/>
    <mergeCell ref="E107:F116"/>
    <mergeCell ref="G107:H116"/>
    <mergeCell ref="A108:B108"/>
    <mergeCell ref="A109:B109"/>
    <mergeCell ref="A110:B110"/>
    <mergeCell ref="A111:B111"/>
    <mergeCell ref="A112:B112"/>
    <mergeCell ref="A113:B113"/>
    <mergeCell ref="A114:B114"/>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4:E145">
      <formula1>"Attached Loft area,Attached Otla area,Attached Mezzanine area"</formula1>
    </dataValidation>
    <dataValidation type="list" allowBlank="1" showInputMessage="1" showErrorMessage="1" sqref="G292:H292">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4:B145">
      <formula1>"Shop No. (Sale Plan),Sale / Rehab,Sale / Mhada"</formula1>
    </dataValidation>
    <dataValidation type="list" allowBlank="1" showInputMessage="1" showErrorMessage="1" sqref="B192:B19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92:E193">
      <formula1>"Fungible area,Balcony + WS Area,Chajja Area,Cornice Area,AP Area,WS Area"</formula1>
    </dataValidation>
    <dataValidation type="list" allowBlank="1" showInputMessage="1" showErrorMessage="1" sqref="H145 H19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4 H192">
      <formula1>"Saleable area Loading :,Builder Saleable Area"</formula1>
    </dataValidation>
    <dataValidation type="list" allowBlank="1" showInputMessage="1" showErrorMessage="1" sqref="D192:D193">
      <formula1>"Carpet area + Encl Balcony Area,RERA Carpet area"</formula1>
    </dataValidation>
    <dataValidation type="list" allowBlank="1" showInputMessage="1" showErrorMessage="1" sqref="D144:D145">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74" max="16383" man="1"/>
    <brk id="116" max="16383" man="1"/>
    <brk id="296" max="16383" man="1"/>
    <brk id="339" max="16383" man="1"/>
    <brk id="38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0"/>
  <sheetViews>
    <sheetView topLeftCell="A7"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6" t="s">
        <v>104</v>
      </c>
      <c r="C3" s="246"/>
      <c r="D3" s="246"/>
      <c r="E3" s="246"/>
      <c r="F3" s="246"/>
      <c r="G3" s="246"/>
      <c r="H3" s="246"/>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row r="18" spans="4:7" x14ac:dyDescent="0.35">
      <c r="E18" s="1">
        <f>2034000</f>
        <v>2034000</v>
      </c>
      <c r="F18" s="1">
        <v>565</v>
      </c>
      <c r="G18" s="1">
        <f>E18/F18</f>
        <v>3600</v>
      </c>
    </row>
    <row r="19" spans="4:7" x14ac:dyDescent="0.35">
      <c r="E19" s="1">
        <v>2196000</v>
      </c>
      <c r="F19" s="1">
        <v>610</v>
      </c>
      <c r="G19" s="1">
        <f t="shared" ref="G19:G23" si="2">E19/F19</f>
        <v>3600</v>
      </c>
    </row>
    <row r="20" spans="4:7" x14ac:dyDescent="0.35">
      <c r="E20" s="1">
        <v>2250000</v>
      </c>
      <c r="F20" s="1">
        <v>625</v>
      </c>
      <c r="G20" s="1">
        <f t="shared" si="2"/>
        <v>3600</v>
      </c>
    </row>
    <row r="21" spans="4:7" x14ac:dyDescent="0.35">
      <c r="E21" s="1">
        <v>2268000</v>
      </c>
      <c r="F21" s="1">
        <v>630</v>
      </c>
      <c r="G21" s="1">
        <f t="shared" si="2"/>
        <v>3600</v>
      </c>
    </row>
    <row r="22" spans="4:7" x14ac:dyDescent="0.35">
      <c r="E22" s="1">
        <v>2592000</v>
      </c>
      <c r="F22" s="1">
        <v>720</v>
      </c>
      <c r="G22" s="1">
        <f t="shared" si="2"/>
        <v>3600</v>
      </c>
    </row>
    <row r="23" spans="4:7" x14ac:dyDescent="0.35">
      <c r="E23" s="1">
        <v>3150000</v>
      </c>
      <c r="F23" s="1">
        <v>875</v>
      </c>
      <c r="G23" s="1">
        <f t="shared" si="2"/>
        <v>3600</v>
      </c>
    </row>
    <row r="25" spans="4:7" x14ac:dyDescent="0.35">
      <c r="D25" s="1">
        <f>2034000+275000+150000</f>
        <v>2459000</v>
      </c>
      <c r="E25" s="1">
        <v>565</v>
      </c>
      <c r="F25" s="93">
        <f>D25/E25</f>
        <v>4352.212389380531</v>
      </c>
    </row>
    <row r="26" spans="4:7" x14ac:dyDescent="0.35">
      <c r="D26" s="1">
        <f>2196000+275000+150000</f>
        <v>2621000</v>
      </c>
      <c r="E26" s="1">
        <v>610</v>
      </c>
      <c r="F26" s="93">
        <f t="shared" ref="F26:F30" si="3">D26/E26</f>
        <v>4296.7213114754095</v>
      </c>
    </row>
    <row r="27" spans="4:7" x14ac:dyDescent="0.35">
      <c r="D27" s="1">
        <f>2250000+275000+150000</f>
        <v>2675000</v>
      </c>
      <c r="E27" s="1">
        <v>625</v>
      </c>
      <c r="F27" s="93">
        <f t="shared" si="3"/>
        <v>4280</v>
      </c>
    </row>
    <row r="28" spans="4:7" x14ac:dyDescent="0.35">
      <c r="D28" s="1">
        <f>2268000+275000+150000</f>
        <v>2693000</v>
      </c>
      <c r="E28" s="1">
        <v>630</v>
      </c>
      <c r="F28" s="93">
        <f t="shared" si="3"/>
        <v>4274.6031746031749</v>
      </c>
    </row>
    <row r="29" spans="4:7" x14ac:dyDescent="0.35">
      <c r="D29" s="1">
        <f>2592000+275000+150000</f>
        <v>3017000</v>
      </c>
      <c r="E29" s="1">
        <v>720</v>
      </c>
      <c r="F29" s="93">
        <f t="shared" si="3"/>
        <v>4190.2777777777774</v>
      </c>
    </row>
    <row r="30" spans="4:7" x14ac:dyDescent="0.35">
      <c r="D30" s="1">
        <f>3150000+275000+150000</f>
        <v>3575000</v>
      </c>
      <c r="E30" s="1">
        <v>875</v>
      </c>
      <c r="F30" s="93">
        <f t="shared" si="3"/>
        <v>4085.7142857142858</v>
      </c>
    </row>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8"/>
      <c r="C4" s="48" t="s">
        <v>11</v>
      </c>
      <c r="D4" s="49" t="s">
        <v>175</v>
      </c>
      <c r="E4" s="49" t="s">
        <v>185</v>
      </c>
      <c r="F4" s="49" t="s">
        <v>168</v>
      </c>
      <c r="G4" s="49" t="s">
        <v>190</v>
      </c>
      <c r="H4" s="49" t="s">
        <v>208</v>
      </c>
      <c r="J4" t="s">
        <v>190</v>
      </c>
      <c r="K4" t="s">
        <v>206</v>
      </c>
    </row>
    <row r="5" spans="2:11" x14ac:dyDescent="0.35">
      <c r="B5" s="48"/>
      <c r="C5" s="48"/>
      <c r="D5" s="49" t="s">
        <v>176</v>
      </c>
      <c r="E5" s="49" t="s">
        <v>183</v>
      </c>
      <c r="F5" s="49" t="s">
        <v>205</v>
      </c>
      <c r="G5" s="49" t="s">
        <v>191</v>
      </c>
      <c r="H5" s="49" t="s">
        <v>209</v>
      </c>
    </row>
    <row r="6" spans="2:11" x14ac:dyDescent="0.35">
      <c r="B6" s="48"/>
      <c r="C6" s="48"/>
      <c r="D6" s="49" t="s">
        <v>177</v>
      </c>
      <c r="E6" s="49" t="s">
        <v>184</v>
      </c>
      <c r="F6" s="49" t="s">
        <v>206</v>
      </c>
      <c r="G6" s="49" t="s">
        <v>192</v>
      </c>
      <c r="H6" s="49" t="s">
        <v>222</v>
      </c>
    </row>
    <row r="7" spans="2:11" x14ac:dyDescent="0.35">
      <c r="B7" s="48"/>
      <c r="C7" s="48"/>
      <c r="D7" s="49" t="s">
        <v>178</v>
      </c>
      <c r="E7" s="49" t="s">
        <v>186</v>
      </c>
      <c r="F7" s="49" t="s">
        <v>207</v>
      </c>
      <c r="G7" s="49" t="s">
        <v>193</v>
      </c>
      <c r="H7" s="49" t="s">
        <v>210</v>
      </c>
    </row>
    <row r="8" spans="2:11" x14ac:dyDescent="0.35">
      <c r="B8" s="48"/>
      <c r="C8" s="48"/>
      <c r="D8" s="49" t="s">
        <v>179</v>
      </c>
      <c r="E8" s="49" t="s">
        <v>187</v>
      </c>
      <c r="F8" s="49"/>
      <c r="G8" s="49" t="s">
        <v>194</v>
      </c>
      <c r="H8" s="49" t="s">
        <v>211</v>
      </c>
    </row>
    <row r="9" spans="2:11" x14ac:dyDescent="0.35">
      <c r="B9" s="48"/>
      <c r="C9" s="48"/>
      <c r="D9" s="49" t="s">
        <v>180</v>
      </c>
      <c r="E9" s="49" t="s">
        <v>185</v>
      </c>
      <c r="F9" s="49"/>
      <c r="G9" s="49" t="s">
        <v>195</v>
      </c>
      <c r="H9" s="49" t="s">
        <v>212</v>
      </c>
    </row>
    <row r="10" spans="2:11" x14ac:dyDescent="0.35">
      <c r="B10" s="48"/>
      <c r="C10" s="48"/>
      <c r="D10" s="49" t="s">
        <v>181</v>
      </c>
      <c r="E10" s="49" t="s">
        <v>188</v>
      </c>
      <c r="F10" s="49"/>
      <c r="G10" s="49" t="s">
        <v>196</v>
      </c>
      <c r="H10" s="49" t="s">
        <v>213</v>
      </c>
    </row>
    <row r="11" spans="2:11" x14ac:dyDescent="0.35">
      <c r="B11" s="48"/>
      <c r="C11" s="48"/>
      <c r="D11" s="49" t="s">
        <v>182</v>
      </c>
      <c r="E11" s="49" t="s">
        <v>189</v>
      </c>
      <c r="F11" s="49"/>
      <c r="G11" s="49" t="s">
        <v>197</v>
      </c>
      <c r="H11" s="49" t="s">
        <v>214</v>
      </c>
    </row>
    <row r="12" spans="2:11" x14ac:dyDescent="0.35">
      <c r="B12" s="48"/>
      <c r="C12" s="48"/>
      <c r="D12" s="49"/>
      <c r="E12" s="49"/>
      <c r="F12" s="49"/>
      <c r="G12" s="49" t="s">
        <v>198</v>
      </c>
      <c r="H12" s="49" t="s">
        <v>215</v>
      </c>
    </row>
    <row r="13" spans="2:11" x14ac:dyDescent="0.35">
      <c r="B13" s="48"/>
      <c r="C13" s="48"/>
      <c r="D13" s="49"/>
      <c r="E13" s="49"/>
      <c r="F13" s="49"/>
      <c r="G13" s="49" t="s">
        <v>199</v>
      </c>
      <c r="H13" s="49" t="s">
        <v>216</v>
      </c>
    </row>
    <row r="14" spans="2:11" x14ac:dyDescent="0.35">
      <c r="B14" s="48"/>
      <c r="C14" s="48"/>
      <c r="D14" s="49"/>
      <c r="E14" s="49"/>
      <c r="F14" s="49"/>
      <c r="G14" s="49" t="s">
        <v>200</v>
      </c>
      <c r="H14" s="49" t="s">
        <v>217</v>
      </c>
    </row>
    <row r="15" spans="2:11" x14ac:dyDescent="0.35">
      <c r="B15" s="48"/>
      <c r="C15" s="48"/>
      <c r="D15" s="49"/>
      <c r="E15" s="49"/>
      <c r="F15" s="49"/>
      <c r="G15" s="49" t="s">
        <v>201</v>
      </c>
      <c r="H15" s="49" t="s">
        <v>218</v>
      </c>
    </row>
    <row r="16" spans="2:11" x14ac:dyDescent="0.35">
      <c r="B16" s="48"/>
      <c r="C16" s="48"/>
      <c r="D16" s="49"/>
      <c r="E16" s="49"/>
      <c r="F16" s="49"/>
      <c r="G16" s="49" t="s">
        <v>202</v>
      </c>
      <c r="H16" s="49" t="s">
        <v>219</v>
      </c>
    </row>
    <row r="17" spans="2:8" x14ac:dyDescent="0.35">
      <c r="B17" s="48"/>
      <c r="C17" s="48"/>
      <c r="D17" s="49"/>
      <c r="E17" s="49"/>
      <c r="F17" s="49"/>
      <c r="G17" s="49" t="s">
        <v>203</v>
      </c>
      <c r="H17" s="49" t="s">
        <v>220</v>
      </c>
    </row>
    <row r="18" spans="2:8" x14ac:dyDescent="0.35">
      <c r="B18" s="48"/>
      <c r="C18" s="48"/>
      <c r="D18" s="49"/>
      <c r="E18" s="49"/>
      <c r="F18" s="49"/>
      <c r="G18" s="49" t="s">
        <v>204</v>
      </c>
      <c r="H18" s="49" t="s">
        <v>221</v>
      </c>
    </row>
    <row r="24" spans="2:8" x14ac:dyDescent="0.35">
      <c r="C24" t="s">
        <v>165</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165</v>
      </c>
    </row>
    <row r="33" spans="3:11" x14ac:dyDescent="0.35">
      <c r="J33">
        <v>1</v>
      </c>
      <c r="K33">
        <v>2</v>
      </c>
    </row>
    <row r="34" spans="3:11" x14ac:dyDescent="0.35">
      <c r="C34" s="52" t="s">
        <v>233</v>
      </c>
      <c r="D34" s="49" t="s">
        <v>231</v>
      </c>
      <c r="E34" s="49" t="s">
        <v>236</v>
      </c>
      <c r="F34" s="49" t="s">
        <v>234</v>
      </c>
      <c r="G34" s="49" t="s">
        <v>235</v>
      </c>
      <c r="H34" s="49" t="s">
        <v>237</v>
      </c>
      <c r="J34" t="s">
        <v>190</v>
      </c>
      <c r="K34" t="s">
        <v>206</v>
      </c>
    </row>
    <row r="35" spans="3:11" x14ac:dyDescent="0.35">
      <c r="C35" s="48" t="s">
        <v>232</v>
      </c>
      <c r="D35" s="49" t="s">
        <v>166</v>
      </c>
      <c r="E35" s="49" t="s">
        <v>241</v>
      </c>
      <c r="F35" s="49" t="s">
        <v>243</v>
      </c>
      <c r="G35" s="49" t="s">
        <v>245</v>
      </c>
      <c r="H35" s="49"/>
    </row>
    <row r="36" spans="3:11" x14ac:dyDescent="0.35">
      <c r="C36" s="48"/>
      <c r="D36" s="49" t="s">
        <v>238</v>
      </c>
      <c r="E36" s="49" t="s">
        <v>242</v>
      </c>
      <c r="F36" s="49" t="s">
        <v>244</v>
      </c>
      <c r="G36" s="49" t="s">
        <v>246</v>
      </c>
      <c r="H36" s="49"/>
    </row>
    <row r="37" spans="3:11" x14ac:dyDescent="0.35">
      <c r="C37" s="48"/>
      <c r="D37" s="49" t="s">
        <v>239</v>
      </c>
      <c r="E37" s="49"/>
      <c r="F37" s="49"/>
      <c r="G37" s="49" t="s">
        <v>247</v>
      </c>
      <c r="H37" s="49"/>
    </row>
    <row r="38" spans="3:11" x14ac:dyDescent="0.35">
      <c r="C38" s="48"/>
      <c r="D38" s="49" t="s">
        <v>240</v>
      </c>
      <c r="E38" s="49"/>
      <c r="F38" s="49"/>
      <c r="G38" s="49" t="s">
        <v>247</v>
      </c>
      <c r="H38" s="49"/>
    </row>
    <row r="39" spans="3:11" x14ac:dyDescent="0.35">
      <c r="C39" s="48"/>
      <c r="D39" s="49"/>
      <c r="E39" s="49"/>
      <c r="F39" s="49"/>
      <c r="G39" s="49" t="s">
        <v>248</v>
      </c>
      <c r="H39" s="49"/>
    </row>
    <row r="40" spans="3:11" x14ac:dyDescent="0.35">
      <c r="C40" s="48"/>
      <c r="D40" s="49"/>
      <c r="E40" s="49"/>
      <c r="F40" s="49"/>
      <c r="G40" s="49" t="s">
        <v>249</v>
      </c>
      <c r="H40" s="49"/>
    </row>
    <row r="41" spans="3:11" x14ac:dyDescent="0.35">
      <c r="C41" s="48"/>
      <c r="D41" s="49"/>
      <c r="E41" s="49"/>
      <c r="F41" s="49"/>
      <c r="G41" s="49"/>
      <c r="H41" s="49"/>
    </row>
    <row r="43" spans="3:11" x14ac:dyDescent="0.35">
      <c r="C43" t="s">
        <v>250</v>
      </c>
    </row>
    <row r="44" spans="3:11" x14ac:dyDescent="0.35">
      <c r="C44" t="s">
        <v>168</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175</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190</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185</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53">
        <v>1</v>
      </c>
      <c r="C2" s="56" t="s">
        <v>281</v>
      </c>
    </row>
    <row r="3" spans="2:3" x14ac:dyDescent="0.35">
      <c r="B3" s="53">
        <v>2</v>
      </c>
      <c r="C3" s="54" t="s">
        <v>282</v>
      </c>
    </row>
    <row r="4" spans="2:3" x14ac:dyDescent="0.35">
      <c r="B4" s="53">
        <v>3</v>
      </c>
      <c r="C4" s="55" t="s">
        <v>283</v>
      </c>
    </row>
    <row r="5" spans="2:3" x14ac:dyDescent="0.35">
      <c r="B5" s="53">
        <v>4</v>
      </c>
      <c r="C5" s="54" t="s">
        <v>284</v>
      </c>
    </row>
    <row r="6" spans="2:3" x14ac:dyDescent="0.35">
      <c r="B6" s="53">
        <v>5</v>
      </c>
      <c r="C6" s="55" t="s">
        <v>285</v>
      </c>
    </row>
    <row r="7" spans="2:3" ht="29" x14ac:dyDescent="0.35">
      <c r="B7" s="53">
        <v>6</v>
      </c>
      <c r="C7" s="54" t="s">
        <v>286</v>
      </c>
    </row>
    <row r="8" spans="2:3" ht="72.5" x14ac:dyDescent="0.35">
      <c r="B8" s="53">
        <v>7</v>
      </c>
      <c r="C8" s="54" t="s">
        <v>287</v>
      </c>
    </row>
    <row r="9" spans="2:3" x14ac:dyDescent="0.35">
      <c r="B9" s="53">
        <v>8</v>
      </c>
      <c r="C9" s="55" t="s">
        <v>288</v>
      </c>
    </row>
    <row r="10" spans="2:3" x14ac:dyDescent="0.35">
      <c r="B10" s="53">
        <v>9</v>
      </c>
      <c r="C10" s="55" t="s">
        <v>289</v>
      </c>
    </row>
    <row r="11" spans="2:3" x14ac:dyDescent="0.35">
      <c r="B11" s="53">
        <v>10</v>
      </c>
      <c r="C11" s="55" t="s">
        <v>290</v>
      </c>
    </row>
    <row r="12" spans="2:3" x14ac:dyDescent="0.35">
      <c r="B12" s="53">
        <v>11</v>
      </c>
      <c r="C12" s="55" t="s">
        <v>291</v>
      </c>
    </row>
    <row r="13" spans="2:3" x14ac:dyDescent="0.35">
      <c r="B13" s="53">
        <v>12</v>
      </c>
      <c r="C13" s="55" t="s">
        <v>292</v>
      </c>
    </row>
    <row r="14" spans="2:3" x14ac:dyDescent="0.35">
      <c r="B14" s="53">
        <v>13</v>
      </c>
      <c r="C14" s="55" t="s">
        <v>293</v>
      </c>
    </row>
    <row r="15" spans="2:3" x14ac:dyDescent="0.35">
      <c r="B15" s="53">
        <v>14</v>
      </c>
      <c r="C15" s="55" t="s">
        <v>283</v>
      </c>
    </row>
    <row r="16" spans="2:3" x14ac:dyDescent="0.35">
      <c r="B16" s="53">
        <v>15</v>
      </c>
      <c r="C16" s="55" t="s">
        <v>295</v>
      </c>
    </row>
    <row r="17" spans="2:3" x14ac:dyDescent="0.35">
      <c r="B17" s="76">
        <v>16</v>
      </c>
      <c r="C17" s="61" t="s">
        <v>296</v>
      </c>
    </row>
    <row r="18" spans="2:3" x14ac:dyDescent="0.35">
      <c r="B18" s="60">
        <v>17</v>
      </c>
      <c r="C18" s="61" t="s">
        <v>297</v>
      </c>
    </row>
    <row r="19" spans="2:3" x14ac:dyDescent="0.35">
      <c r="B19" s="59">
        <v>18</v>
      </c>
      <c r="C19" s="53" t="s">
        <v>298</v>
      </c>
    </row>
    <row r="20" spans="2:3" x14ac:dyDescent="0.35">
      <c r="B20" s="60">
        <v>19</v>
      </c>
      <c r="C20" s="53" t="s">
        <v>334</v>
      </c>
    </row>
    <row r="21" spans="2:3" x14ac:dyDescent="0.35">
      <c r="B21" s="62">
        <v>20</v>
      </c>
      <c r="C21" s="53" t="s">
        <v>299</v>
      </c>
    </row>
    <row r="22" spans="2:3" x14ac:dyDescent="0.35">
      <c r="B22" s="60">
        <v>21</v>
      </c>
      <c r="C22" s="53" t="s">
        <v>298</v>
      </c>
    </row>
    <row r="23" spans="2:3" s="70" customFormat="1" ht="29.25" customHeight="1" x14ac:dyDescent="0.35">
      <c r="B23" s="69">
        <v>22</v>
      </c>
      <c r="C23" s="56" t="s">
        <v>326</v>
      </c>
    </row>
    <row r="24" spans="2:3" s="70" customFormat="1" ht="30.75" customHeight="1" x14ac:dyDescent="0.35">
      <c r="B24" s="71">
        <v>23</v>
      </c>
      <c r="C24" s="56" t="s">
        <v>327</v>
      </c>
    </row>
    <row r="25" spans="2:3" x14ac:dyDescent="0.35">
      <c r="B25" s="62">
        <v>24</v>
      </c>
      <c r="C25" s="53" t="s">
        <v>330</v>
      </c>
    </row>
    <row r="26" spans="2:3" x14ac:dyDescent="0.35">
      <c r="B26" s="60">
        <v>25</v>
      </c>
      <c r="C26" s="53" t="s">
        <v>328</v>
      </c>
    </row>
    <row r="27" spans="2:3" x14ac:dyDescent="0.35">
      <c r="B27" s="71">
        <v>26</v>
      </c>
      <c r="C27" s="62" t="s">
        <v>329</v>
      </c>
    </row>
    <row r="28" spans="2:3" x14ac:dyDescent="0.35">
      <c r="B28" s="72">
        <v>27</v>
      </c>
      <c r="C28" s="53" t="s">
        <v>331</v>
      </c>
    </row>
    <row r="29" spans="2:3" ht="43.5" x14ac:dyDescent="0.35">
      <c r="B29" s="75">
        <v>28</v>
      </c>
      <c r="C29" s="54" t="s">
        <v>332</v>
      </c>
    </row>
    <row r="30" spans="2:3" x14ac:dyDescent="0.35">
      <c r="B30" s="71">
        <v>29</v>
      </c>
      <c r="C30" s="53" t="s">
        <v>333</v>
      </c>
    </row>
    <row r="31" spans="2:3" ht="29" x14ac:dyDescent="0.35">
      <c r="B31" s="77">
        <v>30</v>
      </c>
      <c r="C31" s="54" t="s">
        <v>335</v>
      </c>
    </row>
    <row r="32" spans="2:3" x14ac:dyDescent="0.35">
      <c r="B32" s="71">
        <v>31</v>
      </c>
      <c r="C32" s="53" t="s">
        <v>336</v>
      </c>
    </row>
    <row r="33" spans="2:3" x14ac:dyDescent="0.35">
      <c r="B33" s="71">
        <v>32</v>
      </c>
      <c r="C33" s="53" t="s">
        <v>337</v>
      </c>
    </row>
    <row r="34" spans="2:3" ht="36.75" customHeight="1" x14ac:dyDescent="0.35">
      <c r="B34" s="77">
        <v>33</v>
      </c>
      <c r="C34" s="61" t="s">
        <v>338</v>
      </c>
    </row>
    <row r="35" spans="2:3" x14ac:dyDescent="0.35">
      <c r="B35" s="71">
        <v>34</v>
      </c>
      <c r="C35" s="5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8"/>
    <col min="2" max="2" width="12.26953125" style="48" customWidth="1"/>
    <col min="3" max="16384" width="9.1796875" style="48"/>
  </cols>
  <sheetData>
    <row r="2" spans="1:12" x14ac:dyDescent="0.35">
      <c r="B2" s="63" t="s">
        <v>300</v>
      </c>
      <c r="C2" s="247"/>
      <c r="D2" s="247"/>
    </row>
    <row r="3" spans="1:12" x14ac:dyDescent="0.35">
      <c r="D3" s="64"/>
      <c r="E3" s="64"/>
      <c r="F3" s="64"/>
      <c r="G3" s="64"/>
      <c r="H3" s="64"/>
      <c r="I3" s="64"/>
    </row>
    <row r="4" spans="1:12" x14ac:dyDescent="0.35">
      <c r="A4" s="63" t="s">
        <v>66</v>
      </c>
      <c r="B4" s="65" t="s">
        <v>301</v>
      </c>
      <c r="C4" s="248" t="s">
        <v>302</v>
      </c>
      <c r="D4" s="248"/>
      <c r="E4" s="248"/>
      <c r="F4" s="65"/>
      <c r="G4" s="249" t="s">
        <v>303</v>
      </c>
      <c r="H4" s="249"/>
      <c r="I4" s="249"/>
      <c r="J4" s="250" t="s">
        <v>304</v>
      </c>
      <c r="K4" s="250"/>
      <c r="L4" s="250"/>
    </row>
    <row r="5" spans="1:12" x14ac:dyDescent="0.35">
      <c r="A5" s="63"/>
      <c r="B5" s="65"/>
      <c r="C5" s="65" t="s">
        <v>305</v>
      </c>
      <c r="D5" s="65" t="s">
        <v>306</v>
      </c>
      <c r="E5" s="65" t="s">
        <v>307</v>
      </c>
      <c r="F5" s="65"/>
      <c r="G5" s="65" t="s">
        <v>305</v>
      </c>
      <c r="H5" s="65" t="s">
        <v>306</v>
      </c>
      <c r="I5" s="65" t="s">
        <v>307</v>
      </c>
      <c r="J5" s="65" t="s">
        <v>305</v>
      </c>
      <c r="K5" s="65" t="s">
        <v>306</v>
      </c>
      <c r="L5" s="65" t="s">
        <v>307</v>
      </c>
    </row>
    <row r="6" spans="1:12" x14ac:dyDescent="0.35">
      <c r="B6" s="49" t="s">
        <v>308</v>
      </c>
      <c r="C6" s="49"/>
      <c r="D6" s="49"/>
      <c r="E6" s="49">
        <f>C6*D6</f>
        <v>0</v>
      </c>
      <c r="F6" s="49" t="s">
        <v>325</v>
      </c>
      <c r="G6" s="49"/>
      <c r="H6" s="49"/>
      <c r="I6" s="49">
        <f>G6*H6</f>
        <v>0</v>
      </c>
      <c r="J6" s="49"/>
      <c r="K6" s="49"/>
      <c r="L6" s="49">
        <f>J6*K6</f>
        <v>0</v>
      </c>
    </row>
    <row r="7" spans="1:12" x14ac:dyDescent="0.35">
      <c r="B7" s="49"/>
      <c r="C7" s="49"/>
      <c r="D7" s="49"/>
      <c r="E7" s="49">
        <f t="shared" ref="E7:E41" si="0">C7*D7</f>
        <v>0</v>
      </c>
      <c r="F7" s="49" t="s">
        <v>325</v>
      </c>
      <c r="G7" s="49"/>
      <c r="H7" s="49"/>
      <c r="I7" s="49">
        <f t="shared" ref="I7:I35" si="1">G7*H7</f>
        <v>0</v>
      </c>
      <c r="J7" s="49"/>
      <c r="K7" s="49"/>
      <c r="L7" s="49">
        <f t="shared" ref="L7:L35" si="2">J7*K7</f>
        <v>0</v>
      </c>
    </row>
    <row r="8" spans="1:12" x14ac:dyDescent="0.35">
      <c r="B8" s="49"/>
      <c r="C8" s="49"/>
      <c r="D8" s="49"/>
      <c r="E8" s="49">
        <f t="shared" si="0"/>
        <v>0</v>
      </c>
      <c r="F8" s="49"/>
      <c r="G8" s="49"/>
      <c r="H8" s="49"/>
      <c r="I8" s="49">
        <f t="shared" si="1"/>
        <v>0</v>
      </c>
      <c r="J8" s="49"/>
      <c r="K8" s="49"/>
      <c r="L8" s="49">
        <f t="shared" si="2"/>
        <v>0</v>
      </c>
    </row>
    <row r="9" spans="1:12" x14ac:dyDescent="0.35">
      <c r="B9" s="49"/>
      <c r="C9" s="49"/>
      <c r="D9" s="49"/>
      <c r="E9" s="49">
        <f t="shared" si="0"/>
        <v>0</v>
      </c>
      <c r="F9" s="49" t="s">
        <v>309</v>
      </c>
      <c r="G9" s="49"/>
      <c r="H9" s="49"/>
      <c r="I9" s="49">
        <f t="shared" si="1"/>
        <v>0</v>
      </c>
      <c r="J9" s="49"/>
      <c r="K9" s="49"/>
      <c r="L9" s="49">
        <f t="shared" si="2"/>
        <v>0</v>
      </c>
    </row>
    <row r="10" spans="1:12" x14ac:dyDescent="0.35">
      <c r="B10" s="49" t="s">
        <v>310</v>
      </c>
      <c r="C10" s="49"/>
      <c r="D10" s="49"/>
      <c r="E10" s="49">
        <f t="shared" si="0"/>
        <v>0</v>
      </c>
      <c r="F10" s="49" t="s">
        <v>309</v>
      </c>
      <c r="G10" s="49"/>
      <c r="H10" s="49"/>
      <c r="I10" s="49">
        <f t="shared" si="1"/>
        <v>0</v>
      </c>
      <c r="J10" s="49"/>
      <c r="K10" s="49"/>
      <c r="L10" s="49">
        <f t="shared" si="2"/>
        <v>0</v>
      </c>
    </row>
    <row r="11" spans="1:12" x14ac:dyDescent="0.35">
      <c r="B11" s="49"/>
      <c r="C11" s="49"/>
      <c r="D11" s="49"/>
      <c r="E11" s="49">
        <f t="shared" si="0"/>
        <v>0</v>
      </c>
      <c r="F11" s="49" t="s">
        <v>311</v>
      </c>
      <c r="G11" s="49"/>
      <c r="H11" s="49"/>
      <c r="I11" s="49">
        <f t="shared" si="1"/>
        <v>0</v>
      </c>
      <c r="J11" s="49"/>
      <c r="K11" s="49"/>
      <c r="L11" s="49">
        <f t="shared" si="2"/>
        <v>0</v>
      </c>
    </row>
    <row r="12" spans="1:12" x14ac:dyDescent="0.35">
      <c r="B12" s="49"/>
      <c r="C12" s="49"/>
      <c r="D12" s="49"/>
      <c r="E12" s="49">
        <f t="shared" si="0"/>
        <v>0</v>
      </c>
      <c r="F12" s="49"/>
      <c r="G12" s="49"/>
      <c r="H12" s="49"/>
      <c r="I12" s="49">
        <f t="shared" si="1"/>
        <v>0</v>
      </c>
      <c r="J12" s="49"/>
      <c r="K12" s="49"/>
      <c r="L12" s="49">
        <f t="shared" si="2"/>
        <v>0</v>
      </c>
    </row>
    <row r="13" spans="1:12" x14ac:dyDescent="0.35">
      <c r="B13" s="49"/>
      <c r="C13" s="49"/>
      <c r="D13" s="49"/>
      <c r="E13" s="49">
        <f t="shared" si="0"/>
        <v>0</v>
      </c>
      <c r="F13" s="49"/>
      <c r="G13" s="49"/>
      <c r="H13" s="49"/>
      <c r="I13" s="49">
        <f t="shared" si="1"/>
        <v>0</v>
      </c>
      <c r="J13" s="49"/>
      <c r="K13" s="49"/>
      <c r="L13" s="49">
        <f t="shared" si="2"/>
        <v>0</v>
      </c>
    </row>
    <row r="14" spans="1:12" x14ac:dyDescent="0.35">
      <c r="B14" s="49" t="s">
        <v>312</v>
      </c>
      <c r="C14" s="49"/>
      <c r="D14" s="49"/>
      <c r="E14" s="49">
        <f t="shared" si="0"/>
        <v>0</v>
      </c>
      <c r="F14" s="49" t="s">
        <v>309</v>
      </c>
      <c r="G14" s="49"/>
      <c r="H14" s="49"/>
      <c r="I14" s="49">
        <f t="shared" si="1"/>
        <v>0</v>
      </c>
      <c r="J14" s="49"/>
      <c r="K14" s="49"/>
      <c r="L14" s="49">
        <f t="shared" si="2"/>
        <v>0</v>
      </c>
    </row>
    <row r="15" spans="1:12" x14ac:dyDescent="0.35">
      <c r="B15" s="49"/>
      <c r="C15" s="49"/>
      <c r="D15" s="49"/>
      <c r="E15" s="49">
        <f t="shared" si="0"/>
        <v>0</v>
      </c>
      <c r="F15" s="49" t="s">
        <v>311</v>
      </c>
      <c r="G15" s="49"/>
      <c r="H15" s="49"/>
      <c r="I15" s="49">
        <f t="shared" si="1"/>
        <v>0</v>
      </c>
      <c r="J15" s="49"/>
      <c r="K15" s="49"/>
      <c r="L15" s="49">
        <f t="shared" si="2"/>
        <v>0</v>
      </c>
    </row>
    <row r="16" spans="1:12" x14ac:dyDescent="0.35">
      <c r="B16" s="49"/>
      <c r="C16" s="49"/>
      <c r="D16" s="49"/>
      <c r="E16" s="49">
        <f t="shared" si="0"/>
        <v>0</v>
      </c>
      <c r="F16" s="49"/>
      <c r="G16" s="49"/>
      <c r="H16" s="49"/>
      <c r="I16" s="49">
        <f t="shared" si="1"/>
        <v>0</v>
      </c>
      <c r="J16" s="49"/>
      <c r="K16" s="49"/>
      <c r="L16" s="49">
        <f t="shared" si="2"/>
        <v>0</v>
      </c>
    </row>
    <row r="17" spans="2:12" x14ac:dyDescent="0.35">
      <c r="B17" s="49"/>
      <c r="C17" s="49"/>
      <c r="D17" s="49"/>
      <c r="E17" s="49">
        <f t="shared" si="0"/>
        <v>0</v>
      </c>
      <c r="F17" s="49"/>
      <c r="G17" s="49"/>
      <c r="H17" s="49"/>
      <c r="I17" s="49">
        <f t="shared" si="1"/>
        <v>0</v>
      </c>
      <c r="J17" s="49"/>
      <c r="K17" s="49"/>
      <c r="L17" s="49">
        <f t="shared" si="2"/>
        <v>0</v>
      </c>
    </row>
    <row r="18" spans="2:12" x14ac:dyDescent="0.35">
      <c r="B18" s="49" t="s">
        <v>313</v>
      </c>
      <c r="C18" s="49"/>
      <c r="D18" s="49"/>
      <c r="E18" s="49">
        <f t="shared" si="0"/>
        <v>0</v>
      </c>
      <c r="F18" s="49" t="s">
        <v>309</v>
      </c>
      <c r="G18" s="49"/>
      <c r="H18" s="49"/>
      <c r="I18" s="49">
        <f t="shared" si="1"/>
        <v>0</v>
      </c>
      <c r="J18" s="49"/>
      <c r="K18" s="49"/>
      <c r="L18" s="49">
        <f t="shared" si="2"/>
        <v>0</v>
      </c>
    </row>
    <row r="19" spans="2:12" x14ac:dyDescent="0.35">
      <c r="B19" s="49"/>
      <c r="C19" s="49"/>
      <c r="D19" s="49"/>
      <c r="E19" s="49">
        <f t="shared" si="0"/>
        <v>0</v>
      </c>
      <c r="F19" s="49" t="s">
        <v>311</v>
      </c>
      <c r="G19" s="49"/>
      <c r="H19" s="49"/>
      <c r="I19" s="49">
        <f t="shared" si="1"/>
        <v>0</v>
      </c>
      <c r="J19" s="49"/>
      <c r="K19" s="49"/>
      <c r="L19" s="49">
        <f t="shared" si="2"/>
        <v>0</v>
      </c>
    </row>
    <row r="20" spans="2:12" x14ac:dyDescent="0.35">
      <c r="B20" s="49"/>
      <c r="C20" s="49"/>
      <c r="D20" s="49"/>
      <c r="E20" s="49">
        <f t="shared" si="0"/>
        <v>0</v>
      </c>
      <c r="F20" s="49"/>
      <c r="G20" s="49"/>
      <c r="H20" s="49"/>
      <c r="I20" s="49">
        <f t="shared" si="1"/>
        <v>0</v>
      </c>
      <c r="J20" s="49"/>
      <c r="K20" s="49"/>
      <c r="L20" s="49">
        <f t="shared" si="2"/>
        <v>0</v>
      </c>
    </row>
    <row r="21" spans="2:12" x14ac:dyDescent="0.35">
      <c r="B21" s="49" t="s">
        <v>314</v>
      </c>
      <c r="C21" s="49"/>
      <c r="D21" s="49"/>
      <c r="E21" s="49">
        <f t="shared" si="0"/>
        <v>0</v>
      </c>
      <c r="F21" s="49" t="s">
        <v>309</v>
      </c>
      <c r="G21" s="49"/>
      <c r="H21" s="49"/>
      <c r="I21" s="49">
        <f t="shared" si="1"/>
        <v>0</v>
      </c>
      <c r="J21" s="49"/>
      <c r="K21" s="49"/>
      <c r="L21" s="49">
        <f t="shared" si="2"/>
        <v>0</v>
      </c>
    </row>
    <row r="22" spans="2:12" x14ac:dyDescent="0.35">
      <c r="B22" s="49"/>
      <c r="C22" s="49"/>
      <c r="D22" s="49"/>
      <c r="E22" s="49">
        <f t="shared" si="0"/>
        <v>0</v>
      </c>
      <c r="F22" s="49" t="s">
        <v>311</v>
      </c>
      <c r="G22" s="49"/>
      <c r="H22" s="49"/>
      <c r="I22" s="49">
        <f t="shared" si="1"/>
        <v>0</v>
      </c>
      <c r="J22" s="49"/>
      <c r="K22" s="49"/>
      <c r="L22" s="49">
        <f t="shared" si="2"/>
        <v>0</v>
      </c>
    </row>
    <row r="23" spans="2:12" x14ac:dyDescent="0.35">
      <c r="B23" s="49"/>
      <c r="C23" s="49"/>
      <c r="D23" s="49"/>
      <c r="E23" s="49">
        <f t="shared" si="0"/>
        <v>0</v>
      </c>
      <c r="F23" s="49"/>
      <c r="G23" s="49"/>
      <c r="H23" s="49"/>
      <c r="I23" s="49">
        <f t="shared" si="1"/>
        <v>0</v>
      </c>
      <c r="J23" s="49"/>
      <c r="K23" s="49"/>
      <c r="L23" s="49">
        <f t="shared" si="2"/>
        <v>0</v>
      </c>
    </row>
    <row r="24" spans="2:12" x14ac:dyDescent="0.35">
      <c r="B24" s="49" t="s">
        <v>315</v>
      </c>
      <c r="C24" s="49"/>
      <c r="D24" s="49"/>
      <c r="E24" s="49">
        <f t="shared" si="0"/>
        <v>0</v>
      </c>
      <c r="F24" s="49" t="s">
        <v>316</v>
      </c>
      <c r="G24" s="49"/>
      <c r="H24" s="49"/>
      <c r="I24" s="49">
        <f t="shared" si="1"/>
        <v>0</v>
      </c>
      <c r="J24" s="49"/>
      <c r="K24" s="49"/>
      <c r="L24" s="49">
        <f t="shared" si="2"/>
        <v>0</v>
      </c>
    </row>
    <row r="25" spans="2:12" x14ac:dyDescent="0.35">
      <c r="B25" s="49"/>
      <c r="C25" s="49"/>
      <c r="D25" s="49"/>
      <c r="E25" s="49">
        <f t="shared" ref="E25:E27" si="3">C25*D25</f>
        <v>0</v>
      </c>
      <c r="F25" s="49" t="s">
        <v>316</v>
      </c>
      <c r="G25" s="49"/>
      <c r="H25" s="49"/>
      <c r="I25" s="49">
        <f t="shared" ref="I25:I27" si="4">G25*H25</f>
        <v>0</v>
      </c>
      <c r="J25" s="49"/>
      <c r="K25" s="49"/>
      <c r="L25" s="49">
        <f t="shared" ref="L25:L27" si="5">J25*K25</f>
        <v>0</v>
      </c>
    </row>
    <row r="26" spans="2:12" x14ac:dyDescent="0.35">
      <c r="B26" s="49"/>
      <c r="C26" s="49"/>
      <c r="D26" s="49"/>
      <c r="E26" s="49">
        <f t="shared" si="3"/>
        <v>0</v>
      </c>
      <c r="F26" s="49" t="s">
        <v>316</v>
      </c>
      <c r="G26" s="49"/>
      <c r="H26" s="49"/>
      <c r="I26" s="49">
        <f t="shared" si="4"/>
        <v>0</v>
      </c>
      <c r="J26" s="49"/>
      <c r="K26" s="49"/>
      <c r="L26" s="49">
        <f t="shared" si="5"/>
        <v>0</v>
      </c>
    </row>
    <row r="27" spans="2:12" x14ac:dyDescent="0.35">
      <c r="B27" s="49"/>
      <c r="C27" s="49"/>
      <c r="D27" s="49"/>
      <c r="E27" s="49">
        <f t="shared" si="3"/>
        <v>0</v>
      </c>
      <c r="F27" s="49" t="s">
        <v>316</v>
      </c>
      <c r="G27" s="49"/>
      <c r="H27" s="49"/>
      <c r="I27" s="49">
        <f t="shared" si="4"/>
        <v>0</v>
      </c>
      <c r="J27" s="49"/>
      <c r="K27" s="49"/>
      <c r="L27" s="49">
        <f t="shared" si="5"/>
        <v>0</v>
      </c>
    </row>
    <row r="28" spans="2:12" x14ac:dyDescent="0.35">
      <c r="B28" s="49" t="s">
        <v>317</v>
      </c>
      <c r="C28" s="49"/>
      <c r="D28" s="49"/>
      <c r="E28" s="49">
        <f t="shared" si="0"/>
        <v>0</v>
      </c>
      <c r="F28" s="49" t="s">
        <v>316</v>
      </c>
      <c r="G28" s="49"/>
      <c r="H28" s="49"/>
      <c r="I28" s="49">
        <f t="shared" si="1"/>
        <v>0</v>
      </c>
      <c r="J28" s="49"/>
      <c r="K28" s="49"/>
      <c r="L28" s="49">
        <f t="shared" si="2"/>
        <v>0</v>
      </c>
    </row>
    <row r="29" spans="2:12" x14ac:dyDescent="0.35">
      <c r="B29" s="49" t="s">
        <v>318</v>
      </c>
      <c r="C29" s="49"/>
      <c r="D29" s="49"/>
      <c r="E29" s="49">
        <f t="shared" si="0"/>
        <v>0</v>
      </c>
      <c r="F29" s="49" t="s">
        <v>316</v>
      </c>
      <c r="G29" s="49"/>
      <c r="H29" s="49"/>
      <c r="I29" s="49">
        <f t="shared" si="1"/>
        <v>0</v>
      </c>
      <c r="J29" s="49"/>
      <c r="K29" s="49"/>
      <c r="L29" s="49">
        <f t="shared" si="2"/>
        <v>0</v>
      </c>
    </row>
    <row r="30" spans="2:12" x14ac:dyDescent="0.35">
      <c r="B30" s="49" t="s">
        <v>322</v>
      </c>
      <c r="C30" s="49"/>
      <c r="D30" s="49"/>
      <c r="E30" s="49">
        <f t="shared" si="0"/>
        <v>0</v>
      </c>
      <c r="F30" s="49"/>
      <c r="G30" s="49"/>
      <c r="H30" s="49"/>
      <c r="I30" s="49">
        <f t="shared" si="1"/>
        <v>0</v>
      </c>
      <c r="J30" s="49"/>
      <c r="K30" s="49"/>
      <c r="L30" s="49">
        <f t="shared" si="2"/>
        <v>0</v>
      </c>
    </row>
    <row r="31" spans="2:12" x14ac:dyDescent="0.35">
      <c r="B31" s="49"/>
      <c r="C31" s="49"/>
      <c r="D31" s="49"/>
      <c r="E31" s="49">
        <f t="shared" ref="E31:E32" si="6">C31*D31</f>
        <v>0</v>
      </c>
      <c r="F31" s="49"/>
      <c r="G31" s="49"/>
      <c r="H31" s="49"/>
      <c r="I31" s="49">
        <f t="shared" ref="I31:I32" si="7">G31*H31</f>
        <v>0</v>
      </c>
      <c r="J31" s="49"/>
      <c r="K31" s="49"/>
      <c r="L31" s="49">
        <f t="shared" ref="L31:L32" si="8">J31*K31</f>
        <v>0</v>
      </c>
    </row>
    <row r="32" spans="2:12" x14ac:dyDescent="0.35">
      <c r="B32" s="49"/>
      <c r="C32" s="49"/>
      <c r="D32" s="49"/>
      <c r="E32" s="49">
        <f t="shared" si="6"/>
        <v>0</v>
      </c>
      <c r="F32" s="49"/>
      <c r="G32" s="49"/>
      <c r="H32" s="49"/>
      <c r="I32" s="49">
        <f t="shared" si="7"/>
        <v>0</v>
      </c>
      <c r="J32" s="49"/>
      <c r="K32" s="49"/>
      <c r="L32" s="49">
        <f t="shared" si="8"/>
        <v>0</v>
      </c>
    </row>
    <row r="33" spans="2:12" x14ac:dyDescent="0.35">
      <c r="B33" s="49" t="s">
        <v>319</v>
      </c>
      <c r="C33" s="49"/>
      <c r="D33" s="49"/>
      <c r="E33" s="49">
        <f t="shared" si="0"/>
        <v>0</v>
      </c>
      <c r="F33" s="49"/>
      <c r="G33" s="49"/>
      <c r="H33" s="49"/>
      <c r="I33" s="49">
        <f t="shared" si="1"/>
        <v>0</v>
      </c>
      <c r="J33" s="49"/>
      <c r="K33" s="49"/>
      <c r="L33" s="49">
        <f t="shared" si="2"/>
        <v>0</v>
      </c>
    </row>
    <row r="34" spans="2:12" x14ac:dyDescent="0.35">
      <c r="B34" s="49" t="s">
        <v>323</v>
      </c>
      <c r="C34" s="49"/>
      <c r="D34" s="49"/>
      <c r="E34" s="49">
        <f t="shared" si="0"/>
        <v>0</v>
      </c>
      <c r="F34" s="49"/>
      <c r="G34" s="49"/>
      <c r="H34" s="49"/>
      <c r="I34" s="49">
        <f t="shared" si="1"/>
        <v>0</v>
      </c>
      <c r="J34" s="49"/>
      <c r="K34" s="49"/>
      <c r="L34" s="49">
        <f t="shared" si="2"/>
        <v>0</v>
      </c>
    </row>
    <row r="35" spans="2:12" x14ac:dyDescent="0.35">
      <c r="B35" s="49" t="s">
        <v>320</v>
      </c>
      <c r="C35" s="49"/>
      <c r="D35" s="49"/>
      <c r="E35" s="49">
        <f t="shared" si="0"/>
        <v>0</v>
      </c>
      <c r="F35" s="49"/>
      <c r="G35" s="49"/>
      <c r="H35" s="49"/>
      <c r="I35" s="49">
        <f t="shared" si="1"/>
        <v>0</v>
      </c>
      <c r="J35" s="49"/>
      <c r="K35" s="49"/>
      <c r="L35" s="49">
        <f t="shared" si="2"/>
        <v>0</v>
      </c>
    </row>
    <row r="36" spans="2:12" x14ac:dyDescent="0.35">
      <c r="B36" s="49" t="s">
        <v>321</v>
      </c>
      <c r="C36" s="49"/>
      <c r="D36" s="49"/>
      <c r="E36" s="49">
        <f t="shared" si="0"/>
        <v>0</v>
      </c>
      <c r="F36" s="49"/>
      <c r="G36" s="49"/>
      <c r="H36" s="49"/>
      <c r="I36" s="49">
        <f>G36*H36</f>
        <v>0</v>
      </c>
      <c r="J36" s="49"/>
      <c r="K36" s="49"/>
      <c r="L36" s="49">
        <f>J36*K36</f>
        <v>0</v>
      </c>
    </row>
    <row r="37" spans="2:12" x14ac:dyDescent="0.35">
      <c r="B37" s="49"/>
      <c r="C37" s="49"/>
      <c r="D37" s="49"/>
      <c r="E37" s="49">
        <f t="shared" ref="E37:E38" si="9">C37*D37</f>
        <v>0</v>
      </c>
      <c r="F37" s="49"/>
      <c r="G37" s="49"/>
      <c r="H37" s="49"/>
      <c r="I37" s="49">
        <f t="shared" ref="I37:I38" si="10">G37*H37</f>
        <v>0</v>
      </c>
      <c r="J37" s="49"/>
      <c r="K37" s="49"/>
      <c r="L37" s="49">
        <f t="shared" ref="L37:L38" si="11">J37*K37</f>
        <v>0</v>
      </c>
    </row>
    <row r="38" spans="2:12" x14ac:dyDescent="0.35">
      <c r="B38" s="49" t="s">
        <v>324</v>
      </c>
      <c r="C38" s="49"/>
      <c r="D38" s="49"/>
      <c r="E38" s="49">
        <f t="shared" si="9"/>
        <v>0</v>
      </c>
      <c r="F38" s="49"/>
      <c r="G38" s="49"/>
      <c r="H38" s="49"/>
      <c r="I38" s="49">
        <f t="shared" si="10"/>
        <v>0</v>
      </c>
      <c r="J38" s="49"/>
      <c r="K38" s="49"/>
      <c r="L38" s="49">
        <f t="shared" si="11"/>
        <v>0</v>
      </c>
    </row>
    <row r="39" spans="2:12" x14ac:dyDescent="0.35">
      <c r="B39" s="49"/>
      <c r="C39" s="49"/>
      <c r="D39" s="49"/>
      <c r="E39" s="49">
        <f t="shared" si="0"/>
        <v>0</v>
      </c>
      <c r="F39" s="49"/>
      <c r="G39" s="49"/>
      <c r="H39" s="49"/>
      <c r="I39" s="49">
        <f>G39*H39</f>
        <v>0</v>
      </c>
      <c r="J39" s="49"/>
      <c r="K39" s="49"/>
      <c r="L39" s="49">
        <f>J39*K39</f>
        <v>0</v>
      </c>
    </row>
    <row r="40" spans="2:12" x14ac:dyDescent="0.35">
      <c r="B40" s="49"/>
      <c r="C40" s="49"/>
      <c r="D40" s="49"/>
      <c r="E40" s="49">
        <f t="shared" si="0"/>
        <v>0</v>
      </c>
      <c r="F40" s="49"/>
      <c r="G40" s="49"/>
      <c r="H40" s="49"/>
      <c r="I40" s="49">
        <f>G40*H40</f>
        <v>0</v>
      </c>
      <c r="J40" s="49"/>
      <c r="K40" s="49"/>
      <c r="L40" s="49">
        <f>J40*K40</f>
        <v>0</v>
      </c>
    </row>
    <row r="41" spans="2:12" x14ac:dyDescent="0.35">
      <c r="B41" s="49"/>
      <c r="C41" s="49"/>
      <c r="D41" s="49"/>
      <c r="E41" s="49">
        <f t="shared" si="0"/>
        <v>0</v>
      </c>
      <c r="F41" s="49"/>
      <c r="G41" s="49"/>
      <c r="H41" s="49"/>
      <c r="I41" s="49">
        <f>G41*H41</f>
        <v>0</v>
      </c>
      <c r="J41" s="49"/>
      <c r="K41" s="49"/>
      <c r="L41" s="49">
        <f>J41*K41</f>
        <v>0</v>
      </c>
    </row>
    <row r="42" spans="2:12" x14ac:dyDescent="0.35">
      <c r="B42" s="49" t="s">
        <v>145</v>
      </c>
      <c r="C42" s="49"/>
      <c r="D42" s="49">
        <f>E42*10.764</f>
        <v>0</v>
      </c>
      <c r="E42" s="68">
        <f>SUM(E6:E41)</f>
        <v>0</v>
      </c>
      <c r="F42" s="49"/>
      <c r="G42" s="49"/>
      <c r="H42" s="49">
        <f>I42*10.764</f>
        <v>0</v>
      </c>
      <c r="I42" s="67">
        <f>SUM(I6:I41)</f>
        <v>0</v>
      </c>
      <c r="J42" s="49"/>
      <c r="K42" s="49">
        <f>L42*10.764</f>
        <v>0</v>
      </c>
      <c r="L42" s="66">
        <f>SUM(L6:L41)</f>
        <v>0</v>
      </c>
    </row>
    <row r="44" spans="2:12" x14ac:dyDescent="0.3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2025-09-19T09:15:11Z</cp:lastPrinted>
  <dcterms:created xsi:type="dcterms:W3CDTF">2019-07-16T09:29:46Z</dcterms:created>
  <dcterms:modified xsi:type="dcterms:W3CDTF">2025-09-19T09:15:15Z</dcterms:modified>
</cp:coreProperties>
</file>