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 i="1" l="1"/>
  <c r="G130" i="1"/>
  <c r="C16" i="1" l="1"/>
  <c r="G132" i="1"/>
  <c r="G131" i="1"/>
  <c r="G129" i="1"/>
  <c r="E172" i="1"/>
  <c r="D172" i="1"/>
  <c r="E171" i="1"/>
  <c r="D171" i="1"/>
  <c r="E170" i="1"/>
  <c r="D170" i="1"/>
  <c r="E169" i="1"/>
  <c r="D169" i="1"/>
  <c r="E168" i="1"/>
  <c r="D168" i="1"/>
  <c r="E167" i="1"/>
  <c r="D167" i="1"/>
  <c r="E166" i="1"/>
  <c r="D166" i="1"/>
  <c r="E165" i="1"/>
  <c r="D165" i="1"/>
  <c r="E164" i="1"/>
  <c r="D164" i="1"/>
  <c r="E163" i="1"/>
  <c r="D163" i="1"/>
  <c r="E162" i="1"/>
  <c r="D162" i="1"/>
  <c r="E161" i="1"/>
  <c r="D161" i="1"/>
  <c r="E159" i="1"/>
  <c r="D159" i="1"/>
  <c r="E158" i="1"/>
  <c r="D158" i="1"/>
  <c r="E157" i="1"/>
  <c r="D157" i="1"/>
  <c r="E156" i="1"/>
  <c r="D156" i="1"/>
  <c r="E155" i="1"/>
  <c r="D155" i="1"/>
  <c r="E154" i="1"/>
  <c r="D154" i="1"/>
  <c r="E153" i="1"/>
  <c r="D153" i="1"/>
  <c r="E152" i="1"/>
  <c r="D152" i="1"/>
  <c r="E151" i="1"/>
  <c r="D151" i="1"/>
  <c r="E150" i="1"/>
  <c r="D150" i="1"/>
  <c r="F150" i="1" s="1"/>
  <c r="H150" i="1" s="1"/>
  <c r="E149" i="1"/>
  <c r="D149" i="1"/>
  <c r="E148" i="1"/>
  <c r="D148" i="1"/>
  <c r="E146" i="1"/>
  <c r="D146" i="1"/>
  <c r="E145" i="1"/>
  <c r="D145" i="1"/>
  <c r="E144" i="1"/>
  <c r="D144" i="1"/>
  <c r="E143" i="1"/>
  <c r="D143" i="1"/>
  <c r="E142" i="1"/>
  <c r="D142" i="1"/>
  <c r="E141" i="1"/>
  <c r="D141" i="1"/>
  <c r="E140" i="1"/>
  <c r="D140" i="1"/>
  <c r="E139" i="1"/>
  <c r="D139" i="1"/>
  <c r="E138" i="1"/>
  <c r="D138" i="1"/>
  <c r="E137" i="1"/>
  <c r="D137" i="1"/>
  <c r="E136" i="1"/>
  <c r="D136" i="1"/>
  <c r="E135" i="1"/>
  <c r="D135" i="1"/>
  <c r="E133" i="1"/>
  <c r="D133" i="1"/>
  <c r="E132" i="1"/>
  <c r="D132" i="1"/>
  <c r="E131" i="1"/>
  <c r="D131" i="1"/>
  <c r="E130" i="1"/>
  <c r="D130" i="1"/>
  <c r="E129" i="1"/>
  <c r="D129" i="1"/>
  <c r="E128" i="1"/>
  <c r="D128" i="1"/>
  <c r="E127" i="1"/>
  <c r="D127" i="1"/>
  <c r="E126" i="1"/>
  <c r="D126" i="1"/>
  <c r="E125" i="1"/>
  <c r="D125" i="1"/>
  <c r="E124" i="1"/>
  <c r="D124" i="1"/>
  <c r="E123" i="1"/>
  <c r="D123" i="1"/>
  <c r="E122" i="1"/>
  <c r="D122" i="1"/>
  <c r="D117" i="1"/>
  <c r="F117" i="1" s="1"/>
  <c r="H117" i="1" s="1"/>
  <c r="D116" i="1"/>
  <c r="F116" i="1" s="1"/>
  <c r="H116" i="1" s="1"/>
  <c r="D115" i="1"/>
  <c r="F115" i="1" s="1"/>
  <c r="D114" i="1"/>
  <c r="D113" i="1"/>
  <c r="D112" i="1"/>
  <c r="J113" i="1"/>
  <c r="I172" i="1"/>
  <c r="A161" i="1"/>
  <c r="A162" i="1" s="1"/>
  <c r="A163" i="1" s="1"/>
  <c r="A164" i="1" s="1"/>
  <c r="A165" i="1" s="1"/>
  <c r="A166" i="1" s="1"/>
  <c r="A167" i="1" s="1"/>
  <c r="A168" i="1" s="1"/>
  <c r="A169" i="1" s="1"/>
  <c r="A170" i="1" s="1"/>
  <c r="A171" i="1" s="1"/>
  <c r="A172" i="1" s="1"/>
  <c r="I159" i="1"/>
  <c r="A148" i="1"/>
  <c r="A149" i="1" s="1"/>
  <c r="A150" i="1" s="1"/>
  <c r="A151" i="1" s="1"/>
  <c r="A152" i="1" s="1"/>
  <c r="A153" i="1" s="1"/>
  <c r="A154" i="1" s="1"/>
  <c r="A155" i="1" s="1"/>
  <c r="A156" i="1" s="1"/>
  <c r="A157" i="1" s="1"/>
  <c r="A158" i="1" s="1"/>
  <c r="A159" i="1" s="1"/>
  <c r="I122" i="1"/>
  <c r="A122" i="1"/>
  <c r="A123" i="1" s="1"/>
  <c r="A124" i="1" s="1"/>
  <c r="A125" i="1" s="1"/>
  <c r="A126" i="1" s="1"/>
  <c r="A127" i="1" s="1"/>
  <c r="A128" i="1" s="1"/>
  <c r="A129" i="1" s="1"/>
  <c r="A130" i="1" s="1"/>
  <c r="A131" i="1" s="1"/>
  <c r="A132" i="1" s="1"/>
  <c r="A133" i="1" s="1"/>
  <c r="I112" i="1"/>
  <c r="I113" i="1"/>
  <c r="E43" i="1"/>
  <c r="A135" i="1"/>
  <c r="F128" i="1" l="1"/>
  <c r="H128" i="1" s="1"/>
  <c r="F163" i="1"/>
  <c r="H163" i="1" s="1"/>
  <c r="F124" i="1"/>
  <c r="H124" i="1" s="1"/>
  <c r="F171" i="1"/>
  <c r="H171" i="1" s="1"/>
  <c r="F145" i="1"/>
  <c r="H145" i="1" s="1"/>
  <c r="F137" i="1"/>
  <c r="H137" i="1" s="1"/>
  <c r="C100" i="1"/>
  <c r="C101" i="1" s="1"/>
  <c r="F122" i="1"/>
  <c r="H122" i="1" s="1"/>
  <c r="F123" i="1"/>
  <c r="H123" i="1" s="1"/>
  <c r="F126" i="1"/>
  <c r="H126" i="1" s="1"/>
  <c r="F127" i="1"/>
  <c r="H127" i="1" s="1"/>
  <c r="F130" i="1"/>
  <c r="H130" i="1" s="1"/>
  <c r="F131" i="1"/>
  <c r="H131" i="1" s="1"/>
  <c r="F135" i="1"/>
  <c r="H135" i="1" s="1"/>
  <c r="F136" i="1"/>
  <c r="H136" i="1" s="1"/>
  <c r="F139" i="1"/>
  <c r="H139" i="1" s="1"/>
  <c r="F140" i="1"/>
  <c r="H140" i="1" s="1"/>
  <c r="F143" i="1"/>
  <c r="H143" i="1" s="1"/>
  <c r="F144" i="1"/>
  <c r="H144" i="1" s="1"/>
  <c r="F148" i="1"/>
  <c r="H148" i="1" s="1"/>
  <c r="F149" i="1"/>
  <c r="H149" i="1" s="1"/>
  <c r="F152" i="1"/>
  <c r="H152" i="1" s="1"/>
  <c r="F153" i="1"/>
  <c r="H153" i="1" s="1"/>
  <c r="F156" i="1"/>
  <c r="H156" i="1" s="1"/>
  <c r="F161" i="1"/>
  <c r="H161" i="1" s="1"/>
  <c r="F165" i="1"/>
  <c r="H165" i="1" s="1"/>
  <c r="F169" i="1"/>
  <c r="H169" i="1" s="1"/>
  <c r="F141" i="1"/>
  <c r="H141" i="1" s="1"/>
  <c r="F154" i="1"/>
  <c r="H154" i="1" s="1"/>
  <c r="F157" i="1"/>
  <c r="H157" i="1" s="1"/>
  <c r="F166" i="1"/>
  <c r="H166" i="1" s="1"/>
  <c r="F170" i="1"/>
  <c r="H170" i="1" s="1"/>
  <c r="F132" i="1"/>
  <c r="H132" i="1" s="1"/>
  <c r="F158" i="1"/>
  <c r="H158" i="1" s="1"/>
  <c r="F167" i="1"/>
  <c r="H167" i="1" s="1"/>
  <c r="F125" i="1"/>
  <c r="H125" i="1" s="1"/>
  <c r="F129" i="1"/>
  <c r="H129" i="1" s="1"/>
  <c r="F133" i="1"/>
  <c r="H133" i="1" s="1"/>
  <c r="F138" i="1"/>
  <c r="H138" i="1" s="1"/>
  <c r="F142" i="1"/>
  <c r="H142" i="1" s="1"/>
  <c r="F146" i="1"/>
  <c r="H146" i="1" s="1"/>
  <c r="F151" i="1"/>
  <c r="H151" i="1" s="1"/>
  <c r="F155" i="1"/>
  <c r="H155" i="1" s="1"/>
  <c r="F164" i="1"/>
  <c r="H164" i="1" s="1"/>
  <c r="F172" i="1"/>
  <c r="H172" i="1" s="1"/>
  <c r="F162" i="1"/>
  <c r="H162" i="1" s="1"/>
  <c r="C104" i="1"/>
  <c r="C105" i="1" s="1"/>
  <c r="F159" i="1"/>
  <c r="H159" i="1" s="1"/>
  <c r="F168" i="1"/>
  <c r="H168" i="1" s="1"/>
  <c r="B175" i="1"/>
  <c r="A136" i="1"/>
  <c r="G104" i="1" l="1"/>
  <c r="G105" i="1" s="1"/>
  <c r="E104" i="1"/>
  <c r="E105" i="1" s="1"/>
  <c r="F113" i="1"/>
  <c r="H113" i="1" s="1"/>
  <c r="F114" i="1"/>
  <c r="H114" i="1" s="1"/>
  <c r="H115" i="1"/>
  <c r="F112" i="1"/>
  <c r="A137" i="1"/>
  <c r="H112" i="1" l="1"/>
  <c r="G100" i="1" s="1"/>
  <c r="G101" i="1" s="1"/>
  <c r="E100" i="1"/>
  <c r="E101" i="1" s="1"/>
  <c r="C54" i="1"/>
  <c r="A138" i="1"/>
  <c r="S33" i="1" l="1"/>
  <c r="A139" i="1"/>
  <c r="F11" i="5" l="1"/>
  <c r="G11" i="5" s="1"/>
  <c r="F10" i="5"/>
  <c r="G10" i="5" s="1"/>
  <c r="F9" i="5"/>
  <c r="G9" i="5" s="1"/>
  <c r="G8" i="5"/>
  <c r="F8" i="5"/>
  <c r="F7" i="5"/>
  <c r="G7" i="5" s="1"/>
  <c r="F6" i="5"/>
  <c r="G6" i="5" s="1"/>
  <c r="F5" i="5"/>
  <c r="G5" i="5" s="1"/>
  <c r="G12" i="5" s="1"/>
  <c r="D197" i="1"/>
  <c r="B176" i="1"/>
  <c r="A113" i="1"/>
  <c r="A114" i="1" s="1"/>
  <c r="A115" i="1" s="1"/>
  <c r="A116" i="1" s="1"/>
  <c r="A117" i="1" s="1"/>
  <c r="G106" i="1"/>
  <c r="E106" i="1"/>
  <c r="C106" i="1"/>
  <c r="F97" i="1"/>
  <c r="C71" i="1"/>
  <c r="D65" i="1"/>
  <c r="D60" i="1"/>
  <c r="C51" i="1"/>
  <c r="E44" i="1"/>
  <c r="E45" i="1" s="1"/>
  <c r="E31" i="1"/>
  <c r="E28" i="1"/>
  <c r="E26" i="1"/>
  <c r="I15" i="1"/>
  <c r="Z13" i="1"/>
  <c r="E8" i="1"/>
  <c r="E3" i="1"/>
  <c r="H72" i="1"/>
  <c r="A140" i="1"/>
  <c r="J71" i="1" l="1"/>
  <c r="J73" i="1" s="1"/>
  <c r="J74" i="1"/>
  <c r="J75" i="1"/>
  <c r="J76" i="1"/>
  <c r="C75" i="1" s="1"/>
  <c r="D79" i="1"/>
  <c r="D81" i="1"/>
  <c r="D80" i="1"/>
  <c r="D84" i="1"/>
  <c r="D78" i="1"/>
  <c r="D83" i="1"/>
  <c r="D77" i="1"/>
  <c r="D82" i="1"/>
  <c r="B72" i="1"/>
  <c r="J77" i="1" s="1"/>
  <c r="A141" i="1"/>
  <c r="D75" i="1" l="1"/>
  <c r="J81" i="1"/>
  <c r="J79" i="1"/>
  <c r="J80" i="1"/>
  <c r="J78" i="1"/>
  <c r="J83" i="1" s="1"/>
  <c r="J84" i="1" s="1"/>
  <c r="C76" i="1" s="1"/>
  <c r="J82" i="1"/>
  <c r="A142" i="1"/>
  <c r="J72" i="1" l="1"/>
  <c r="E75" i="1"/>
  <c r="D76" i="1"/>
  <c r="I72" i="1" s="1"/>
  <c r="G75" i="1"/>
  <c r="D69" i="1" s="1"/>
  <c r="D70" i="1" s="1"/>
  <c r="A143" i="1"/>
  <c r="F70" i="1" l="1"/>
  <c r="I73" i="1"/>
  <c r="I71" i="1" s="1"/>
  <c r="C73" i="1" s="1"/>
  <c r="A144" i="1"/>
  <c r="A145" i="1" l="1"/>
  <c r="A146"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Height from AMSL</t>
        </r>
      </text>
    </comment>
    <comment ref="D60"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<sst xmlns="http://schemas.openxmlformats.org/spreadsheetml/2006/main" count="571" uniqueCount="344">
  <si>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</si>
  <si>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</si>
  <si>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</si>
  <si>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</si>
  <si>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</si>
  <si>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</si>
  <si>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</si>
  <si>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</si>
  <si>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</si>
  <si>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</si>
  <si>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</si>
  <si>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</si>
  <si>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</si>
  <si>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</si>
  <si>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</si>
  <si>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</si>
  <si>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</si>
  <si>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</si>
  <si>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</si>
  <si>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</si>
  <si>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</si>
  <si>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</si>
  <si>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</si>
  <si>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</si>
  <si>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</si>
  <si>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</si>
  <si>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</si>
  <si>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</si>
  <si>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</si>
  <si>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</si>
  <si>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</si>
  <si>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</si>
  <si>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</si>
  <si>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</si>
  <si>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</si>
  <si>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</si>
  <si>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</si>
  <si>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</si>
  <si>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</si>
  <si>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</si>
  <si>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</si>
  <si>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</si>
  <si>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</si>
  <si>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</si>
  <si>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</si>
  <si>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</si>
  <si>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</si>
  <si>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</si>
  <si>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</si>
  <si>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</si>
  <si>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</si>
  <si>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</si>
  <si>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</si>
  <si>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</si>
  <si>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</si>
  <si>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</si>
  <si>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</si>
  <si>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</si>
  <si>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</si>
  <si>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</si>
  <si>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</si>
  <si>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</si>
  <si>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</si>
  <si>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</si>
  <si>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</si>
  <si>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</si>
  <si>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</si>
  <si>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</si>
  <si>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</si>
  <si>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</si>
  <si>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</si>
  <si>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</si>
  <si>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</si>
  <si>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</si>
  <si>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</si>
  <si>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</si>
  <si>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</si>
  <si>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</si>
  <si>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</si>
  <si>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</si>
  <si>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</si>
  <si>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</si>
  <si>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</si>
  <si>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</si>
  <si>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</si>
  <si>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</si>
  <si>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</si>
  <si>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</si>
  <si>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</si>
  <si>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</si>
  <si>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</si>
  <si>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</si>
  <si>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</si>
  <si>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</si>
  <si>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</si>
  <si>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</si>
  <si>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</si>
  <si>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</si>
  <si>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</si>
  <si>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</si>
  <si>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</si>
  <si>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</si>
  <si>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</si>
  <si>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</si>
  <si>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</si>
  <si>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</si>
  <si>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</si>
  <si>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</si>
  <si>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</si>
  <si>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</si>
  <si>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</si>
  <si>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</si>
  <si>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</si>
  <si>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</si>
  <si>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</si>
  <si>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</si>
  <si>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</si>
  <si>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</si>
  <si>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</si>
  <si>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</si>
  <si>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</si>
  <si>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</si>
  <si>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</si>
  <si>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</si>
  <si>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</si>
  <si>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</si>
  <si>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</si>
  <si>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</si>
  <si>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</si>
  <si>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</si>
  <si>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</si>
  <si>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</si>
  <si>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</si>
  <si>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</si>
  <si>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</si>
  <si>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</si>
  <si>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</si>
  <si>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</si>
  <si>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</si>
  <si>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</si>
  <si>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</si>
  <si>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</si>
  <si>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</si>
  <si>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</si>
  <si>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</si>
  <si>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</si>
  <si>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</si>
  <si>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</si>
  <si>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</si>
  <si>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</si>
  <si>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</si>
  <si>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</si>
  <si>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</si>
  <si>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</si>
  <si>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</si>
  <si>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</si>
  <si>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</si>
  <si>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</si>
  <si>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</si>
  <si>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</si>
  <si>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</si>
  <si>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</si>
  <si>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</si>
  <si>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</si>
  <si>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</si>
  <si>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</si>
  <si>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</si>
  <si>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</si>
  <si>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</si>
  <si>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</si>
  <si>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</si>
  <si>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</si>
  <si>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</si>
  <si>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</si>
  <si>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</si>
  <si>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</si>
  <si>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</si>
  <si>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</si>
  <si>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</si>
  <si>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</si>
  <si>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</si>
  <si>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</si>
  <si>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</si>
  <si>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</si>
  <si>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</si>
  <si>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</si>
  <si>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</si>
  <si>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</si>
  <si>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</si>
  <si>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</si>
  <si>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</si>
  <si>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</si>
  <si>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</si>
  <si>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</si>
  <si>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</si>
  <si>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</si>
  <si>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</si>
  <si>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</si>
  <si>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</si>
  <si>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</si>
  <si>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</si>
  <si>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</si>
  <si>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</si>
  <si>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</si>
  <si>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</si>
  <si>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</si>
  <si>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</si>
  <si>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</si>
  <si>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</si>
  <si>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</si>
  <si>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</si>
  <si>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</si>
  <si>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</si>
  <si>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</si>
  <si>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</si>
  <si>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</si>
  <si>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</si>
  <si>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</si>
  <si>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</si>
  <si>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</si>
  <si>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</si>
  <si>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</si>
  <si>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</si>
  <si>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</si>
  <si>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</si>
  <si>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</si>
  <si>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</si>
  <si>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</si>
  <si>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</si>
  <si>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</si>
  <si>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</si>
  <si>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</si>
  <si>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</si>
  <si>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</si>
  <si>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</si>
  <si>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</si>
  <si>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</si>
  <si>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</si>
  <si>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</si>
  <si>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</si>
  <si>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</si>
  <si>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</si>
  <si>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</si>
  <si>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</si>
  <si>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</si>
  <si>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</si>
  <si>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</si>
  <si>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</si>
  <si>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</si>
  <si>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</si>
  <si>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</si>
  <si>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</si>
  <si>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</si>
  <si>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</si>
  <si>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</si>
  <si>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</si>
  <si>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</si>
  <si>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</si>
  <si>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</si>
  <si>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</si>
  <si>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</si>
  <si>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</si>
  <si>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</si>
  <si>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</si>
  <si>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</si>
  <si>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</si>
  <si>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</si>
  <si>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</si>
  <si>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</si>
  <si>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</si>
  <si>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</si>
  <si>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</si>
  <si>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</si>
  <si>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</si>
  <si>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</si>
  <si>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</si>
  <si>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</si>
  <si>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</si>
  <si>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</si>
  <si>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</si>
  <si>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</si>
  <si>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</si>
  <si>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</si>
  <si>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</si>
  <si>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</si>
  <si>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</si>
  <si>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</si>
  <si>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</si>
  <si>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</si>
  <si>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</si>
  <si>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</si>
  <si>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</si>
  <si>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</si>
  <si>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</si>
  <si>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</si>
  <si>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</si>
  <si>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P52000052273</t>
  </si>
  <si>
    <t>Tricity Realty LLP</t>
  </si>
  <si>
    <t>Tricity Bliss</t>
  </si>
  <si>
    <t>Plot No</t>
  </si>
  <si>
    <t>Wahal</t>
  </si>
  <si>
    <t>Pushpak Nagar</t>
  </si>
  <si>
    <t>CIDCO/BP-18057/TPO(NM &amp; K)/2022/10671</t>
  </si>
  <si>
    <t xml:space="preserve">G + 1st to 10th Floor
</t>
  </si>
  <si>
    <t>As per RERA - 31/12/2026</t>
  </si>
  <si>
    <t>Ground Floor For Commercial, Drivers Room, Club House, Society Office, Meter Room, Fire Control Room, Parking &amp; Lobby</t>
  </si>
  <si>
    <t>Shop</t>
  </si>
  <si>
    <t>1BHK</t>
  </si>
  <si>
    <t>1st Floor For Residential</t>
  </si>
  <si>
    <t>2nd to 7th &amp; 9th Floor For Residential</t>
  </si>
  <si>
    <t>8th Floor For Residential (Part Refuge Area)</t>
  </si>
  <si>
    <t>1RK</t>
  </si>
  <si>
    <t>10th Floor For Residential (Part Refuge Area)</t>
  </si>
  <si>
    <t>Shops</t>
  </si>
  <si>
    <t>Flats</t>
  </si>
  <si>
    <t>Flats -120, Shops -6</t>
  </si>
  <si>
    <t xml:space="preserve">Vitrified tiles flooring, Granite Kitchen Platform, Decorative Enternace, Landscaping &amp; Garden, etc
</t>
  </si>
  <si>
    <t>Internal Road</t>
  </si>
  <si>
    <t>Invicta Avianna Infra LLP</t>
  </si>
  <si>
    <t>Other Plot</t>
  </si>
  <si>
    <t>Under Construction Building</t>
  </si>
  <si>
    <t>18.9643879,73.0285852</t>
  </si>
  <si>
    <t>https://maps.app.goo.gl/1RP8DRfE7bTVufDv6</t>
  </si>
  <si>
    <t>340 &amp; Sector No.26</t>
  </si>
  <si>
    <t xml:space="preserve">We considered Gross carpet area = Net carpet </t>
  </si>
  <si>
    <r>
      <t xml:space="preserve">Proposed Amenities :                                                                                                                                                                                                                         </t>
    </r>
    <r>
      <rPr>
        <b/>
        <sz val="12"/>
        <rFont val="Times New Roman"/>
        <family val="1"/>
      </rPr>
      <t xml:space="preserve">                                               </t>
    </r>
  </si>
  <si>
    <t>G + 1st to 13th Floor</t>
  </si>
  <si>
    <r>
      <t xml:space="preserve">Shop No.
</t>
    </r>
    <r>
      <rPr>
        <b/>
        <sz val="11"/>
        <rFont val="Times New Roman"/>
        <family val="1"/>
      </rPr>
      <t>(Approved Plan)</t>
    </r>
  </si>
  <si>
    <r>
      <t xml:space="preserve">Flat No.
</t>
    </r>
    <r>
      <rPr>
        <b/>
        <sz val="11"/>
        <rFont val="Times New Roman"/>
        <family val="1"/>
      </rPr>
      <t>(Approved Plan)</t>
    </r>
  </si>
  <si>
    <t>1.6 KM from Bamandongri Railway Station</t>
  </si>
  <si>
    <t>NAVI/WEST/B/122221/642053</t>
  </si>
  <si>
    <t>Valid Upto</t>
  </si>
  <si>
    <t xml:space="preserve">Airport Noc No
Site Elevation 
Valid Up to: </t>
  </si>
  <si>
    <t>13.51M 
55.1M (AMSL)</t>
  </si>
  <si>
    <t>Approved Plans, CC, Airport Noc</t>
  </si>
  <si>
    <t>Mr. Aashutosh Gupta 8104664168</t>
  </si>
  <si>
    <t>CIDCO/BP-18057/TPO(NM &amp; K)/2022/13075</t>
  </si>
  <si>
    <t xml:space="preserve">Commencement-CC No
Valid Up to: </t>
  </si>
  <si>
    <t>G + 1st to 13th Floor (Total Builtup Area = 9091.55 Sq.mtrs.)
Residential Unit - 156, Commercial Unit - 06</t>
  </si>
  <si>
    <t>Please provide revised approved plans.</t>
  </si>
  <si>
    <t>We have updated revised CC from RERA site on 20/03/2025.</t>
  </si>
  <si>
    <t>Construction work is in process at the time of Visit.</t>
  </si>
  <si>
    <t>Pooja Kawale</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</si>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</sst>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0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0" borderId="26"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0"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0" borderId="9"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28" fillId="0" borderId="3" xfId="1" applyNumberFormat="1" applyFont="1" applyBorder="1" applyAlignment="1" applyProtection="1">
      <alignment horizontal="center" vertical="top" wrapText="1"/>
      <protection locked="0"/>
    </xf>
    <xf numFmtId="1" fontId="28" fillId="0" borderId="14" xfId="1"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7" fillId="0" borderId="14" xfId="1" applyFont="1" applyBorder="1" applyAlignment="1" applyProtection="1">
      <alignment horizontal="left" vertical="top"/>
      <protection locked="0"/>
    </xf>
    <xf numFmtId="0" fontId="7" fillId="0" borderId="14"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12" fillId="0" borderId="14" xfId="1" applyFont="1" applyBorder="1" applyAlignment="1" applyProtection="1">
      <alignment horizontal="center" vertical="top"/>
      <protection locked="0"/>
    </xf>
    <xf numFmtId="0" fontId="9" fillId="0" borderId="1"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5" fillId="0" borderId="14"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2" fillId="0" borderId="15"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27"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1" fontId="9" fillId="0" borderId="28" xfId="0" applyNumberFormat="1" applyFont="1" applyBorder="1" applyAlignment="1" applyProtection="1">
      <alignment horizontal="center" vertical="center"/>
      <protection locked="0"/>
    </xf>
    <xf numFmtId="1" fontId="9" fillId="0" borderId="28" xfId="0"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6" fillId="0" borderId="21"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8" fillId="0" borderId="1" xfId="5" applyFont="1" applyBorder="1" applyAlignment="1">
      <alignment horizontal="left"/>
    </xf>
    <xf numFmtId="0" fontId="22" fillId="2" borderId="13" xfId="0" applyFont="1" applyFill="1" applyBorder="1"/>
    <xf numFmtId="0" fontId="23" fillId="0" borderId="9" xfId="0" applyFont="1" applyBorder="1"/>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600525</xdr:colOff>
      <xdr:row>240</xdr:row>
      <xdr:rowOff>28574</xdr:rowOff>
    </xdr:from>
    <xdr:to>
      <xdr:col>6</xdr:col>
      <xdr:colOff>114300</xdr:colOff>
      <xdr:row>270</xdr:row>
      <xdr:rowOff>99465</xdr:rowOff>
    </xdr:to>
    <xdr:pic>
      <xdr:nvPicPr>
        <xdr:cNvPr id="2" name="Picture 1"/>
        <xdr:cNvPicPr>
          <a:picLocks noChangeAspect="1"/>
        </xdr:cNvPicPr>
      </xdr:nvPicPr>
      <xdr:blipFill>
        <a:blip xmlns:r="http://schemas.openxmlformats.org/officeDocument/2006/relationships" r:embed="rId1"/>
        <a:stretch>
          <a:fillRect/>
        </a:stretch>
      </xdr:blipFill>
      <xdr:spPr>
        <a:xfrm rot="5400000">
          <a:off x="126704" y="50432445"/>
          <a:ext cx="6071642" cy="3600000"/>
        </a:xfrm>
        <a:prstGeom prst="rect">
          <a:avLst/>
        </a:prstGeom>
        <a:ln>
          <a:solidFill>
            <a:schemeClr val="tx1"/>
          </a:solidFill>
        </a:ln>
      </xdr:spPr>
    </xdr:pic>
    <xdr:clientData/>
  </xdr:twoCellAnchor>
  <xdr:twoCellAnchor>
    <xdr:from>
      <xdr:col>1</xdr:col>
      <xdr:colOff>47625</xdr:colOff>
      <xdr:row>295</xdr:row>
      <xdr:rowOff>119064</xdr:rowOff>
    </xdr:from>
    <xdr:to>
      <xdr:col>6</xdr:col>
      <xdr:colOff>340694</xdr:colOff>
      <xdr:row>315</xdr:row>
      <xdr:rowOff>78564</xdr:rowOff>
    </xdr:to>
    <xdr:grpSp>
      <xdr:nvGrpSpPr>
        <xdr:cNvPr id="4" name="Group 3"/>
        <xdr:cNvGrpSpPr/>
      </xdr:nvGrpSpPr>
      <xdr:grpSpPr>
        <a:xfrm>
          <a:off x="847725" y="60571064"/>
          <a:ext cx="4579319" cy="3896500"/>
          <a:chOff x="933450" y="60936189"/>
          <a:chExt cx="4379294" cy="3960000"/>
        </a:xfrm>
      </xdr:grpSpPr>
      <xdr:pic>
        <xdr:nvPicPr>
          <xdr:cNvPr id="3" name="Picture 2"/>
          <xdr:cNvPicPr>
            <a:picLocks noChangeAspect="1"/>
          </xdr:cNvPicPr>
        </xdr:nvPicPr>
        <xdr:blipFill>
          <a:blip xmlns:r="http://schemas.openxmlformats.org/officeDocument/2006/relationships" r:embed="rId2"/>
          <a:stretch>
            <a:fillRect/>
          </a:stretch>
        </xdr:blipFill>
        <xdr:spPr>
          <a:xfrm>
            <a:off x="933450" y="60936189"/>
            <a:ext cx="4379294" cy="3960000"/>
          </a:xfrm>
          <a:prstGeom prst="rect">
            <a:avLst/>
          </a:prstGeom>
          <a:ln>
            <a:solidFill>
              <a:schemeClr val="tx1"/>
            </a:solidFill>
          </a:ln>
        </xdr:spPr>
      </xdr:pic>
      <xdr:sp macro="" textlink="">
        <xdr:nvSpPr>
          <xdr:cNvPr id="5" name="Rectangle 4"/>
          <xdr:cNvSpPr/>
        </xdr:nvSpPr>
        <xdr:spPr>
          <a:xfrm rot="2042590">
            <a:off x="2728604" y="62865587"/>
            <a:ext cx="691438" cy="103324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438150</xdr:colOff>
      <xdr:row>276</xdr:row>
      <xdr:rowOff>190500</xdr:rowOff>
    </xdr:from>
    <xdr:to>
      <xdr:col>7</xdr:col>
      <xdr:colOff>81818</xdr:colOff>
      <xdr:row>294</xdr:row>
      <xdr:rowOff>190050</xdr:rowOff>
    </xdr:to>
    <xdr:pic>
      <xdr:nvPicPr>
        <xdr:cNvPr id="11" name="Picture 10"/>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438150" y="55092600"/>
          <a:ext cx="5225318" cy="3600000"/>
        </a:xfrm>
        <a:prstGeom prst="rect">
          <a:avLst/>
        </a:prstGeom>
        <a:ln>
          <a:solidFill>
            <a:schemeClr val="tx1"/>
          </a:solidFill>
        </a:ln>
      </xdr:spPr>
    </xdr:pic>
    <xdr:clientData/>
  </xdr:twoCellAnchor>
  <xdr:twoCellAnchor editAs="oneCell">
    <xdr:from>
      <xdr:col>13</xdr:col>
      <xdr:colOff>122464</xdr:colOff>
      <xdr:row>55</xdr:row>
      <xdr:rowOff>187778</xdr:rowOff>
    </xdr:from>
    <xdr:to>
      <xdr:col>28</xdr:col>
      <xdr:colOff>265339</xdr:colOff>
      <xdr:row>73</xdr:row>
      <xdr:rowOff>93889</xdr:rowOff>
    </xdr:to>
    <xdr:pic>
      <xdr:nvPicPr>
        <xdr:cNvPr id="12" name="Picture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776857" y="12556671"/>
          <a:ext cx="10144125" cy="4736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693964</xdr:colOff>
      <xdr:row>43</xdr:row>
      <xdr:rowOff>149678</xdr:rowOff>
    </xdr:from>
    <xdr:to>
      <xdr:col>16</xdr:col>
      <xdr:colOff>127131</xdr:colOff>
      <xdr:row>56</xdr:row>
      <xdr:rowOff>126862</xdr:rowOff>
    </xdr:to>
    <xdr:pic>
      <xdr:nvPicPr>
        <xdr:cNvPr id="6" name="Picture 5"/>
        <xdr:cNvPicPr>
          <a:picLocks noChangeAspect="1"/>
        </xdr:cNvPicPr>
      </xdr:nvPicPr>
      <xdr:blipFill>
        <a:blip xmlns:r="http://schemas.openxmlformats.org/officeDocument/2006/relationships" r:embed="rId5"/>
        <a:stretch>
          <a:fillRect/>
        </a:stretch>
      </xdr:blipFill>
      <xdr:spPr>
        <a:xfrm>
          <a:off x="7007678" y="9674678"/>
          <a:ext cx="6209524" cy="3238095"/>
        </a:xfrm>
        <a:prstGeom prst="rect">
          <a:avLst/>
        </a:prstGeom>
      </xdr:spPr>
    </xdr:pic>
    <xdr:clientData/>
  </xdr:twoCellAnchor>
  <xdr:twoCellAnchor editAs="oneCell">
    <xdr:from>
      <xdr:col>8</xdr:col>
      <xdr:colOff>859481</xdr:colOff>
      <xdr:row>56</xdr:row>
      <xdr:rowOff>180975</xdr:rowOff>
    </xdr:from>
    <xdr:to>
      <xdr:col>10</xdr:col>
      <xdr:colOff>599692</xdr:colOff>
      <xdr:row>62</xdr:row>
      <xdr:rowOff>142555</xdr:rowOff>
    </xdr:to>
    <xdr:pic>
      <xdr:nvPicPr>
        <xdr:cNvPr id="7" name="Picture 6"/>
        <xdr:cNvPicPr>
          <a:picLocks noChangeAspect="1"/>
        </xdr:cNvPicPr>
      </xdr:nvPicPr>
      <xdr:blipFill>
        <a:blip xmlns:r="http://schemas.openxmlformats.org/officeDocument/2006/relationships" r:embed="rId6"/>
        <a:stretch>
          <a:fillRect/>
        </a:stretch>
      </xdr:blipFill>
      <xdr:spPr>
        <a:xfrm>
          <a:off x="7174556" y="12830175"/>
          <a:ext cx="1664261" cy="1390330"/>
        </a:xfrm>
        <a:prstGeom prst="rect">
          <a:avLst/>
        </a:prstGeom>
      </xdr:spPr>
    </xdr:pic>
    <xdr:clientData/>
  </xdr:twoCellAnchor>
  <xdr:twoCellAnchor>
    <xdr:from>
      <xdr:col>0</xdr:col>
      <xdr:colOff>69850</xdr:colOff>
      <xdr:row>197</xdr:row>
      <xdr:rowOff>57150</xdr:rowOff>
    </xdr:from>
    <xdr:to>
      <xdr:col>7</xdr:col>
      <xdr:colOff>667688</xdr:colOff>
      <xdr:row>238</xdr:row>
      <xdr:rowOff>25400</xdr:rowOff>
    </xdr:to>
    <xdr:grpSp>
      <xdr:nvGrpSpPr>
        <xdr:cNvPr id="8" name="Group 7"/>
        <xdr:cNvGrpSpPr/>
      </xdr:nvGrpSpPr>
      <xdr:grpSpPr>
        <a:xfrm>
          <a:off x="69850" y="41224200"/>
          <a:ext cx="6452538" cy="8032750"/>
          <a:chOff x="69850" y="41236900"/>
          <a:chExt cx="6452538" cy="8032750"/>
        </a:xfrm>
      </xdr:grpSpPr>
      <xdr:pic>
        <xdr:nvPicPr>
          <xdr:cNvPr id="17" name="Pictur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190183" y="48246443"/>
            <a:ext cx="1083375" cy="1023207"/>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65430" y="41236900"/>
            <a:ext cx="2031329" cy="270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89064" y="41236900"/>
            <a:ext cx="2031329" cy="270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69850" y="44026653"/>
            <a:ext cx="1516725" cy="201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715121" y="48246443"/>
            <a:ext cx="1083375" cy="1023207"/>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005663" y="44037108"/>
            <a:ext cx="1516725" cy="201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954902" y="48246443"/>
            <a:ext cx="1078875" cy="1023207"/>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60392" y="44037108"/>
            <a:ext cx="1516725" cy="201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715121" y="44037108"/>
            <a:ext cx="1516725" cy="201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995885" y="46132406"/>
            <a:ext cx="1516725" cy="201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639524" y="46132406"/>
            <a:ext cx="2675602" cy="201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52246" y="46136548"/>
            <a:ext cx="1516725" cy="201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12698" y="41236900"/>
            <a:ext cx="2031329" cy="27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RP8DRfE7bTVufDv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30" t="s">
        <v>160</v>
      </c>
      <c r="B1" s="130"/>
      <c r="C1" s="130"/>
      <c r="D1" s="130"/>
      <c r="E1" s="130"/>
      <c r="F1" s="130"/>
      <c r="G1" s="130"/>
      <c r="H1" s="130"/>
    </row>
    <row r="2" spans="1:26" ht="16.5" customHeight="1" x14ac:dyDescent="0.35">
      <c r="A2" s="131" t="s">
        <v>0</v>
      </c>
      <c r="B2" s="131"/>
      <c r="C2" s="131"/>
      <c r="D2" s="131"/>
      <c r="E2" s="131"/>
      <c r="F2" s="131"/>
      <c r="G2" s="131"/>
      <c r="H2" s="131"/>
    </row>
    <row r="3" spans="1:26" x14ac:dyDescent="0.35">
      <c r="A3" s="113" t="s">
        <v>1</v>
      </c>
      <c r="B3" s="113"/>
      <c r="C3" s="113"/>
      <c r="D3" s="113"/>
      <c r="E3" s="113" t="str">
        <f ca="1">TEXT(TODAY(),"DD/MM/YYYY")</f>
        <v>19/09/2025</v>
      </c>
      <c r="F3" s="113"/>
      <c r="G3" s="113"/>
      <c r="H3" s="113"/>
      <c r="K3" s="45" t="s">
        <v>232</v>
      </c>
      <c r="L3" s="43" t="s">
        <v>230</v>
      </c>
      <c r="M3" s="43" t="s">
        <v>235</v>
      </c>
      <c r="N3" s="43" t="s">
        <v>233</v>
      </c>
      <c r="O3" s="43" t="s">
        <v>234</v>
      </c>
      <c r="P3" s="43" t="s">
        <v>236</v>
      </c>
    </row>
    <row r="4" spans="1:26" ht="15" customHeight="1" x14ac:dyDescent="0.35">
      <c r="A4" s="113" t="s">
        <v>229</v>
      </c>
      <c r="B4" s="113"/>
      <c r="C4" s="113"/>
      <c r="D4" s="113"/>
      <c r="E4" s="113" t="s">
        <v>230</v>
      </c>
      <c r="F4" s="113"/>
      <c r="G4" s="113"/>
      <c r="H4" s="113"/>
      <c r="K4" s="42" t="s">
        <v>231</v>
      </c>
      <c r="L4" s="43" t="s">
        <v>166</v>
      </c>
      <c r="M4" s="43" t="s">
        <v>240</v>
      </c>
      <c r="N4" s="43" t="s">
        <v>242</v>
      </c>
      <c r="O4" s="43" t="s">
        <v>244</v>
      </c>
      <c r="P4" s="43"/>
    </row>
    <row r="5" spans="1:26" ht="15" customHeight="1" x14ac:dyDescent="0.35">
      <c r="A5" s="113" t="s">
        <v>2</v>
      </c>
      <c r="B5" s="113"/>
      <c r="C5" s="113"/>
      <c r="D5" s="113"/>
      <c r="E5" s="113" t="s">
        <v>166</v>
      </c>
      <c r="F5" s="113"/>
      <c r="G5" s="113"/>
      <c r="H5" s="113"/>
      <c r="K5" s="42"/>
      <c r="L5" s="43" t="s">
        <v>237</v>
      </c>
      <c r="M5" s="43" t="s">
        <v>241</v>
      </c>
      <c r="N5" s="43" t="s">
        <v>243</v>
      </c>
      <c r="O5" s="43" t="s">
        <v>245</v>
      </c>
      <c r="P5" s="43"/>
    </row>
    <row r="6" spans="1:26" x14ac:dyDescent="0.35">
      <c r="A6" s="113" t="s">
        <v>3</v>
      </c>
      <c r="B6" s="113"/>
      <c r="C6" s="113"/>
      <c r="D6" s="113"/>
      <c r="E6" s="133">
        <v>45908</v>
      </c>
      <c r="F6" s="113"/>
      <c r="G6" s="113"/>
      <c r="H6" s="113"/>
      <c r="K6" s="42"/>
      <c r="L6" s="43" t="s">
        <v>238</v>
      </c>
      <c r="M6" s="43"/>
      <c r="N6" s="43"/>
      <c r="O6" s="43" t="s">
        <v>246</v>
      </c>
      <c r="P6" s="43"/>
    </row>
    <row r="7" spans="1:26" ht="16.5" customHeight="1" x14ac:dyDescent="0.35">
      <c r="A7" s="113" t="s">
        <v>4</v>
      </c>
      <c r="B7" s="113"/>
      <c r="C7" s="113"/>
      <c r="D7" s="113"/>
      <c r="E7" s="113" t="s">
        <v>297</v>
      </c>
      <c r="F7" s="113"/>
      <c r="G7" s="113"/>
      <c r="H7" s="113"/>
      <c r="K7" s="42"/>
      <c r="L7" s="43" t="s">
        <v>239</v>
      </c>
      <c r="M7" s="43"/>
      <c r="N7" s="43"/>
      <c r="O7" s="43" t="s">
        <v>246</v>
      </c>
      <c r="P7" s="43"/>
    </row>
    <row r="8" spans="1:26" ht="15" customHeight="1" x14ac:dyDescent="0.35">
      <c r="A8" s="113" t="s">
        <v>5</v>
      </c>
      <c r="B8" s="113"/>
      <c r="C8" s="113"/>
      <c r="D8" s="113"/>
      <c r="E8" s="113" t="str">
        <f>E7</f>
        <v>Tricity Realty LLP</v>
      </c>
      <c r="F8" s="113"/>
      <c r="G8" s="113"/>
      <c r="H8" s="113"/>
      <c r="K8" s="42"/>
      <c r="L8" s="43"/>
      <c r="M8" s="43"/>
      <c r="N8" s="43"/>
      <c r="O8" s="43" t="s">
        <v>247</v>
      </c>
      <c r="P8" s="43"/>
    </row>
    <row r="9" spans="1:26" x14ac:dyDescent="0.35">
      <c r="A9" s="113" t="s">
        <v>6</v>
      </c>
      <c r="B9" s="113"/>
      <c r="C9" s="113"/>
      <c r="D9" s="113"/>
      <c r="E9" s="132" t="s">
        <v>298</v>
      </c>
      <c r="F9" s="118"/>
      <c r="G9" s="118"/>
      <c r="H9" s="118"/>
      <c r="K9" s="42"/>
      <c r="L9" s="43"/>
      <c r="M9" s="43"/>
      <c r="N9" s="43"/>
      <c r="O9" s="43" t="s">
        <v>248</v>
      </c>
      <c r="P9" s="43"/>
    </row>
    <row r="10" spans="1:26" x14ac:dyDescent="0.35">
      <c r="A10" s="113" t="s">
        <v>163</v>
      </c>
      <c r="B10" s="113"/>
      <c r="C10" s="113"/>
      <c r="D10" s="113"/>
      <c r="E10" s="113">
        <v>2266766676</v>
      </c>
      <c r="F10" s="113"/>
      <c r="G10" s="113"/>
      <c r="H10" s="113"/>
      <c r="K10" s="42"/>
      <c r="L10" s="43"/>
      <c r="M10" s="43"/>
      <c r="N10" s="43"/>
      <c r="O10" s="43"/>
      <c r="P10" s="43"/>
    </row>
    <row r="11" spans="1:26" hidden="1" x14ac:dyDescent="0.35">
      <c r="A11" s="113" t="s">
        <v>164</v>
      </c>
      <c r="B11" s="113"/>
      <c r="C11" s="113"/>
      <c r="D11" s="113"/>
      <c r="E11" s="113" t="s">
        <v>335</v>
      </c>
      <c r="F11" s="113"/>
      <c r="G11" s="113"/>
      <c r="H11" s="113"/>
    </row>
    <row r="12" spans="1:26" x14ac:dyDescent="0.35">
      <c r="A12" s="113" t="s">
        <v>7</v>
      </c>
      <c r="B12" s="113"/>
      <c r="C12" s="113"/>
      <c r="D12" s="113"/>
      <c r="E12" s="113" t="s">
        <v>117</v>
      </c>
      <c r="F12" s="113"/>
      <c r="G12" s="113"/>
      <c r="H12" s="113"/>
    </row>
    <row r="13" spans="1:26" x14ac:dyDescent="0.35">
      <c r="A13" s="113" t="s">
        <v>167</v>
      </c>
      <c r="B13" s="113"/>
      <c r="C13" s="113"/>
      <c r="D13" s="113"/>
      <c r="E13" s="113" t="s">
        <v>28</v>
      </c>
      <c r="F13" s="113"/>
      <c r="G13" s="113"/>
      <c r="H13" s="113"/>
      <c r="S13" s="43" t="s">
        <v>174</v>
      </c>
      <c r="T13" s="43" t="s">
        <v>184</v>
      </c>
      <c r="U13" s="43" t="s">
        <v>168</v>
      </c>
      <c r="V13" s="43" t="s">
        <v>189</v>
      </c>
      <c r="W13" s="43" t="s">
        <v>207</v>
      </c>
      <c r="X13"/>
      <c r="Y13" t="s">
        <v>189</v>
      </c>
      <c r="Z13" t="e">
        <f ca="1">OFFSET($S$13,1,MATCH($G20,$S$13:$W$13,0)-1,15,1)</f>
        <v>#VALUE!</v>
      </c>
    </row>
    <row r="14" spans="1:26" x14ac:dyDescent="0.35">
      <c r="A14" s="96" t="s">
        <v>275</v>
      </c>
      <c r="B14" s="96"/>
      <c r="C14" s="96"/>
      <c r="D14" s="96"/>
      <c r="E14" s="76" t="s">
        <v>334</v>
      </c>
      <c r="F14" s="76"/>
      <c r="G14" s="76"/>
      <c r="H14" s="76"/>
      <c r="S14" s="43" t="s">
        <v>175</v>
      </c>
      <c r="T14" s="43" t="s">
        <v>182</v>
      </c>
      <c r="U14" s="43" t="s">
        <v>204</v>
      </c>
      <c r="V14" s="43" t="s">
        <v>190</v>
      </c>
      <c r="W14" s="43" t="s">
        <v>208</v>
      </c>
      <c r="X14"/>
      <c r="Y14"/>
      <c r="Z14"/>
    </row>
    <row r="15" spans="1:26" x14ac:dyDescent="0.35">
      <c r="A15" s="96" t="s">
        <v>8</v>
      </c>
      <c r="B15" s="96"/>
      <c r="C15" s="96"/>
      <c r="D15" s="96"/>
      <c r="E15" s="76" t="s">
        <v>296</v>
      </c>
      <c r="F15" s="113"/>
      <c r="G15" s="113"/>
      <c r="H15" s="113"/>
      <c r="I15" s="197" t="e">
        <f ca="1">OFFSET($D$5,1,MATCH($J13,$D$5:$H$5,0)-1,15,1)</f>
        <v>#N/A</v>
      </c>
      <c r="J15" s="198"/>
      <c r="K15" s="198"/>
      <c r="L15" s="198"/>
      <c r="M15" s="198"/>
      <c r="N15" s="198"/>
      <c r="O15" s="198"/>
      <c r="P15" s="198"/>
      <c r="S15" s="43" t="s">
        <v>176</v>
      </c>
      <c r="T15" s="43" t="s">
        <v>183</v>
      </c>
      <c r="U15" s="43" t="s">
        <v>205</v>
      </c>
      <c r="V15" s="43" t="s">
        <v>191</v>
      </c>
      <c r="W15" s="43" t="s">
        <v>221</v>
      </c>
      <c r="X15"/>
      <c r="Y15"/>
      <c r="Z15"/>
    </row>
    <row r="16" spans="1:26" ht="33" customHeight="1" x14ac:dyDescent="0.35">
      <c r="A16" s="76" t="s">
        <v>9</v>
      </c>
      <c r="B16" s="76"/>
      <c r="C16" s="76" t="str">
        <f>CONCATENATE((IF(OR(E9="",E9="NA"),"",E9)),", ",(IF(OR(A17="",A17="NA"),"",A17)),".",(IF(OR(C17="",C17="NA"),"",C17)),", near ",(IF(OR(C22="",C22="NA"),"",C22)),", ",(IF(OR(C19="",C19="NA"),"",C19)),", ",(IF(OR(C18="",C18="NA"),"",C18)),", ",(IF(OR(G19="",G19="NA"),"",G19)),", ",(IF(OR(C20="",C20="NA"),"",C20)),", ",(IF(OR(C21="",C21="NA"),"",C21)),", ",(IF(OR(G20="",G20="NA"),"",G20))," - ",(IF(OR(G21="",G21="NA"),"",G21)),".")</f>
        <v>Tricity Bliss, Plot No.340 &amp; Sector No.26, near Invicta Avianna Infra LLP, Internal Road, Wahal, Pushpak Nagar, Panvel, Panvel, Raigad - 410206.</v>
      </c>
      <c r="D16" s="76"/>
      <c r="E16" s="76"/>
      <c r="F16" s="76"/>
      <c r="G16" s="76"/>
      <c r="H16" s="76"/>
      <c r="S16" s="43" t="s">
        <v>177</v>
      </c>
      <c r="T16" s="43" t="s">
        <v>185</v>
      </c>
      <c r="U16" s="43" t="s">
        <v>206</v>
      </c>
      <c r="V16" s="43" t="s">
        <v>192</v>
      </c>
      <c r="W16" s="43" t="s">
        <v>209</v>
      </c>
      <c r="X16"/>
      <c r="Y16"/>
      <c r="Z16"/>
    </row>
    <row r="17" spans="1:26" x14ac:dyDescent="0.35">
      <c r="A17" s="76" t="s">
        <v>299</v>
      </c>
      <c r="B17" s="76"/>
      <c r="C17" s="76" t="s">
        <v>323</v>
      </c>
      <c r="D17" s="76"/>
      <c r="E17" s="76"/>
      <c r="F17" s="76"/>
      <c r="G17" s="76"/>
      <c r="H17" s="76"/>
      <c r="S17" s="43" t="s">
        <v>178</v>
      </c>
      <c r="T17" s="43" t="s">
        <v>186</v>
      </c>
      <c r="U17" s="43" t="s">
        <v>168</v>
      </c>
      <c r="V17" s="43" t="s">
        <v>193</v>
      </c>
      <c r="W17" s="43" t="s">
        <v>210</v>
      </c>
      <c r="X17"/>
      <c r="Y17"/>
      <c r="Z17"/>
    </row>
    <row r="18" spans="1:26" ht="15.75" customHeight="1" x14ac:dyDescent="0.35">
      <c r="A18" s="76" t="s">
        <v>158</v>
      </c>
      <c r="B18" s="76"/>
      <c r="C18" s="76" t="s">
        <v>300</v>
      </c>
      <c r="D18" s="76"/>
      <c r="E18" s="76"/>
      <c r="F18" s="76"/>
      <c r="G18" s="76"/>
      <c r="H18" s="76"/>
      <c r="S18" s="43" t="s">
        <v>179</v>
      </c>
      <c r="T18" s="43" t="s">
        <v>184</v>
      </c>
      <c r="U18" s="43"/>
      <c r="V18" s="43" t="s">
        <v>194</v>
      </c>
      <c r="W18" s="43" t="s">
        <v>211</v>
      </c>
      <c r="X18"/>
      <c r="Y18"/>
      <c r="Z18"/>
    </row>
    <row r="19" spans="1:26" ht="15.75" customHeight="1" x14ac:dyDescent="0.35">
      <c r="A19" s="76" t="s">
        <v>10</v>
      </c>
      <c r="B19" s="76"/>
      <c r="C19" s="113" t="s">
        <v>317</v>
      </c>
      <c r="D19" s="113"/>
      <c r="E19" s="76" t="s">
        <v>70</v>
      </c>
      <c r="F19" s="76"/>
      <c r="G19" s="76" t="s">
        <v>301</v>
      </c>
      <c r="H19" s="76"/>
      <c r="S19" s="43" t="s">
        <v>180</v>
      </c>
      <c r="T19" s="43" t="s">
        <v>187</v>
      </c>
      <c r="U19" s="43"/>
      <c r="V19" s="43" t="s">
        <v>195</v>
      </c>
      <c r="W19" s="43" t="s">
        <v>212</v>
      </c>
      <c r="X19"/>
      <c r="Y19"/>
      <c r="Z19"/>
    </row>
    <row r="20" spans="1:26" x14ac:dyDescent="0.35">
      <c r="A20" s="113" t="s">
        <v>12</v>
      </c>
      <c r="B20" s="113"/>
      <c r="C20" s="76" t="s">
        <v>191</v>
      </c>
      <c r="D20" s="76"/>
      <c r="E20" s="76" t="s">
        <v>11</v>
      </c>
      <c r="F20" s="76"/>
      <c r="G20" s="129" t="s">
        <v>189</v>
      </c>
      <c r="H20" s="129"/>
      <c r="S20" s="43" t="s">
        <v>181</v>
      </c>
      <c r="T20" s="43" t="s">
        <v>188</v>
      </c>
      <c r="U20" s="43"/>
      <c r="V20" s="43" t="s">
        <v>196</v>
      </c>
      <c r="W20" s="43" t="s">
        <v>213</v>
      </c>
      <c r="X20"/>
      <c r="Y20"/>
      <c r="Z20"/>
    </row>
    <row r="21" spans="1:26" x14ac:dyDescent="0.35">
      <c r="A21" s="113" t="s">
        <v>71</v>
      </c>
      <c r="B21" s="113"/>
      <c r="C21" s="76" t="s">
        <v>191</v>
      </c>
      <c r="D21" s="76"/>
      <c r="E21" s="76" t="s">
        <v>13</v>
      </c>
      <c r="F21" s="76"/>
      <c r="G21" s="76">
        <v>410206</v>
      </c>
      <c r="H21" s="76"/>
      <c r="S21" s="43"/>
      <c r="T21" s="43"/>
      <c r="U21" s="43"/>
      <c r="V21" s="43" t="s">
        <v>197</v>
      </c>
      <c r="W21" s="43" t="s">
        <v>214</v>
      </c>
      <c r="X21"/>
      <c r="Y21"/>
      <c r="Z21"/>
    </row>
    <row r="22" spans="1:26" ht="32.25" customHeight="1" x14ac:dyDescent="0.35">
      <c r="A22" s="96" t="s">
        <v>118</v>
      </c>
      <c r="B22" s="96"/>
      <c r="C22" s="76" t="s">
        <v>318</v>
      </c>
      <c r="D22" s="76"/>
      <c r="E22" s="128" t="s">
        <v>14</v>
      </c>
      <c r="F22" s="128"/>
      <c r="G22" s="76" t="s">
        <v>329</v>
      </c>
      <c r="H22" s="76"/>
      <c r="S22" s="43"/>
      <c r="T22" s="43"/>
      <c r="U22" s="43"/>
      <c r="V22" s="43" t="s">
        <v>198</v>
      </c>
      <c r="W22" s="43" t="s">
        <v>215</v>
      </c>
      <c r="X22"/>
      <c r="Y22"/>
      <c r="Z22"/>
    </row>
    <row r="23" spans="1:26" ht="15" customHeight="1" x14ac:dyDescent="0.35">
      <c r="A23" s="128" t="s">
        <v>73</v>
      </c>
      <c r="B23" s="128"/>
      <c r="C23" s="128"/>
      <c r="D23" s="128"/>
      <c r="E23" s="113" t="s">
        <v>15</v>
      </c>
      <c r="F23" s="113"/>
      <c r="G23" s="113"/>
      <c r="H23" s="113"/>
      <c r="S23" s="43"/>
      <c r="T23" s="43"/>
      <c r="U23" s="43"/>
      <c r="V23" s="43" t="s">
        <v>199</v>
      </c>
      <c r="W23" s="43" t="s">
        <v>216</v>
      </c>
      <c r="X23"/>
      <c r="Y23"/>
      <c r="Z23"/>
    </row>
    <row r="24" spans="1:26" ht="18.75" customHeight="1" x14ac:dyDescent="0.35">
      <c r="A24" s="128"/>
      <c r="B24" s="128"/>
      <c r="C24" s="128"/>
      <c r="D24" s="128"/>
      <c r="E24" s="113"/>
      <c r="F24" s="113"/>
      <c r="G24" s="113"/>
      <c r="H24" s="113"/>
      <c r="S24" s="43"/>
      <c r="T24" s="43"/>
      <c r="U24" s="43"/>
      <c r="V24" s="43" t="s">
        <v>200</v>
      </c>
      <c r="W24" s="43" t="s">
        <v>217</v>
      </c>
      <c r="X24"/>
      <c r="Y24"/>
      <c r="Z24"/>
    </row>
    <row r="25" spans="1:26" ht="15" customHeight="1" x14ac:dyDescent="0.35">
      <c r="A25" s="128" t="s">
        <v>16</v>
      </c>
      <c r="B25" s="128"/>
      <c r="C25" s="128"/>
      <c r="D25" s="128"/>
      <c r="E25" s="76" t="s">
        <v>17</v>
      </c>
      <c r="F25" s="76"/>
      <c r="G25" s="76"/>
      <c r="H25" s="76"/>
      <c r="S25" s="43"/>
      <c r="T25" s="43"/>
      <c r="U25" s="43"/>
      <c r="V25" s="43" t="s">
        <v>201</v>
      </c>
      <c r="W25" s="43" t="s">
        <v>218</v>
      </c>
      <c r="X25"/>
      <c r="Y25"/>
      <c r="Z25"/>
    </row>
    <row r="26" spans="1:26" ht="15" customHeight="1" x14ac:dyDescent="0.35">
      <c r="A26" s="96" t="s">
        <v>18</v>
      </c>
      <c r="B26" s="96"/>
      <c r="C26" s="96"/>
      <c r="D26" s="96"/>
      <c r="E26" s="76" t="str">
        <f>IF(AND(G20="Mumbai"),"Upper Class","Middle Class")</f>
        <v>Middle Class</v>
      </c>
      <c r="F26" s="76"/>
      <c r="G26" s="76"/>
      <c r="H26" s="76"/>
      <c r="S26" s="43"/>
      <c r="T26" s="43"/>
      <c r="U26" s="43"/>
      <c r="V26" s="43" t="s">
        <v>202</v>
      </c>
      <c r="W26" s="43" t="s">
        <v>219</v>
      </c>
      <c r="X26"/>
      <c r="Y26"/>
      <c r="Z26"/>
    </row>
    <row r="27" spans="1:26" x14ac:dyDescent="0.35">
      <c r="A27" s="96" t="s">
        <v>19</v>
      </c>
      <c r="B27" s="96"/>
      <c r="C27" s="96"/>
      <c r="D27" s="96"/>
      <c r="E27" s="76" t="s">
        <v>20</v>
      </c>
      <c r="F27" s="76"/>
      <c r="G27" s="76"/>
      <c r="H27" s="76"/>
      <c r="S27" s="43"/>
      <c r="T27" s="43"/>
      <c r="U27" s="43"/>
      <c r="V27" s="43" t="s">
        <v>203</v>
      </c>
      <c r="W27" s="43" t="s">
        <v>220</v>
      </c>
      <c r="X27"/>
      <c r="Y27"/>
      <c r="Z27"/>
    </row>
    <row r="28" spans="1:26" ht="15.75" customHeight="1" x14ac:dyDescent="0.35">
      <c r="A28" s="96" t="s">
        <v>21</v>
      </c>
      <c r="B28" s="96"/>
      <c r="C28" s="96"/>
      <c r="D28" s="96"/>
      <c r="E28" s="76" t="str">
        <f>IF(AND(G20="Mumbai"),"Developed","Developing")</f>
        <v>Developing</v>
      </c>
      <c r="F28" s="76"/>
      <c r="G28" s="76"/>
      <c r="H28" s="76"/>
    </row>
    <row r="29" spans="1:26" x14ac:dyDescent="0.35">
      <c r="A29" s="96" t="s">
        <v>22</v>
      </c>
      <c r="B29" s="96"/>
      <c r="C29" s="96"/>
      <c r="D29" s="96"/>
      <c r="E29" s="76" t="s">
        <v>23</v>
      </c>
      <c r="F29" s="76"/>
      <c r="G29" s="76"/>
      <c r="H29" s="76"/>
    </row>
    <row r="30" spans="1:26" ht="15.75" customHeight="1" x14ac:dyDescent="0.35">
      <c r="A30" s="96" t="s">
        <v>78</v>
      </c>
      <c r="B30" s="96"/>
      <c r="C30" s="96"/>
      <c r="D30" s="96"/>
      <c r="E30" s="76" t="s">
        <v>79</v>
      </c>
      <c r="F30" s="76"/>
      <c r="G30" s="76"/>
      <c r="H30" s="76"/>
    </row>
    <row r="31" spans="1:26" ht="15" customHeight="1" x14ac:dyDescent="0.35">
      <c r="A31" s="96" t="s">
        <v>30</v>
      </c>
      <c r="B31" s="96"/>
      <c r="C31" s="96"/>
      <c r="D31" s="96"/>
      <c r="E31" s="76" t="str">
        <f>IF(AND(ISNUMBER(SEARCH("Flat",D61)),ISNUMBER(SEARCH("Shop",D61)),ISNUMBER(SEARCH("Office",D61))),"Residential + Commercial",IF(AND(ISNUMBER(SEARCH("Flat",D61)),ISNUMBER(SEARCH("Shop",D61))),"Residential + Commercial",IF(AND(ISNUMBER(SEARCH("Flat",D61)),ISNUMBER(SEARCH("Office",D61))),"Residential + Commercial",IF(AND(ISNUMBER(SEARCH("Shop",D61)),ISNUMBER(SEARCH("Office",D61))),"Commercial",IF(ISNUMBER(SEARCH("Shop",D61)),"Commercial",IF(ISNUMBER(SEARCH("Office",D61)),"Commercial",IF(ISNUMBER(SEARCH("Flat",D61)),"Residential")))))))</f>
        <v>Residential + Commercial</v>
      </c>
      <c r="F31" s="76"/>
      <c r="G31" s="76"/>
      <c r="H31" s="76"/>
    </row>
    <row r="32" spans="1:26" ht="15.75" customHeight="1" x14ac:dyDescent="0.35">
      <c r="A32" s="96" t="s">
        <v>90</v>
      </c>
      <c r="B32" s="96"/>
      <c r="C32" s="96"/>
      <c r="D32" s="96"/>
      <c r="E32" s="76" t="s">
        <v>31</v>
      </c>
      <c r="F32" s="76"/>
      <c r="G32" s="76"/>
      <c r="H32" s="76"/>
    </row>
    <row r="33" spans="1:19" s="17" customFormat="1" x14ac:dyDescent="0.35">
      <c r="A33" s="127" t="s">
        <v>91</v>
      </c>
      <c r="B33" s="127"/>
      <c r="C33" s="124" t="s">
        <v>169</v>
      </c>
      <c r="D33" s="125"/>
      <c r="E33" s="126"/>
      <c r="F33" s="124" t="s">
        <v>29</v>
      </c>
      <c r="G33" s="125"/>
      <c r="H33" s="126"/>
      <c r="S33" s="17" t="e">
        <f ca="1">OFFSET($S$13,1,MATCH($G20,$S$13:$W$13,0)-1,15,1)</f>
        <v>#VALUE!</v>
      </c>
    </row>
    <row r="34" spans="1:19" s="17" customFormat="1" x14ac:dyDescent="0.35">
      <c r="A34" s="107" t="s">
        <v>24</v>
      </c>
      <c r="B34" s="107" t="s">
        <v>28</v>
      </c>
      <c r="C34" s="108" t="s">
        <v>319</v>
      </c>
      <c r="D34" s="109"/>
      <c r="E34" s="110"/>
      <c r="F34" s="108" t="s">
        <v>320</v>
      </c>
      <c r="G34" s="109"/>
      <c r="H34" s="110"/>
    </row>
    <row r="35" spans="1:19" x14ac:dyDescent="0.35">
      <c r="A35" s="107" t="s">
        <v>25</v>
      </c>
      <c r="B35" s="107" t="s">
        <v>28</v>
      </c>
      <c r="C35" s="108" t="s">
        <v>319</v>
      </c>
      <c r="D35" s="109"/>
      <c r="E35" s="110"/>
      <c r="F35" s="108" t="s">
        <v>318</v>
      </c>
      <c r="G35" s="109"/>
      <c r="H35" s="110"/>
    </row>
    <row r="36" spans="1:19" s="17" customFormat="1" x14ac:dyDescent="0.35">
      <c r="A36" s="107" t="s">
        <v>27</v>
      </c>
      <c r="B36" s="107" t="s">
        <v>28</v>
      </c>
      <c r="C36" s="108" t="s">
        <v>10</v>
      </c>
      <c r="D36" s="109"/>
      <c r="E36" s="110"/>
      <c r="F36" s="108" t="s">
        <v>10</v>
      </c>
      <c r="G36" s="109"/>
      <c r="H36" s="110"/>
    </row>
    <row r="37" spans="1:19" x14ac:dyDescent="0.35">
      <c r="A37" s="107" t="s">
        <v>26</v>
      </c>
      <c r="B37" s="107" t="s">
        <v>28</v>
      </c>
      <c r="C37" s="108" t="s">
        <v>319</v>
      </c>
      <c r="D37" s="109"/>
      <c r="E37" s="110"/>
      <c r="F37" s="108" t="s">
        <v>319</v>
      </c>
      <c r="G37" s="109"/>
      <c r="H37" s="110"/>
    </row>
    <row r="38" spans="1:19" x14ac:dyDescent="0.35">
      <c r="A38" s="96" t="s">
        <v>276</v>
      </c>
      <c r="B38" s="96"/>
      <c r="C38" s="96"/>
      <c r="D38" s="96"/>
      <c r="E38" s="96"/>
      <c r="F38" s="96"/>
      <c r="G38" s="96"/>
      <c r="H38" s="96"/>
    </row>
    <row r="39" spans="1:19" ht="15.75" customHeight="1" x14ac:dyDescent="0.35">
      <c r="A39" s="96" t="s">
        <v>161</v>
      </c>
      <c r="B39" s="96"/>
      <c r="C39" s="112" t="s">
        <v>321</v>
      </c>
      <c r="D39" s="112"/>
      <c r="E39" s="112"/>
      <c r="F39" s="112"/>
      <c r="G39" s="112"/>
      <c r="H39" s="112"/>
    </row>
    <row r="40" spans="1:19" x14ac:dyDescent="0.35">
      <c r="A40" s="96" t="s">
        <v>157</v>
      </c>
      <c r="B40" s="96"/>
      <c r="C40" s="75" t="s">
        <v>322</v>
      </c>
      <c r="D40" s="76"/>
      <c r="E40" s="76"/>
      <c r="F40" s="76"/>
      <c r="G40" s="76"/>
      <c r="H40" s="76"/>
    </row>
    <row r="41" spans="1:19" x14ac:dyDescent="0.35">
      <c r="A41" s="112" t="s">
        <v>32</v>
      </c>
      <c r="B41" s="112"/>
      <c r="C41" s="112"/>
      <c r="D41" s="112"/>
      <c r="E41" s="112"/>
      <c r="F41" s="112"/>
      <c r="G41" s="112"/>
      <c r="H41" s="112"/>
    </row>
    <row r="42" spans="1:19" x14ac:dyDescent="0.35">
      <c r="A42" s="96" t="s">
        <v>33</v>
      </c>
      <c r="B42" s="96"/>
      <c r="C42" s="96"/>
      <c r="D42" s="96"/>
      <c r="E42" s="111">
        <v>2269.4499999999998</v>
      </c>
      <c r="F42" s="111"/>
      <c r="G42" s="111"/>
      <c r="H42" s="111"/>
    </row>
    <row r="43" spans="1:19" x14ac:dyDescent="0.35">
      <c r="A43" s="96" t="s">
        <v>34</v>
      </c>
      <c r="B43" s="96"/>
      <c r="C43" s="96"/>
      <c r="D43" s="96"/>
      <c r="E43" s="116">
        <f>4538.9/E42</f>
        <v>2</v>
      </c>
      <c r="F43" s="116"/>
      <c r="G43" s="116"/>
      <c r="H43" s="116"/>
    </row>
    <row r="44" spans="1:19" x14ac:dyDescent="0.35">
      <c r="A44" s="96" t="s">
        <v>35</v>
      </c>
      <c r="B44" s="96"/>
      <c r="C44" s="96"/>
      <c r="D44" s="96"/>
      <c r="E44" s="116">
        <f>E46/E42-E43</f>
        <v>1.1100226927229069</v>
      </c>
      <c r="F44" s="116"/>
      <c r="G44" s="116"/>
      <c r="H44" s="116"/>
    </row>
    <row r="45" spans="1:19" x14ac:dyDescent="0.35">
      <c r="A45" s="96" t="s">
        <v>36</v>
      </c>
      <c r="B45" s="96"/>
      <c r="C45" s="96"/>
      <c r="D45" s="96"/>
      <c r="E45" s="116">
        <f>E43+E44</f>
        <v>3.1100226927229069</v>
      </c>
      <c r="F45" s="116"/>
      <c r="G45" s="116"/>
      <c r="H45" s="116"/>
    </row>
    <row r="46" spans="1:19" x14ac:dyDescent="0.35">
      <c r="A46" s="113" t="s">
        <v>89</v>
      </c>
      <c r="B46" s="113"/>
      <c r="C46" s="113"/>
      <c r="D46" s="113"/>
      <c r="E46" s="117">
        <v>7058.0410000000002</v>
      </c>
      <c r="F46" s="117"/>
      <c r="G46" s="117"/>
      <c r="H46" s="117"/>
    </row>
    <row r="47" spans="1:19" x14ac:dyDescent="0.35">
      <c r="A47" s="113" t="s">
        <v>37</v>
      </c>
      <c r="B47" s="113"/>
      <c r="C47" s="113"/>
      <c r="D47" s="113"/>
      <c r="E47" s="113" t="s">
        <v>117</v>
      </c>
      <c r="F47" s="113"/>
      <c r="G47" s="113"/>
      <c r="H47" s="113"/>
    </row>
    <row r="48" spans="1:19" x14ac:dyDescent="0.35">
      <c r="A48" s="118" t="s">
        <v>38</v>
      </c>
      <c r="B48" s="118"/>
      <c r="C48" s="118"/>
      <c r="D48" s="118"/>
      <c r="E48" s="118"/>
      <c r="F48" s="118"/>
      <c r="G48" s="118"/>
      <c r="H48" s="118"/>
    </row>
    <row r="49" spans="1:24" ht="33.75" customHeight="1" x14ac:dyDescent="0.35">
      <c r="A49" s="90" t="s">
        <v>147</v>
      </c>
      <c r="B49" s="91"/>
      <c r="C49" s="92" t="s">
        <v>264</v>
      </c>
      <c r="D49" s="93"/>
      <c r="E49" s="93"/>
      <c r="F49" s="93"/>
      <c r="G49" s="93"/>
      <c r="H49" s="94"/>
      <c r="R49" t="s">
        <v>249</v>
      </c>
      <c r="S49" t="s">
        <v>168</v>
      </c>
      <c r="T49" t="s">
        <v>174</v>
      </c>
      <c r="U49" t="s">
        <v>189</v>
      </c>
      <c r="V49" t="s">
        <v>184</v>
      </c>
    </row>
    <row r="50" spans="1:24" ht="30.75" customHeight="1" x14ac:dyDescent="0.35">
      <c r="A50" s="180" t="s">
        <v>39</v>
      </c>
      <c r="B50" s="181"/>
      <c r="C50" s="180" t="s">
        <v>302</v>
      </c>
      <c r="D50" s="182"/>
      <c r="E50" s="181"/>
      <c r="F50" s="15" t="s">
        <v>40</v>
      </c>
      <c r="G50" s="183">
        <v>45083</v>
      </c>
      <c r="H50" s="181"/>
      <c r="R50"/>
      <c r="S50" t="s">
        <v>250</v>
      </c>
      <c r="T50" t="s">
        <v>255</v>
      </c>
      <c r="U50" t="s">
        <v>266</v>
      </c>
      <c r="V50" t="s">
        <v>271</v>
      </c>
    </row>
    <row r="51" spans="1:24" ht="31.5" customHeight="1" x14ac:dyDescent="0.35">
      <c r="A51" s="180" t="s">
        <v>41</v>
      </c>
      <c r="B51" s="181"/>
      <c r="C51" s="180" t="str">
        <f>C50</f>
        <v>CIDCO/BP-18057/TPO(NM &amp; K)/2022/10671</v>
      </c>
      <c r="D51" s="182"/>
      <c r="E51" s="181"/>
      <c r="F51" s="15" t="s">
        <v>40</v>
      </c>
      <c r="G51" s="183">
        <v>45083</v>
      </c>
      <c r="H51" s="181"/>
      <c r="R51"/>
      <c r="S51" t="s">
        <v>251</v>
      </c>
      <c r="T51" t="s">
        <v>256</v>
      </c>
      <c r="U51" t="s">
        <v>264</v>
      </c>
      <c r="V51" t="s">
        <v>272</v>
      </c>
    </row>
    <row r="52" spans="1:24" s="18" customFormat="1" ht="31.5" customHeight="1" x14ac:dyDescent="0.35">
      <c r="A52" s="192" t="s">
        <v>337</v>
      </c>
      <c r="B52" s="193"/>
      <c r="C52" s="180" t="s">
        <v>336</v>
      </c>
      <c r="D52" s="182"/>
      <c r="E52" s="181"/>
      <c r="F52" s="15" t="s">
        <v>40</v>
      </c>
      <c r="G52" s="183">
        <v>45589</v>
      </c>
      <c r="H52" s="181"/>
      <c r="R52"/>
      <c r="S52" t="s">
        <v>252</v>
      </c>
      <c r="T52" t="s">
        <v>257</v>
      </c>
      <c r="U52" t="s">
        <v>254</v>
      </c>
      <c r="V52" t="s">
        <v>273</v>
      </c>
    </row>
    <row r="53" spans="1:24" s="18" customFormat="1" ht="33" customHeight="1" x14ac:dyDescent="0.35">
      <c r="A53" s="194"/>
      <c r="B53" s="195"/>
      <c r="C53" s="180" t="s">
        <v>338</v>
      </c>
      <c r="D53" s="182"/>
      <c r="E53" s="182"/>
      <c r="F53" s="182"/>
      <c r="G53" s="182"/>
      <c r="H53" s="181"/>
      <c r="R53"/>
      <c r="S53" t="s">
        <v>253</v>
      </c>
      <c r="T53" t="s">
        <v>260</v>
      </c>
      <c r="U53" t="s">
        <v>267</v>
      </c>
    </row>
    <row r="54" spans="1:24" s="18" customFormat="1" hidden="1" x14ac:dyDescent="0.35">
      <c r="A54" s="186" t="s">
        <v>277</v>
      </c>
      <c r="B54" s="187"/>
      <c r="C54" s="180" t="str">
        <f>C53</f>
        <v>G + 1st to 13th Floor (Total Builtup Area = 9091.55 Sq.mtrs.)
Residential Unit - 156, Commercial Unit - 06</v>
      </c>
      <c r="D54" s="182"/>
      <c r="E54" s="181"/>
      <c r="F54" s="15" t="s">
        <v>40</v>
      </c>
      <c r="G54" s="180"/>
      <c r="H54" s="181"/>
      <c r="R54"/>
      <c r="S54" t="s">
        <v>252</v>
      </c>
      <c r="T54" t="s">
        <v>257</v>
      </c>
      <c r="U54" t="s">
        <v>254</v>
      </c>
      <c r="V54" t="s">
        <v>273</v>
      </c>
    </row>
    <row r="55" spans="1:24" s="18" customFormat="1" ht="32.25" hidden="1" customHeight="1" x14ac:dyDescent="0.35">
      <c r="A55" s="188"/>
      <c r="B55" s="189"/>
      <c r="C55" s="85"/>
      <c r="D55" s="86"/>
      <c r="E55" s="86"/>
      <c r="F55" s="86"/>
      <c r="G55" s="86"/>
      <c r="H55" s="87"/>
      <c r="R55"/>
      <c r="S55" t="s">
        <v>254</v>
      </c>
      <c r="T55" t="s">
        <v>258</v>
      </c>
      <c r="U55" t="s">
        <v>268</v>
      </c>
      <c r="V55" s="16"/>
      <c r="W55" s="16"/>
      <c r="X55" s="16"/>
    </row>
    <row r="56" spans="1:24" s="18" customFormat="1" ht="15.75" customHeight="1" x14ac:dyDescent="0.35">
      <c r="A56" s="121" t="s">
        <v>332</v>
      </c>
      <c r="B56" s="123"/>
      <c r="C56" s="180" t="s">
        <v>330</v>
      </c>
      <c r="D56" s="182"/>
      <c r="E56" s="181"/>
      <c r="F56" s="15" t="s">
        <v>40</v>
      </c>
      <c r="G56" s="183">
        <v>44592</v>
      </c>
      <c r="H56" s="181"/>
      <c r="R56"/>
      <c r="S56" s="16"/>
      <c r="T56" t="s">
        <v>262</v>
      </c>
      <c r="U56" s="16" t="s">
        <v>291</v>
      </c>
      <c r="V56" s="16"/>
      <c r="W56" s="16"/>
      <c r="X56" s="16"/>
    </row>
    <row r="57" spans="1:24" s="18" customFormat="1" ht="33.75" customHeight="1" x14ac:dyDescent="0.35">
      <c r="A57" s="190"/>
      <c r="B57" s="191"/>
      <c r="C57" s="128" t="s">
        <v>333</v>
      </c>
      <c r="D57" s="128"/>
      <c r="E57" s="128"/>
      <c r="F57" s="15" t="s">
        <v>331</v>
      </c>
      <c r="G57" s="196">
        <v>47513</v>
      </c>
      <c r="H57" s="128"/>
      <c r="R57"/>
      <c r="S57" s="16"/>
      <c r="T57" t="s">
        <v>263</v>
      </c>
      <c r="U57" s="16"/>
      <c r="V57" s="16"/>
      <c r="W57" s="16"/>
      <c r="X57" s="16"/>
    </row>
    <row r="58" spans="1:24" x14ac:dyDescent="0.35">
      <c r="A58" s="200" t="s">
        <v>42</v>
      </c>
      <c r="B58" s="201"/>
      <c r="C58" s="200" t="s">
        <v>103</v>
      </c>
      <c r="D58" s="202"/>
      <c r="E58" s="201"/>
      <c r="F58" s="37" t="s">
        <v>40</v>
      </c>
      <c r="G58" s="184" t="s">
        <v>28</v>
      </c>
      <c r="H58" s="185"/>
      <c r="R58"/>
      <c r="T58" t="s">
        <v>265</v>
      </c>
    </row>
    <row r="59" spans="1:24" x14ac:dyDescent="0.35">
      <c r="A59" s="148" t="s">
        <v>44</v>
      </c>
      <c r="B59" s="148"/>
      <c r="C59" s="148"/>
      <c r="D59" s="148"/>
      <c r="E59" s="148"/>
      <c r="F59" s="148"/>
      <c r="G59" s="148"/>
      <c r="H59" s="148"/>
      <c r="T59" t="s">
        <v>274</v>
      </c>
    </row>
    <row r="60" spans="1:24" x14ac:dyDescent="0.35">
      <c r="A60" s="128" t="s">
        <v>88</v>
      </c>
      <c r="B60" s="128"/>
      <c r="C60" s="128"/>
      <c r="D60" s="96">
        <f>E46</f>
        <v>7058.0410000000002</v>
      </c>
      <c r="E60" s="96"/>
      <c r="F60" s="96"/>
      <c r="G60" s="96"/>
      <c r="H60" s="96"/>
      <c r="R60"/>
    </row>
    <row r="61" spans="1:24" x14ac:dyDescent="0.35">
      <c r="A61" s="76" t="s">
        <v>45</v>
      </c>
      <c r="B61" s="113"/>
      <c r="C61" s="113"/>
      <c r="D61" s="113" t="s">
        <v>315</v>
      </c>
      <c r="E61" s="113"/>
      <c r="F61" s="113"/>
      <c r="G61" s="113"/>
      <c r="H61" s="113"/>
      <c r="I61" s="19"/>
      <c r="R61"/>
    </row>
    <row r="62" spans="1:24" x14ac:dyDescent="0.35">
      <c r="A62" s="121" t="s">
        <v>46</v>
      </c>
      <c r="B62" s="122"/>
      <c r="C62" s="123"/>
      <c r="D62" s="119" t="s">
        <v>303</v>
      </c>
      <c r="E62" s="120"/>
      <c r="F62" s="120"/>
      <c r="G62" s="120"/>
      <c r="H62" s="120"/>
      <c r="R62"/>
    </row>
    <row r="63" spans="1:24" ht="15.75" customHeight="1" x14ac:dyDescent="0.35">
      <c r="A63" s="121" t="s">
        <v>86</v>
      </c>
      <c r="B63" s="122"/>
      <c r="C63" s="122"/>
      <c r="D63" s="203" t="s">
        <v>326</v>
      </c>
      <c r="E63" s="204"/>
      <c r="F63" s="204"/>
      <c r="G63" s="204"/>
      <c r="H63" s="205"/>
      <c r="R63"/>
    </row>
    <row r="64" spans="1:24" ht="15.75" customHeight="1" x14ac:dyDescent="0.35">
      <c r="A64" s="113" t="s">
        <v>43</v>
      </c>
      <c r="B64" s="113"/>
      <c r="C64" s="113"/>
      <c r="D64" s="114" t="s">
        <v>304</v>
      </c>
      <c r="E64" s="114"/>
      <c r="F64" s="114"/>
      <c r="G64" s="114"/>
      <c r="H64" s="114"/>
      <c r="J64" s="20"/>
      <c r="K64" s="19"/>
      <c r="N64" s="19"/>
      <c r="S64"/>
    </row>
    <row r="65" spans="1:19" ht="15.75" customHeight="1" x14ac:dyDescent="0.35">
      <c r="A65" s="113" t="s">
        <v>84</v>
      </c>
      <c r="B65" s="113"/>
      <c r="C65" s="113"/>
      <c r="D65" s="115" t="str">
        <f>(IF(G58="NA","60 Years After Completion",IF(G58&lt;&gt;"NA",""&amp;60-ROUNDDOWN((E3-G58)/360,0)&amp;" Years"," ")))</f>
        <v>60 Years After Completion</v>
      </c>
      <c r="E65" s="115"/>
      <c r="F65" s="115"/>
      <c r="G65" s="115"/>
      <c r="H65" s="115"/>
      <c r="N65" s="19"/>
      <c r="S65"/>
    </row>
    <row r="66" spans="1:19" ht="15.75" customHeight="1" x14ac:dyDescent="0.35">
      <c r="A66" s="113" t="s">
        <v>85</v>
      </c>
      <c r="B66" s="113"/>
      <c r="C66" s="113"/>
      <c r="D66" s="128" t="s">
        <v>23</v>
      </c>
      <c r="E66" s="128"/>
      <c r="F66" s="128"/>
      <c r="G66" s="128"/>
      <c r="H66" s="128"/>
      <c r="J66" s="21"/>
      <c r="K66" s="21"/>
      <c r="S66"/>
    </row>
    <row r="67" spans="1:19" ht="38.5" customHeight="1" x14ac:dyDescent="0.35">
      <c r="A67" s="113" t="s">
        <v>325</v>
      </c>
      <c r="B67" s="113"/>
      <c r="C67" s="113"/>
      <c r="D67" s="76" t="s">
        <v>316</v>
      </c>
      <c r="E67" s="128"/>
      <c r="F67" s="128"/>
      <c r="G67" s="128"/>
      <c r="H67" s="128"/>
      <c r="S67"/>
    </row>
    <row r="68" spans="1:19" x14ac:dyDescent="0.35">
      <c r="A68" s="76" t="s">
        <v>144</v>
      </c>
      <c r="B68" s="76"/>
      <c r="C68" s="76"/>
      <c r="D68" s="128" t="s">
        <v>28</v>
      </c>
      <c r="E68" s="128"/>
      <c r="F68" s="128"/>
      <c r="G68" s="128"/>
      <c r="H68" s="128"/>
      <c r="I68" s="22"/>
      <c r="J68" s="22"/>
      <c r="K68" s="22"/>
      <c r="L68" s="22"/>
      <c r="M68" s="22"/>
      <c r="N68" s="22"/>
    </row>
    <row r="69" spans="1:19" ht="15.75" customHeight="1" x14ac:dyDescent="0.35">
      <c r="A69" s="113" t="s">
        <v>83</v>
      </c>
      <c r="B69" s="113"/>
      <c r="C69" s="113"/>
      <c r="D69" s="76" t="str">
        <f ca="1">(IF(G75&gt;95%,"Nothing",IF(G75&gt;0%,"Cement, Aggregate, Steel, etc",IF(G75=0%,"Work not yet Started"))))</f>
        <v>Cement, Aggregate, Steel, etc</v>
      </c>
      <c r="E69" s="76"/>
      <c r="F69" s="76"/>
      <c r="G69" s="76"/>
      <c r="H69" s="76"/>
      <c r="J69" s="21"/>
      <c r="S69"/>
    </row>
    <row r="70" spans="1:19" ht="33.75" customHeight="1" thickBot="1" x14ac:dyDescent="0.4">
      <c r="A70" s="128" t="s">
        <v>116</v>
      </c>
      <c r="B70" s="128"/>
      <c r="C70" s="128"/>
      <c r="D70" s="76" t="str">
        <f ca="1">(IF(D69="Nothing","Yes",IF(D69="Cement, Aggregate, Steel, etc","Under Construction",IF(D69="Work not yet Started","Work not yet Started"))))</f>
        <v>Under Construction</v>
      </c>
      <c r="E70" s="76"/>
      <c r="F70" s="76" t="str">
        <f ca="1">(IF(D69="Nothing","Yes",IF(D69="Cement, Aggregate, Steel, etc","Under Construction",IF(D69="Work not yet Started","Work not yet Started"))))</f>
        <v>Under Construction</v>
      </c>
      <c r="G70" s="76"/>
      <c r="H70" s="76"/>
      <c r="S70"/>
    </row>
    <row r="71" spans="1:19" ht="15.75" customHeight="1" x14ac:dyDescent="0.35">
      <c r="A71" s="132" t="s">
        <v>136</v>
      </c>
      <c r="B71" s="132"/>
      <c r="C71" s="132" t="str">
        <f>D63</f>
        <v>G + 1st to 13th Floor</v>
      </c>
      <c r="D71" s="132"/>
      <c r="E71" s="132"/>
      <c r="F71" s="132"/>
      <c r="G71" s="132"/>
      <c r="H71" s="132"/>
      <c r="I71" s="207" t="str">
        <f ca="1">IF(D84=100%,"All work Completed. Possession granted to the Building.",IF(D83=100%,"All work Completed, Waiting for OC",I72&amp;""&amp;I73&amp;""&amp;J72&amp;""&amp;J71&amp;" "&amp;J73))</f>
        <v>Excavation, Plinth, RCC Slab, Brickwork, Internal Plaster Completed, External Plaster upto 11 Floor, Flooring upto 9 Floor, Painting upto 5 Floor Completed</v>
      </c>
      <c r="J71" s="39" t="str">
        <f ca="1">(IF(C77=(D72+F72+H72),"",IF(C77&gt;0,", RCC upto "&amp;C77&amp;" Slab","")))&amp;(IF(C78=H72,"",IF(C78&gt;0,", Brickwork upto "&amp;C78&amp;" Floor","")))&amp;(IF(C79=H72,"",IF(C79&gt;0,", Internal Plaster upto "&amp;C79&amp;" Floor","")))&amp;(IF(C80=H72,"",IF(C80&gt;0,", External Plaster upto "&amp;C80&amp;" Floor","")))&amp;(IF(C81=H72,"",IF(C81&gt;0,", Flooring upto "&amp;C81&amp;" Floor","")))&amp;(IF(C82=H72,"",IF(C82&gt;0,", Painting upto "&amp;C82&amp;" Floor","")))&amp;(IF(C83=H72,"",IF(C83&gt;0,", Finishing upto "&amp;C83&amp;" Floor","")))&amp;(IF(C84=H72,"",IF(C84&gt;0,", Possession upto "&amp;C84&amp;" Floor","")))</f>
        <v>, External Plaster upto 11 Floor, Flooring upto 9 Floor, Painting upto 5 Floor</v>
      </c>
      <c r="S71"/>
    </row>
    <row r="72" spans="1:19" x14ac:dyDescent="0.35">
      <c r="A72" s="41" t="s">
        <v>138</v>
      </c>
      <c r="B72" s="41">
        <f>IF(AND(ISNUMBER(SEARCH("1B",C71))),1,IF(AND(ISNUMBER(SEARCH("2B",C71))),2,IF(AND(ISNUMBER(SEARCH("3B",C71))),3,IF(AND(ISNUMBER(SEARCH("4B",C71))),4,IF(ISNUMBER(SEARCH("5B",C71)),5,0)))))</f>
        <v>0</v>
      </c>
      <c r="C72" s="41" t="s">
        <v>69</v>
      </c>
      <c r="D72" s="41">
        <v>1</v>
      </c>
      <c r="E72" s="41" t="s">
        <v>68</v>
      </c>
      <c r="F72" s="41">
        <v>0</v>
      </c>
      <c r="G72" s="41" t="s">
        <v>77</v>
      </c>
      <c r="H72" s="41">
        <f ca="1">--TRIM(RIGHT(SUBSTITUTE(LEFT(C71,_xlfn.AGGREGATE(16,6,FIND({0,1,2,3,4,5,6,7,8,9},C71,ROW(INDIRECT("1:"&amp;LEN(C71)))),1))," ",REPT(" ",LEN(C71))),LEN(C71)))</f>
        <v>13</v>
      </c>
      <c r="I72" s="208" t="str">
        <f ca="1">IF(D75=100%,"Excavation","")&amp;IF(D76=100%,", Plinth","")&amp;IF(D77=100%,", RCC Slab","")&amp;IF(D78=100%,", Brickwork","")&amp;IF(D79=100%,", Internal Plaster","")&amp;IF(D80=100%,", External Plaster","")&amp;IF(D81=100%,", Flooring","")&amp;IF(D82=100%,", Painting","")&amp;IF(D83=100%,", Building common Amenities","")</f>
        <v>Excavation, Plinth, RCC Slab, Brickwork, Internal Plaster</v>
      </c>
      <c r="J72" s="40" t="str">
        <f ca="1">(IF(C75=0,"Work not yet Started.",IF(D75=25%,"Piling work in process",IF(D75=50%,"Excavation work in process",IF(D75=100%,"","0")))))&amp;(IF(C76=0%,"",IF(C76=J77,", Footing work is process",IF(C76=J78,", Footing work Completed",IF(C76=J79,", 1st Basement Completed",IF(C76=J80,", 1st &amp; 2nd Basement Completed",IF(C76=J81,", 1st to 3rd Basement Completed",IF(C76=J82,", 1st to 4th Basement Completed",IF(C76=J83,", Plinth work is process",IF(C76=J84,"","0"))))))))))</f>
        <v/>
      </c>
      <c r="S72"/>
    </row>
    <row r="73" spans="1:19" ht="48" customHeight="1" x14ac:dyDescent="0.35">
      <c r="A73" s="118" t="s">
        <v>87</v>
      </c>
      <c r="B73" s="118"/>
      <c r="C73" s="132" t="str">
        <f ca="1">I71</f>
        <v>Excavation, Plinth, RCC Slab, Brickwork, Internal Plaster Completed, External Plaster upto 11 Floor, Flooring upto 9 Floor, Painting upto 5 Floor Completed</v>
      </c>
      <c r="D73" s="132"/>
      <c r="E73" s="132"/>
      <c r="F73" s="132"/>
      <c r="G73" s="132"/>
      <c r="H73" s="132"/>
      <c r="I73" s="208" t="str">
        <f ca="1">IF(I72&lt;&gt;""," Completed","")</f>
        <v xml:space="preserve"> Completed</v>
      </c>
      <c r="J73" s="40" t="str">
        <f ca="1">IF(J71&lt;&gt;"","Completed","")</f>
        <v>Completed</v>
      </c>
      <c r="S73"/>
    </row>
    <row r="74" spans="1:19" ht="15.75" customHeight="1" x14ac:dyDescent="0.35">
      <c r="A74" s="89" t="s">
        <v>47</v>
      </c>
      <c r="B74" s="89"/>
      <c r="C74" s="74" t="s">
        <v>135</v>
      </c>
      <c r="D74" s="74" t="s">
        <v>80</v>
      </c>
      <c r="E74" s="89" t="s">
        <v>82</v>
      </c>
      <c r="F74" s="89"/>
      <c r="G74" s="89" t="s">
        <v>81</v>
      </c>
      <c r="H74" s="89"/>
      <c r="I74" s="13" t="s">
        <v>137</v>
      </c>
      <c r="J74" s="23">
        <f ca="1">H72*25%</f>
        <v>3.25</v>
      </c>
      <c r="S74"/>
    </row>
    <row r="75" spans="1:19" x14ac:dyDescent="0.35">
      <c r="A75" s="88" t="s">
        <v>124</v>
      </c>
      <c r="B75" s="89"/>
      <c r="C75" s="62">
        <f ca="1">J76</f>
        <v>13</v>
      </c>
      <c r="D75" s="63">
        <f ca="1">((100/H72)*C75)/100</f>
        <v>1</v>
      </c>
      <c r="E75" s="134">
        <f ca="1">(((C76/H72*10)+(40/(D72+F72+H72)*C77)+(7.5/(H72)*C78)+(7.5/(H72)*C79)+(10/H72*C80)+(10/H72*C81)+(5/H72*C82)+(5/H72*C83)+(5/H72*C84))/100)</f>
        <v>0.82307692307692304</v>
      </c>
      <c r="F75" s="135"/>
      <c r="G75" s="134">
        <f ca="1">((((C75/H72)*20)+((C76/H72)*25)+(30/(H72+F72+D72)*C77)+(5/H72*C78)+(5/H72*C79)+(5/H72*C80)+(5/H72*C81)+(0/H72*C82)+(0/H72*C83)+(5/H72*C84))/100)</f>
        <v>0.92692307692307696</v>
      </c>
      <c r="H75" s="140"/>
      <c r="I75" s="13" t="s">
        <v>98</v>
      </c>
      <c r="J75" s="24">
        <f ca="1">H72*50%</f>
        <v>6.5</v>
      </c>
    </row>
    <row r="76" spans="1:19" x14ac:dyDescent="0.35">
      <c r="A76" s="88" t="s">
        <v>48</v>
      </c>
      <c r="B76" s="89"/>
      <c r="C76" s="62">
        <f ca="1">J84</f>
        <v>13</v>
      </c>
      <c r="D76" s="63">
        <f ca="1">((100/H72)*C76)/100</f>
        <v>1</v>
      </c>
      <c r="E76" s="136"/>
      <c r="F76" s="137"/>
      <c r="G76" s="136"/>
      <c r="H76" s="141"/>
      <c r="I76" s="13" t="s">
        <v>99</v>
      </c>
      <c r="J76" s="24">
        <f ca="1">H72</f>
        <v>13</v>
      </c>
      <c r="S76"/>
    </row>
    <row r="77" spans="1:19" ht="15.75" customHeight="1" x14ac:dyDescent="0.35">
      <c r="A77" s="88" t="s">
        <v>125</v>
      </c>
      <c r="B77" s="89"/>
      <c r="C77" s="62">
        <v>14</v>
      </c>
      <c r="D77" s="63">
        <f ca="1">((100/(D72+F72+H72))*C77)/100</f>
        <v>1</v>
      </c>
      <c r="E77" s="136"/>
      <c r="F77" s="137"/>
      <c r="G77" s="136"/>
      <c r="H77" s="141"/>
      <c r="I77" s="13" t="s">
        <v>100</v>
      </c>
      <c r="J77" s="25">
        <f ca="1">(IF(B72&gt;1,(H72/(B72+2)),H72/4))</f>
        <v>3.25</v>
      </c>
      <c r="S77"/>
    </row>
    <row r="78" spans="1:19" ht="15.75" customHeight="1" x14ac:dyDescent="0.35">
      <c r="A78" s="88" t="s">
        <v>132</v>
      </c>
      <c r="B78" s="89" t="s">
        <v>126</v>
      </c>
      <c r="C78" s="62">
        <v>13</v>
      </c>
      <c r="D78" s="63">
        <f ca="1">((100/H72)*C78)/100</f>
        <v>1</v>
      </c>
      <c r="E78" s="136"/>
      <c r="F78" s="137"/>
      <c r="G78" s="136"/>
      <c r="H78" s="141"/>
      <c r="I78" s="13" t="s">
        <v>101</v>
      </c>
      <c r="J78" s="25">
        <f ca="1">(IF(B72&gt;1,(H72/(B72+2)+J77),H72/4+J77))</f>
        <v>6.5</v>
      </c>
    </row>
    <row r="79" spans="1:19" ht="15.75" customHeight="1" x14ac:dyDescent="0.35">
      <c r="A79" s="88" t="s">
        <v>133</v>
      </c>
      <c r="B79" s="89" t="s">
        <v>126</v>
      </c>
      <c r="C79" s="62">
        <v>13</v>
      </c>
      <c r="D79" s="63">
        <f ca="1">((100/H72)*C79)/100</f>
        <v>1</v>
      </c>
      <c r="E79" s="136"/>
      <c r="F79" s="137"/>
      <c r="G79" s="136"/>
      <c r="H79" s="141"/>
      <c r="I79" s="13" t="s">
        <v>142</v>
      </c>
      <c r="J79" s="25">
        <f>(IF(B72&gt;1,(H72/(B72+2)+J78),0))</f>
        <v>0</v>
      </c>
    </row>
    <row r="80" spans="1:19" ht="15" customHeight="1" x14ac:dyDescent="0.35">
      <c r="A80" s="88" t="s">
        <v>131</v>
      </c>
      <c r="B80" s="89" t="s">
        <v>128</v>
      </c>
      <c r="C80" s="62">
        <v>11</v>
      </c>
      <c r="D80" s="63">
        <f ca="1">((100/(H72))*C80)/100</f>
        <v>0.84615384615384615</v>
      </c>
      <c r="E80" s="136"/>
      <c r="F80" s="137"/>
      <c r="G80" s="136"/>
      <c r="H80" s="141"/>
      <c r="I80" s="13" t="s">
        <v>139</v>
      </c>
      <c r="J80" s="25">
        <f>(IF(B72&gt;2,(H72/(B72+2)+J79),0))</f>
        <v>0</v>
      </c>
    </row>
    <row r="81" spans="1:22" ht="15.75" customHeight="1" x14ac:dyDescent="0.35">
      <c r="A81" s="88" t="s">
        <v>127</v>
      </c>
      <c r="B81" s="89" t="s">
        <v>127</v>
      </c>
      <c r="C81" s="62">
        <v>9</v>
      </c>
      <c r="D81" s="63">
        <f ca="1">((100/H72)*C81)/100</f>
        <v>0.69230769230769229</v>
      </c>
      <c r="E81" s="136"/>
      <c r="F81" s="137"/>
      <c r="G81" s="136"/>
      <c r="H81" s="141"/>
      <c r="I81" s="13" t="s">
        <v>140</v>
      </c>
      <c r="J81" s="26">
        <f>(IF(B72&gt;3,(H72/(B72+2)+J80),0))</f>
        <v>0</v>
      </c>
    </row>
    <row r="82" spans="1:22" ht="15.75" customHeight="1" x14ac:dyDescent="0.35">
      <c r="A82" s="88" t="s">
        <v>134</v>
      </c>
      <c r="B82" s="89"/>
      <c r="C82" s="62">
        <v>5</v>
      </c>
      <c r="D82" s="63">
        <f ca="1">((100/H72)*C82)/100</f>
        <v>0.38461538461538458</v>
      </c>
      <c r="E82" s="136"/>
      <c r="F82" s="137"/>
      <c r="G82" s="136"/>
      <c r="H82" s="141"/>
      <c r="I82" s="13" t="s">
        <v>141</v>
      </c>
      <c r="J82" s="25">
        <f>(IF(B72&gt;4,(H72/(B72+2)+J81),0))</f>
        <v>0</v>
      </c>
    </row>
    <row r="83" spans="1:22" ht="15.75" customHeight="1" x14ac:dyDescent="0.35">
      <c r="A83" s="88" t="s">
        <v>129</v>
      </c>
      <c r="B83" s="89" t="s">
        <v>129</v>
      </c>
      <c r="C83" s="62">
        <v>0</v>
      </c>
      <c r="D83" s="63">
        <f ca="1">((100/(H72))*C83)/100</f>
        <v>0</v>
      </c>
      <c r="E83" s="136"/>
      <c r="F83" s="137"/>
      <c r="G83" s="136"/>
      <c r="H83" s="141"/>
      <c r="I83" s="13" t="s">
        <v>143</v>
      </c>
      <c r="J83" s="25">
        <f ca="1">(IF(B72=1,(H72/(B72+3)+J78),IF(B72=0,(H72/4+J78),IF(B72&gt;1,0))))</f>
        <v>9.75</v>
      </c>
    </row>
    <row r="84" spans="1:22" ht="16" thickBot="1" x14ac:dyDescent="0.4">
      <c r="A84" s="143" t="s">
        <v>130</v>
      </c>
      <c r="B84" s="144"/>
      <c r="C84" s="64">
        <v>0</v>
      </c>
      <c r="D84" s="65">
        <f ca="1">((100/(H72))*C84)/100</f>
        <v>0</v>
      </c>
      <c r="E84" s="138"/>
      <c r="F84" s="139"/>
      <c r="G84" s="138"/>
      <c r="H84" s="142"/>
      <c r="I84" s="14" t="s">
        <v>102</v>
      </c>
      <c r="J84" s="27">
        <f ca="1">(IF(B72&gt;1.5,(H72/(B72+2)+J78+MAX(0,J79-J78)+MAX(0,J80-J79)+MAX(0,J81-J80)+MAX(0,J82-J81)+MAX(0,J83-J82)),IF(B72=1,(H72/(B72+3)+J83),IF(B72=0,H72/4+J83))))</f>
        <v>13</v>
      </c>
    </row>
    <row r="85" spans="1:22" x14ac:dyDescent="0.35">
      <c r="A85" s="97" t="s">
        <v>152</v>
      </c>
      <c r="B85" s="97"/>
      <c r="C85" s="97"/>
      <c r="D85" s="97"/>
      <c r="E85" s="97"/>
      <c r="F85" s="98" t="s">
        <v>156</v>
      </c>
      <c r="G85" s="98"/>
      <c r="H85" s="98"/>
      <c r="R85" t="s">
        <v>249</v>
      </c>
      <c r="S85" t="s">
        <v>168</v>
      </c>
      <c r="T85" t="s">
        <v>174</v>
      </c>
      <c r="U85" t="s">
        <v>189</v>
      </c>
      <c r="V85" t="s">
        <v>184</v>
      </c>
    </row>
    <row r="86" spans="1:22" x14ac:dyDescent="0.35">
      <c r="A86" s="96" t="s">
        <v>154</v>
      </c>
      <c r="B86" s="96"/>
      <c r="C86" s="96"/>
      <c r="D86" s="96"/>
      <c r="E86" s="96"/>
      <c r="F86" s="95">
        <v>8500</v>
      </c>
      <c r="G86" s="95"/>
      <c r="H86" s="95"/>
      <c r="R86"/>
      <c r="S86">
        <v>800000</v>
      </c>
      <c r="T86">
        <v>150000</v>
      </c>
      <c r="U86">
        <v>100000</v>
      </c>
      <c r="V86">
        <v>100000</v>
      </c>
    </row>
    <row r="87" spans="1:22" x14ac:dyDescent="0.35">
      <c r="A87" s="96" t="s">
        <v>153</v>
      </c>
      <c r="B87" s="96"/>
      <c r="C87" s="96"/>
      <c r="D87" s="96"/>
      <c r="E87" s="96"/>
      <c r="F87" s="95">
        <v>14000</v>
      </c>
      <c r="G87" s="95"/>
      <c r="H87" s="95"/>
      <c r="R87"/>
      <c r="S87">
        <v>900000</v>
      </c>
      <c r="T87">
        <v>200000</v>
      </c>
      <c r="U87">
        <v>150000</v>
      </c>
      <c r="V87">
        <v>150000</v>
      </c>
    </row>
    <row r="88" spans="1:22" hidden="1" x14ac:dyDescent="0.35">
      <c r="A88" s="96" t="s">
        <v>155</v>
      </c>
      <c r="B88" s="96"/>
      <c r="C88" s="96"/>
      <c r="D88" s="96"/>
      <c r="E88" s="96"/>
      <c r="F88" s="95"/>
      <c r="G88" s="95"/>
      <c r="H88" s="95"/>
      <c r="R88"/>
      <c r="S88">
        <v>1000000</v>
      </c>
      <c r="T88">
        <v>250000</v>
      </c>
      <c r="U88">
        <v>200000</v>
      </c>
      <c r="V88">
        <v>200000</v>
      </c>
    </row>
    <row r="89" spans="1:22" s="28" customFormat="1" hidden="1" x14ac:dyDescent="0.35">
      <c r="A89" s="96" t="s">
        <v>171</v>
      </c>
      <c r="B89" s="96"/>
      <c r="C89" s="96"/>
      <c r="D89" s="96"/>
      <c r="E89" s="96"/>
      <c r="F89" s="95"/>
      <c r="G89" s="95"/>
      <c r="H89" s="95"/>
      <c r="R89"/>
      <c r="S89">
        <v>1100000</v>
      </c>
      <c r="T89">
        <v>300000</v>
      </c>
      <c r="U89">
        <v>250000</v>
      </c>
      <c r="V89" s="18">
        <v>250000</v>
      </c>
    </row>
    <row r="90" spans="1:22" s="28" customFormat="1" hidden="1" x14ac:dyDescent="0.35">
      <c r="A90" s="96" t="s">
        <v>92</v>
      </c>
      <c r="B90" s="96"/>
      <c r="C90" s="96"/>
      <c r="D90" s="96"/>
      <c r="E90" s="96"/>
      <c r="F90" s="95"/>
      <c r="G90" s="95"/>
      <c r="H90" s="95"/>
      <c r="R90"/>
      <c r="S90">
        <v>1200000</v>
      </c>
      <c r="T90">
        <v>350000</v>
      </c>
      <c r="U90">
        <v>300000</v>
      </c>
      <c r="V90">
        <v>300000</v>
      </c>
    </row>
    <row r="91" spans="1:22" s="28" customFormat="1" hidden="1" x14ac:dyDescent="0.35">
      <c r="A91" s="96" t="s">
        <v>93</v>
      </c>
      <c r="B91" s="96"/>
      <c r="C91" s="96"/>
      <c r="D91" s="96"/>
      <c r="E91" s="96"/>
      <c r="F91" s="95"/>
      <c r="G91" s="95"/>
      <c r="H91" s="95"/>
      <c r="R91"/>
      <c r="S91">
        <v>1300000</v>
      </c>
      <c r="T91">
        <v>400000</v>
      </c>
      <c r="U91">
        <v>350000</v>
      </c>
      <c r="V91" s="18">
        <v>400000</v>
      </c>
    </row>
    <row r="92" spans="1:22" s="28" customFormat="1" hidden="1" x14ac:dyDescent="0.35">
      <c r="A92" s="96" t="s">
        <v>94</v>
      </c>
      <c r="B92" s="96"/>
      <c r="C92" s="96"/>
      <c r="D92" s="96"/>
      <c r="E92" s="96"/>
      <c r="F92" s="95"/>
      <c r="G92" s="95"/>
      <c r="H92" s="95"/>
      <c r="R92"/>
      <c r="S92">
        <v>1400000</v>
      </c>
      <c r="T92">
        <v>500000</v>
      </c>
      <c r="U92">
        <v>400000</v>
      </c>
      <c r="V92"/>
    </row>
    <row r="93" spans="1:22" s="28" customFormat="1" hidden="1" x14ac:dyDescent="0.35">
      <c r="A93" s="96" t="s">
        <v>95</v>
      </c>
      <c r="B93" s="96"/>
      <c r="C93" s="96"/>
      <c r="D93" s="96"/>
      <c r="E93" s="96"/>
      <c r="F93" s="95"/>
      <c r="G93" s="95"/>
      <c r="H93" s="95"/>
      <c r="R93"/>
      <c r="S93">
        <v>1500000</v>
      </c>
      <c r="T93">
        <v>600000</v>
      </c>
      <c r="U93">
        <v>500000</v>
      </c>
      <c r="V93" s="18"/>
    </row>
    <row r="94" spans="1:22" s="28" customFormat="1" hidden="1" x14ac:dyDescent="0.35">
      <c r="A94" s="96" t="s">
        <v>96</v>
      </c>
      <c r="B94" s="96"/>
      <c r="C94" s="96"/>
      <c r="D94" s="96"/>
      <c r="E94" s="96"/>
      <c r="F94" s="95"/>
      <c r="G94" s="95"/>
      <c r="H94" s="95"/>
      <c r="R94"/>
      <c r="S94">
        <v>1600000</v>
      </c>
      <c r="T94">
        <v>700000</v>
      </c>
      <c r="U94">
        <v>600000</v>
      </c>
      <c r="V94"/>
    </row>
    <row r="95" spans="1:22" s="28" customFormat="1" hidden="1" x14ac:dyDescent="0.35">
      <c r="A95" s="96" t="s">
        <v>97</v>
      </c>
      <c r="B95" s="96"/>
      <c r="C95" s="96"/>
      <c r="D95" s="96"/>
      <c r="E95" s="96"/>
      <c r="F95" s="95"/>
      <c r="G95" s="95"/>
      <c r="H95" s="95"/>
      <c r="R95"/>
      <c r="S95">
        <v>1700000</v>
      </c>
      <c r="T95">
        <v>800000</v>
      </c>
      <c r="U95"/>
      <c r="V95" s="18"/>
    </row>
    <row r="96" spans="1:22" x14ac:dyDescent="0.35">
      <c r="A96" s="96" t="s">
        <v>49</v>
      </c>
      <c r="B96" s="96"/>
      <c r="C96" s="96"/>
      <c r="D96" s="96"/>
      <c r="E96" s="96"/>
      <c r="F96" s="95">
        <v>400000</v>
      </c>
      <c r="G96" s="95"/>
      <c r="H96" s="95"/>
      <c r="R96"/>
      <c r="S96">
        <v>1800000</v>
      </c>
      <c r="T96">
        <v>900000</v>
      </c>
      <c r="U96"/>
    </row>
    <row r="97" spans="1:22" s="29" customFormat="1" x14ac:dyDescent="0.35">
      <c r="A97" s="112" t="s">
        <v>50</v>
      </c>
      <c r="B97" s="112"/>
      <c r="C97" s="112"/>
      <c r="D97" s="112"/>
      <c r="E97" s="112"/>
      <c r="F97" s="95">
        <f>F86*0.8</f>
        <v>6800</v>
      </c>
      <c r="G97" s="95"/>
      <c r="H97" s="95"/>
      <c r="R97" s="16"/>
      <c r="S97" s="16"/>
      <c r="T97">
        <v>1000000</v>
      </c>
      <c r="U97"/>
      <c r="V97" s="16"/>
    </row>
    <row r="98" spans="1:22" s="30" customFormat="1" ht="15.75" customHeight="1" x14ac:dyDescent="0.35">
      <c r="A98" s="106" t="s">
        <v>72</v>
      </c>
      <c r="B98" s="106"/>
      <c r="C98" s="106"/>
      <c r="D98" s="106"/>
      <c r="E98" s="106"/>
      <c r="F98" s="106"/>
      <c r="G98" s="106"/>
      <c r="H98" s="106"/>
      <c r="R98"/>
      <c r="S98" s="16"/>
      <c r="T98"/>
      <c r="U98"/>
      <c r="V98" s="16"/>
    </row>
    <row r="99" spans="1:22" s="30" customFormat="1" ht="15.75" customHeight="1" x14ac:dyDescent="0.35">
      <c r="A99" s="149" t="s">
        <v>51</v>
      </c>
      <c r="B99" s="149"/>
      <c r="C99" s="101" t="s">
        <v>75</v>
      </c>
      <c r="D99" s="101"/>
      <c r="E99" s="99" t="s">
        <v>52</v>
      </c>
      <c r="F99" s="99"/>
      <c r="G99" s="149" t="s">
        <v>53</v>
      </c>
      <c r="H99" s="149"/>
      <c r="R99"/>
      <c r="S99" s="16"/>
      <c r="T99"/>
      <c r="U99" s="16"/>
      <c r="V99" s="16"/>
    </row>
    <row r="100" spans="1:22" s="30" customFormat="1" x14ac:dyDescent="0.35">
      <c r="A100" s="147" t="s">
        <v>313</v>
      </c>
      <c r="B100" s="147"/>
      <c r="C100" s="79">
        <f>COUNT(D112:D117)</f>
        <v>6</v>
      </c>
      <c r="D100" s="80"/>
      <c r="E100" s="79">
        <f>SUM(F112:F117)</f>
        <v>1938.897792</v>
      </c>
      <c r="F100" s="80"/>
      <c r="G100" s="79">
        <f>SUM(H112:H117)</f>
        <v>2908.3466879999996</v>
      </c>
      <c r="H100" s="80"/>
      <c r="R100"/>
      <c r="S100" s="16"/>
      <c r="T100"/>
      <c r="U100" s="16"/>
      <c r="V100" s="16"/>
    </row>
    <row r="101" spans="1:22" s="30" customFormat="1" x14ac:dyDescent="0.35">
      <c r="A101" s="106" t="s">
        <v>146</v>
      </c>
      <c r="B101" s="106"/>
      <c r="C101" s="105">
        <f>SUM(C100)</f>
        <v>6</v>
      </c>
      <c r="D101" s="99"/>
      <c r="E101" s="105">
        <f>SUM(E100)</f>
        <v>1938.897792</v>
      </c>
      <c r="F101" s="99"/>
      <c r="G101" s="105">
        <f>SUM(G100)</f>
        <v>2908.3466879999996</v>
      </c>
      <c r="H101" s="99"/>
      <c r="R101"/>
      <c r="S101" s="16"/>
      <c r="T101"/>
      <c r="U101" s="16"/>
      <c r="V101" s="16"/>
    </row>
    <row r="102" spans="1:22" s="30" customFormat="1" x14ac:dyDescent="0.35">
      <c r="A102" s="106" t="s">
        <v>67</v>
      </c>
      <c r="B102" s="106"/>
      <c r="C102" s="106"/>
      <c r="D102" s="106"/>
      <c r="E102" s="106"/>
      <c r="F102" s="106"/>
      <c r="G102" s="106"/>
      <c r="H102" s="106"/>
      <c r="T102"/>
    </row>
    <row r="103" spans="1:22" s="30" customFormat="1" ht="15.75" customHeight="1" x14ac:dyDescent="0.35">
      <c r="A103" s="149" t="s">
        <v>51</v>
      </c>
      <c r="B103" s="149"/>
      <c r="C103" s="101" t="s">
        <v>75</v>
      </c>
      <c r="D103" s="101"/>
      <c r="E103" s="99" t="s">
        <v>52</v>
      </c>
      <c r="F103" s="99"/>
      <c r="G103" s="149" t="s">
        <v>53</v>
      </c>
      <c r="H103" s="149"/>
      <c r="T103"/>
    </row>
    <row r="104" spans="1:22" s="30" customFormat="1" x14ac:dyDescent="0.35">
      <c r="A104" s="147" t="s">
        <v>314</v>
      </c>
      <c r="B104" s="147"/>
      <c r="C104" s="79">
        <f>COUNT(D122:D133)+COUNT(D135:D146)*7+COUNT(D148:D159)+COUNT(D161:D172)</f>
        <v>120</v>
      </c>
      <c r="D104" s="79"/>
      <c r="E104" s="79">
        <f>SUM(F122:F133)+SUM(F135:F146)*7+SUM(F148:F159)+SUM(F161:F172)</f>
        <v>48440.604888000002</v>
      </c>
      <c r="F104" s="79"/>
      <c r="G104" s="79">
        <f>SUM(H122:H133)+SUM(H135:H146)*7+SUM(H148:H159)+SUM(H161:H172)</f>
        <v>73000.425420000014</v>
      </c>
      <c r="H104" s="79"/>
      <c r="T104"/>
    </row>
    <row r="105" spans="1:22" s="30" customFormat="1" ht="16" thickBot="1" x14ac:dyDescent="0.4">
      <c r="A105" s="102" t="s">
        <v>146</v>
      </c>
      <c r="B105" s="102"/>
      <c r="C105" s="103">
        <f>SUM(C104)</f>
        <v>120</v>
      </c>
      <c r="D105" s="104"/>
      <c r="E105" s="103">
        <f>SUM(E104)</f>
        <v>48440.604888000002</v>
      </c>
      <c r="F105" s="104"/>
      <c r="G105" s="103">
        <f>SUM(G104)</f>
        <v>73000.425420000014</v>
      </c>
      <c r="H105" s="104"/>
      <c r="T105"/>
    </row>
    <row r="106" spans="1:22" s="30" customFormat="1" ht="16" thickBot="1" x14ac:dyDescent="0.4">
      <c r="A106" s="168" t="s">
        <v>162</v>
      </c>
      <c r="B106" s="169"/>
      <c r="C106" s="170">
        <f>C101+C105</f>
        <v>126</v>
      </c>
      <c r="D106" s="170"/>
      <c r="E106" s="171">
        <f>E101+E105</f>
        <v>50379.502680000005</v>
      </c>
      <c r="F106" s="171"/>
      <c r="G106" s="83">
        <f>G101+G105</f>
        <v>75908.772108000019</v>
      </c>
      <c r="H106" s="84"/>
      <c r="T106"/>
    </row>
    <row r="107" spans="1:22" s="29" customFormat="1" x14ac:dyDescent="0.35">
      <c r="A107" s="100" t="s">
        <v>54</v>
      </c>
      <c r="B107" s="100"/>
      <c r="C107" s="100"/>
      <c r="D107" s="100"/>
      <c r="E107" s="100"/>
      <c r="F107" s="100"/>
      <c r="G107" s="100"/>
      <c r="H107" s="100"/>
      <c r="T107" s="30"/>
    </row>
    <row r="108" spans="1:22" x14ac:dyDescent="0.35">
      <c r="A108" s="199" t="s">
        <v>170</v>
      </c>
      <c r="B108" s="199"/>
      <c r="C108" s="199"/>
      <c r="D108" s="199"/>
      <c r="E108" s="199"/>
      <c r="F108" s="199"/>
      <c r="G108" s="199"/>
      <c r="H108" s="199"/>
      <c r="T108" s="30"/>
    </row>
    <row r="109" spans="1:22" ht="47.25" customHeight="1" x14ac:dyDescent="0.35">
      <c r="A109" s="77" t="s">
        <v>327</v>
      </c>
      <c r="B109" s="77" t="s">
        <v>172</v>
      </c>
      <c r="C109" s="77" t="s">
        <v>55</v>
      </c>
      <c r="D109" s="77" t="s">
        <v>228</v>
      </c>
      <c r="E109" s="81" t="s">
        <v>151</v>
      </c>
      <c r="F109" s="77" t="s">
        <v>56</v>
      </c>
      <c r="G109" s="81" t="s">
        <v>57</v>
      </c>
      <c r="H109" s="66" t="s">
        <v>145</v>
      </c>
      <c r="T109" s="30"/>
    </row>
    <row r="110" spans="1:22" s="32" customFormat="1" x14ac:dyDescent="0.35">
      <c r="A110" s="78"/>
      <c r="B110" s="78"/>
      <c r="C110" s="78"/>
      <c r="D110" s="78"/>
      <c r="E110" s="82"/>
      <c r="F110" s="78"/>
      <c r="G110" s="82"/>
      <c r="H110" s="67">
        <v>0.5</v>
      </c>
      <c r="T110" s="30"/>
    </row>
    <row r="111" spans="1:22" s="32" customFormat="1" ht="32.25" customHeight="1" x14ac:dyDescent="0.35">
      <c r="A111" s="176" t="s">
        <v>305</v>
      </c>
      <c r="B111" s="177"/>
      <c r="C111" s="177"/>
      <c r="D111" s="178"/>
      <c r="E111" s="177"/>
      <c r="F111" s="177"/>
      <c r="G111" s="177"/>
      <c r="H111" s="179"/>
      <c r="J111" s="31"/>
      <c r="T111" s="30"/>
    </row>
    <row r="112" spans="1:22" s="32" customFormat="1" ht="15.75" customHeight="1" x14ac:dyDescent="0.35">
      <c r="A112" s="158">
        <v>1</v>
      </c>
      <c r="B112" s="161"/>
      <c r="C112" s="68" t="s">
        <v>306</v>
      </c>
      <c r="D112" s="69">
        <f>(24.248)*(10.764)</f>
        <v>261.005472</v>
      </c>
      <c r="E112" s="70">
        <v>0</v>
      </c>
      <c r="F112" s="61">
        <f>D112+(IF(E112&lt;201,E112,IF(E112&lt;301,E112/2,E112/3)))</f>
        <v>261.005472</v>
      </c>
      <c r="G112" s="71">
        <v>0</v>
      </c>
      <c r="H112" s="68">
        <f>(F112+(IF(G112&lt;101,G112,IF(G112&lt;201,G112/2,IF(G112&lt;=301,G112/3,G112/4)))))*(($H$110)+1)</f>
        <v>391.50820799999997</v>
      </c>
      <c r="I112" s="59">
        <f>8.347*2.905</f>
        <v>24.248034999999998</v>
      </c>
      <c r="L112" s="172"/>
      <c r="M112" s="172"/>
      <c r="N112" s="31"/>
      <c r="T112" s="30"/>
    </row>
    <row r="113" spans="1:20" s="32" customFormat="1" ht="15.75" customHeight="1" x14ac:dyDescent="0.35">
      <c r="A113" s="173">
        <f>A112+1</f>
        <v>2</v>
      </c>
      <c r="B113" s="174"/>
      <c r="C113" s="55" t="s">
        <v>306</v>
      </c>
      <c r="D113" s="60">
        <f>(41.652)*(10.764)</f>
        <v>448.342128</v>
      </c>
      <c r="E113" s="56">
        <v>0</v>
      </c>
      <c r="F113" s="50">
        <f t="shared" ref="F113:F115" si="0">D113+(IF(E113&lt;201,E113,IF(E113&lt;301,E113/2,E113/3)))</f>
        <v>448.342128</v>
      </c>
      <c r="G113" s="44">
        <v>0</v>
      </c>
      <c r="H113" s="50">
        <f t="shared" ref="H113:H117" si="1">(F113+(IF(G113&lt;101,G113,IF(G113&lt;201,G113/2,IF(G113&lt;=301,G113/3,G113/4)))))*(($H$110)+1)</f>
        <v>672.513192</v>
      </c>
      <c r="I113" s="31">
        <f>8.347*4.99</f>
        <v>41.651530000000001</v>
      </c>
      <c r="J113" s="60">
        <f>10.764</f>
        <v>10.763999999999999</v>
      </c>
      <c r="L113" s="172"/>
      <c r="M113" s="172"/>
      <c r="N113" s="31"/>
      <c r="T113" s="29"/>
    </row>
    <row r="114" spans="1:20" s="32" customFormat="1" ht="15.75" customHeight="1" x14ac:dyDescent="0.35">
      <c r="A114" s="173">
        <f>A113+1</f>
        <v>3</v>
      </c>
      <c r="B114" s="174"/>
      <c r="C114" s="55" t="s">
        <v>306</v>
      </c>
      <c r="D114" s="60">
        <f>(24.456)*(10.764)</f>
        <v>263.24438399999997</v>
      </c>
      <c r="E114" s="56">
        <v>0</v>
      </c>
      <c r="F114" s="50">
        <f t="shared" si="0"/>
        <v>263.24438399999997</v>
      </c>
      <c r="G114" s="44">
        <v>0</v>
      </c>
      <c r="H114" s="50">
        <f t="shared" si="1"/>
        <v>394.86657599999995</v>
      </c>
      <c r="I114" s="31"/>
      <c r="L114" s="172"/>
      <c r="M114" s="172"/>
      <c r="N114" s="31"/>
      <c r="T114" s="16"/>
    </row>
    <row r="115" spans="1:20" s="32" customFormat="1" ht="15.75" customHeight="1" x14ac:dyDescent="0.35">
      <c r="A115" s="173">
        <f>A114+1</f>
        <v>4</v>
      </c>
      <c r="B115" s="174"/>
      <c r="C115" s="55" t="s">
        <v>306</v>
      </c>
      <c r="D115" s="60">
        <f>(23.872)*(10.764)</f>
        <v>256.95820799999996</v>
      </c>
      <c r="E115" s="56">
        <v>0</v>
      </c>
      <c r="F115" s="57">
        <f t="shared" si="0"/>
        <v>256.95820799999996</v>
      </c>
      <c r="G115" s="57">
        <v>0</v>
      </c>
      <c r="H115" s="50">
        <f t="shared" si="1"/>
        <v>385.43731199999991</v>
      </c>
      <c r="I115" s="31"/>
      <c r="L115" s="172"/>
      <c r="M115" s="172"/>
      <c r="N115" s="31"/>
      <c r="T115" s="16"/>
    </row>
    <row r="116" spans="1:20" s="58" customFormat="1" ht="15.75" customHeight="1" x14ac:dyDescent="0.35">
      <c r="A116" s="173">
        <f t="shared" ref="A116:A117" si="2">A115+1</f>
        <v>5</v>
      </c>
      <c r="B116" s="174"/>
      <c r="C116" s="55" t="s">
        <v>306</v>
      </c>
      <c r="D116" s="60">
        <f>(41.652)*(10.764)</f>
        <v>448.342128</v>
      </c>
      <c r="E116" s="56">
        <v>0</v>
      </c>
      <c r="F116" s="57">
        <f>D116+(IF(E116&lt;201,E116,IF(E116&lt;301,E116/2,E116/3)))</f>
        <v>448.342128</v>
      </c>
      <c r="G116" s="57">
        <v>0</v>
      </c>
      <c r="H116" s="57">
        <f t="shared" si="1"/>
        <v>672.513192</v>
      </c>
      <c r="I116" s="31"/>
      <c r="N116" s="31"/>
      <c r="T116" s="16"/>
    </row>
    <row r="117" spans="1:20" s="58" customFormat="1" ht="15.75" customHeight="1" x14ac:dyDescent="0.35">
      <c r="A117" s="173">
        <f t="shared" si="2"/>
        <v>6</v>
      </c>
      <c r="B117" s="174"/>
      <c r="C117" s="55" t="s">
        <v>306</v>
      </c>
      <c r="D117" s="60">
        <f>(24.248)*(10.764)</f>
        <v>261.005472</v>
      </c>
      <c r="E117" s="56">
        <v>0</v>
      </c>
      <c r="F117" s="57">
        <f>D117+(IF(E117&lt;201,E117,IF(E117&lt;301,E117/2,E117/3)))</f>
        <v>261.005472</v>
      </c>
      <c r="G117" s="57">
        <v>0</v>
      </c>
      <c r="H117" s="57">
        <f t="shared" si="1"/>
        <v>391.50820799999997</v>
      </c>
      <c r="I117" s="31"/>
      <c r="N117" s="31"/>
      <c r="T117" s="16"/>
    </row>
    <row r="118" spans="1:20" s="32" customFormat="1" x14ac:dyDescent="0.35">
      <c r="A118" s="158"/>
      <c r="B118" s="159"/>
      <c r="C118" s="159"/>
      <c r="D118" s="160"/>
      <c r="E118" s="159"/>
      <c r="F118" s="159"/>
      <c r="G118" s="159"/>
      <c r="H118" s="161"/>
      <c r="I118" s="31"/>
      <c r="N118" s="31"/>
    </row>
    <row r="119" spans="1:20" ht="47.25" customHeight="1" x14ac:dyDescent="0.35">
      <c r="A119" s="162" t="s">
        <v>328</v>
      </c>
      <c r="B119" s="77" t="s">
        <v>173</v>
      </c>
      <c r="C119" s="77" t="s">
        <v>55</v>
      </c>
      <c r="D119" s="77" t="s">
        <v>228</v>
      </c>
      <c r="E119" s="77" t="s">
        <v>227</v>
      </c>
      <c r="F119" s="77" t="s">
        <v>56</v>
      </c>
      <c r="G119" s="81" t="s">
        <v>57</v>
      </c>
      <c r="H119" s="66" t="s">
        <v>145</v>
      </c>
      <c r="I119" s="31"/>
      <c r="T119" s="32"/>
    </row>
    <row r="120" spans="1:20" s="32" customFormat="1" x14ac:dyDescent="0.35">
      <c r="A120" s="163"/>
      <c r="B120" s="78"/>
      <c r="C120" s="78"/>
      <c r="D120" s="78"/>
      <c r="E120" s="78"/>
      <c r="F120" s="78"/>
      <c r="G120" s="82"/>
      <c r="H120" s="67">
        <v>0.5</v>
      </c>
      <c r="I120" s="31"/>
    </row>
    <row r="121" spans="1:20" s="58" customFormat="1" x14ac:dyDescent="0.35">
      <c r="A121" s="175" t="s">
        <v>308</v>
      </c>
      <c r="B121" s="175"/>
      <c r="C121" s="175"/>
      <c r="D121" s="175"/>
      <c r="E121" s="175"/>
      <c r="F121" s="175"/>
      <c r="G121" s="175"/>
      <c r="H121" s="175"/>
      <c r="I121" s="31"/>
      <c r="L121" s="172"/>
      <c r="M121" s="172"/>
    </row>
    <row r="122" spans="1:20" s="58" customFormat="1" x14ac:dyDescent="0.35">
      <c r="A122" s="164">
        <f>LEFT(A121,SUM(LEN(A121)-LEN(SUBSTITUTE(A121,{"0","1","2","3","4","5","6","7","8","9"},""))))*100+1</f>
        <v>101</v>
      </c>
      <c r="B122" s="164"/>
      <c r="C122" s="57" t="s">
        <v>307</v>
      </c>
      <c r="D122" s="60">
        <f t="shared" ref="D122:D129" si="3">(37.584)*(10.764)</f>
        <v>404.55417599999998</v>
      </c>
      <c r="E122" s="60">
        <f t="shared" ref="E122:E133" si="4">0*(10.764)</f>
        <v>0</v>
      </c>
      <c r="F122" s="57">
        <f>D122+E122</f>
        <v>404.55417599999998</v>
      </c>
      <c r="G122" s="57">
        <v>0</v>
      </c>
      <c r="H122" s="57">
        <f>F122*(($H$120)+1)+(IF(G122&lt;101,G122,IF(G122&lt;201,G122/2,IF(G122&lt;=301,G122/3,G122/4))))</f>
        <v>606.83126399999992</v>
      </c>
      <c r="I122" s="31">
        <f>(2.75*4.6+2.125*2.235+2.75*3.35+2.715*1.25+2.125*1.25+2.3*1.1+1*1)</f>
        <v>36.191874999999996</v>
      </c>
      <c r="N122" s="31"/>
    </row>
    <row r="123" spans="1:20" s="58" customFormat="1" x14ac:dyDescent="0.35">
      <c r="A123" s="164">
        <f>A122+1</f>
        <v>102</v>
      </c>
      <c r="B123" s="164"/>
      <c r="C123" s="57" t="s">
        <v>307</v>
      </c>
      <c r="D123" s="60">
        <f t="shared" si="3"/>
        <v>404.55417599999998</v>
      </c>
      <c r="E123" s="60">
        <f t="shared" si="4"/>
        <v>0</v>
      </c>
      <c r="F123" s="57">
        <f>D123+E123</f>
        <v>404.55417599999998</v>
      </c>
      <c r="G123" s="57">
        <v>0</v>
      </c>
      <c r="H123" s="57">
        <f>F123*(($H$120)+1)+(IF(G123&lt;101,G123,IF(G123&lt;201,G123/2,IF(G123&lt;=301,G123/3,G123/4))))</f>
        <v>606.83126399999992</v>
      </c>
      <c r="I123" s="31"/>
      <c r="N123" s="31"/>
    </row>
    <row r="124" spans="1:20" s="58" customFormat="1" x14ac:dyDescent="0.35">
      <c r="A124" s="164">
        <f>A123+1</f>
        <v>103</v>
      </c>
      <c r="B124" s="164"/>
      <c r="C124" s="57" t="s">
        <v>307</v>
      </c>
      <c r="D124" s="60">
        <f t="shared" si="3"/>
        <v>404.55417599999998</v>
      </c>
      <c r="E124" s="60">
        <f t="shared" si="4"/>
        <v>0</v>
      </c>
      <c r="F124" s="57">
        <f>D124+E124</f>
        <v>404.55417599999998</v>
      </c>
      <c r="G124" s="57">
        <f>(1.5+2.125+2.75)*1.8*10.764</f>
        <v>123.51689999999999</v>
      </c>
      <c r="H124" s="57">
        <f>F124*(($H$120)+1)+(IF(G124&lt;101,G124,IF(G124&lt;201,G124/2,IF(G124&lt;=301,G124/3,G124/4))))</f>
        <v>668.58971399999996</v>
      </c>
      <c r="I124" s="31"/>
      <c r="N124" s="31"/>
    </row>
    <row r="125" spans="1:20" s="58" customFormat="1" x14ac:dyDescent="0.35">
      <c r="A125" s="164">
        <f>A124+1</f>
        <v>104</v>
      </c>
      <c r="B125" s="164"/>
      <c r="C125" s="57" t="s">
        <v>307</v>
      </c>
      <c r="D125" s="60">
        <f t="shared" si="3"/>
        <v>404.55417599999998</v>
      </c>
      <c r="E125" s="60">
        <f t="shared" si="4"/>
        <v>0</v>
      </c>
      <c r="F125" s="57">
        <f>D125+E125</f>
        <v>404.55417599999998</v>
      </c>
      <c r="G125" s="57">
        <v>0</v>
      </c>
      <c r="H125" s="57">
        <f>F125*(($H$120)+1)+(IF(G125&lt;101,G125,IF(G125&lt;201,G125/2,IF(G125&lt;=301,G125/3,G125/4))))</f>
        <v>606.83126399999992</v>
      </c>
      <c r="I125" s="31"/>
      <c r="N125" s="31"/>
    </row>
    <row r="126" spans="1:20" s="58" customFormat="1" x14ac:dyDescent="0.35">
      <c r="A126" s="164">
        <f>A125+1</f>
        <v>105</v>
      </c>
      <c r="B126" s="164"/>
      <c r="C126" s="57" t="s">
        <v>307</v>
      </c>
      <c r="D126" s="60">
        <f t="shared" si="3"/>
        <v>404.55417599999998</v>
      </c>
      <c r="E126" s="60">
        <f t="shared" si="4"/>
        <v>0</v>
      </c>
      <c r="F126" s="57">
        <f t="shared" ref="F126:F133" si="5">D126+E126</f>
        <v>404.55417599999998</v>
      </c>
      <c r="G126" s="57">
        <v>0</v>
      </c>
      <c r="H126" s="57">
        <f t="shared" ref="H126:H133" si="6">F126*(($H$120)+1)+(IF(G126&lt;101,G126,IF(G126&lt;201,G126/2,IF(G126&lt;=301,G126/3,G126/4))))</f>
        <v>606.83126399999992</v>
      </c>
      <c r="I126" s="31"/>
      <c r="N126" s="31"/>
    </row>
    <row r="127" spans="1:20" s="58" customFormat="1" x14ac:dyDescent="0.35">
      <c r="A127" s="164">
        <f t="shared" ref="A127:A132" si="7">A126+1</f>
        <v>106</v>
      </c>
      <c r="B127" s="164"/>
      <c r="C127" s="57" t="s">
        <v>307</v>
      </c>
      <c r="D127" s="60">
        <f t="shared" si="3"/>
        <v>404.55417599999998</v>
      </c>
      <c r="E127" s="60">
        <f t="shared" si="4"/>
        <v>0</v>
      </c>
      <c r="F127" s="57">
        <f t="shared" si="5"/>
        <v>404.55417599999998</v>
      </c>
      <c r="G127" s="57">
        <v>0</v>
      </c>
      <c r="H127" s="57">
        <f t="shared" si="6"/>
        <v>606.83126399999992</v>
      </c>
      <c r="I127" s="31"/>
      <c r="N127" s="31"/>
    </row>
    <row r="128" spans="1:20" s="58" customFormat="1" x14ac:dyDescent="0.35">
      <c r="A128" s="164">
        <f t="shared" si="7"/>
        <v>107</v>
      </c>
      <c r="B128" s="164"/>
      <c r="C128" s="57" t="s">
        <v>307</v>
      </c>
      <c r="D128" s="60">
        <f t="shared" si="3"/>
        <v>404.55417599999998</v>
      </c>
      <c r="E128" s="60">
        <f t="shared" si="4"/>
        <v>0</v>
      </c>
      <c r="F128" s="57">
        <f t="shared" si="5"/>
        <v>404.55417599999998</v>
      </c>
      <c r="G128" s="57">
        <v>0</v>
      </c>
      <c r="H128" s="57">
        <f t="shared" si="6"/>
        <v>606.83126399999992</v>
      </c>
      <c r="I128" s="31"/>
      <c r="N128" s="31"/>
    </row>
    <row r="129" spans="1:14" s="58" customFormat="1" x14ac:dyDescent="0.35">
      <c r="A129" s="164">
        <f t="shared" si="7"/>
        <v>108</v>
      </c>
      <c r="B129" s="164"/>
      <c r="C129" s="57" t="s">
        <v>307</v>
      </c>
      <c r="D129" s="60">
        <f t="shared" si="3"/>
        <v>404.55417599999998</v>
      </c>
      <c r="E129" s="60">
        <f t="shared" si="4"/>
        <v>0</v>
      </c>
      <c r="F129" s="57">
        <f t="shared" si="5"/>
        <v>404.55417599999998</v>
      </c>
      <c r="G129" s="60">
        <f>(3.4*1.8)*(10.764)</f>
        <v>65.875680000000003</v>
      </c>
      <c r="H129" s="57">
        <f t="shared" si="6"/>
        <v>672.70694399999991</v>
      </c>
      <c r="I129" s="31"/>
      <c r="N129" s="31"/>
    </row>
    <row r="130" spans="1:14" s="58" customFormat="1" x14ac:dyDescent="0.35">
      <c r="A130" s="164">
        <f t="shared" si="7"/>
        <v>109</v>
      </c>
      <c r="B130" s="164"/>
      <c r="C130" s="57" t="s">
        <v>307</v>
      </c>
      <c r="D130" s="60">
        <f>(38.413)*(10.764)</f>
        <v>413.47753199999994</v>
      </c>
      <c r="E130" s="60">
        <f t="shared" si="4"/>
        <v>0</v>
      </c>
      <c r="F130" s="57">
        <f t="shared" si="5"/>
        <v>413.47753199999994</v>
      </c>
      <c r="G130" s="60">
        <f>(2.9*1.065+2.7*3.88)*(10.764)</f>
        <v>146.00827799999999</v>
      </c>
      <c r="H130" s="57">
        <f t="shared" si="6"/>
        <v>693.22043699999995</v>
      </c>
      <c r="I130" s="31"/>
      <c r="N130" s="31"/>
    </row>
    <row r="131" spans="1:14" s="58" customFormat="1" x14ac:dyDescent="0.35">
      <c r="A131" s="164">
        <f t="shared" si="7"/>
        <v>110</v>
      </c>
      <c r="B131" s="164"/>
      <c r="C131" s="57" t="s">
        <v>307</v>
      </c>
      <c r="D131" s="60">
        <f>(38.413)*(10.764)</f>
        <v>413.47753199999994</v>
      </c>
      <c r="E131" s="60">
        <f t="shared" si="4"/>
        <v>0</v>
      </c>
      <c r="F131" s="57">
        <f t="shared" si="5"/>
        <v>413.47753199999994</v>
      </c>
      <c r="G131" s="60">
        <f>(2.7*3.88+2.9*1.065)*(10.764)</f>
        <v>146.00827799999999</v>
      </c>
      <c r="H131" s="57">
        <f t="shared" si="6"/>
        <v>693.22043699999995</v>
      </c>
      <c r="I131" s="31"/>
      <c r="N131" s="31"/>
    </row>
    <row r="132" spans="1:14" s="58" customFormat="1" x14ac:dyDescent="0.35">
      <c r="A132" s="164">
        <f t="shared" si="7"/>
        <v>111</v>
      </c>
      <c r="B132" s="164"/>
      <c r="C132" s="57" t="s">
        <v>307</v>
      </c>
      <c r="D132" s="60">
        <f>(37.584)*(10.764)</f>
        <v>404.55417599999998</v>
      </c>
      <c r="E132" s="60">
        <f t="shared" si="4"/>
        <v>0</v>
      </c>
      <c r="F132" s="57">
        <f t="shared" si="5"/>
        <v>404.55417599999998</v>
      </c>
      <c r="G132" s="60">
        <f>(3.4*1.8)*(10.764)</f>
        <v>65.875680000000003</v>
      </c>
      <c r="H132" s="57">
        <f t="shared" si="6"/>
        <v>672.70694399999991</v>
      </c>
      <c r="I132" s="31"/>
      <c r="N132" s="31"/>
    </row>
    <row r="133" spans="1:14" s="58" customFormat="1" x14ac:dyDescent="0.35">
      <c r="A133" s="164">
        <f>A132+1</f>
        <v>112</v>
      </c>
      <c r="B133" s="164"/>
      <c r="C133" s="57" t="s">
        <v>307</v>
      </c>
      <c r="D133" s="60">
        <f>(37.584)*(10.764)</f>
        <v>404.55417599999998</v>
      </c>
      <c r="E133" s="60">
        <f t="shared" si="4"/>
        <v>0</v>
      </c>
      <c r="F133" s="57">
        <f t="shared" si="5"/>
        <v>404.55417599999998</v>
      </c>
      <c r="G133" s="57">
        <v>0</v>
      </c>
      <c r="H133" s="57">
        <f t="shared" si="6"/>
        <v>606.83126399999992</v>
      </c>
      <c r="I133" s="31"/>
      <c r="N133" s="31"/>
    </row>
    <row r="134" spans="1:14" s="58" customFormat="1" ht="15.75" customHeight="1" x14ac:dyDescent="0.35">
      <c r="A134" s="165" t="s">
        <v>309</v>
      </c>
      <c r="B134" s="166"/>
      <c r="C134" s="166"/>
      <c r="D134" s="166"/>
      <c r="E134" s="166"/>
      <c r="F134" s="166"/>
      <c r="G134" s="166"/>
      <c r="H134" s="167"/>
      <c r="I134" s="31"/>
    </row>
    <row r="135" spans="1:14" s="58" customFormat="1" ht="15.75" customHeight="1" x14ac:dyDescent="0.35">
      <c r="A135" s="173" t="str">
        <f ca="1">(SUMPRODUCT(MID(0&amp;(LEFT(A134,SUM(LEN(A134)-LEN(SUBSTITUTE(A134,{"0","1","2"},""))))), LARGE(INDEX(ISNUMBER(--MID((LEFT(A134,SUM(LEN(A134)-LEN(SUBSTITUTE(A134,{"0","1","2"},""))))), ROW(INDIRECT("1:"&amp;LEN((LEFT(A134,SUM(LEN(A134)-LEN(SUBSTITUTE(A134,{"0","1","2"},"")))))))), 1)) * ROW(INDIRECT("1:"&amp;LEN((LEFT(A134,SUM(LEN(A134)-LEN(SUBSTITUTE(A134,{"0","1","2"},"")))))))), 0), ROW(INDIRECT("1:"&amp;LEN((LEFT(A134,SUM(LEN(A134)-LEN(SUBSTITUTE(A134,{"0","1","2"},"")))))))))+1, 1) * 10^ROW(INDIRECT("1:"&amp;LEN((LEFT(A134,SUM(LEN(A134)-LEN(SUBSTITUTE(A134,{"0","1","2"},""))))))))/10))*100+1&amp;""&amp;" ,.., "&amp;""&amp;(SUMPRODUCT(MID(0&amp;(--TRIM(RIGHT(SUBSTITUTE(LEFT(A134,_xlfn.AGGREGATE(16,6,FIND({0,1,2,3,4,5,6,7,8,9},A134,ROW(INDIRECT("1:"&amp;LEN(A134)))),1))," ",REPT(" ",LEN(A134))),LEN(A134)))), LARGE(INDEX(ISNUMBER(--MID((--TRIM(RIGHT(SUBSTITUTE(LEFT(A134,_xlfn.AGGREGATE(16,6,FIND({0,1,2,3,4,5,6,7,8,9},A134,ROW(INDIRECT("1:"&amp;LEN(A134)))),1))," ",REPT(" ",LEN(A134))),LEN(A134)))), ROW(INDIRECT("1:"&amp;LEN((--TRIM(RIGHT(SUBSTITUTE(LEFT(A134,_xlfn.AGGREGATE(16,6,FIND({0,1,2,3,4,5,6,7,8,9},A134,ROW(INDIRECT("1:"&amp;LEN(A134)))),1))," ",REPT(" ",LEN(A134))),LEN(A134))))))), 1)) * ROW(INDIRECT("1:"&amp;LEN((--TRIM(RIGHT(SUBSTITUTE(LEFT(A134,_xlfn.AGGREGATE(16,6,FIND({0,1,2,3,4,5,6,7,8,9},A134,ROW(INDIRECT("1:"&amp;LEN(A134)))),1))," ",REPT(" ",LEN(A134))),LEN(A134))))))), 0), ROW(INDIRECT("1:"&amp;LEN((--TRIM(RIGHT(SUBSTITUTE(LEFT(A134,_xlfn.AGGREGATE(16,6,FIND({0,1,2,3,4,5,6,7,8,9},A134,ROW(INDIRECT("1:"&amp;LEN(A134)))),1))," ",REPT(" ",LEN(A134))),LEN(A134))))))))+1, 1) * 10^ROW(INDIRECT("1:"&amp;LEN((--TRIM(RIGHT(SUBSTITUTE(LEFT(A134,_xlfn.AGGREGATE(16,6,FIND({0,1,2,3,4,5,6,7,8,9},A134,ROW(INDIRECT("1:"&amp;LEN(A134)))),1))," ",REPT(" ",LEN(A134))),LEN(A134)))))))/10))*100+1</f>
        <v>201 ,.., 901</v>
      </c>
      <c r="B135" s="174"/>
      <c r="C135" s="57" t="s">
        <v>307</v>
      </c>
      <c r="D135" s="60">
        <f t="shared" ref="D135:D142" si="8">(37.584)*(10.764)</f>
        <v>404.55417599999998</v>
      </c>
      <c r="E135" s="60">
        <f t="shared" ref="E135:E146" si="9">0*(10.764)</f>
        <v>0</v>
      </c>
      <c r="F135" s="57">
        <f>D135+E135</f>
        <v>404.55417599999998</v>
      </c>
      <c r="G135" s="57">
        <v>0</v>
      </c>
      <c r="H135" s="57">
        <f>F135*(($H$120)+1)+(IF(G135&lt;101,G135,IF(G135&lt;201,G135/2,IF(G135&lt;=301,G135/3,G135/4))))</f>
        <v>606.83126399999992</v>
      </c>
      <c r="I135" s="31"/>
    </row>
    <row r="136" spans="1:14" s="58" customFormat="1" ht="15.75" customHeight="1" x14ac:dyDescent="0.35">
      <c r="A136" s="173" t="str">
        <f ca="1">(SUMPRODUCT(MID(0&amp;(LEFT(A135,SUM(LEN(A135)-LEN(SUBSTITUTE(A135,{"0","1","2"},""))))), LARGE(INDEX(ISNUMBER(--MID((LEFT(A135,SUM(LEN(A135)-LEN(SUBSTITUTE(A135,{"0","1","2"},""))))), ROW(INDIRECT("1:"&amp;LEN((LEFT(A135,SUM(LEN(A135)-LEN(SUBSTITUTE(A135,{"0","1","2"},"")))))))), 1)) * ROW(INDIRECT("1:"&amp;LEN((LEFT(A135,SUM(LEN(A135)-LEN(SUBSTITUTE(A135,{"0","1","2"},"")))))))), 0), ROW(INDIRECT("1:"&amp;LEN((LEFT(A135,SUM(LEN(A135)-LEN(SUBSTITUTE(A135,{"0","1","2"},"")))))))))+1, 1) * 10^ROW(INDIRECT("1:"&amp;LEN((LEFT(A135,SUM(LEN(A135)-LEN(SUBSTITUTE(A135,{"0","1","2"},""))))))))/10))*1+1&amp;""&amp;" ,.., "&amp;""&amp;(SUMPRODUCT(MID(0&amp;(--TRIM(RIGHT(SUBSTITUTE(LEFT(A135,_xlfn.AGGREGATE(16,6,FIND({0,1,2,3,4,5,6,7,8,9},A135,ROW(INDIRECT("1:"&amp;LEN(A135)))),1))," ",REPT(" ",LEN(A135))),LEN(A135)))), LARGE(INDEX(ISNUMBER(--MID((--TRIM(RIGHT(SUBSTITUTE(LEFT(A135,_xlfn.AGGREGATE(16,6,FIND({0,1,2,3,4,5,6,7,8,9},A135,ROW(INDIRECT("1:"&amp;LEN(A135)))),1))," ",REPT(" ",LEN(A135))),LEN(A135)))), ROW(INDIRECT("1:"&amp;LEN((--TRIM(RIGHT(SUBSTITUTE(LEFT(A135,_xlfn.AGGREGATE(16,6,FIND({0,1,2,3,4,5,6,7,8,9},A135,ROW(INDIRECT("1:"&amp;LEN(A135)))),1))," ",REPT(" ",LEN(A135))),LEN(A135))))))), 1)) * ROW(INDIRECT("1:"&amp;LEN((--TRIM(RIGHT(SUBSTITUTE(LEFT(A135,_xlfn.AGGREGATE(16,6,FIND({0,1,2,3,4,5,6,7,8,9},A135,ROW(INDIRECT("1:"&amp;LEN(A135)))),1))," ",REPT(" ",LEN(A135))),LEN(A135))))))), 0), ROW(INDIRECT("1:"&amp;LEN((--TRIM(RIGHT(SUBSTITUTE(LEFT(A135,_xlfn.AGGREGATE(16,6,FIND({0,1,2,3,4,5,6,7,8,9},A135,ROW(INDIRECT("1:"&amp;LEN(A135)))),1))," ",REPT(" ",LEN(A135))),LEN(A135))))))))+1, 1) * 10^ROW(INDIRECT("1:"&amp;LEN((--TRIM(RIGHT(SUBSTITUTE(LEFT(A135,_xlfn.AGGREGATE(16,6,FIND({0,1,2,3,4,5,6,7,8,9},A135,ROW(INDIRECT("1:"&amp;LEN(A135)))),1))," ",REPT(" ",LEN(A135))),LEN(A135)))))))/10))*1+1</f>
        <v>202 ,.., 902</v>
      </c>
      <c r="B136" s="174"/>
      <c r="C136" s="57" t="s">
        <v>307</v>
      </c>
      <c r="D136" s="60">
        <f t="shared" si="8"/>
        <v>404.55417599999998</v>
      </c>
      <c r="E136" s="60">
        <f t="shared" si="9"/>
        <v>0</v>
      </c>
      <c r="F136" s="57">
        <f>D136+E136</f>
        <v>404.55417599999998</v>
      </c>
      <c r="G136" s="57">
        <v>0</v>
      </c>
      <c r="H136" s="57">
        <f>F136*(($H$120)+1)+(IF(G136&lt;101,G136,IF(G136&lt;201,G136/2,IF(G136&lt;=301,G136/3,G136/4))))</f>
        <v>606.83126399999992</v>
      </c>
      <c r="I136" s="31"/>
    </row>
    <row r="137" spans="1:14" s="58" customFormat="1" ht="15.75" customHeight="1" x14ac:dyDescent="0.35">
      <c r="A137" s="173" t="str">
        <f ca="1">(SUMPRODUCT(MID(0&amp;(LEFT(A136,SUM(LEN(A136)-LEN(SUBSTITUTE(A136,{"0","1","2"},""))))), LARGE(INDEX(ISNUMBER(--MID((LEFT(A136,SUM(LEN(A136)-LEN(SUBSTITUTE(A136,{"0","1","2"},""))))), ROW(INDIRECT("1:"&amp;LEN((LEFT(A136,SUM(LEN(A136)-LEN(SUBSTITUTE(A136,{"0","1","2"},"")))))))), 1)) * ROW(INDIRECT("1:"&amp;LEN((LEFT(A136,SUM(LEN(A136)-LEN(SUBSTITUTE(A136,{"0","1","2"},"")))))))), 0), ROW(INDIRECT("1:"&amp;LEN((LEFT(A136,SUM(LEN(A136)-LEN(SUBSTITUTE(A136,{"0","1","2"},"")))))))))+1, 1) * 10^ROW(INDIRECT("1:"&amp;LEN((LEFT(A136,SUM(LEN(A136)-LEN(SUBSTITUTE(A136,{"0","1","2"},""))))))))/10))*1+1&amp;""&amp;" ,.., "&amp;""&amp;(SUMPRODUCT(MID(0&amp;(--TRIM(RIGHT(SUBSTITUTE(LEFT(A136,_xlfn.AGGREGATE(16,6,FIND({0,1,2,3,4,5,6,7,8,9},A136,ROW(INDIRECT("1:"&amp;LEN(A136)))),1))," ",REPT(" ",LEN(A136))),LEN(A136)))), LARGE(INDEX(ISNUMBER(--MID((--TRIM(RIGHT(SUBSTITUTE(LEFT(A136,_xlfn.AGGREGATE(16,6,FIND({0,1,2,3,4,5,6,7,8,9},A136,ROW(INDIRECT("1:"&amp;LEN(A136)))),1))," ",REPT(" ",LEN(A136))),LEN(A136)))), ROW(INDIRECT("1:"&amp;LEN((--TRIM(RIGHT(SUBSTITUTE(LEFT(A136,_xlfn.AGGREGATE(16,6,FIND({0,1,2,3,4,5,6,7,8,9},A136,ROW(INDIRECT("1:"&amp;LEN(A136)))),1))," ",REPT(" ",LEN(A136))),LEN(A136))))))), 1)) * ROW(INDIRECT("1:"&amp;LEN((--TRIM(RIGHT(SUBSTITUTE(LEFT(A136,_xlfn.AGGREGATE(16,6,FIND({0,1,2,3,4,5,6,7,8,9},A136,ROW(INDIRECT("1:"&amp;LEN(A136)))),1))," ",REPT(" ",LEN(A136))),LEN(A136))))))), 0), ROW(INDIRECT("1:"&amp;LEN((--TRIM(RIGHT(SUBSTITUTE(LEFT(A136,_xlfn.AGGREGATE(16,6,FIND({0,1,2,3,4,5,6,7,8,9},A136,ROW(INDIRECT("1:"&amp;LEN(A136)))),1))," ",REPT(" ",LEN(A136))),LEN(A136))))))))+1, 1) * 10^ROW(INDIRECT("1:"&amp;LEN((--TRIM(RIGHT(SUBSTITUTE(LEFT(A136,_xlfn.AGGREGATE(16,6,FIND({0,1,2,3,4,5,6,7,8,9},A136,ROW(INDIRECT("1:"&amp;LEN(A136)))),1))," ",REPT(" ",LEN(A136))),LEN(A136)))))))/10))*1+1</f>
        <v>203 ,.., 903</v>
      </c>
      <c r="B137" s="174"/>
      <c r="C137" s="57" t="s">
        <v>307</v>
      </c>
      <c r="D137" s="60">
        <f t="shared" si="8"/>
        <v>404.55417599999998</v>
      </c>
      <c r="E137" s="60">
        <f t="shared" si="9"/>
        <v>0</v>
      </c>
      <c r="F137" s="57">
        <f>D137+E137</f>
        <v>404.55417599999998</v>
      </c>
      <c r="G137" s="57">
        <v>0</v>
      </c>
      <c r="H137" s="57">
        <f>F137*(($H$120)+1)+(IF(G137&lt;101,G137,IF(G137&lt;201,G137/2,IF(G137&lt;=301,G137/3,G137/4))))</f>
        <v>606.83126399999992</v>
      </c>
      <c r="I137" s="31"/>
    </row>
    <row r="138" spans="1:14" s="58" customFormat="1" ht="15.75" customHeight="1" x14ac:dyDescent="0.35">
      <c r="A138" s="173"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10^ROW(INDIRECT("1:"&amp;LEN((LEFT(A137,SUM(LEN(A137)-LEN(SUBSTITUTE(A137,{"0","1","2"},""))))))))/10))*1+1&amp;""&amp;" ,..,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",LEN(A137))),LEN(A137)))))))/10))*1+1</f>
        <v>204 ,.., 904</v>
      </c>
      <c r="B138" s="174"/>
      <c r="C138" s="57" t="s">
        <v>307</v>
      </c>
      <c r="D138" s="60">
        <f t="shared" si="8"/>
        <v>404.55417599999998</v>
      </c>
      <c r="E138" s="60">
        <f t="shared" si="9"/>
        <v>0</v>
      </c>
      <c r="F138" s="57">
        <f>D138+E138</f>
        <v>404.55417599999998</v>
      </c>
      <c r="G138" s="57">
        <v>0</v>
      </c>
      <c r="H138" s="57">
        <f>F138*(($H$120)+1)+(IF(G138&lt;101,G138,IF(G138&lt;201,G138/2,IF(G138&lt;=301,G138/3,G138/4))))</f>
        <v>606.83126399999992</v>
      </c>
      <c r="I138" s="31"/>
    </row>
    <row r="139" spans="1:14" s="58" customFormat="1" ht="15.75" customHeight="1" x14ac:dyDescent="0.35">
      <c r="A139" s="173"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205 ,.., 905</v>
      </c>
      <c r="B139" s="174"/>
      <c r="C139" s="57" t="s">
        <v>307</v>
      </c>
      <c r="D139" s="60">
        <f t="shared" si="8"/>
        <v>404.55417599999998</v>
      </c>
      <c r="E139" s="60">
        <f t="shared" si="9"/>
        <v>0</v>
      </c>
      <c r="F139" s="57">
        <f t="shared" ref="F139:F146" si="10">D139+E139</f>
        <v>404.55417599999998</v>
      </c>
      <c r="G139" s="57">
        <v>0</v>
      </c>
      <c r="H139" s="57">
        <f t="shared" ref="H139:H146" si="11">F139*(($H$120)+1)+(IF(G139&lt;101,G139,IF(G139&lt;201,G139/2,IF(G139&lt;=301,G139/3,G139/4))))</f>
        <v>606.83126399999992</v>
      </c>
      <c r="I139" s="31"/>
    </row>
    <row r="140" spans="1:14" s="58" customFormat="1" ht="15.75" customHeight="1" x14ac:dyDescent="0.35">
      <c r="A140" s="173"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206 ,.., 906</v>
      </c>
      <c r="B140" s="174"/>
      <c r="C140" s="57" t="s">
        <v>307</v>
      </c>
      <c r="D140" s="60">
        <f t="shared" si="8"/>
        <v>404.55417599999998</v>
      </c>
      <c r="E140" s="60">
        <f t="shared" si="9"/>
        <v>0</v>
      </c>
      <c r="F140" s="57">
        <f t="shared" si="10"/>
        <v>404.55417599999998</v>
      </c>
      <c r="G140" s="57">
        <v>0</v>
      </c>
      <c r="H140" s="57">
        <f t="shared" si="11"/>
        <v>606.83126399999992</v>
      </c>
      <c r="I140" s="31"/>
    </row>
    <row r="141" spans="1:14" s="58" customFormat="1" ht="15.75" customHeight="1" x14ac:dyDescent="0.35">
      <c r="A141" s="173"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207 ,.., 907</v>
      </c>
      <c r="B141" s="174"/>
      <c r="C141" s="57" t="s">
        <v>307</v>
      </c>
      <c r="D141" s="60">
        <f t="shared" si="8"/>
        <v>404.55417599999998</v>
      </c>
      <c r="E141" s="60">
        <f t="shared" si="9"/>
        <v>0</v>
      </c>
      <c r="F141" s="57">
        <f t="shared" si="10"/>
        <v>404.55417599999998</v>
      </c>
      <c r="G141" s="57">
        <v>0</v>
      </c>
      <c r="H141" s="57">
        <f t="shared" si="11"/>
        <v>606.83126399999992</v>
      </c>
      <c r="I141" s="31"/>
    </row>
    <row r="142" spans="1:14" s="58" customFormat="1" ht="15.75" customHeight="1" x14ac:dyDescent="0.35">
      <c r="A142" s="173"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208 ,.., 908</v>
      </c>
      <c r="B142" s="174"/>
      <c r="C142" s="57" t="s">
        <v>307</v>
      </c>
      <c r="D142" s="60">
        <f t="shared" si="8"/>
        <v>404.55417599999998</v>
      </c>
      <c r="E142" s="60">
        <f t="shared" si="9"/>
        <v>0</v>
      </c>
      <c r="F142" s="57">
        <f t="shared" si="10"/>
        <v>404.55417599999998</v>
      </c>
      <c r="G142" s="57">
        <v>0</v>
      </c>
      <c r="H142" s="57">
        <f t="shared" si="11"/>
        <v>606.83126399999992</v>
      </c>
      <c r="I142" s="31"/>
    </row>
    <row r="143" spans="1:14" s="58" customFormat="1" ht="15.75" customHeight="1" x14ac:dyDescent="0.35">
      <c r="A143" s="173"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209 ,.., 909</v>
      </c>
      <c r="B143" s="174"/>
      <c r="C143" s="57" t="s">
        <v>307</v>
      </c>
      <c r="D143" s="60">
        <f>(38.413)*(10.764)</f>
        <v>413.47753199999994</v>
      </c>
      <c r="E143" s="60">
        <f t="shared" si="9"/>
        <v>0</v>
      </c>
      <c r="F143" s="57">
        <f t="shared" si="10"/>
        <v>413.47753199999994</v>
      </c>
      <c r="G143" s="57">
        <v>0</v>
      </c>
      <c r="H143" s="57">
        <f t="shared" si="11"/>
        <v>620.21629799999994</v>
      </c>
      <c r="I143" s="31"/>
    </row>
    <row r="144" spans="1:14" s="58" customFormat="1" ht="15.75" customHeight="1" x14ac:dyDescent="0.35">
      <c r="A144" s="173"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10^ROW(INDIRECT("1:"&amp;LEN((LEFT(A143,SUM(LEN(A143)-LEN(SUBSTITUTE(A143,{"0","1","2"},""))))))))/10))*1+1&amp;""&amp;" ,..,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",LEN(A143))),LEN(A143)))))))/10))*1+1</f>
        <v>210 ,.., 910</v>
      </c>
      <c r="B144" s="174"/>
      <c r="C144" s="57" t="s">
        <v>307</v>
      </c>
      <c r="D144" s="60">
        <f>(38.413)*(10.764)</f>
        <v>413.47753199999994</v>
      </c>
      <c r="E144" s="60">
        <f t="shared" si="9"/>
        <v>0</v>
      </c>
      <c r="F144" s="57">
        <f t="shared" si="10"/>
        <v>413.47753199999994</v>
      </c>
      <c r="G144" s="57">
        <v>0</v>
      </c>
      <c r="H144" s="57">
        <f t="shared" si="11"/>
        <v>620.21629799999994</v>
      </c>
      <c r="I144" s="31"/>
    </row>
    <row r="145" spans="1:14" s="58" customFormat="1" ht="15.75" customHeight="1" x14ac:dyDescent="0.35">
      <c r="A145" s="173"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211 ,.., 911</v>
      </c>
      <c r="B145" s="174"/>
      <c r="C145" s="57" t="s">
        <v>307</v>
      </c>
      <c r="D145" s="60">
        <f>(37.584)*(10.764)</f>
        <v>404.55417599999998</v>
      </c>
      <c r="E145" s="60">
        <f t="shared" si="9"/>
        <v>0</v>
      </c>
      <c r="F145" s="57">
        <f t="shared" si="10"/>
        <v>404.55417599999998</v>
      </c>
      <c r="G145" s="57">
        <v>0</v>
      </c>
      <c r="H145" s="57">
        <f t="shared" si="11"/>
        <v>606.83126399999992</v>
      </c>
      <c r="I145" s="31"/>
    </row>
    <row r="146" spans="1:14" s="58" customFormat="1" ht="15.75" customHeight="1" x14ac:dyDescent="0.35">
      <c r="A146" s="173"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212 ,.., 912</v>
      </c>
      <c r="B146" s="174"/>
      <c r="C146" s="57" t="s">
        <v>307</v>
      </c>
      <c r="D146" s="60">
        <f>(37.584)*(10.764)</f>
        <v>404.55417599999998</v>
      </c>
      <c r="E146" s="60">
        <f t="shared" si="9"/>
        <v>0</v>
      </c>
      <c r="F146" s="57">
        <f t="shared" si="10"/>
        <v>404.55417599999998</v>
      </c>
      <c r="G146" s="57">
        <v>0</v>
      </c>
      <c r="H146" s="57">
        <f t="shared" si="11"/>
        <v>606.83126399999992</v>
      </c>
      <c r="I146" s="31"/>
    </row>
    <row r="147" spans="1:14" s="58" customFormat="1" x14ac:dyDescent="0.35">
      <c r="A147" s="175" t="s">
        <v>310</v>
      </c>
      <c r="B147" s="175"/>
      <c r="C147" s="175"/>
      <c r="D147" s="175"/>
      <c r="E147" s="175"/>
      <c r="F147" s="175"/>
      <c r="G147" s="175"/>
      <c r="H147" s="175"/>
      <c r="I147" s="31"/>
      <c r="L147" s="172"/>
      <c r="M147" s="172"/>
    </row>
    <row r="148" spans="1:14" s="58" customFormat="1" x14ac:dyDescent="0.35">
      <c r="A148" s="164">
        <f>LEFT(A147,SUM(LEN(A147)-LEN(SUBSTITUTE(A147,{"0","1","2","3","4","5","6","7","8","9"},""))))*100+1</f>
        <v>801</v>
      </c>
      <c r="B148" s="164"/>
      <c r="C148" s="57" t="s">
        <v>307</v>
      </c>
      <c r="D148" s="60">
        <f t="shared" ref="D148:D155" si="12">(37.584)*(10.764)</f>
        <v>404.55417599999998</v>
      </c>
      <c r="E148" s="60">
        <f t="shared" ref="E148:E159" si="13">0*(10.764)</f>
        <v>0</v>
      </c>
      <c r="F148" s="57">
        <f>D148+E148</f>
        <v>404.55417599999998</v>
      </c>
      <c r="G148" s="57">
        <v>0</v>
      </c>
      <c r="H148" s="57">
        <f>F148*(($H$120)+1)+(IF(G148&lt;101,G148,IF(G148&lt;201,G148/2,IF(G148&lt;=301,G148/3,G148/4))))</f>
        <v>606.83126399999992</v>
      </c>
      <c r="I148" s="31"/>
      <c r="N148" s="31"/>
    </row>
    <row r="149" spans="1:14" s="58" customFormat="1" x14ac:dyDescent="0.35">
      <c r="A149" s="164">
        <f>A148+1</f>
        <v>802</v>
      </c>
      <c r="B149" s="164"/>
      <c r="C149" s="57" t="s">
        <v>307</v>
      </c>
      <c r="D149" s="60">
        <f t="shared" si="12"/>
        <v>404.55417599999998</v>
      </c>
      <c r="E149" s="60">
        <f t="shared" si="13"/>
        <v>0</v>
      </c>
      <c r="F149" s="57">
        <f>D149+E149</f>
        <v>404.55417599999998</v>
      </c>
      <c r="G149" s="57">
        <v>0</v>
      </c>
      <c r="H149" s="57">
        <f>F149*(($H$120)+1)+(IF(G149&lt;101,G149,IF(G149&lt;201,G149/2,IF(G149&lt;=301,G149/3,G149/4))))</f>
        <v>606.83126399999992</v>
      </c>
      <c r="I149" s="31"/>
      <c r="N149" s="31"/>
    </row>
    <row r="150" spans="1:14" s="58" customFormat="1" x14ac:dyDescent="0.35">
      <c r="A150" s="164">
        <f>A149+1</f>
        <v>803</v>
      </c>
      <c r="B150" s="164"/>
      <c r="C150" s="57" t="s">
        <v>307</v>
      </c>
      <c r="D150" s="60">
        <f t="shared" si="12"/>
        <v>404.55417599999998</v>
      </c>
      <c r="E150" s="60">
        <f t="shared" si="13"/>
        <v>0</v>
      </c>
      <c r="F150" s="57">
        <f>D150+E150</f>
        <v>404.55417599999998</v>
      </c>
      <c r="G150" s="57">
        <v>0</v>
      </c>
      <c r="H150" s="57">
        <f>F150*(($H$120)+1)+(IF(G150&lt;101,G150,IF(G150&lt;201,G150/2,IF(G150&lt;=301,G150/3,G150/4))))</f>
        <v>606.83126399999992</v>
      </c>
      <c r="I150" s="31"/>
      <c r="N150" s="31"/>
    </row>
    <row r="151" spans="1:14" s="58" customFormat="1" x14ac:dyDescent="0.35">
      <c r="A151" s="164">
        <f>A150+1</f>
        <v>804</v>
      </c>
      <c r="B151" s="164"/>
      <c r="C151" s="57" t="s">
        <v>307</v>
      </c>
      <c r="D151" s="60">
        <f t="shared" si="12"/>
        <v>404.55417599999998</v>
      </c>
      <c r="E151" s="60">
        <f t="shared" si="13"/>
        <v>0</v>
      </c>
      <c r="F151" s="57">
        <f>D151+E151</f>
        <v>404.55417599999998</v>
      </c>
      <c r="G151" s="57">
        <v>0</v>
      </c>
      <c r="H151" s="57">
        <f>F151*(($H$120)+1)+(IF(G151&lt;101,G151,IF(G151&lt;201,G151/2,IF(G151&lt;=301,G151/3,G151/4))))</f>
        <v>606.83126399999992</v>
      </c>
      <c r="I151" s="31"/>
      <c r="N151" s="31"/>
    </row>
    <row r="152" spans="1:14" s="58" customFormat="1" x14ac:dyDescent="0.35">
      <c r="A152" s="164">
        <f>A151+1</f>
        <v>805</v>
      </c>
      <c r="B152" s="164"/>
      <c r="C152" s="57" t="s">
        <v>307</v>
      </c>
      <c r="D152" s="60">
        <f t="shared" si="12"/>
        <v>404.55417599999998</v>
      </c>
      <c r="E152" s="60">
        <f t="shared" si="13"/>
        <v>0</v>
      </c>
      <c r="F152" s="57">
        <f t="shared" ref="F152:F159" si="14">D152+E152</f>
        <v>404.55417599999998</v>
      </c>
      <c r="G152" s="57">
        <v>0</v>
      </c>
      <c r="H152" s="57">
        <f t="shared" ref="H152:H159" si="15">F152*(($H$120)+1)+(IF(G152&lt;101,G152,IF(G152&lt;201,G152/2,IF(G152&lt;=301,G152/3,G152/4))))</f>
        <v>606.83126399999992</v>
      </c>
      <c r="I152" s="31"/>
      <c r="N152" s="31"/>
    </row>
    <row r="153" spans="1:14" s="58" customFormat="1" x14ac:dyDescent="0.35">
      <c r="A153" s="164">
        <f t="shared" ref="A153:A158" si="16">A152+1</f>
        <v>806</v>
      </c>
      <c r="B153" s="164"/>
      <c r="C153" s="57" t="s">
        <v>307</v>
      </c>
      <c r="D153" s="60">
        <f t="shared" si="12"/>
        <v>404.55417599999998</v>
      </c>
      <c r="E153" s="60">
        <f t="shared" si="13"/>
        <v>0</v>
      </c>
      <c r="F153" s="57">
        <f t="shared" si="14"/>
        <v>404.55417599999998</v>
      </c>
      <c r="G153" s="57">
        <v>0</v>
      </c>
      <c r="H153" s="57">
        <f t="shared" si="15"/>
        <v>606.83126399999992</v>
      </c>
      <c r="I153" s="31"/>
      <c r="N153" s="31"/>
    </row>
    <row r="154" spans="1:14" s="58" customFormat="1" x14ac:dyDescent="0.35">
      <c r="A154" s="164">
        <f t="shared" si="16"/>
        <v>807</v>
      </c>
      <c r="B154" s="164"/>
      <c r="C154" s="57" t="s">
        <v>307</v>
      </c>
      <c r="D154" s="60">
        <f t="shared" si="12"/>
        <v>404.55417599999998</v>
      </c>
      <c r="E154" s="60">
        <f t="shared" si="13"/>
        <v>0</v>
      </c>
      <c r="F154" s="57">
        <f t="shared" si="14"/>
        <v>404.55417599999998</v>
      </c>
      <c r="G154" s="57">
        <v>0</v>
      </c>
      <c r="H154" s="57">
        <f t="shared" si="15"/>
        <v>606.83126399999992</v>
      </c>
      <c r="I154" s="31"/>
      <c r="N154" s="31"/>
    </row>
    <row r="155" spans="1:14" s="58" customFormat="1" x14ac:dyDescent="0.35">
      <c r="A155" s="164">
        <f t="shared" si="16"/>
        <v>808</v>
      </c>
      <c r="B155" s="164"/>
      <c r="C155" s="57" t="s">
        <v>307</v>
      </c>
      <c r="D155" s="60">
        <f t="shared" si="12"/>
        <v>404.55417599999998</v>
      </c>
      <c r="E155" s="60">
        <f t="shared" si="13"/>
        <v>0</v>
      </c>
      <c r="F155" s="57">
        <f t="shared" si="14"/>
        <v>404.55417599999998</v>
      </c>
      <c r="G155" s="61">
        <v>0</v>
      </c>
      <c r="H155" s="57">
        <f t="shared" si="15"/>
        <v>606.83126399999992</v>
      </c>
      <c r="I155" s="31"/>
      <c r="N155" s="31"/>
    </row>
    <row r="156" spans="1:14" s="58" customFormat="1" x14ac:dyDescent="0.35">
      <c r="A156" s="164">
        <f t="shared" si="16"/>
        <v>809</v>
      </c>
      <c r="B156" s="164"/>
      <c r="C156" s="57" t="s">
        <v>307</v>
      </c>
      <c r="D156" s="60">
        <f>(38.413)*(10.764)</f>
        <v>413.47753199999994</v>
      </c>
      <c r="E156" s="60">
        <f t="shared" si="13"/>
        <v>0</v>
      </c>
      <c r="F156" s="57">
        <f t="shared" si="14"/>
        <v>413.47753199999994</v>
      </c>
      <c r="G156" s="61">
        <v>0</v>
      </c>
      <c r="H156" s="57">
        <f t="shared" si="15"/>
        <v>620.21629799999994</v>
      </c>
      <c r="I156" s="31"/>
      <c r="N156" s="31"/>
    </row>
    <row r="157" spans="1:14" s="58" customFormat="1" x14ac:dyDescent="0.35">
      <c r="A157" s="164">
        <f t="shared" si="16"/>
        <v>810</v>
      </c>
      <c r="B157" s="164"/>
      <c r="C157" s="57" t="s">
        <v>307</v>
      </c>
      <c r="D157" s="60">
        <f>(38.413)*(10.764)</f>
        <v>413.47753199999994</v>
      </c>
      <c r="E157" s="60">
        <f t="shared" si="13"/>
        <v>0</v>
      </c>
      <c r="F157" s="57">
        <f t="shared" si="14"/>
        <v>413.47753199999994</v>
      </c>
      <c r="G157" s="61">
        <v>0</v>
      </c>
      <c r="H157" s="57">
        <f t="shared" si="15"/>
        <v>620.21629799999994</v>
      </c>
      <c r="I157" s="31"/>
      <c r="N157" s="31"/>
    </row>
    <row r="158" spans="1:14" s="58" customFormat="1" x14ac:dyDescent="0.35">
      <c r="A158" s="164">
        <f t="shared" si="16"/>
        <v>811</v>
      </c>
      <c r="B158" s="164"/>
      <c r="C158" s="57" t="s">
        <v>307</v>
      </c>
      <c r="D158" s="60">
        <f>(37.584)*(10.764)</f>
        <v>404.55417599999998</v>
      </c>
      <c r="E158" s="60">
        <f t="shared" si="13"/>
        <v>0</v>
      </c>
      <c r="F158" s="57">
        <f t="shared" si="14"/>
        <v>404.55417599999998</v>
      </c>
      <c r="G158" s="61">
        <v>0</v>
      </c>
      <c r="H158" s="57">
        <f t="shared" si="15"/>
        <v>606.83126399999992</v>
      </c>
      <c r="I158" s="31"/>
      <c r="N158" s="31"/>
    </row>
    <row r="159" spans="1:14" s="58" customFormat="1" x14ac:dyDescent="0.35">
      <c r="A159" s="164">
        <f>A158+1</f>
        <v>812</v>
      </c>
      <c r="B159" s="164"/>
      <c r="C159" s="57" t="s">
        <v>311</v>
      </c>
      <c r="D159" s="60">
        <f>(24.375)*(10.764)</f>
        <v>262.3725</v>
      </c>
      <c r="E159" s="60">
        <f t="shared" si="13"/>
        <v>0</v>
      </c>
      <c r="F159" s="57">
        <f t="shared" si="14"/>
        <v>262.3725</v>
      </c>
      <c r="G159" s="57">
        <v>0</v>
      </c>
      <c r="H159" s="57">
        <f t="shared" si="15"/>
        <v>393.55875000000003</v>
      </c>
      <c r="I159" s="31">
        <f>(2.75*4.6+2.125*2.235+1*1.25+1.25*1.25+2.5*0.9+1*0.9)</f>
        <v>23.361874999999998</v>
      </c>
      <c r="N159" s="31"/>
    </row>
    <row r="160" spans="1:14" s="58" customFormat="1" x14ac:dyDescent="0.35">
      <c r="A160" s="175" t="s">
        <v>312</v>
      </c>
      <c r="B160" s="175"/>
      <c r="C160" s="175"/>
      <c r="D160" s="175"/>
      <c r="E160" s="175"/>
      <c r="F160" s="175"/>
      <c r="G160" s="175"/>
      <c r="H160" s="175"/>
      <c r="I160" s="31"/>
      <c r="L160" s="172"/>
      <c r="M160" s="172"/>
    </row>
    <row r="161" spans="1:20" s="58" customFormat="1" x14ac:dyDescent="0.35">
      <c r="A161" s="164">
        <f>LEFT(A160,SUM(LEN(A160)-LEN(SUBSTITUTE(A160,{"0","1","2","3","4","5","6","7","8","9"},""))))*100+1</f>
        <v>1001</v>
      </c>
      <c r="B161" s="164"/>
      <c r="C161" s="57" t="s">
        <v>307</v>
      </c>
      <c r="D161" s="60">
        <f t="shared" ref="D161:D168" si="17">(37.584)*(10.764)</f>
        <v>404.55417599999998</v>
      </c>
      <c r="E161" s="60">
        <f t="shared" ref="E161:E172" si="18">0*(10.764)</f>
        <v>0</v>
      </c>
      <c r="F161" s="57">
        <f>D161+E161</f>
        <v>404.55417599999998</v>
      </c>
      <c r="G161" s="57">
        <v>0</v>
      </c>
      <c r="H161" s="57">
        <f>F161*(($H$120)+1)+(IF(G161&lt;101,G161,IF(G161&lt;201,G161/2,IF(G161&lt;=301,G161/3,G161/4))))</f>
        <v>606.83126399999992</v>
      </c>
      <c r="I161" s="31"/>
      <c r="N161" s="31"/>
    </row>
    <row r="162" spans="1:20" s="58" customFormat="1" x14ac:dyDescent="0.35">
      <c r="A162" s="164">
        <f>A161+1</f>
        <v>1002</v>
      </c>
      <c r="B162" s="164"/>
      <c r="C162" s="57" t="s">
        <v>307</v>
      </c>
      <c r="D162" s="60">
        <f t="shared" si="17"/>
        <v>404.55417599999998</v>
      </c>
      <c r="E162" s="60">
        <f t="shared" si="18"/>
        <v>0</v>
      </c>
      <c r="F162" s="57">
        <f>D162+E162</f>
        <v>404.55417599999998</v>
      </c>
      <c r="G162" s="57">
        <v>0</v>
      </c>
      <c r="H162" s="57">
        <f>F162*(($H$120)+1)+(IF(G162&lt;101,G162,IF(G162&lt;201,G162/2,IF(G162&lt;=301,G162/3,G162/4))))</f>
        <v>606.83126399999992</v>
      </c>
      <c r="I162" s="31"/>
      <c r="N162" s="31"/>
    </row>
    <row r="163" spans="1:20" s="58" customFormat="1" x14ac:dyDescent="0.35">
      <c r="A163" s="164">
        <f>A162+1</f>
        <v>1003</v>
      </c>
      <c r="B163" s="164"/>
      <c r="C163" s="57" t="s">
        <v>307</v>
      </c>
      <c r="D163" s="60">
        <f t="shared" si="17"/>
        <v>404.55417599999998</v>
      </c>
      <c r="E163" s="60">
        <f t="shared" si="18"/>
        <v>0</v>
      </c>
      <c r="F163" s="57">
        <f>D163+E163</f>
        <v>404.55417599999998</v>
      </c>
      <c r="G163" s="57">
        <v>0</v>
      </c>
      <c r="H163" s="57">
        <f>F163*(($H$120)+1)+(IF(G163&lt;101,G163,IF(G163&lt;201,G163/2,IF(G163&lt;=301,G163/3,G163/4))))</f>
        <v>606.83126399999992</v>
      </c>
      <c r="I163" s="31"/>
      <c r="N163" s="31"/>
    </row>
    <row r="164" spans="1:20" s="58" customFormat="1" x14ac:dyDescent="0.35">
      <c r="A164" s="164">
        <f>A163+1</f>
        <v>1004</v>
      </c>
      <c r="B164" s="164"/>
      <c r="C164" s="57" t="s">
        <v>307</v>
      </c>
      <c r="D164" s="60">
        <f t="shared" si="17"/>
        <v>404.55417599999998</v>
      </c>
      <c r="E164" s="60">
        <f t="shared" si="18"/>
        <v>0</v>
      </c>
      <c r="F164" s="57">
        <f>D164+E164</f>
        <v>404.55417599999998</v>
      </c>
      <c r="G164" s="57">
        <v>0</v>
      </c>
      <c r="H164" s="57">
        <f>F164*(($H$120)+1)+(IF(G164&lt;101,G164,IF(G164&lt;201,G164/2,IF(G164&lt;=301,G164/3,G164/4))))</f>
        <v>606.83126399999992</v>
      </c>
      <c r="I164" s="31"/>
      <c r="N164" s="31"/>
    </row>
    <row r="165" spans="1:20" s="58" customFormat="1" x14ac:dyDescent="0.35">
      <c r="A165" s="164">
        <f>A164+1</f>
        <v>1005</v>
      </c>
      <c r="B165" s="164"/>
      <c r="C165" s="57" t="s">
        <v>307</v>
      </c>
      <c r="D165" s="60">
        <f t="shared" si="17"/>
        <v>404.55417599999998</v>
      </c>
      <c r="E165" s="60">
        <f t="shared" si="18"/>
        <v>0</v>
      </c>
      <c r="F165" s="57">
        <f t="shared" ref="F165:F172" si="19">D165+E165</f>
        <v>404.55417599999998</v>
      </c>
      <c r="G165" s="57">
        <v>0</v>
      </c>
      <c r="H165" s="57">
        <f t="shared" ref="H165:H172" si="20">F165*(($H$120)+1)+(IF(G165&lt;101,G165,IF(G165&lt;201,G165/2,IF(G165&lt;=301,G165/3,G165/4))))</f>
        <v>606.83126399999992</v>
      </c>
      <c r="I165" s="31"/>
      <c r="N165" s="31"/>
    </row>
    <row r="166" spans="1:20" s="58" customFormat="1" x14ac:dyDescent="0.35">
      <c r="A166" s="164">
        <f t="shared" ref="A166:A171" si="21">A165+1</f>
        <v>1006</v>
      </c>
      <c r="B166" s="164"/>
      <c r="C166" s="57" t="s">
        <v>307</v>
      </c>
      <c r="D166" s="60">
        <f t="shared" si="17"/>
        <v>404.55417599999998</v>
      </c>
      <c r="E166" s="60">
        <f t="shared" si="18"/>
        <v>0</v>
      </c>
      <c r="F166" s="57">
        <f t="shared" si="19"/>
        <v>404.55417599999998</v>
      </c>
      <c r="G166" s="57">
        <v>0</v>
      </c>
      <c r="H166" s="57">
        <f t="shared" si="20"/>
        <v>606.83126399999992</v>
      </c>
      <c r="I166" s="31"/>
      <c r="N166" s="31"/>
    </row>
    <row r="167" spans="1:20" s="58" customFormat="1" x14ac:dyDescent="0.35">
      <c r="A167" s="164">
        <f t="shared" si="21"/>
        <v>1007</v>
      </c>
      <c r="B167" s="164"/>
      <c r="C167" s="57" t="s">
        <v>307</v>
      </c>
      <c r="D167" s="60">
        <f t="shared" si="17"/>
        <v>404.55417599999998</v>
      </c>
      <c r="E167" s="60">
        <f t="shared" si="18"/>
        <v>0</v>
      </c>
      <c r="F167" s="57">
        <f t="shared" si="19"/>
        <v>404.55417599999998</v>
      </c>
      <c r="G167" s="57">
        <v>0</v>
      </c>
      <c r="H167" s="57">
        <f t="shared" si="20"/>
        <v>606.83126399999992</v>
      </c>
      <c r="I167" s="31"/>
      <c r="N167" s="31"/>
    </row>
    <row r="168" spans="1:20" s="58" customFormat="1" x14ac:dyDescent="0.35">
      <c r="A168" s="164">
        <f t="shared" si="21"/>
        <v>1008</v>
      </c>
      <c r="B168" s="164"/>
      <c r="C168" s="57" t="s">
        <v>307</v>
      </c>
      <c r="D168" s="60">
        <f t="shared" si="17"/>
        <v>404.55417599999998</v>
      </c>
      <c r="E168" s="60">
        <f t="shared" si="18"/>
        <v>0</v>
      </c>
      <c r="F168" s="57">
        <f t="shared" si="19"/>
        <v>404.55417599999998</v>
      </c>
      <c r="G168" s="61">
        <v>0</v>
      </c>
      <c r="H168" s="57">
        <f t="shared" si="20"/>
        <v>606.83126399999992</v>
      </c>
      <c r="I168" s="31"/>
      <c r="N168" s="31"/>
    </row>
    <row r="169" spans="1:20" s="58" customFormat="1" x14ac:dyDescent="0.35">
      <c r="A169" s="164">
        <f t="shared" si="21"/>
        <v>1009</v>
      </c>
      <c r="B169" s="164"/>
      <c r="C169" s="57" t="s">
        <v>307</v>
      </c>
      <c r="D169" s="60">
        <f>(38.413)*(10.764)</f>
        <v>413.47753199999994</v>
      </c>
      <c r="E169" s="60">
        <f t="shared" si="18"/>
        <v>0</v>
      </c>
      <c r="F169" s="57">
        <f t="shared" si="19"/>
        <v>413.47753199999994</v>
      </c>
      <c r="G169" s="61">
        <v>0</v>
      </c>
      <c r="H169" s="57">
        <f t="shared" si="20"/>
        <v>620.21629799999994</v>
      </c>
      <c r="I169" s="31"/>
      <c r="N169" s="31"/>
    </row>
    <row r="170" spans="1:20" s="58" customFormat="1" x14ac:dyDescent="0.35">
      <c r="A170" s="164">
        <f t="shared" si="21"/>
        <v>1010</v>
      </c>
      <c r="B170" s="164"/>
      <c r="C170" s="57" t="s">
        <v>307</v>
      </c>
      <c r="D170" s="60">
        <f>(38.413)*(10.764)</f>
        <v>413.47753199999994</v>
      </c>
      <c r="E170" s="60">
        <f t="shared" si="18"/>
        <v>0</v>
      </c>
      <c r="F170" s="57">
        <f t="shared" si="19"/>
        <v>413.47753199999994</v>
      </c>
      <c r="G170" s="61">
        <v>0</v>
      </c>
      <c r="H170" s="57">
        <f t="shared" si="20"/>
        <v>620.21629799999994</v>
      </c>
      <c r="I170" s="31"/>
      <c r="N170" s="31"/>
    </row>
    <row r="171" spans="1:20" s="58" customFormat="1" x14ac:dyDescent="0.35">
      <c r="A171" s="164">
        <f t="shared" si="21"/>
        <v>1011</v>
      </c>
      <c r="B171" s="164"/>
      <c r="C171" s="57" t="s">
        <v>307</v>
      </c>
      <c r="D171" s="60">
        <f>(37.584)*(10.764)</f>
        <v>404.55417599999998</v>
      </c>
      <c r="E171" s="60">
        <f t="shared" si="18"/>
        <v>0</v>
      </c>
      <c r="F171" s="57">
        <f t="shared" si="19"/>
        <v>404.55417599999998</v>
      </c>
      <c r="G171" s="61">
        <v>0</v>
      </c>
      <c r="H171" s="57">
        <f t="shared" si="20"/>
        <v>606.83126399999992</v>
      </c>
      <c r="I171" s="31"/>
      <c r="N171" s="31"/>
    </row>
    <row r="172" spans="1:20" s="58" customFormat="1" x14ac:dyDescent="0.35">
      <c r="A172" s="164">
        <f>A171+1</f>
        <v>1012</v>
      </c>
      <c r="B172" s="164"/>
      <c r="C172" s="57" t="s">
        <v>311</v>
      </c>
      <c r="D172" s="60">
        <f>(24.375)*(10.764)</f>
        <v>262.3725</v>
      </c>
      <c r="E172" s="60">
        <f t="shared" si="18"/>
        <v>0</v>
      </c>
      <c r="F172" s="57">
        <f t="shared" si="19"/>
        <v>262.3725</v>
      </c>
      <c r="G172" s="57">
        <v>0</v>
      </c>
      <c r="H172" s="57">
        <f t="shared" si="20"/>
        <v>393.55875000000003</v>
      </c>
      <c r="I172" s="31">
        <f>(2.75*4.6+2.125*2.235+1*1.25+1.25*1.25+2.5*0.9+1*0.9)</f>
        <v>23.361874999999998</v>
      </c>
      <c r="N172" s="31"/>
    </row>
    <row r="173" spans="1:20" s="30" customFormat="1" x14ac:dyDescent="0.35">
      <c r="A173" s="157" t="s">
        <v>65</v>
      </c>
      <c r="B173" s="157"/>
      <c r="C173" s="157"/>
      <c r="D173" s="157"/>
      <c r="E173" s="157"/>
      <c r="F173" s="157"/>
      <c r="G173" s="157"/>
      <c r="H173" s="157"/>
      <c r="T173" s="32"/>
    </row>
    <row r="174" spans="1:20" s="30" customFormat="1" x14ac:dyDescent="0.35">
      <c r="A174" s="38" t="s">
        <v>149</v>
      </c>
      <c r="B174" s="154" t="s">
        <v>341</v>
      </c>
      <c r="C174" s="155"/>
      <c r="D174" s="155"/>
      <c r="E174" s="155"/>
      <c r="F174" s="155"/>
      <c r="G174" s="155"/>
      <c r="H174" s="156"/>
      <c r="T174" s="32"/>
    </row>
    <row r="175" spans="1:20" s="30" customFormat="1" x14ac:dyDescent="0.35">
      <c r="A175" s="38" t="s">
        <v>149</v>
      </c>
      <c r="B175" s="154" t="str">
        <f>(IF(H119="Saleable area Loading :","We have considered Saleable area of Flats as per our Calculation.","We considered Saleable area of Flat as per Builder area Sheet."))</f>
        <v>We have considered Saleable area of Flats as per our Calculation.</v>
      </c>
      <c r="C175" s="155"/>
      <c r="D175" s="155"/>
      <c r="E175" s="155"/>
      <c r="F175" s="155"/>
      <c r="G175" s="155"/>
      <c r="H175" s="156"/>
      <c r="T175" s="32"/>
    </row>
    <row r="176" spans="1:20" s="30" customFormat="1" x14ac:dyDescent="0.35">
      <c r="A176" s="38" t="s">
        <v>149</v>
      </c>
      <c r="B176" s="154" t="str">
        <f>(IF(H109="Saleable area Loading :","We have considered Saleable area of Commercial as per our Calculation.","We considered Saleable area of Commercial as per Builder area Sheet."))</f>
        <v>We have considered Saleable area of Commercial as per our Calculation.</v>
      </c>
      <c r="C176" s="155"/>
      <c r="D176" s="155"/>
      <c r="E176" s="155"/>
      <c r="F176" s="155"/>
      <c r="G176" s="155"/>
      <c r="H176" s="156"/>
      <c r="T176" s="32"/>
    </row>
    <row r="177" spans="1:20" s="30" customFormat="1" x14ac:dyDescent="0.35">
      <c r="A177" s="38" t="s">
        <v>149</v>
      </c>
      <c r="B177" s="150" t="s">
        <v>119</v>
      </c>
      <c r="C177" s="151"/>
      <c r="D177" s="151"/>
      <c r="E177" s="151"/>
      <c r="F177" s="151"/>
      <c r="G177" s="151"/>
      <c r="H177" s="152"/>
      <c r="T177" s="32"/>
    </row>
    <row r="178" spans="1:20" s="30" customFormat="1" x14ac:dyDescent="0.35">
      <c r="A178" s="38" t="s">
        <v>149</v>
      </c>
      <c r="B178" s="150" t="s">
        <v>324</v>
      </c>
      <c r="C178" s="151"/>
      <c r="D178" s="151"/>
      <c r="E178" s="151"/>
      <c r="F178" s="151"/>
      <c r="G178" s="151"/>
      <c r="H178" s="152"/>
      <c r="T178" s="32"/>
    </row>
    <row r="179" spans="1:20" s="30" customFormat="1" x14ac:dyDescent="0.35">
      <c r="A179" s="38" t="s">
        <v>149</v>
      </c>
      <c r="B179" s="150" t="s">
        <v>148</v>
      </c>
      <c r="C179" s="151"/>
      <c r="D179" s="151"/>
      <c r="E179" s="151"/>
      <c r="F179" s="151"/>
      <c r="G179" s="151"/>
      <c r="H179" s="152"/>
    </row>
    <row r="180" spans="1:20" s="30" customFormat="1" x14ac:dyDescent="0.35">
      <c r="A180" s="38" t="s">
        <v>149</v>
      </c>
      <c r="B180" s="150" t="s">
        <v>120</v>
      </c>
      <c r="C180" s="151"/>
      <c r="D180" s="151"/>
      <c r="E180" s="151"/>
      <c r="F180" s="151"/>
      <c r="G180" s="151"/>
      <c r="H180" s="152"/>
    </row>
    <row r="181" spans="1:20" s="30" customFormat="1" ht="34.5" customHeight="1" x14ac:dyDescent="0.35">
      <c r="A181" s="38" t="s">
        <v>149</v>
      </c>
      <c r="B181" s="150" t="s">
        <v>150</v>
      </c>
      <c r="C181" s="151"/>
      <c r="D181" s="151"/>
      <c r="E181" s="151"/>
      <c r="F181" s="151"/>
      <c r="G181" s="151"/>
      <c r="H181" s="152"/>
    </row>
    <row r="182" spans="1:20" s="30" customFormat="1" x14ac:dyDescent="0.35">
      <c r="A182" s="72" t="s">
        <v>149</v>
      </c>
      <c r="B182" s="150" t="s">
        <v>121</v>
      </c>
      <c r="C182" s="151"/>
      <c r="D182" s="151"/>
      <c r="E182" s="151"/>
      <c r="F182" s="151"/>
      <c r="G182" s="151"/>
      <c r="H182" s="152"/>
    </row>
    <row r="183" spans="1:20" s="30" customFormat="1" x14ac:dyDescent="0.35">
      <c r="A183" s="73" t="s">
        <v>149</v>
      </c>
      <c r="B183" s="150" t="s">
        <v>340</v>
      </c>
      <c r="C183" s="151"/>
      <c r="D183" s="151"/>
      <c r="E183" s="151"/>
      <c r="F183" s="151"/>
      <c r="G183" s="151"/>
      <c r="H183" s="152"/>
    </row>
    <row r="184" spans="1:20" s="30" customFormat="1" x14ac:dyDescent="0.35">
      <c r="A184" s="38" t="s">
        <v>149</v>
      </c>
      <c r="B184" s="150" t="s">
        <v>339</v>
      </c>
      <c r="C184" s="151"/>
      <c r="D184" s="151"/>
      <c r="E184" s="151"/>
      <c r="F184" s="151"/>
      <c r="G184" s="151"/>
      <c r="H184" s="152"/>
    </row>
    <row r="185" spans="1:20" x14ac:dyDescent="0.35">
      <c r="A185" s="148" t="s">
        <v>58</v>
      </c>
      <c r="B185" s="148"/>
      <c r="C185" s="148"/>
      <c r="D185" s="148"/>
      <c r="E185" s="148"/>
      <c r="F185" s="148"/>
      <c r="G185" s="148"/>
      <c r="H185" s="148"/>
      <c r="T185" s="30"/>
    </row>
    <row r="186" spans="1:20" x14ac:dyDescent="0.35">
      <c r="A186" s="96" t="s">
        <v>59</v>
      </c>
      <c r="B186" s="96"/>
      <c r="C186" s="96"/>
      <c r="D186" s="96"/>
      <c r="E186" s="96"/>
      <c r="F186" s="96"/>
      <c r="G186" s="96"/>
      <c r="H186" s="96"/>
      <c r="T186" s="30"/>
    </row>
    <row r="187" spans="1:20" ht="15.75" customHeight="1" x14ac:dyDescent="0.35">
      <c r="A187" s="153" t="s">
        <v>60</v>
      </c>
      <c r="B187" s="153"/>
      <c r="C187" s="153"/>
      <c r="D187" s="153"/>
      <c r="E187" s="153"/>
      <c r="F187" s="153"/>
      <c r="G187" s="153"/>
      <c r="H187" s="153"/>
      <c r="T187" s="30"/>
    </row>
    <row r="188" spans="1:20" x14ac:dyDescent="0.35">
      <c r="A188" s="96" t="s">
        <v>61</v>
      </c>
      <c r="B188" s="96"/>
      <c r="C188" s="96"/>
      <c r="D188" s="96"/>
      <c r="E188" s="96"/>
      <c r="F188" s="96"/>
      <c r="G188" s="96"/>
      <c r="H188" s="96"/>
      <c r="T188" s="30"/>
    </row>
    <row r="189" spans="1:20" x14ac:dyDescent="0.35">
      <c r="A189" s="96" t="s">
        <v>62</v>
      </c>
      <c r="B189" s="96"/>
      <c r="C189" s="96"/>
      <c r="D189" s="96"/>
      <c r="E189" s="96"/>
      <c r="F189" s="96"/>
      <c r="G189" s="96"/>
      <c r="H189" s="96"/>
      <c r="T189" s="30"/>
    </row>
    <row r="190" spans="1:20" x14ac:dyDescent="0.35">
      <c r="A190" s="96" t="s">
        <v>122</v>
      </c>
      <c r="B190" s="96"/>
      <c r="C190" s="96"/>
      <c r="D190" s="96"/>
      <c r="E190" s="96"/>
      <c r="F190" s="96"/>
      <c r="G190" s="96"/>
      <c r="H190" s="96"/>
      <c r="T190" s="30"/>
    </row>
    <row r="191" spans="1:20" ht="34" customHeight="1" x14ac:dyDescent="0.35">
      <c r="A191" s="128" t="s">
        <v>123</v>
      </c>
      <c r="B191" s="128"/>
      <c r="C191" s="128"/>
      <c r="D191" s="128"/>
      <c r="E191" s="128"/>
      <c r="F191" s="128"/>
      <c r="G191" s="128"/>
      <c r="H191" s="128"/>
    </row>
    <row r="192" spans="1:20" x14ac:dyDescent="0.35">
      <c r="A192" s="146" t="s">
        <v>74</v>
      </c>
      <c r="B192" s="146"/>
      <c r="C192" s="146" t="s">
        <v>343</v>
      </c>
      <c r="D192" s="146"/>
      <c r="E192" s="146" t="s">
        <v>104</v>
      </c>
      <c r="F192" s="146"/>
      <c r="G192" s="146" t="s">
        <v>342</v>
      </c>
      <c r="H192" s="146"/>
    </row>
    <row r="193" spans="1:8" x14ac:dyDescent="0.35">
      <c r="A193" s="145" t="s">
        <v>76</v>
      </c>
      <c r="B193" s="145"/>
      <c r="C193" s="145"/>
      <c r="D193" s="145"/>
      <c r="E193" s="145"/>
      <c r="F193" s="145"/>
      <c r="G193" s="145"/>
      <c r="H193" s="145"/>
    </row>
    <row r="194" spans="1:8" x14ac:dyDescent="0.35">
      <c r="A194" s="145"/>
      <c r="B194" s="145"/>
      <c r="C194" s="145"/>
      <c r="D194" s="145"/>
      <c r="E194" s="145"/>
      <c r="F194" s="145"/>
      <c r="G194" s="145"/>
      <c r="H194" s="145"/>
    </row>
    <row r="195" spans="1:8" x14ac:dyDescent="0.35">
      <c r="A195" s="145"/>
      <c r="B195" s="145"/>
      <c r="C195" s="145"/>
      <c r="D195" s="145"/>
      <c r="E195" s="145"/>
      <c r="F195" s="145"/>
      <c r="G195" s="145"/>
      <c r="H195" s="145"/>
    </row>
    <row r="196" spans="1:8" x14ac:dyDescent="0.35">
      <c r="A196" s="145"/>
      <c r="B196" s="145"/>
      <c r="C196" s="145"/>
      <c r="D196" s="145"/>
      <c r="E196" s="145"/>
      <c r="F196" s="145"/>
      <c r="G196" s="145"/>
      <c r="H196" s="145"/>
    </row>
    <row r="197" spans="1:8" x14ac:dyDescent="0.35">
      <c r="A197" s="33" t="s">
        <v>63</v>
      </c>
      <c r="B197" s="34"/>
      <c r="C197" s="34"/>
      <c r="D197" s="33" t="str">
        <f>E9</f>
        <v>Tricity Bliss</v>
      </c>
      <c r="F197" s="34"/>
      <c r="G197" s="34"/>
      <c r="H197" s="34"/>
    </row>
    <row r="198" spans="1:8" x14ac:dyDescent="0.35">
      <c r="A198" s="34"/>
      <c r="B198" s="34"/>
      <c r="C198" s="34"/>
      <c r="D198" s="34"/>
      <c r="E198" s="34"/>
      <c r="F198" s="34"/>
      <c r="G198" s="34"/>
      <c r="H198" s="34"/>
    </row>
    <row r="199" spans="1:8" x14ac:dyDescent="0.35">
      <c r="A199" s="34"/>
      <c r="B199" s="34"/>
      <c r="C199" s="34"/>
      <c r="D199" s="34"/>
      <c r="E199" s="34"/>
      <c r="F199" s="34"/>
      <c r="G199" s="34"/>
      <c r="H199" s="34"/>
    </row>
    <row r="200" spans="1:8" ht="15" customHeight="1" x14ac:dyDescent="0.35"/>
    <row r="240" spans="1:1" x14ac:dyDescent="0.35">
      <c r="A240" s="36" t="s">
        <v>159</v>
      </c>
    </row>
    <row r="275" spans="1:1" x14ac:dyDescent="0.35">
      <c r="A275" s="36" t="s">
        <v>64</v>
      </c>
    </row>
  </sheetData>
  <mergeCells count="332">
    <mergeCell ref="B183:H183"/>
    <mergeCell ref="B182:H182"/>
    <mergeCell ref="A168:B168"/>
    <mergeCell ref="A169:B169"/>
    <mergeCell ref="A170:B170"/>
    <mergeCell ref="A171:B171"/>
    <mergeCell ref="A172:B172"/>
    <mergeCell ref="A160:H160"/>
    <mergeCell ref="L160:M160"/>
    <mergeCell ref="A161:B161"/>
    <mergeCell ref="A162:B162"/>
    <mergeCell ref="A163:B163"/>
    <mergeCell ref="A164:B164"/>
    <mergeCell ref="A165:B165"/>
    <mergeCell ref="A166:B166"/>
    <mergeCell ref="A167:B167"/>
    <mergeCell ref="A151:B151"/>
    <mergeCell ref="A152:B152"/>
    <mergeCell ref="A153:B153"/>
    <mergeCell ref="A154:B154"/>
    <mergeCell ref="A155:B155"/>
    <mergeCell ref="A156:B156"/>
    <mergeCell ref="A157:B157"/>
    <mergeCell ref="A158:B158"/>
    <mergeCell ref="A159:B159"/>
    <mergeCell ref="L147:M147"/>
    <mergeCell ref="A149:B149"/>
    <mergeCell ref="A150:B150"/>
    <mergeCell ref="A135:B135"/>
    <mergeCell ref="A136:B136"/>
    <mergeCell ref="A137:B137"/>
    <mergeCell ref="A138:B138"/>
    <mergeCell ref="A139:B139"/>
    <mergeCell ref="A140:B140"/>
    <mergeCell ref="A141:B141"/>
    <mergeCell ref="A142:B142"/>
    <mergeCell ref="A143:B143"/>
    <mergeCell ref="A123:B123"/>
    <mergeCell ref="A124:B124"/>
    <mergeCell ref="A125:B125"/>
    <mergeCell ref="A126:B126"/>
    <mergeCell ref="A144:B144"/>
    <mergeCell ref="A145:B145"/>
    <mergeCell ref="A146:B146"/>
    <mergeCell ref="A148:B148"/>
    <mergeCell ref="A147:H147"/>
    <mergeCell ref="I15:P15"/>
    <mergeCell ref="F95:H95"/>
    <mergeCell ref="F93:H93"/>
    <mergeCell ref="A108:H108"/>
    <mergeCell ref="G99:H99"/>
    <mergeCell ref="A94:E94"/>
    <mergeCell ref="A113:B113"/>
    <mergeCell ref="A58:B58"/>
    <mergeCell ref="C58:E58"/>
    <mergeCell ref="D60:H60"/>
    <mergeCell ref="F94:H94"/>
    <mergeCell ref="E99:F99"/>
    <mergeCell ref="A99:B99"/>
    <mergeCell ref="C103:D103"/>
    <mergeCell ref="D68:H68"/>
    <mergeCell ref="A69:C69"/>
    <mergeCell ref="E43:H43"/>
    <mergeCell ref="A43:D43"/>
    <mergeCell ref="A63:C63"/>
    <mergeCell ref="D63:H63"/>
    <mergeCell ref="C51:E51"/>
    <mergeCell ref="C53:H53"/>
    <mergeCell ref="C52:E52"/>
    <mergeCell ref="F86:H86"/>
    <mergeCell ref="A50:B50"/>
    <mergeCell ref="C50:E50"/>
    <mergeCell ref="G50:H50"/>
    <mergeCell ref="G52:H52"/>
    <mergeCell ref="A51:B51"/>
    <mergeCell ref="A59:H59"/>
    <mergeCell ref="A60:C60"/>
    <mergeCell ref="A61:C61"/>
    <mergeCell ref="D61:H61"/>
    <mergeCell ref="G58:H58"/>
    <mergeCell ref="A54:B55"/>
    <mergeCell ref="C54:E54"/>
    <mergeCell ref="G54:H54"/>
    <mergeCell ref="A56:B57"/>
    <mergeCell ref="C56:E56"/>
    <mergeCell ref="G56:H56"/>
    <mergeCell ref="G51:H51"/>
    <mergeCell ref="A52:B53"/>
    <mergeCell ref="C57:E57"/>
    <mergeCell ref="G57:H57"/>
    <mergeCell ref="A112:B112"/>
    <mergeCell ref="A106:B106"/>
    <mergeCell ref="C106:D106"/>
    <mergeCell ref="E106:F106"/>
    <mergeCell ref="F91:H91"/>
    <mergeCell ref="A93:E93"/>
    <mergeCell ref="L121:M121"/>
    <mergeCell ref="L115:M115"/>
    <mergeCell ref="L114:M114"/>
    <mergeCell ref="L113:M113"/>
    <mergeCell ref="L112:M112"/>
    <mergeCell ref="A115:B115"/>
    <mergeCell ref="A114:B114"/>
    <mergeCell ref="A116:B116"/>
    <mergeCell ref="A117:B117"/>
    <mergeCell ref="A121:H121"/>
    <mergeCell ref="F119:F120"/>
    <mergeCell ref="A111:H111"/>
    <mergeCell ref="E109:E110"/>
    <mergeCell ref="A187:H187"/>
    <mergeCell ref="A103:B103"/>
    <mergeCell ref="D119:D120"/>
    <mergeCell ref="E119:E120"/>
    <mergeCell ref="B184:H184"/>
    <mergeCell ref="B180:H180"/>
    <mergeCell ref="B176:H176"/>
    <mergeCell ref="B174:H174"/>
    <mergeCell ref="B175:H175"/>
    <mergeCell ref="B177:H177"/>
    <mergeCell ref="B178:H178"/>
    <mergeCell ref="A173:H173"/>
    <mergeCell ref="A118:H118"/>
    <mergeCell ref="A119:A120"/>
    <mergeCell ref="A127:B127"/>
    <mergeCell ref="A128:B128"/>
    <mergeCell ref="A129:B129"/>
    <mergeCell ref="A130:B130"/>
    <mergeCell ref="A131:B131"/>
    <mergeCell ref="A132:B132"/>
    <mergeCell ref="A133:B133"/>
    <mergeCell ref="A134:H134"/>
    <mergeCell ref="A122:B122"/>
    <mergeCell ref="C105:D105"/>
    <mergeCell ref="A193:H196"/>
    <mergeCell ref="A192:B192"/>
    <mergeCell ref="E192:F192"/>
    <mergeCell ref="C192:D192"/>
    <mergeCell ref="G192:H192"/>
    <mergeCell ref="A98:H98"/>
    <mergeCell ref="A96:E96"/>
    <mergeCell ref="F96:H96"/>
    <mergeCell ref="A97:E97"/>
    <mergeCell ref="F97:H97"/>
    <mergeCell ref="A104:B104"/>
    <mergeCell ref="A100:B100"/>
    <mergeCell ref="A188:H188"/>
    <mergeCell ref="A102:H102"/>
    <mergeCell ref="A191:H191"/>
    <mergeCell ref="A189:H189"/>
    <mergeCell ref="A185:H185"/>
    <mergeCell ref="G103:H103"/>
    <mergeCell ref="C109:C110"/>
    <mergeCell ref="B119:B120"/>
    <mergeCell ref="A186:H186"/>
    <mergeCell ref="B179:H179"/>
    <mergeCell ref="B181:H181"/>
    <mergeCell ref="A190:H190"/>
    <mergeCell ref="A73:B73"/>
    <mergeCell ref="A71:B71"/>
    <mergeCell ref="C71:H71"/>
    <mergeCell ref="A79:B79"/>
    <mergeCell ref="A66:C66"/>
    <mergeCell ref="D66:H66"/>
    <mergeCell ref="C73:H73"/>
    <mergeCell ref="A76:B76"/>
    <mergeCell ref="A78:B78"/>
    <mergeCell ref="E74:F74"/>
    <mergeCell ref="A67:C67"/>
    <mergeCell ref="D67:H67"/>
    <mergeCell ref="A70:C70"/>
    <mergeCell ref="D70:H70"/>
    <mergeCell ref="A68:C68"/>
    <mergeCell ref="D69:H69"/>
    <mergeCell ref="A75:B75"/>
    <mergeCell ref="G74:H74"/>
    <mergeCell ref="E75:F84"/>
    <mergeCell ref="G75:H84"/>
    <mergeCell ref="A83:B83"/>
    <mergeCell ref="A84:B84"/>
    <mergeCell ref="A81:B81"/>
    <mergeCell ref="A80:B8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A42:D42"/>
    <mergeCell ref="E42:H42"/>
    <mergeCell ref="A41:H41"/>
    <mergeCell ref="A64:C64"/>
    <mergeCell ref="A65:C65"/>
    <mergeCell ref="D64:H64"/>
    <mergeCell ref="D65:H65"/>
    <mergeCell ref="A44:D44"/>
    <mergeCell ref="E44:H44"/>
    <mergeCell ref="E45:H45"/>
    <mergeCell ref="E46:H46"/>
    <mergeCell ref="E47:H47"/>
    <mergeCell ref="A39:B39"/>
    <mergeCell ref="C39:H39"/>
    <mergeCell ref="A46:D46"/>
    <mergeCell ref="A47:D47"/>
    <mergeCell ref="A48:H48"/>
    <mergeCell ref="D62:H62"/>
    <mergeCell ref="A62:C62"/>
    <mergeCell ref="A45:D45"/>
    <mergeCell ref="A40:B40"/>
    <mergeCell ref="F85:H85"/>
    <mergeCell ref="F90:H90"/>
    <mergeCell ref="A91:E91"/>
    <mergeCell ref="F88:H88"/>
    <mergeCell ref="A92:E92"/>
    <mergeCell ref="E103:F103"/>
    <mergeCell ref="A107:H107"/>
    <mergeCell ref="G100:H100"/>
    <mergeCell ref="F92:H92"/>
    <mergeCell ref="C99:D99"/>
    <mergeCell ref="C104:D104"/>
    <mergeCell ref="E104:F104"/>
    <mergeCell ref="G104:H104"/>
    <mergeCell ref="A86:E86"/>
    <mergeCell ref="A105:B105"/>
    <mergeCell ref="E105:F105"/>
    <mergeCell ref="A95:E95"/>
    <mergeCell ref="G105:H105"/>
    <mergeCell ref="C101:D101"/>
    <mergeCell ref="G101:H101"/>
    <mergeCell ref="A101:B101"/>
    <mergeCell ref="E101:F101"/>
    <mergeCell ref="C40:H40"/>
    <mergeCell ref="F109:F110"/>
    <mergeCell ref="C100:D100"/>
    <mergeCell ref="E100:F100"/>
    <mergeCell ref="B109:B110"/>
    <mergeCell ref="A109:A110"/>
    <mergeCell ref="C119:C120"/>
    <mergeCell ref="G119:G120"/>
    <mergeCell ref="G106:H106"/>
    <mergeCell ref="C55:H55"/>
    <mergeCell ref="A74:B74"/>
    <mergeCell ref="A49:B49"/>
    <mergeCell ref="C49:H49"/>
    <mergeCell ref="F87:H87"/>
    <mergeCell ref="A87:E87"/>
    <mergeCell ref="D109:D110"/>
    <mergeCell ref="A89:E89"/>
    <mergeCell ref="A88:E88"/>
    <mergeCell ref="A85:E85"/>
    <mergeCell ref="F89:H89"/>
    <mergeCell ref="G109:G110"/>
    <mergeCell ref="A77:B77"/>
    <mergeCell ref="A90:E90"/>
    <mergeCell ref="A82:B8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9:E110">
      <formula1>"Attached Loft area,Attached Otla area,Attached Mezzanine area"</formula1>
    </dataValidation>
    <dataValidation type="list" allowBlank="1" showInputMessage="1" showErrorMessage="1" sqref="G192:H192">
      <formula1>"Kunal Kadam,Pranita Mhatre,Shruti Fule,Pooja Kawale,Neha Dhokale,Shruti Tathare, Hitakshi Mhatre, Sachin Sawant"</formula1>
    </dataValidation>
    <dataValidation type="list" allowBlank="1" showInputMessage="1" showErrorMessage="1" sqref="F85:H85">
      <formula1>"On Saleable Area,On Builtup Area,On Carpet Area,On Plot Area"</formula1>
    </dataValidation>
    <dataValidation type="list" allowBlank="1" showInputMessage="1" showErrorMessage="1" sqref="F96:H96">
      <formula1>OFFSET($S$85,1,MATCH($G20,$S$85:$W$85,0)-1,15,1)</formula1>
    </dataValidation>
    <dataValidation type="list" allowBlank="1" showInputMessage="1" showErrorMessage="1" sqref="B109:B110">
      <formula1>"Shop No. (Sale Plan),Sale / Rehab,Sale / Mhada"</formula1>
    </dataValidation>
    <dataValidation type="list" allowBlank="1" showInputMessage="1" showErrorMessage="1" sqref="B119:B120">
      <formula1>"Flat No. (Sale Plan),Sale / Rehab,Sale / Mhada"</formula1>
    </dataValidation>
    <dataValidation type="list" allowBlank="1" showInputMessage="1" showErrorMessage="1" sqref="C20:D21">
      <formula1>OFFSET($S$13,1,MATCH($G19,$S$13:$W$13,0)-1,15,1)</formula1>
    </dataValidation>
    <dataValidation type="list" allowBlank="1" showInputMessage="1" showErrorMessage="1" sqref="Y13">
      <formula1>$D$5:$H$5</formula1>
    </dataValidation>
    <dataValidation type="list" allowBlank="1" showInputMessage="1" showErrorMessage="1" sqref="E119:E120">
      <formula1>"Fungible area,Balcony Area,Chajja Area,Cornice Area,AP Area,WS Area"</formula1>
    </dataValidation>
    <dataValidation type="list" allowBlank="1" showInputMessage="1" showErrorMessage="1" sqref="H110 H12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0">
      <formula1>0</formula1>
      <formula2>H72</formula2>
    </dataValidation>
    <dataValidation type="list" allowBlank="1" showInputMessage="1" showErrorMessage="1" sqref="H109 H119">
      <formula1>"Saleable area Loading :,Builder Saleable Area"</formula1>
    </dataValidation>
    <dataValidation type="list" allowBlank="1" showInputMessage="1" showErrorMessage="1" sqref="D109:D110 D119:D12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0" max="16383" man="1"/>
    <brk id="196" max="16383" man="1"/>
    <brk id="239" max="16383" man="1"/>
    <brk id="27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6" t="s">
        <v>105</v>
      </c>
      <c r="C3" s="206"/>
      <c r="D3" s="206"/>
      <c r="E3" s="206"/>
      <c r="F3" s="206"/>
      <c r="G3" s="206"/>
      <c r="H3" s="206"/>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2"/>
      <c r="C4" s="42" t="s">
        <v>11</v>
      </c>
      <c r="D4" s="43" t="s">
        <v>174</v>
      </c>
      <c r="E4" s="43" t="s">
        <v>184</v>
      </c>
      <c r="F4" s="43" t="s">
        <v>168</v>
      </c>
      <c r="G4" s="43" t="s">
        <v>189</v>
      </c>
      <c r="H4" s="43" t="s">
        <v>207</v>
      </c>
      <c r="J4" t="s">
        <v>189</v>
      </c>
      <c r="K4" t="s">
        <v>205</v>
      </c>
    </row>
    <row r="5" spans="2:11" x14ac:dyDescent="0.35">
      <c r="B5" s="42"/>
      <c r="C5" s="42"/>
      <c r="D5" s="43" t="s">
        <v>175</v>
      </c>
      <c r="E5" s="43" t="s">
        <v>182</v>
      </c>
      <c r="F5" s="43" t="s">
        <v>204</v>
      </c>
      <c r="G5" s="43" t="s">
        <v>190</v>
      </c>
      <c r="H5" s="43" t="s">
        <v>208</v>
      </c>
    </row>
    <row r="6" spans="2:11" x14ac:dyDescent="0.35">
      <c r="B6" s="42"/>
      <c r="C6" s="42"/>
      <c r="D6" s="43" t="s">
        <v>176</v>
      </c>
      <c r="E6" s="43" t="s">
        <v>183</v>
      </c>
      <c r="F6" s="43" t="s">
        <v>205</v>
      </c>
      <c r="G6" s="43" t="s">
        <v>191</v>
      </c>
      <c r="H6" s="43" t="s">
        <v>221</v>
      </c>
    </row>
    <row r="7" spans="2:11" x14ac:dyDescent="0.35">
      <c r="B7" s="42"/>
      <c r="C7" s="42"/>
      <c r="D7" s="43" t="s">
        <v>177</v>
      </c>
      <c r="E7" s="43" t="s">
        <v>185</v>
      </c>
      <c r="F7" s="43" t="s">
        <v>206</v>
      </c>
      <c r="G7" s="43" t="s">
        <v>192</v>
      </c>
      <c r="H7" s="43" t="s">
        <v>209</v>
      </c>
    </row>
    <row r="8" spans="2:11" x14ac:dyDescent="0.35">
      <c r="B8" s="42"/>
      <c r="C8" s="42"/>
      <c r="D8" s="43" t="s">
        <v>178</v>
      </c>
      <c r="E8" s="43" t="s">
        <v>186</v>
      </c>
      <c r="F8" s="43"/>
      <c r="G8" s="43" t="s">
        <v>193</v>
      </c>
      <c r="H8" s="43" t="s">
        <v>210</v>
      </c>
    </row>
    <row r="9" spans="2:11" x14ac:dyDescent="0.35">
      <c r="B9" s="42"/>
      <c r="C9" s="42"/>
      <c r="D9" s="43" t="s">
        <v>179</v>
      </c>
      <c r="E9" s="43" t="s">
        <v>184</v>
      </c>
      <c r="F9" s="43"/>
      <c r="G9" s="43" t="s">
        <v>194</v>
      </c>
      <c r="H9" s="43" t="s">
        <v>211</v>
      </c>
    </row>
    <row r="10" spans="2:11" x14ac:dyDescent="0.35">
      <c r="B10" s="42"/>
      <c r="C10" s="42"/>
      <c r="D10" s="43" t="s">
        <v>180</v>
      </c>
      <c r="E10" s="43" t="s">
        <v>187</v>
      </c>
      <c r="F10" s="43"/>
      <c r="G10" s="43" t="s">
        <v>195</v>
      </c>
      <c r="H10" s="43" t="s">
        <v>212</v>
      </c>
    </row>
    <row r="11" spans="2:11" x14ac:dyDescent="0.35">
      <c r="B11" s="42"/>
      <c r="C11" s="42"/>
      <c r="D11" s="43" t="s">
        <v>181</v>
      </c>
      <c r="E11" s="43" t="s">
        <v>188</v>
      </c>
      <c r="F11" s="43"/>
      <c r="G11" s="43" t="s">
        <v>196</v>
      </c>
      <c r="H11" s="43" t="s">
        <v>213</v>
      </c>
    </row>
    <row r="12" spans="2:11" x14ac:dyDescent="0.35">
      <c r="B12" s="42"/>
      <c r="C12" s="42"/>
      <c r="D12" s="43"/>
      <c r="E12" s="43"/>
      <c r="F12" s="43"/>
      <c r="G12" s="43" t="s">
        <v>197</v>
      </c>
      <c r="H12" s="43" t="s">
        <v>214</v>
      </c>
    </row>
    <row r="13" spans="2:11" x14ac:dyDescent="0.35">
      <c r="B13" s="42"/>
      <c r="C13" s="42"/>
      <c r="D13" s="43"/>
      <c r="E13" s="43"/>
      <c r="F13" s="43"/>
      <c r="G13" s="43" t="s">
        <v>198</v>
      </c>
      <c r="H13" s="43" t="s">
        <v>215</v>
      </c>
    </row>
    <row r="14" spans="2:11" x14ac:dyDescent="0.35">
      <c r="B14" s="42"/>
      <c r="C14" s="42"/>
      <c r="D14" s="43"/>
      <c r="E14" s="43"/>
      <c r="F14" s="43"/>
      <c r="G14" s="43" t="s">
        <v>199</v>
      </c>
      <c r="H14" s="43" t="s">
        <v>216</v>
      </c>
    </row>
    <row r="15" spans="2:11" x14ac:dyDescent="0.35">
      <c r="B15" s="42"/>
      <c r="C15" s="42"/>
      <c r="D15" s="43"/>
      <c r="E15" s="43"/>
      <c r="F15" s="43"/>
      <c r="G15" s="43" t="s">
        <v>200</v>
      </c>
      <c r="H15" s="43" t="s">
        <v>217</v>
      </c>
    </row>
    <row r="16" spans="2:11" x14ac:dyDescent="0.35">
      <c r="B16" s="42"/>
      <c r="C16" s="42"/>
      <c r="D16" s="43"/>
      <c r="E16" s="43"/>
      <c r="F16" s="43"/>
      <c r="G16" s="43" t="s">
        <v>201</v>
      </c>
      <c r="H16" s="43" t="s">
        <v>218</v>
      </c>
    </row>
    <row r="17" spans="2:8" x14ac:dyDescent="0.35">
      <c r="B17" s="42"/>
      <c r="C17" s="42"/>
      <c r="D17" s="43"/>
      <c r="E17" s="43"/>
      <c r="F17" s="43"/>
      <c r="G17" s="43" t="s">
        <v>202</v>
      </c>
      <c r="H17" s="43" t="s">
        <v>219</v>
      </c>
    </row>
    <row r="18" spans="2:8" x14ac:dyDescent="0.35">
      <c r="B18" s="42"/>
      <c r="C18" s="42"/>
      <c r="D18" s="43"/>
      <c r="E18" s="43"/>
      <c r="F18" s="43"/>
      <c r="G18" s="43" t="s">
        <v>203</v>
      </c>
      <c r="H18" s="43" t="s">
        <v>220</v>
      </c>
    </row>
    <row r="24" spans="2:8" x14ac:dyDescent="0.35">
      <c r="C24" t="s">
        <v>165</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165</v>
      </c>
    </row>
    <row r="33" spans="3:11" x14ac:dyDescent="0.35">
      <c r="J33">
        <v>1</v>
      </c>
      <c r="K33">
        <v>2</v>
      </c>
    </row>
    <row r="34" spans="3:11" x14ac:dyDescent="0.35">
      <c r="C34" s="45" t="s">
        <v>232</v>
      </c>
      <c r="D34" s="43" t="s">
        <v>230</v>
      </c>
      <c r="E34" s="43" t="s">
        <v>235</v>
      </c>
      <c r="F34" s="43" t="s">
        <v>233</v>
      </c>
      <c r="G34" s="43" t="s">
        <v>234</v>
      </c>
      <c r="H34" s="43" t="s">
        <v>236</v>
      </c>
      <c r="J34" t="s">
        <v>189</v>
      </c>
      <c r="K34" t="s">
        <v>205</v>
      </c>
    </row>
    <row r="35" spans="3:11" x14ac:dyDescent="0.35">
      <c r="C35" s="42" t="s">
        <v>231</v>
      </c>
      <c r="D35" s="43" t="s">
        <v>166</v>
      </c>
      <c r="E35" s="43" t="s">
        <v>240</v>
      </c>
      <c r="F35" s="43" t="s">
        <v>242</v>
      </c>
      <c r="G35" s="43" t="s">
        <v>244</v>
      </c>
      <c r="H35" s="43"/>
    </row>
    <row r="36" spans="3:11" x14ac:dyDescent="0.35">
      <c r="C36" s="42"/>
      <c r="D36" s="43" t="s">
        <v>237</v>
      </c>
      <c r="E36" s="43" t="s">
        <v>241</v>
      </c>
      <c r="F36" s="43" t="s">
        <v>243</v>
      </c>
      <c r="G36" s="43" t="s">
        <v>245</v>
      </c>
      <c r="H36" s="43"/>
    </row>
    <row r="37" spans="3:11" x14ac:dyDescent="0.35">
      <c r="C37" s="42"/>
      <c r="D37" s="43" t="s">
        <v>238</v>
      </c>
      <c r="E37" s="43"/>
      <c r="F37" s="43"/>
      <c r="G37" s="43" t="s">
        <v>246</v>
      </c>
      <c r="H37" s="43"/>
    </row>
    <row r="38" spans="3:11" x14ac:dyDescent="0.35">
      <c r="C38" s="42"/>
      <c r="D38" s="43" t="s">
        <v>239</v>
      </c>
      <c r="E38" s="43"/>
      <c r="F38" s="43"/>
      <c r="G38" s="43" t="s">
        <v>246</v>
      </c>
      <c r="H38" s="43"/>
    </row>
    <row r="39" spans="3:11" x14ac:dyDescent="0.35">
      <c r="C39" s="42"/>
      <c r="D39" s="43"/>
      <c r="E39" s="43"/>
      <c r="F39" s="43"/>
      <c r="G39" s="43" t="s">
        <v>247</v>
      </c>
      <c r="H39" s="43"/>
    </row>
    <row r="40" spans="3:11" x14ac:dyDescent="0.35">
      <c r="C40" s="42"/>
      <c r="D40" s="43"/>
      <c r="E40" s="43"/>
      <c r="F40" s="43"/>
      <c r="G40" s="43" t="s">
        <v>248</v>
      </c>
      <c r="H40" s="43"/>
    </row>
    <row r="41" spans="3:11" x14ac:dyDescent="0.35">
      <c r="C41" s="42"/>
      <c r="D41" s="43"/>
      <c r="E41" s="43"/>
      <c r="F41" s="43"/>
      <c r="G41" s="43"/>
      <c r="H41" s="43"/>
    </row>
    <row r="43" spans="3:11" x14ac:dyDescent="0.35">
      <c r="C43" t="s">
        <v>249</v>
      </c>
    </row>
    <row r="44" spans="3:11" x14ac:dyDescent="0.35">
      <c r="C44" t="s">
        <v>168</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174</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189</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184</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46">
        <v>1</v>
      </c>
      <c r="C2" s="49" t="s">
        <v>278</v>
      </c>
    </row>
    <row r="3" spans="2:3" x14ac:dyDescent="0.35">
      <c r="B3" s="46">
        <v>2</v>
      </c>
      <c r="C3" s="47" t="s">
        <v>279</v>
      </c>
    </row>
    <row r="4" spans="2:3" x14ac:dyDescent="0.35">
      <c r="B4" s="46">
        <v>3</v>
      </c>
      <c r="C4" s="48" t="s">
        <v>280</v>
      </c>
    </row>
    <row r="5" spans="2:3" x14ac:dyDescent="0.35">
      <c r="B5" s="46">
        <v>4</v>
      </c>
      <c r="C5" s="47" t="s">
        <v>281</v>
      </c>
    </row>
    <row r="6" spans="2:3" x14ac:dyDescent="0.35">
      <c r="B6" s="46">
        <v>5</v>
      </c>
      <c r="C6" s="48" t="s">
        <v>282</v>
      </c>
    </row>
    <row r="7" spans="2:3" ht="29" x14ac:dyDescent="0.35">
      <c r="B7" s="46">
        <v>6</v>
      </c>
      <c r="C7" s="47" t="s">
        <v>283</v>
      </c>
    </row>
    <row r="8" spans="2:3" ht="72.5" x14ac:dyDescent="0.35">
      <c r="B8" s="46">
        <v>7</v>
      </c>
      <c r="C8" s="47" t="s">
        <v>284</v>
      </c>
    </row>
    <row r="9" spans="2:3" x14ac:dyDescent="0.35">
      <c r="B9" s="46">
        <v>8</v>
      </c>
      <c r="C9" s="48" t="s">
        <v>285</v>
      </c>
    </row>
    <row r="10" spans="2:3" x14ac:dyDescent="0.35">
      <c r="B10" s="46">
        <v>9</v>
      </c>
      <c r="C10" s="48" t="s">
        <v>286</v>
      </c>
    </row>
    <row r="11" spans="2:3" x14ac:dyDescent="0.35">
      <c r="B11" s="46">
        <v>10</v>
      </c>
      <c r="C11" s="48" t="s">
        <v>287</v>
      </c>
    </row>
    <row r="12" spans="2:3" x14ac:dyDescent="0.35">
      <c r="B12" s="46">
        <v>11</v>
      </c>
      <c r="C12" s="48" t="s">
        <v>288</v>
      </c>
    </row>
    <row r="13" spans="2:3" x14ac:dyDescent="0.35">
      <c r="B13" s="46">
        <v>12</v>
      </c>
      <c r="C13" s="48" t="s">
        <v>289</v>
      </c>
    </row>
    <row r="14" spans="2:3" x14ac:dyDescent="0.35">
      <c r="B14" s="46">
        <v>13</v>
      </c>
      <c r="C14" s="48" t="s">
        <v>290</v>
      </c>
    </row>
    <row r="15" spans="2:3" x14ac:dyDescent="0.35">
      <c r="B15" s="46">
        <v>14</v>
      </c>
      <c r="C15" s="48" t="s">
        <v>280</v>
      </c>
    </row>
    <row r="16" spans="2:3" x14ac:dyDescent="0.35">
      <c r="B16" s="46">
        <v>15</v>
      </c>
      <c r="C16" s="48" t="s">
        <v>292</v>
      </c>
    </row>
    <row r="17" spans="2:3" ht="31.5" customHeight="1" x14ac:dyDescent="0.35">
      <c r="B17" s="51">
        <v>16</v>
      </c>
      <c r="C17" s="53" t="s">
        <v>293</v>
      </c>
    </row>
    <row r="18" spans="2:3" x14ac:dyDescent="0.35">
      <c r="B18" s="52">
        <v>17</v>
      </c>
      <c r="C18" s="53" t="s">
        <v>294</v>
      </c>
    </row>
    <row r="19" spans="2:3" x14ac:dyDescent="0.35">
      <c r="B19" s="51">
        <v>18</v>
      </c>
      <c r="C19" s="46" t="s">
        <v>295</v>
      </c>
    </row>
    <row r="20" spans="2:3" x14ac:dyDescent="0.35">
      <c r="B20" s="52">
        <v>19</v>
      </c>
      <c r="C20" s="46"/>
    </row>
    <row r="21" spans="2:3" x14ac:dyDescent="0.35">
      <c r="B21" s="54">
        <v>20</v>
      </c>
      <c r="C21" s="46"/>
    </row>
    <row r="22" spans="2:3" x14ac:dyDescent="0.35">
      <c r="B22" s="46"/>
      <c r="C22" s="46"/>
    </row>
    <row r="23" spans="2:3" x14ac:dyDescent="0.35">
      <c r="B23" s="46"/>
      <c r="C23" s="46"/>
    </row>
    <row r="24" spans="2:3" x14ac:dyDescent="0.35">
      <c r="B24" s="46"/>
      <c r="C24" s="46"/>
    </row>
    <row r="25" spans="2:3" x14ac:dyDescent="0.35">
      <c r="B25" s="46"/>
      <c r="C25" s="46"/>
    </row>
    <row r="26" spans="2:3" x14ac:dyDescent="0.35">
      <c r="B26" s="46"/>
      <c r="C26" s="4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2025-03-20T05:51:10Z</cp:lastPrinted>
  <dcterms:created xsi:type="dcterms:W3CDTF">2019-07-16T09:29:46Z</dcterms:created>
  <dcterms:modified xsi:type="dcterms:W3CDTF">2025-09-19T09:24:02Z</dcterms:modified>
</cp:coreProperties>
</file>