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VSJCV\Making\AXIS\2025-26\Axis\APF Dump\Sept 2025\19-09-2025\"/>
    </mc:Choice>
  </mc:AlternateContent>
  <bookViews>
    <workbookView xWindow="0" yWindow="0" windowWidth="19200" windowHeight="6640" tabRatio="725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Report!$A$1:$H$427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59" i="1" l="1"/>
  <c r="B279" i="1" l="1"/>
  <c r="A120" i="1"/>
  <c r="A121" i="1" s="1"/>
  <c r="A122" i="1" s="1"/>
  <c r="A123" i="1" s="1"/>
  <c r="A124" i="1" s="1"/>
  <c r="A125" i="1" s="1"/>
  <c r="A126" i="1" s="1"/>
  <c r="A127" i="1" s="1"/>
  <c r="A128" i="1" s="1"/>
  <c r="E137" i="1"/>
  <c r="E136" i="1"/>
  <c r="F136" i="1" s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4" i="1"/>
  <c r="E113" i="1"/>
  <c r="E112" i="1"/>
  <c r="E111" i="1"/>
  <c r="E110" i="1"/>
  <c r="E109" i="1"/>
  <c r="D166" i="1"/>
  <c r="F166" i="1" s="1"/>
  <c r="D146" i="1"/>
  <c r="D178" i="1"/>
  <c r="F178" i="1" s="1"/>
  <c r="D177" i="1"/>
  <c r="F177" i="1" s="1"/>
  <c r="D176" i="1"/>
  <c r="F176" i="1" s="1"/>
  <c r="D175" i="1"/>
  <c r="F175" i="1" s="1"/>
  <c r="D174" i="1"/>
  <c r="F174" i="1" s="1"/>
  <c r="D173" i="1"/>
  <c r="F173" i="1" s="1"/>
  <c r="D172" i="1"/>
  <c r="F172" i="1" s="1"/>
  <c r="D171" i="1"/>
  <c r="F171" i="1" s="1"/>
  <c r="D170" i="1"/>
  <c r="F170" i="1" s="1"/>
  <c r="D169" i="1"/>
  <c r="F169" i="1" s="1"/>
  <c r="D168" i="1"/>
  <c r="F168" i="1" s="1"/>
  <c r="D167" i="1"/>
  <c r="F167" i="1" s="1"/>
  <c r="D165" i="1"/>
  <c r="F165" i="1" s="1"/>
  <c r="D164" i="1"/>
  <c r="F164" i="1" s="1"/>
  <c r="D163" i="1"/>
  <c r="F163" i="1" s="1"/>
  <c r="D162" i="1"/>
  <c r="F162" i="1" s="1"/>
  <c r="D161" i="1"/>
  <c r="F161" i="1" s="1"/>
  <c r="A161" i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G160" i="1"/>
  <c r="D160" i="1"/>
  <c r="F160" i="1" s="1"/>
  <c r="D158" i="1"/>
  <c r="F158" i="1" s="1"/>
  <c r="D157" i="1"/>
  <c r="F157" i="1" s="1"/>
  <c r="D156" i="1"/>
  <c r="F156" i="1" s="1"/>
  <c r="D155" i="1"/>
  <c r="F155" i="1" s="1"/>
  <c r="D154" i="1"/>
  <c r="F154" i="1" s="1"/>
  <c r="D153" i="1"/>
  <c r="D152" i="1"/>
  <c r="D149" i="1"/>
  <c r="D144" i="1"/>
  <c r="D143" i="1"/>
  <c r="D141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3" i="1"/>
  <c r="D122" i="1"/>
  <c r="D121" i="1"/>
  <c r="D120" i="1"/>
  <c r="D119" i="1"/>
  <c r="D118" i="1"/>
  <c r="D117" i="1"/>
  <c r="D116" i="1"/>
  <c r="D111" i="1"/>
  <c r="D110" i="1"/>
  <c r="D109" i="1"/>
  <c r="F133" i="1" l="1"/>
  <c r="F131" i="1"/>
  <c r="F132" i="1"/>
  <c r="F130" i="1"/>
  <c r="F128" i="1"/>
  <c r="F135" i="1"/>
  <c r="F134" i="1"/>
  <c r="F137" i="1"/>
  <c r="F129" i="1"/>
  <c r="F118" i="1"/>
  <c r="D200" i="1"/>
  <c r="D194" i="1"/>
  <c r="I100" i="1" l="1"/>
  <c r="E268" i="1"/>
  <c r="D268" i="1"/>
  <c r="E266" i="1"/>
  <c r="D266" i="1"/>
  <c r="E262" i="1"/>
  <c r="D262" i="1"/>
  <c r="F262" i="1" s="1"/>
  <c r="H262" i="1" s="1"/>
  <c r="G260" i="1"/>
  <c r="E260" i="1"/>
  <c r="D260" i="1"/>
  <c r="G256" i="1"/>
  <c r="E256" i="1"/>
  <c r="D256" i="1"/>
  <c r="E254" i="1"/>
  <c r="D254" i="1"/>
  <c r="F254" i="1" s="1"/>
  <c r="H254" i="1" s="1"/>
  <c r="E253" i="1"/>
  <c r="D253" i="1"/>
  <c r="E250" i="1"/>
  <c r="D250" i="1"/>
  <c r="E249" i="1"/>
  <c r="F249" i="1" s="1"/>
  <c r="H249" i="1" s="1"/>
  <c r="D249" i="1"/>
  <c r="E248" i="1"/>
  <c r="D248" i="1"/>
  <c r="F248" i="1" s="1"/>
  <c r="H248" i="1" s="1"/>
  <c r="E247" i="1"/>
  <c r="D247" i="1"/>
  <c r="E245" i="1"/>
  <c r="D245" i="1"/>
  <c r="E244" i="1"/>
  <c r="D244" i="1"/>
  <c r="E243" i="1"/>
  <c r="D243" i="1"/>
  <c r="E242" i="1"/>
  <c r="D242" i="1"/>
  <c r="E241" i="1"/>
  <c r="D241" i="1"/>
  <c r="E239" i="1"/>
  <c r="D239" i="1"/>
  <c r="E238" i="1"/>
  <c r="D238" i="1"/>
  <c r="E237" i="1"/>
  <c r="D237" i="1"/>
  <c r="E236" i="1"/>
  <c r="D236" i="1"/>
  <c r="F236" i="1" s="1"/>
  <c r="H236" i="1" s="1"/>
  <c r="E235" i="1"/>
  <c r="F235" i="1" s="1"/>
  <c r="H235" i="1" s="1"/>
  <c r="D235" i="1"/>
  <c r="E232" i="1"/>
  <c r="D232" i="1"/>
  <c r="E231" i="1"/>
  <c r="D231" i="1"/>
  <c r="E230" i="1"/>
  <c r="D230" i="1"/>
  <c r="E229" i="1"/>
  <c r="F229" i="1" s="1"/>
  <c r="H229" i="1" s="1"/>
  <c r="D229" i="1"/>
  <c r="E227" i="1"/>
  <c r="D227" i="1"/>
  <c r="E226" i="1"/>
  <c r="D226" i="1"/>
  <c r="E225" i="1"/>
  <c r="D225" i="1"/>
  <c r="E224" i="1"/>
  <c r="D224" i="1"/>
  <c r="E223" i="1"/>
  <c r="D223" i="1"/>
  <c r="E221" i="1"/>
  <c r="D221" i="1"/>
  <c r="E220" i="1"/>
  <c r="D220" i="1"/>
  <c r="E219" i="1"/>
  <c r="F219" i="1" s="1"/>
  <c r="H219" i="1" s="1"/>
  <c r="D219" i="1"/>
  <c r="E218" i="1"/>
  <c r="D218" i="1"/>
  <c r="E217" i="1"/>
  <c r="D217" i="1"/>
  <c r="E214" i="1"/>
  <c r="D214" i="1"/>
  <c r="E213" i="1"/>
  <c r="F213" i="1" s="1"/>
  <c r="H213" i="1" s="1"/>
  <c r="D213" i="1"/>
  <c r="E212" i="1"/>
  <c r="D212" i="1"/>
  <c r="E211" i="1"/>
  <c r="F211" i="1" s="1"/>
  <c r="H211" i="1" s="1"/>
  <c r="D211" i="1"/>
  <c r="E209" i="1"/>
  <c r="D209" i="1"/>
  <c r="E208" i="1"/>
  <c r="D208" i="1"/>
  <c r="E207" i="1"/>
  <c r="D207" i="1"/>
  <c r="E206" i="1"/>
  <c r="D206" i="1"/>
  <c r="E205" i="1"/>
  <c r="D205" i="1"/>
  <c r="E203" i="1"/>
  <c r="D203" i="1"/>
  <c r="E202" i="1"/>
  <c r="D202" i="1"/>
  <c r="E201" i="1"/>
  <c r="D201" i="1"/>
  <c r="E200" i="1"/>
  <c r="F200" i="1" s="1"/>
  <c r="H200" i="1" s="1"/>
  <c r="E199" i="1"/>
  <c r="D199" i="1"/>
  <c r="F199" i="1" s="1"/>
  <c r="H199" i="1" s="1"/>
  <c r="E197" i="1"/>
  <c r="D197" i="1"/>
  <c r="E196" i="1"/>
  <c r="D196" i="1"/>
  <c r="E195" i="1"/>
  <c r="D195" i="1"/>
  <c r="E194" i="1"/>
  <c r="E193" i="1"/>
  <c r="D193" i="1"/>
  <c r="E191" i="1"/>
  <c r="D191" i="1"/>
  <c r="E190" i="1"/>
  <c r="D190" i="1"/>
  <c r="E189" i="1"/>
  <c r="D189" i="1"/>
  <c r="E188" i="1"/>
  <c r="F188" i="1" s="1"/>
  <c r="H188" i="1" s="1"/>
  <c r="D188" i="1"/>
  <c r="E187" i="1"/>
  <c r="D187" i="1"/>
  <c r="J189" i="1"/>
  <c r="J187" i="1"/>
  <c r="F268" i="1"/>
  <c r="H268" i="1" s="1"/>
  <c r="A268" i="1"/>
  <c r="A262" i="1"/>
  <c r="A254" i="1"/>
  <c r="A256" i="1" s="1"/>
  <c r="A248" i="1"/>
  <c r="A249" i="1" s="1"/>
  <c r="A250" i="1" s="1"/>
  <c r="A251" i="1" s="1"/>
  <c r="A242" i="1"/>
  <c r="A243" i="1" s="1"/>
  <c r="A244" i="1" s="1"/>
  <c r="A245" i="1" s="1"/>
  <c r="F239" i="1"/>
  <c r="H239" i="1" s="1"/>
  <c r="A236" i="1"/>
  <c r="A237" i="1" s="1"/>
  <c r="A238" i="1" s="1"/>
  <c r="A239" i="1" s="1"/>
  <c r="A230" i="1"/>
  <c r="A231" i="1" s="1"/>
  <c r="A232" i="1" s="1"/>
  <c r="A233" i="1" s="1"/>
  <c r="A224" i="1"/>
  <c r="A225" i="1" s="1"/>
  <c r="A226" i="1" s="1"/>
  <c r="A227" i="1" s="1"/>
  <c r="A218" i="1"/>
  <c r="A219" i="1" s="1"/>
  <c r="A220" i="1" s="1"/>
  <c r="A221" i="1" s="1"/>
  <c r="A212" i="1"/>
  <c r="A213" i="1" s="1"/>
  <c r="A214" i="1" s="1"/>
  <c r="A215" i="1" s="1"/>
  <c r="A206" i="1"/>
  <c r="A207" i="1" s="1"/>
  <c r="A208" i="1" s="1"/>
  <c r="A209" i="1" s="1"/>
  <c r="A200" i="1"/>
  <c r="A201" i="1" s="1"/>
  <c r="A202" i="1" s="1"/>
  <c r="A203" i="1" s="1"/>
  <c r="A194" i="1"/>
  <c r="A195" i="1" s="1"/>
  <c r="A196" i="1" s="1"/>
  <c r="A197" i="1" s="1"/>
  <c r="F276" i="1"/>
  <c r="H276" i="1" s="1"/>
  <c r="F275" i="1"/>
  <c r="H275" i="1" s="1"/>
  <c r="F274" i="1"/>
  <c r="H274" i="1" s="1"/>
  <c r="F273" i="1"/>
  <c r="H273" i="1" s="1"/>
  <c r="F272" i="1"/>
  <c r="H272" i="1" s="1"/>
  <c r="A272" i="1"/>
  <c r="A273" i="1" s="1"/>
  <c r="A274" i="1" s="1"/>
  <c r="A275" i="1" s="1"/>
  <c r="A276" i="1" s="1"/>
  <c r="A188" i="1"/>
  <c r="A189" i="1" s="1"/>
  <c r="A190" i="1" s="1"/>
  <c r="A191" i="1" s="1"/>
  <c r="C100" i="1" l="1"/>
  <c r="C101" i="1" s="1"/>
  <c r="F214" i="1"/>
  <c r="H214" i="1" s="1"/>
  <c r="F220" i="1"/>
  <c r="H220" i="1" s="1"/>
  <c r="F225" i="1"/>
  <c r="H225" i="1" s="1"/>
  <c r="F191" i="1"/>
  <c r="H191" i="1" s="1"/>
  <c r="F207" i="1"/>
  <c r="H207" i="1" s="1"/>
  <c r="F212" i="1"/>
  <c r="H212" i="1" s="1"/>
  <c r="F238" i="1"/>
  <c r="H238" i="1" s="1"/>
  <c r="F201" i="1"/>
  <c r="H201" i="1" s="1"/>
  <c r="F206" i="1"/>
  <c r="H206" i="1" s="1"/>
  <c r="F253" i="1"/>
  <c r="H253" i="1" s="1"/>
  <c r="F187" i="1"/>
  <c r="F194" i="1"/>
  <c r="H194" i="1" s="1"/>
  <c r="F231" i="1"/>
  <c r="H231" i="1" s="1"/>
  <c r="F196" i="1"/>
  <c r="H196" i="1" s="1"/>
  <c r="F203" i="1"/>
  <c r="H203" i="1" s="1"/>
  <c r="F223" i="1"/>
  <c r="H223" i="1" s="1"/>
  <c r="F221" i="1"/>
  <c r="H221" i="1" s="1"/>
  <c r="F193" i="1"/>
  <c r="H193" i="1" s="1"/>
  <c r="F217" i="1"/>
  <c r="H217" i="1" s="1"/>
  <c r="F256" i="1"/>
  <c r="H256" i="1" s="1"/>
  <c r="F218" i="1"/>
  <c r="H218" i="1" s="1"/>
  <c r="F226" i="1"/>
  <c r="H226" i="1" s="1"/>
  <c r="F195" i="1"/>
  <c r="H195" i="1" s="1"/>
  <c r="F202" i="1"/>
  <c r="H202" i="1" s="1"/>
  <c r="F266" i="1"/>
  <c r="H266" i="1" s="1"/>
  <c r="F242" i="1"/>
  <c r="H242" i="1" s="1"/>
  <c r="F227" i="1"/>
  <c r="H227" i="1" s="1"/>
  <c r="F224" i="1"/>
  <c r="H224" i="1" s="1"/>
  <c r="F209" i="1"/>
  <c r="H209" i="1" s="1"/>
  <c r="F205" i="1"/>
  <c r="H205" i="1" s="1"/>
  <c r="F197" i="1"/>
  <c r="H197" i="1" s="1"/>
  <c r="F189" i="1"/>
  <c r="H189" i="1" s="1"/>
  <c r="F250" i="1"/>
  <c r="H250" i="1" s="1"/>
  <c r="F243" i="1"/>
  <c r="H243" i="1" s="1"/>
  <c r="F208" i="1"/>
  <c r="H208" i="1" s="1"/>
  <c r="F244" i="1"/>
  <c r="H244" i="1" s="1"/>
  <c r="F230" i="1"/>
  <c r="H230" i="1" s="1"/>
  <c r="F237" i="1"/>
  <c r="H237" i="1" s="1"/>
  <c r="F241" i="1"/>
  <c r="H241" i="1" s="1"/>
  <c r="F232" i="1"/>
  <c r="H232" i="1" s="1"/>
  <c r="F260" i="1"/>
  <c r="H260" i="1" s="1"/>
  <c r="F247" i="1"/>
  <c r="H247" i="1" s="1"/>
  <c r="F245" i="1"/>
  <c r="H245" i="1" s="1"/>
  <c r="F190" i="1"/>
  <c r="H190" i="1" s="1"/>
  <c r="H187" i="1" l="1"/>
  <c r="G100" i="1" s="1"/>
  <c r="E100" i="1"/>
  <c r="E41" i="1" l="1"/>
  <c r="F153" i="1" l="1"/>
  <c r="F152" i="1"/>
  <c r="D151" i="1"/>
  <c r="F151" i="1" s="1"/>
  <c r="D150" i="1"/>
  <c r="F150" i="1" s="1"/>
  <c r="D148" i="1"/>
  <c r="D147" i="1"/>
  <c r="F147" i="1" s="1"/>
  <c r="J147" i="1" s="1"/>
  <c r="F146" i="1"/>
  <c r="D145" i="1"/>
  <c r="F145" i="1" s="1"/>
  <c r="F144" i="1"/>
  <c r="F143" i="1"/>
  <c r="D142" i="1"/>
  <c r="F142" i="1" s="1"/>
  <c r="F141" i="1"/>
  <c r="D140" i="1"/>
  <c r="I145" i="1"/>
  <c r="I142" i="1"/>
  <c r="F149" i="1"/>
  <c r="F148" i="1"/>
  <c r="J141" i="1"/>
  <c r="A141" i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G140" i="1"/>
  <c r="F140" i="1"/>
  <c r="D124" i="1"/>
  <c r="D115" i="1"/>
  <c r="D114" i="1"/>
  <c r="D113" i="1"/>
  <c r="D112" i="1"/>
  <c r="J110" i="1"/>
  <c r="I115" i="1"/>
  <c r="E96" i="1" l="1"/>
  <c r="E95" i="1"/>
  <c r="E115" i="1"/>
  <c r="F115" i="1" s="1"/>
  <c r="C95" i="1"/>
  <c r="G96" i="1"/>
  <c r="C96" i="1"/>
  <c r="F109" i="1"/>
  <c r="F113" i="1"/>
  <c r="F114" i="1"/>
  <c r="E101" i="1"/>
  <c r="F119" i="1"/>
  <c r="F117" i="1"/>
  <c r="F116" i="1"/>
  <c r="F121" i="1"/>
  <c r="F123" i="1"/>
  <c r="F125" i="1"/>
  <c r="F127" i="1"/>
  <c r="F120" i="1"/>
  <c r="F122" i="1"/>
  <c r="F124" i="1"/>
  <c r="F126" i="1"/>
  <c r="E42" i="1"/>
  <c r="E43" i="1" s="1"/>
  <c r="E97" i="1" l="1"/>
  <c r="E102" i="1" s="1"/>
  <c r="C97" i="1"/>
  <c r="C102" i="1" s="1"/>
  <c r="C14" i="1"/>
  <c r="E29" i="1" l="1"/>
  <c r="F92" i="1" l="1"/>
  <c r="F110" i="1" l="1"/>
  <c r="F111" i="1"/>
  <c r="F112" i="1"/>
  <c r="G95" i="1" l="1"/>
  <c r="G97" i="1" s="1"/>
  <c r="G101" i="1" l="1"/>
  <c r="G102" i="1" s="1"/>
  <c r="B280" i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307" i="1"/>
  <c r="A110" i="1"/>
  <c r="G109" i="1"/>
  <c r="J76" i="1"/>
  <c r="J75" i="1"/>
  <c r="J74" i="1"/>
  <c r="J73" i="1"/>
  <c r="C65" i="1"/>
  <c r="D54" i="1"/>
  <c r="G49" i="1"/>
  <c r="G50" i="1" s="1"/>
  <c r="C49" i="1"/>
  <c r="C50" i="1" s="1"/>
  <c r="E26" i="1"/>
  <c r="E24" i="1"/>
  <c r="E7" i="1"/>
  <c r="E3" i="1"/>
  <c r="H66" i="1"/>
  <c r="A111" i="1" l="1"/>
  <c r="A112" i="1" s="1"/>
  <c r="A113" i="1" s="1"/>
  <c r="A114" i="1" s="1"/>
  <c r="A115" i="1" s="1"/>
  <c r="D78" i="1"/>
  <c r="D76" i="1"/>
  <c r="D75" i="1"/>
  <c r="D74" i="1"/>
  <c r="D72" i="1"/>
  <c r="J65" i="1"/>
  <c r="D77" i="1"/>
  <c r="D73" i="1"/>
  <c r="J69" i="1"/>
  <c r="J70" i="1"/>
  <c r="C69" i="1" s="1"/>
  <c r="J68" i="1"/>
  <c r="J71" i="1"/>
  <c r="J72" i="1" l="1"/>
  <c r="J77" i="1" s="1"/>
  <c r="J78" i="1" s="1"/>
  <c r="C70" i="1" s="1"/>
  <c r="D70" i="1" s="1"/>
  <c r="D71" i="1"/>
  <c r="J67" i="1"/>
  <c r="D69" i="1"/>
  <c r="A129" i="1" l="1"/>
  <c r="A130" i="1" s="1"/>
  <c r="A131" i="1" s="1"/>
  <c r="A132" i="1" s="1"/>
  <c r="A133" i="1" s="1"/>
  <c r="A134" i="1" s="1"/>
  <c r="A135" i="1" s="1"/>
  <c r="A136" i="1" s="1"/>
  <c r="A137" i="1" s="1"/>
  <c r="G69" i="1"/>
  <c r="D63" i="1" s="1"/>
  <c r="D64" i="1" s="1"/>
  <c r="E69" i="1"/>
  <c r="I66" i="1"/>
  <c r="J66" i="1"/>
  <c r="F64" i="1" l="1"/>
  <c r="I67" i="1"/>
  <c r="I65" i="1" s="1"/>
  <c r="C67" i="1" s="1"/>
</calcChain>
</file>

<file path=xl/comments1.xml><?xml version="1.0" encoding="utf-8"?>
<comments xmlns="http://schemas.openxmlformats.org/spreadsheetml/2006/main">
  <authors>
    <author>SACHIN</author>
  </authors>
  <commentList>
    <comment ref="H181" authorId="0" shapeId="0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Give loading of 50% for A Category</t>
        </r>
      </text>
    </comment>
  </commentList>
</comments>
</file>

<file path=xl/sharedStrings.xml><?xml version="1.0" encoding="utf-8"?>
<sst xmlns="http://schemas.openxmlformats.org/spreadsheetml/2006/main" count="449" uniqueCount="271">
  <si>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</si>
  <si>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</si>
  <si>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</si>
  <si>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</si>
  <si>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</si>
  <si>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</si>
  <si>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</si>
  <si>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</si>
  <si>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</si>
  <si>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</si>
  <si>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</si>
  <si>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</si>
  <si>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</si>
  <si>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</si>
  <si>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</si>
  <si>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</si>
  <si>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</si>
  <si>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</si>
  <si>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</si>
  <si>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</si>
  <si>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</si>
  <si>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</si>
  <si>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</si>
  <si>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</si>
  <si>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</si>
  <si>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</si>
  <si>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</si>
  <si>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</si>
  <si>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</si>
  <si>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</si>
  <si>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</si>
  <si>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</si>
  <si>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</si>
  <si>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</si>
  <si>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</si>
  <si>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</si>
  <si>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</si>
  <si>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</si>
  <si>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</si>
  <si>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</si>
  <si>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</si>
  <si>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</si>
  <si>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</si>
  <si>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</si>
  <si>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</si>
  <si>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</si>
  <si>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</si>
  <si>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</si>
  <si>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</si>
  <si>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</si>
  <si>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</si>
  <si>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</si>
  <si>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</si>
  <si>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</si>
  <si>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</si>
  <si>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</si>
  <si>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</si>
  <si>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</si>
  <si>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</si>
  <si>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</si>
  <si>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</si>
  <si>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</si>
  <si>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</si>
  <si>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</si>
  <si>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</si>
  <si>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</si>
  <si>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</si>
  <si>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</si>
  <si>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</si>
  <si>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</si>
  <si>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</si>
  <si>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</si>
  <si>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</si>
  <si>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</si>
  <si>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</si>
  <si>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</si>
  <si>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</si>
  <si>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</si>
  <si>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</si>
  <si>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</si>
  <si>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</si>
  <si>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</si>
  <si>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</si>
  <si>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</si>
  <si>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</si>
  <si>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</si>
  <si>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</si>
  <si>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</si>
  <si>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</si>
  <si>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</si>
  <si>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</si>
  <si>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</si>
  <si>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</si>
  <si>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</si>
  <si>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</si>
  <si>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</si>
  <si>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</si>
  <si>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</si>
  <si>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</si>
  <si>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</si>
  <si>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</si>
  <si>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</si>
  <si>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</si>
  <si>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</si>
  <si>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</si>
  <si>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</si>
  <si>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</si>
  <si>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</si>
  <si>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</si>
  <si>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</si>
  <si>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</si>
  <si>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</si>
  <si>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</si>
  <si>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</si>
  <si>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</si>
  <si>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</si>
  <si>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</si>
  <si>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</si>
  <si>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</si>
  <si>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Shop No.
(Sale Plan)</t>
  </si>
  <si>
    <t>01 Building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</si>
  <si>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</si>
  <si>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</si>
  <si>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</si>
  <si>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</si>
  <si>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</si>
  <si>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</si>
  <si>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</si>
  <si>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</si>
  <si>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</si>
  <si>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</si>
  <si>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</si>
  <si>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</si>
  <si>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</si>
  <si>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</si>
  <si>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</si>
  <si>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</si>
  <si>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</si>
  <si>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</si>
  <si>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</si>
  <si>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</si>
  <si>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</si>
  <si>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</si>
  <si>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</si>
  <si>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</si>
  <si>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</si>
  <si>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</si>
  <si>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</si>
  <si>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</si>
  <si>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</si>
  <si>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</si>
  <si>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</si>
  <si>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</si>
  <si>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</si>
  <si>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</si>
  <si>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 xml:space="preserve">Recommended Rates of the Property : </t>
  </si>
  <si>
    <t>Floor Rise Rate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</si>
  <si>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</si>
  <si>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</si>
  <si>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</si>
  <si>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</si>
  <si>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</si>
  <si>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</si>
  <si>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</si>
  <si>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Provided Contact Details ( Name &amp; Contact No.)</t>
  </si>
  <si>
    <t>Layout :</t>
  </si>
  <si>
    <t>Axis Goregaon</t>
  </si>
  <si>
    <t>Office No. 1031, Wing J, Akshar Business Park, Plot No. 03 Sector 25, Near APMC Market, Vashi, Navi Mumbai, Maharashtra 400703 TEL: 022-46090378/79/80                                                                       
E mail : vsjcapf@gmail.com. Web site : www.vsjadon.com</t>
  </si>
  <si>
    <t>Latitude, Longitude</t>
  </si>
  <si>
    <t>Tanishq</t>
  </si>
  <si>
    <t>Phoenix Realty</t>
  </si>
  <si>
    <t>P51700048797</t>
  </si>
  <si>
    <t>Approved Plans, CC</t>
  </si>
  <si>
    <t>Survey No</t>
  </si>
  <si>
    <t>97, H.No.1/A, 1/A/1, 3/A/4. 6/A</t>
  </si>
  <si>
    <t>Chikanghar</t>
  </si>
  <si>
    <t>Thane</t>
  </si>
  <si>
    <t>Kalyan</t>
  </si>
  <si>
    <t>Rambaug Four - Kala Talao Road</t>
  </si>
  <si>
    <t>Building</t>
  </si>
  <si>
    <t>Gulab Co Operative Housing Society</t>
  </si>
  <si>
    <t>Rambaug</t>
  </si>
  <si>
    <t>2.2KM from Kalyan Junction Railway Station</t>
  </si>
  <si>
    <t>Kalyan-Dombivli Municipal Corporation (KDMC)</t>
  </si>
  <si>
    <t>As per RERA - 31/12/2026</t>
  </si>
  <si>
    <t>Shop</t>
  </si>
  <si>
    <t>Office</t>
  </si>
  <si>
    <t>5th Podium Floor For Parking</t>
  </si>
  <si>
    <t>2BHK</t>
  </si>
  <si>
    <t>Refuge Area</t>
  </si>
  <si>
    <t>7th Floor</t>
  </si>
  <si>
    <t>Cost sheet</t>
  </si>
  <si>
    <t>Electric pole &amp;Transformer is been resting near project.</t>
  </si>
  <si>
    <t xml:space="preserve">Site Person - Contact Details ( Name &amp; Contact No.)
</t>
  </si>
  <si>
    <t>97, H.No. 1/2, 1/3, 3/1, 3/2, 5/2, 6/2, &amp; 6/3</t>
  </si>
  <si>
    <t>19.245265,73.137000</t>
  </si>
  <si>
    <t>https://maps.app.goo.gl/hUJVxtX3MmjoPJZYA</t>
  </si>
  <si>
    <t>Kalyan West</t>
  </si>
  <si>
    <t>6.00 M. Wide Road</t>
  </si>
  <si>
    <t>18.00 M. Wide Road</t>
  </si>
  <si>
    <t>9.00 M. Wide Road</t>
  </si>
  <si>
    <t>Other Plot</t>
  </si>
  <si>
    <t>Rambaug Lane Number 4</t>
  </si>
  <si>
    <t>Nav Nityanand Road</t>
  </si>
  <si>
    <t>KDMC/TPD/BP/KD/2022-23/57/84</t>
  </si>
  <si>
    <t>Wing A</t>
  </si>
  <si>
    <t>Flat No. (Sale Plan)</t>
  </si>
  <si>
    <t>Carpet area</t>
  </si>
  <si>
    <t>2nd Floor</t>
  </si>
  <si>
    <t>1BHK</t>
  </si>
  <si>
    <t>6th Floor For Residential</t>
  </si>
  <si>
    <t>8th Floor</t>
  </si>
  <si>
    <t>9th Floor</t>
  </si>
  <si>
    <t>11th &amp; 12th Floor</t>
  </si>
  <si>
    <t>13th Floor</t>
  </si>
  <si>
    <t>15th Floor</t>
  </si>
  <si>
    <t>16th, 17th &amp; 19th Floor</t>
  </si>
  <si>
    <t>23rd For Recreational Area</t>
  </si>
  <si>
    <t>We have updated revised approved plans &amp; CC (On 24/09/2024).</t>
  </si>
  <si>
    <t>1st to 4th Podium floor for Commercial &amp; Parking</t>
  </si>
  <si>
    <r>
      <t xml:space="preserve">Shop No.
</t>
    </r>
    <r>
      <rPr>
        <b/>
        <sz val="11"/>
        <rFont val="Times New Roman"/>
        <family val="1"/>
      </rPr>
      <t>(Approved Plan)</t>
    </r>
  </si>
  <si>
    <r>
      <t xml:space="preserve">Flat No.
</t>
    </r>
    <r>
      <rPr>
        <b/>
        <sz val="11"/>
        <rFont val="Times New Roman"/>
        <family val="1"/>
      </rPr>
      <t>(Approved Plan)</t>
    </r>
  </si>
  <si>
    <t>Wing A Flats</t>
  </si>
  <si>
    <t>https://phoenix-tanshiq.com/#gallery</t>
  </si>
  <si>
    <t xml:space="preserve">Yoga Room, Party Hall, Swimming Pool, Jogging Track, Open Air Gym, Attractive Lobby, etc
</t>
  </si>
  <si>
    <t>Wing A = Gr + 1st to 23rd Floor</t>
  </si>
  <si>
    <t>10th Floor (Part Refuge Area)</t>
  </si>
  <si>
    <t>14th Floor (Part Refuge Area)</t>
  </si>
  <si>
    <t>18th Floor (Part Refuge Area)</t>
  </si>
  <si>
    <t>3BHK</t>
  </si>
  <si>
    <t>-</t>
  </si>
  <si>
    <t>Terrace Area</t>
  </si>
  <si>
    <t>20th Floor (Part Terrace Area)</t>
  </si>
  <si>
    <t>21st Floor (Part Terrace Below)</t>
  </si>
  <si>
    <t>Terrace Below @ 20th Floor</t>
  </si>
  <si>
    <t>Terrace Below @ 21th Floor</t>
  </si>
  <si>
    <t>22nd Floor (Part Terrace Area &amp; Refuge Area)</t>
  </si>
  <si>
    <t>Balcony + Chajja + Encl Bal. + SA</t>
  </si>
  <si>
    <t>We considered Gross carpet area = Net carpet + Balcony + Chajja + Encl Bal. + SA.</t>
  </si>
  <si>
    <t>Shops - 18, Offices - 56</t>
  </si>
  <si>
    <t>Ground Floor For Commercial, Entrance Lobby, Drivers Room, Society Office &amp; Parking</t>
  </si>
  <si>
    <t>Earlier approved plans dated 22/09/2022 consiting S.No. 97, H.No.1/A, 1/A/1, 3/A/4, 6/A.
Now, as per revised approved plans dated 02/08/2024 consisting S. No. 97, H.No. 1/2, 1/3, 3/1, 3/2, 5/2, 6/2, &amp; 6/3. 
Please check title report for Survey No and Hissa No.</t>
  </si>
  <si>
    <t>Wing A = Stilt(pt) + Gr (pt) + 1st to 4th Floor (Podium + Comm) + 5th Floor (Podium Parking) + 6th to 22nd Floor (Residential) + 23rd Floor (Recreational Floor)</t>
  </si>
  <si>
    <t>2.5BHK</t>
  </si>
  <si>
    <t>We have not drafted Ground Floor &amp; 1st to 4th Podium floor area consisting commercial shops &amp; Offices because floor plans are not legible. 
Please provide legible approved floor plans consisting Ground Floor &amp; 1st to 4th Podium Floor.</t>
  </si>
  <si>
    <t>Desai : 9324293939</t>
  </si>
  <si>
    <t>Pooja</t>
  </si>
  <si>
    <t>Mangesh Laxman Bapardekar</t>
  </si>
  <si>
    <t>Attached Loft + Otla area</t>
  </si>
  <si>
    <t>Ground Floor For Commercial, Entrance Lobby, Society Office, Meter room &amp; Parking</t>
  </si>
  <si>
    <t>1st to 3rd Podium Floor for Commercial &amp; Parking</t>
  </si>
  <si>
    <t>4th Podium Floor for Commercial &amp; Parking</t>
  </si>
  <si>
    <t>Flats - 74, Shops - 29, Office - 76</t>
  </si>
  <si>
    <t>We have updated ground to 4th Floor plans (On 31/03/2025).</t>
  </si>
  <si>
    <t>8A</t>
  </si>
  <si>
    <t>8B</t>
  </si>
  <si>
    <t>Grand Total</t>
  </si>
  <si>
    <t xml:space="preserve">Details of Resiential &amp; Commercial in Building   </t>
  </si>
  <si>
    <t>Commercial Area Details : Wing A + B</t>
  </si>
  <si>
    <t>Wing A + B</t>
  </si>
  <si>
    <t>Wing A+B (Shop)</t>
  </si>
  <si>
    <t>Wing A (Office)</t>
  </si>
  <si>
    <t>KDMCC/PO/2025/APL/00135
Approved upto : Wing A = Gr/St + 1st to 4th Floor</t>
  </si>
  <si>
    <t xml:space="preserve">Part O. Certificate No.: </t>
  </si>
  <si>
    <t>60 Years After Completion</t>
  </si>
  <si>
    <t>Construction work is in process at the time of Visit. Internal photos was not allowed.
Part OC Received upto 4th Floor.</t>
  </si>
  <si>
    <t>We have updated part OC upto 4th floors (On 25/07/2025).</t>
  </si>
  <si>
    <t>Office rate 17000 by bhargav verbal on 31/07/2025</t>
  </si>
  <si>
    <t>As discussed with Sachin sir, Shop Rate changes from 17k to 20K on 31/07/2025</t>
  </si>
  <si>
    <t>Recommended Rates of the Property have been revised on 31/07/2025.</t>
  </si>
  <si>
    <t>OC Received up to Gr + 1st to 4th Floor and we can consider 100% disbursement for the Ground Floor + 1st to 4th Floor.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</si>
</sst>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 * #,##0.00_ ;_ * \-#,##0.00_ ;_ * &quot;-&quot;??_ ;_ @_ "/>
    <numFmt numFmtId="164" formatCode="_(* #,##0.00_);_(* \(#,##0.00\);_(* &quot;-&quot;??_);_(@_)"/>
    <numFmt numFmtId="165" formatCode="0.0"/>
    <numFmt numFmtId="166" formatCode="_(* #,##0_);_(* \(#,##0\);_(* &quot;-&quot;??_);_(@_)"/>
    <numFmt numFmtId="167" formatCode="_ * #,##0_ ;_ * \-#,##0_ ;_ * &quot;-&quot;??_ ;_ @_ "/>
  </numFmts>
  <fonts count="29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  <font>
      <sz val="21"/>
      <color rgb="FF1A1A1A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4" fillId="0" borderId="0"/>
    <xf numFmtId="0" fontId="2" fillId="0" borderId="0"/>
    <xf numFmtId="0" fontId="4" fillId="0" borderId="0"/>
    <xf numFmtId="0" fontId="1" fillId="0" borderId="0"/>
    <xf numFmtId="164" fontId="4" fillId="0" borderId="0" applyFont="0" applyFill="0" applyBorder="0" applyAlignment="0" applyProtection="0"/>
    <xf numFmtId="0" fontId="19" fillId="0" borderId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4" fillId="0" borderId="0" applyNumberFormat="0" applyFill="0" applyBorder="0" applyAlignment="0" applyProtection="0"/>
  </cellStyleXfs>
  <cellXfs count="158">
    <xf numFmtId="0" fontId="0" fillId="0" borderId="0" xfId="0"/>
    <xf numFmtId="0" fontId="4" fillId="0" borderId="0" xfId="4"/>
    <xf numFmtId="0" fontId="1" fillId="0" borderId="0" xfId="5"/>
    <xf numFmtId="0" fontId="8" fillId="0" borderId="1" xfId="5" applyFont="1" applyBorder="1" applyAlignment="1">
      <alignment horizontal="center" vertical="top" wrapText="1"/>
    </xf>
    <xf numFmtId="0" fontId="18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8" fillId="0" borderId="1" xfId="5" applyFont="1" applyBorder="1" applyAlignment="1">
      <alignment horizontal="center" vertical="center"/>
    </xf>
    <xf numFmtId="1" fontId="17" fillId="0" borderId="1" xfId="5" applyNumberFormat="1" applyFont="1" applyBorder="1" applyAlignment="1">
      <alignment horizontal="center" vertical="center"/>
    </xf>
    <xf numFmtId="0" fontId="4" fillId="0" borderId="1" xfId="4" applyBorder="1" applyAlignment="1">
      <alignment horizontal="center" vertical="center"/>
    </xf>
    <xf numFmtId="0" fontId="16" fillId="0" borderId="0" xfId="0" applyFont="1" applyProtection="1">
      <protection hidden="1"/>
    </xf>
    <xf numFmtId="0" fontId="16" fillId="0" borderId="7" xfId="0" applyFont="1" applyBorder="1" applyProtection="1">
      <protection hidden="1"/>
    </xf>
    <xf numFmtId="9" fontId="6" fillId="0" borderId="1" xfId="8" applyFont="1" applyFill="1" applyBorder="1" applyAlignment="1" applyProtection="1">
      <alignment horizontal="center" vertical="top" wrapText="1"/>
      <protection locked="0"/>
    </xf>
    <xf numFmtId="0" fontId="6" fillId="0" borderId="0" xfId="1" applyFont="1"/>
    <xf numFmtId="0" fontId="14" fillId="0" borderId="0" xfId="1" applyFont="1"/>
    <xf numFmtId="0" fontId="11" fillId="0" borderId="0" xfId="1" applyFont="1"/>
    <xf numFmtId="1" fontId="6" fillId="0" borderId="0" xfId="1" applyNumberFormat="1" applyFont="1"/>
    <xf numFmtId="14" fontId="6" fillId="0" borderId="0" xfId="1" applyNumberFormat="1" applyFont="1"/>
    <xf numFmtId="0" fontId="6" fillId="0" borderId="0" xfId="1" applyFont="1" applyProtection="1">
      <protection hidden="1"/>
    </xf>
    <xf numFmtId="0" fontId="21" fillId="0" borderId="0" xfId="1" applyFont="1"/>
    <xf numFmtId="0" fontId="6" fillId="0" borderId="6" xfId="1" applyFont="1" applyBorder="1"/>
    <xf numFmtId="0" fontId="16" fillId="0" borderId="6" xfId="0" applyFont="1" applyBorder="1" applyProtection="1">
      <protection hidden="1"/>
    </xf>
    <xf numFmtId="1" fontId="0" fillId="0" borderId="6" xfId="0" applyNumberFormat="1" applyBorder="1"/>
    <xf numFmtId="1" fontId="0" fillId="0" borderId="6" xfId="0" applyNumberFormat="1" applyBorder="1" applyAlignment="1">
      <alignment horizontal="right"/>
    </xf>
    <xf numFmtId="1" fontId="0" fillId="0" borderId="8" xfId="0" applyNumberFormat="1" applyBorder="1"/>
    <xf numFmtId="0" fontId="15" fillId="0" borderId="0" xfId="1" applyFont="1"/>
    <xf numFmtId="0" fontId="5" fillId="0" borderId="0" xfId="2" applyFont="1"/>
    <xf numFmtId="0" fontId="6" fillId="0" borderId="0" xfId="0" applyFont="1" applyAlignment="1">
      <alignment horizontal="center" vertical="center"/>
    </xf>
    <xf numFmtId="1" fontId="6" fillId="0" borderId="0" xfId="1" applyNumberFormat="1" applyFont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7" fillId="0" borderId="0" xfId="1" applyFont="1" applyAlignment="1" applyProtection="1">
      <alignment vertical="top"/>
      <protection locked="0"/>
    </xf>
    <xf numFmtId="0" fontId="7" fillId="0" borderId="0" xfId="1" applyFont="1" applyAlignment="1" applyProtection="1">
      <alignment vertical="top" wrapText="1"/>
      <protection locked="0"/>
    </xf>
    <xf numFmtId="0" fontId="6" fillId="0" borderId="0" xfId="1" applyFont="1" applyProtection="1">
      <protection locked="0"/>
    </xf>
    <xf numFmtId="0" fontId="9" fillId="0" borderId="0" xfId="1" applyFont="1" applyProtection="1">
      <protection locked="0"/>
    </xf>
    <xf numFmtId="0" fontId="23" fillId="0" borderId="18" xfId="0" applyFont="1" applyBorder="1"/>
    <xf numFmtId="0" fontId="23" fillId="0" borderId="3" xfId="0" applyFont="1" applyBorder="1"/>
    <xf numFmtId="1" fontId="6" fillId="0" borderId="1" xfId="1" applyNumberFormat="1" applyFont="1" applyBorder="1" applyAlignment="1" applyProtection="1">
      <alignment horizontal="center" vertical="top" wrapText="1"/>
      <protection locked="0"/>
    </xf>
    <xf numFmtId="1" fontId="6" fillId="0" borderId="1" xfId="1" applyNumberFormat="1" applyFont="1" applyBorder="1" applyAlignment="1">
      <alignment horizontal="center" vertical="center"/>
    </xf>
    <xf numFmtId="0" fontId="11" fillId="0" borderId="1" xfId="1" applyFont="1" applyBorder="1" applyAlignment="1" applyProtection="1">
      <alignment vertical="top" wrapText="1"/>
      <protection locked="0"/>
    </xf>
    <xf numFmtId="0" fontId="12" fillId="0" borderId="1" xfId="1" applyFont="1" applyBorder="1" applyAlignment="1" applyProtection="1">
      <alignment vertical="top"/>
      <protection locked="0"/>
    </xf>
    <xf numFmtId="1" fontId="5" fillId="0" borderId="1" xfId="0" applyNumberFormat="1" applyFont="1" applyBorder="1" applyAlignment="1" applyProtection="1">
      <alignment horizontal="center" vertical="center" wrapText="1"/>
      <protection locked="0"/>
    </xf>
    <xf numFmtId="0" fontId="25" fillId="0" borderId="0" xfId="0" applyFont="1" applyAlignment="1">
      <alignment vertical="center" wrapText="1"/>
    </xf>
    <xf numFmtId="1" fontId="5" fillId="0" borderId="1" xfId="1" applyNumberFormat="1" applyFont="1" applyBorder="1" applyAlignment="1" applyProtection="1">
      <alignment horizontal="center" vertical="center" wrapText="1"/>
      <protection locked="0"/>
    </xf>
    <xf numFmtId="9" fontId="12" fillId="0" borderId="10" xfId="8" applyFont="1" applyFill="1" applyBorder="1" applyAlignment="1" applyProtection="1">
      <alignment horizontal="center" vertical="top" wrapText="1"/>
      <protection locked="0"/>
    </xf>
    <xf numFmtId="1" fontId="12" fillId="0" borderId="2" xfId="1" applyNumberFormat="1" applyFont="1" applyBorder="1" applyAlignment="1" applyProtection="1">
      <alignment horizontal="center" vertical="top" wrapText="1"/>
      <protection locked="0"/>
    </xf>
    <xf numFmtId="1" fontId="11" fillId="0" borderId="1" xfId="1" applyNumberFormat="1" applyFont="1" applyBorder="1" applyAlignment="1" applyProtection="1">
      <alignment horizontal="center" vertical="center" wrapText="1"/>
      <protection locked="0"/>
    </xf>
    <xf numFmtId="1" fontId="11" fillId="0" borderId="1" xfId="1" applyNumberFormat="1" applyFont="1" applyBorder="1" applyAlignment="1">
      <alignment horizontal="center" vertical="center"/>
    </xf>
    <xf numFmtId="0" fontId="24" fillId="0" borderId="0" xfId="10"/>
    <xf numFmtId="0" fontId="22" fillId="2" borderId="9" xfId="0" applyFont="1" applyFill="1" applyBorder="1"/>
    <xf numFmtId="0" fontId="23" fillId="0" borderId="5" xfId="0" applyFont="1" applyBorder="1"/>
    <xf numFmtId="1" fontId="6" fillId="0" borderId="17" xfId="1" applyNumberFormat="1" applyFont="1" applyBorder="1" applyAlignment="1">
      <alignment vertical="center"/>
    </xf>
    <xf numFmtId="1" fontId="6" fillId="0" borderId="0" xfId="1" applyNumberFormat="1" applyFont="1" applyAlignment="1">
      <alignment vertical="center"/>
    </xf>
    <xf numFmtId="0" fontId="6" fillId="0" borderId="1" xfId="1" applyFont="1" applyBorder="1" applyAlignment="1" applyProtection="1">
      <alignment horizontal="center" vertical="top" wrapText="1"/>
      <protection locked="0"/>
    </xf>
    <xf numFmtId="0" fontId="11" fillId="0" borderId="1" xfId="1" applyFont="1" applyBorder="1" applyAlignment="1" applyProtection="1">
      <alignment horizontal="center" vertical="top"/>
      <protection locked="0"/>
    </xf>
    <xf numFmtId="1" fontId="5" fillId="0" borderId="1" xfId="1" applyNumberFormat="1" applyFont="1" applyBorder="1" applyAlignment="1" applyProtection="1">
      <alignment horizontal="center" vertical="center" wrapText="1"/>
      <protection locked="0"/>
    </xf>
    <xf numFmtId="1" fontId="5" fillId="0" borderId="1" xfId="0" applyNumberFormat="1" applyFont="1" applyBorder="1" applyAlignment="1" applyProtection="1">
      <alignment horizontal="center" vertical="center" wrapText="1"/>
      <protection locked="0"/>
    </xf>
    <xf numFmtId="1" fontId="5" fillId="0" borderId="1" xfId="0" applyNumberFormat="1" applyFont="1" applyBorder="1" applyAlignment="1" applyProtection="1">
      <alignment horizontal="center" vertical="center" wrapText="1"/>
      <protection locked="0"/>
    </xf>
    <xf numFmtId="1" fontId="5" fillId="0" borderId="1" xfId="0" applyNumberFormat="1" applyFont="1" applyBorder="1" applyAlignment="1" applyProtection="1">
      <alignment horizontal="center" vertical="center" wrapText="1"/>
      <protection locked="0"/>
    </xf>
    <xf numFmtId="1" fontId="5" fillId="0" borderId="1" xfId="0" applyNumberFormat="1" applyFont="1" applyBorder="1" applyAlignment="1" applyProtection="1">
      <alignment horizontal="center" vertical="center" wrapText="1"/>
      <protection locked="0"/>
    </xf>
    <xf numFmtId="1" fontId="7" fillId="0" borderId="4" xfId="0" applyNumberFormat="1" applyFont="1" applyBorder="1" applyAlignment="1" applyProtection="1">
      <alignment vertical="top" wrapText="1"/>
      <protection locked="0"/>
    </xf>
    <xf numFmtId="1" fontId="7" fillId="0" borderId="15" xfId="0" applyNumberFormat="1" applyFont="1" applyBorder="1" applyAlignment="1" applyProtection="1">
      <alignment vertical="top" wrapText="1"/>
      <protection locked="0"/>
    </xf>
    <xf numFmtId="1" fontId="7" fillId="0" borderId="5" xfId="0" applyNumberFormat="1" applyFont="1" applyBorder="1" applyAlignment="1" applyProtection="1">
      <alignment vertical="top" wrapText="1"/>
      <protection locked="0"/>
    </xf>
    <xf numFmtId="165" fontId="5" fillId="0" borderId="1" xfId="1" applyNumberFormat="1" applyFont="1" applyBorder="1" applyAlignment="1" applyProtection="1">
      <alignment horizontal="left" vertical="top"/>
      <protection locked="0"/>
    </xf>
    <xf numFmtId="0" fontId="5" fillId="0" borderId="1" xfId="1" applyFont="1" applyBorder="1" applyAlignment="1" applyProtection="1">
      <alignment horizontal="left" vertical="top"/>
      <protection locked="0"/>
    </xf>
    <xf numFmtId="0" fontId="5" fillId="0" borderId="1" xfId="1" applyFont="1" applyBorder="1" applyAlignment="1" applyProtection="1">
      <alignment vertical="top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6" fillId="0" borderId="1" xfId="1" applyFont="1" applyBorder="1" applyAlignment="1" applyProtection="1">
      <alignment horizontal="center" vertical="top" wrapText="1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1" fontId="6" fillId="0" borderId="1" xfId="0" applyNumberFormat="1" applyFont="1" applyBorder="1" applyAlignment="1" applyProtection="1">
      <alignment horizontal="center" vertical="top" wrapText="1"/>
      <protection locked="0"/>
    </xf>
    <xf numFmtId="0" fontId="6" fillId="0" borderId="1" xfId="0" applyFont="1" applyBorder="1" applyAlignment="1" applyProtection="1">
      <alignment horizontal="center" vertical="top" wrapText="1"/>
      <protection locked="0"/>
    </xf>
    <xf numFmtId="0" fontId="11" fillId="0" borderId="4" xfId="1" applyFont="1" applyBorder="1" applyAlignment="1" applyProtection="1">
      <alignment horizontal="left" vertical="top" wrapText="1"/>
      <protection locked="0"/>
    </xf>
    <xf numFmtId="0" fontId="11" fillId="0" borderId="5" xfId="1" applyFont="1" applyBorder="1" applyAlignment="1" applyProtection="1">
      <alignment horizontal="left" vertical="top" wrapText="1"/>
      <protection locked="0"/>
    </xf>
    <xf numFmtId="0" fontId="11" fillId="0" borderId="15" xfId="1" applyFont="1" applyBorder="1" applyAlignment="1" applyProtection="1">
      <alignment horizontal="left" vertical="top" wrapText="1"/>
      <protection locked="0"/>
    </xf>
    <xf numFmtId="14" fontId="11" fillId="0" borderId="4" xfId="1" applyNumberFormat="1" applyFont="1" applyBorder="1" applyAlignment="1" applyProtection="1">
      <alignment horizontal="left" vertical="top" wrapText="1"/>
      <protection locked="0"/>
    </xf>
    <xf numFmtId="14" fontId="11" fillId="0" borderId="5" xfId="1" applyNumberFormat="1" applyFont="1" applyBorder="1" applyAlignment="1" applyProtection="1">
      <alignment horizontal="left" vertical="top" wrapText="1"/>
      <protection locked="0"/>
    </xf>
    <xf numFmtId="0" fontId="11" fillId="0" borderId="1" xfId="1" applyFont="1" applyBorder="1" applyAlignment="1" applyProtection="1">
      <alignment horizontal="left" vertical="top"/>
      <protection locked="0"/>
    </xf>
    <xf numFmtId="0" fontId="11" fillId="0" borderId="11" xfId="1" applyFont="1" applyBorder="1" applyAlignment="1" applyProtection="1">
      <alignment horizontal="left" vertical="top" wrapText="1"/>
      <protection locked="0"/>
    </xf>
    <xf numFmtId="0" fontId="11" fillId="0" borderId="16" xfId="1" applyFont="1" applyBorder="1" applyAlignment="1" applyProtection="1">
      <alignment horizontal="left" vertical="top" wrapText="1"/>
      <protection locked="0"/>
    </xf>
    <xf numFmtId="0" fontId="11" fillId="0" borderId="4" xfId="1" applyFont="1" applyBorder="1" applyAlignment="1" applyProtection="1">
      <alignment horizontal="left" vertical="top"/>
      <protection locked="0"/>
    </xf>
    <xf numFmtId="0" fontId="11" fillId="0" borderId="15" xfId="1" applyFont="1" applyBorder="1" applyAlignment="1" applyProtection="1">
      <alignment horizontal="left" vertical="top"/>
      <protection locked="0"/>
    </xf>
    <xf numFmtId="0" fontId="11" fillId="0" borderId="5" xfId="1" applyFont="1" applyBorder="1" applyAlignment="1" applyProtection="1">
      <alignment horizontal="left" vertical="top"/>
      <protection locked="0"/>
    </xf>
    <xf numFmtId="0" fontId="12" fillId="0" borderId="4" xfId="1" applyFont="1" applyBorder="1" applyAlignment="1" applyProtection="1">
      <alignment horizontal="left" vertical="top" wrapText="1"/>
      <protection locked="0"/>
    </xf>
    <xf numFmtId="0" fontId="12" fillId="0" borderId="5" xfId="1" applyFont="1" applyBorder="1" applyAlignment="1" applyProtection="1">
      <alignment horizontal="left" vertical="top" wrapText="1"/>
      <protection locked="0"/>
    </xf>
    <xf numFmtId="0" fontId="12" fillId="0" borderId="15" xfId="1" applyFont="1" applyBorder="1" applyAlignment="1" applyProtection="1">
      <alignment horizontal="left" vertical="top" wrapText="1"/>
      <protection locked="0"/>
    </xf>
    <xf numFmtId="0" fontId="7" fillId="0" borderId="1" xfId="1" applyFont="1" applyBorder="1" applyAlignment="1" applyProtection="1">
      <alignment vertical="top"/>
      <protection locked="0"/>
    </xf>
    <xf numFmtId="0" fontId="5" fillId="0" borderId="1" xfId="1" applyFont="1" applyBorder="1" applyAlignment="1" applyProtection="1">
      <alignment horizontal="left" vertical="top" wrapText="1"/>
      <protection locked="0"/>
    </xf>
    <xf numFmtId="0" fontId="11" fillId="0" borderId="1" xfId="1" applyFont="1" applyBorder="1" applyAlignment="1" applyProtection="1">
      <alignment horizontal="left" vertical="top" wrapText="1"/>
      <protection locked="0"/>
    </xf>
    <xf numFmtId="14" fontId="12" fillId="0" borderId="4" xfId="1" applyNumberFormat="1" applyFont="1" applyBorder="1" applyAlignment="1" applyProtection="1">
      <alignment horizontal="left" vertical="top"/>
      <protection locked="0"/>
    </xf>
    <xf numFmtId="0" fontId="12" fillId="0" borderId="5" xfId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1" fontId="7" fillId="0" borderId="1" xfId="0" applyNumberFormat="1" applyFont="1" applyBorder="1" applyAlignment="1" applyProtection="1">
      <alignment horizontal="center" vertical="center" wrapText="1"/>
      <protection locked="0"/>
    </xf>
    <xf numFmtId="167" fontId="11" fillId="0" borderId="1" xfId="9" applyNumberFormat="1" applyFont="1" applyFill="1" applyBorder="1" applyAlignment="1" applyProtection="1">
      <alignment horizontal="left" vertical="top"/>
      <protection locked="0"/>
    </xf>
    <xf numFmtId="0" fontId="7" fillId="0" borderId="1" xfId="1" applyFont="1" applyBorder="1" applyAlignment="1" applyProtection="1">
      <alignment horizontal="left" vertical="top"/>
      <protection locked="0"/>
    </xf>
    <xf numFmtId="1" fontId="5" fillId="0" borderId="1" xfId="0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7" fillId="0" borderId="1" xfId="1" applyFont="1" applyBorder="1" applyAlignment="1" applyProtection="1">
      <alignment horizontal="left" vertical="top" wrapText="1"/>
      <protection locked="0"/>
    </xf>
    <xf numFmtId="0" fontId="7" fillId="0" borderId="10" xfId="1" applyFont="1" applyBorder="1" applyAlignment="1" applyProtection="1">
      <alignment horizontal="center" vertical="top"/>
      <protection locked="0"/>
    </xf>
    <xf numFmtId="0" fontId="10" fillId="0" borderId="1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/>
      <protection locked="0"/>
    </xf>
    <xf numFmtId="14" fontId="11" fillId="0" borderId="1" xfId="1" applyNumberFormat="1" applyFont="1" applyBorder="1" applyAlignment="1" applyProtection="1">
      <alignment horizontal="left" vertical="top"/>
      <protection locked="0"/>
    </xf>
    <xf numFmtId="0" fontId="11" fillId="0" borderId="1" xfId="1" applyFont="1" applyBorder="1" applyAlignment="1" applyProtection="1">
      <alignment horizontal="left"/>
      <protection locked="0"/>
    </xf>
    <xf numFmtId="0" fontId="11" fillId="0" borderId="1" xfId="1" applyFont="1" applyBorder="1" applyAlignment="1" applyProtection="1">
      <alignment horizontal="center"/>
      <protection locked="0"/>
    </xf>
    <xf numFmtId="0" fontId="11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/>
      <protection locked="0"/>
    </xf>
    <xf numFmtId="2" fontId="5" fillId="0" borderId="1" xfId="1" applyNumberFormat="1" applyFont="1" applyBorder="1" applyAlignment="1" applyProtection="1">
      <alignment horizontal="left" vertical="top" wrapText="1"/>
      <protection locked="0"/>
    </xf>
    <xf numFmtId="0" fontId="11" fillId="0" borderId="10" xfId="1" applyFont="1" applyBorder="1" applyAlignment="1" applyProtection="1">
      <alignment horizontal="left" vertical="top" wrapText="1"/>
      <protection locked="0"/>
    </xf>
    <xf numFmtId="2" fontId="5" fillId="0" borderId="1" xfId="1" applyNumberFormat="1" applyFont="1" applyBorder="1" applyAlignment="1" applyProtection="1">
      <alignment horizontal="left" vertical="top"/>
      <protection locked="0"/>
    </xf>
    <xf numFmtId="0" fontId="11" fillId="0" borderId="12" xfId="1" applyFont="1" applyBorder="1" applyAlignment="1" applyProtection="1">
      <alignment horizontal="left" vertical="top" wrapText="1"/>
      <protection locked="0"/>
    </xf>
    <xf numFmtId="0" fontId="11" fillId="0" borderId="13" xfId="1" applyFont="1" applyBorder="1" applyAlignment="1" applyProtection="1">
      <alignment horizontal="left" vertical="top" wrapText="1"/>
      <protection locked="0"/>
    </xf>
    <xf numFmtId="0" fontId="11" fillId="0" borderId="14" xfId="1" applyFont="1" applyBorder="1" applyAlignment="1" applyProtection="1">
      <alignment horizontal="left" vertical="top" wrapText="1"/>
      <protection locked="0"/>
    </xf>
    <xf numFmtId="0" fontId="6" fillId="0" borderId="0" xfId="1" applyFont="1" applyAlignment="1">
      <alignment horizontal="center" vertical="center"/>
    </xf>
    <xf numFmtId="1" fontId="11" fillId="0" borderId="1" xfId="0" applyNumberFormat="1" applyFont="1" applyBorder="1" applyAlignment="1" applyProtection="1">
      <alignment horizontal="center" vertical="center"/>
      <protection locked="0"/>
    </xf>
    <xf numFmtId="1" fontId="12" fillId="0" borderId="1" xfId="1" applyNumberFormat="1" applyFont="1" applyBorder="1" applyAlignment="1" applyProtection="1">
      <alignment horizontal="center" vertical="center" wrapText="1"/>
      <protection locked="0"/>
    </xf>
    <xf numFmtId="1" fontId="28" fillId="0" borderId="2" xfId="1" applyNumberFormat="1" applyFont="1" applyBorder="1" applyAlignment="1" applyProtection="1">
      <alignment horizontal="center" vertical="top" wrapText="1"/>
      <protection locked="0"/>
    </xf>
    <xf numFmtId="1" fontId="28" fillId="0" borderId="10" xfId="1" applyNumberFormat="1" applyFont="1" applyBorder="1" applyAlignment="1" applyProtection="1">
      <alignment horizontal="center" vertical="top" wrapText="1"/>
      <protection locked="0"/>
    </xf>
    <xf numFmtId="1" fontId="12" fillId="0" borderId="11" xfId="1" applyNumberFormat="1" applyFont="1" applyBorder="1" applyAlignment="1" applyProtection="1">
      <alignment horizontal="center" vertical="top" wrapText="1"/>
      <protection locked="0"/>
    </xf>
    <xf numFmtId="1" fontId="12" fillId="0" borderId="12" xfId="1" applyNumberFormat="1" applyFont="1" applyBorder="1" applyAlignment="1" applyProtection="1">
      <alignment horizontal="center" vertical="top" wrapText="1"/>
      <protection locked="0"/>
    </xf>
    <xf numFmtId="1" fontId="12" fillId="0" borderId="13" xfId="1" applyNumberFormat="1" applyFont="1" applyBorder="1" applyAlignment="1" applyProtection="1">
      <alignment horizontal="center" vertical="top" wrapText="1"/>
      <protection locked="0"/>
    </xf>
    <xf numFmtId="1" fontId="12" fillId="0" borderId="14" xfId="1" applyNumberFormat="1" applyFont="1" applyBorder="1" applyAlignment="1" applyProtection="1">
      <alignment horizontal="center" vertical="top" wrapText="1"/>
      <protection locked="0"/>
    </xf>
    <xf numFmtId="9" fontId="6" fillId="0" borderId="1" xfId="8" applyFont="1" applyFill="1" applyBorder="1" applyAlignment="1" applyProtection="1">
      <alignment horizontal="center" vertical="center" wrapText="1"/>
      <protection locked="0"/>
    </xf>
    <xf numFmtId="1" fontId="11" fillId="0" borderId="4" xfId="1" applyNumberFormat="1" applyFont="1" applyBorder="1" applyAlignment="1" applyProtection="1">
      <alignment horizontal="center" vertical="center" wrapText="1"/>
      <protection locked="0"/>
    </xf>
    <xf numFmtId="1" fontId="11" fillId="0" borderId="15" xfId="1" applyNumberFormat="1" applyFont="1" applyBorder="1" applyAlignment="1" applyProtection="1">
      <alignment horizontal="center" vertical="center" wrapText="1"/>
      <protection locked="0"/>
    </xf>
    <xf numFmtId="1" fontId="11" fillId="0" borderId="5" xfId="1" applyNumberFormat="1" applyFont="1" applyBorder="1" applyAlignment="1" applyProtection="1">
      <alignment horizontal="center" vertical="center" wrapText="1"/>
      <protection locked="0"/>
    </xf>
    <xf numFmtId="1" fontId="9" fillId="0" borderId="1" xfId="0" applyNumberFormat="1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1" fontId="6" fillId="0" borderId="1" xfId="0" applyNumberFormat="1" applyFont="1" applyBorder="1" applyAlignment="1" applyProtection="1">
      <alignment horizontal="center" vertical="center"/>
      <protection locked="0"/>
    </xf>
    <xf numFmtId="1" fontId="11" fillId="0" borderId="1" xfId="1" applyNumberFormat="1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" fontId="12" fillId="0" borderId="2" xfId="1" applyNumberFormat="1" applyFont="1" applyBorder="1" applyAlignment="1" applyProtection="1">
      <alignment horizontal="center" vertical="top" wrapText="1"/>
      <protection locked="0"/>
    </xf>
    <xf numFmtId="1" fontId="12" fillId="0" borderId="10" xfId="1" applyNumberFormat="1" applyFont="1" applyBorder="1" applyAlignment="1" applyProtection="1">
      <alignment horizontal="center" vertical="top" wrapText="1"/>
      <protection locked="0"/>
    </xf>
    <xf numFmtId="0" fontId="9" fillId="0" borderId="1" xfId="0" applyFont="1" applyBorder="1" applyAlignment="1" applyProtection="1">
      <alignment horizontal="center" vertical="top" wrapText="1"/>
      <protection locked="0"/>
    </xf>
    <xf numFmtId="0" fontId="24" fillId="0" borderId="1" xfId="10" applyFill="1" applyBorder="1" applyAlignment="1" applyProtection="1">
      <alignment horizontal="left" vertical="top" wrapText="1"/>
      <protection locked="0"/>
    </xf>
    <xf numFmtId="1" fontId="11" fillId="0" borderId="1" xfId="1" applyNumberFormat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2" fillId="0" borderId="4" xfId="1" applyFont="1" applyBorder="1" applyAlignment="1" applyProtection="1">
      <alignment horizontal="left" vertical="top"/>
      <protection locked="0"/>
    </xf>
    <xf numFmtId="0" fontId="12" fillId="0" borderId="15" xfId="1" applyFont="1" applyBorder="1" applyAlignment="1" applyProtection="1">
      <alignment horizontal="left" vertical="top"/>
      <protection locked="0"/>
    </xf>
    <xf numFmtId="0" fontId="7" fillId="0" borderId="10" xfId="1" applyFont="1" applyBorder="1" applyAlignment="1" applyProtection="1">
      <alignment horizontal="left" vertical="top"/>
      <protection locked="0"/>
    </xf>
    <xf numFmtId="0" fontId="0" fillId="0" borderId="1" xfId="0" applyBorder="1" applyAlignment="1">
      <alignment horizontal="center"/>
    </xf>
    <xf numFmtId="1" fontId="12" fillId="0" borderId="4" xfId="1" applyNumberFormat="1" applyFont="1" applyBorder="1" applyAlignment="1" applyProtection="1">
      <alignment horizontal="center" vertical="center" wrapText="1"/>
      <protection locked="0"/>
    </xf>
    <xf numFmtId="1" fontId="12" fillId="0" borderId="15" xfId="1" applyNumberFormat="1" applyFont="1" applyBorder="1" applyAlignment="1" applyProtection="1">
      <alignment horizontal="center" vertical="center" wrapText="1"/>
      <protection locked="0"/>
    </xf>
    <xf numFmtId="1" fontId="12" fillId="0" borderId="5" xfId="1" applyNumberFormat="1" applyFont="1" applyBorder="1" applyAlignment="1" applyProtection="1">
      <alignment horizontal="center" vertical="center" wrapText="1"/>
      <protection locked="0"/>
    </xf>
    <xf numFmtId="1" fontId="5" fillId="0" borderId="1" xfId="1" applyNumberFormat="1" applyFont="1" applyBorder="1" applyAlignment="1" applyProtection="1">
      <alignment horizontal="center" vertical="center" wrapText="1"/>
      <protection locked="0"/>
    </xf>
    <xf numFmtId="1" fontId="7" fillId="0" borderId="1" xfId="0" applyNumberFormat="1" applyFont="1" applyBorder="1" applyAlignment="1" applyProtection="1">
      <alignment vertical="top" wrapText="1"/>
      <protection locked="0"/>
    </xf>
    <xf numFmtId="1" fontId="7" fillId="0" borderId="1" xfId="0" applyNumberFormat="1" applyFont="1" applyBorder="1" applyAlignment="1" applyProtection="1">
      <alignment horizontal="left" vertical="top" wrapText="1"/>
      <protection locked="0"/>
    </xf>
    <xf numFmtId="1" fontId="12" fillId="0" borderId="1" xfId="0" applyNumberFormat="1" applyFont="1" applyBorder="1" applyAlignment="1" applyProtection="1">
      <alignment vertical="top" wrapText="1"/>
      <protection locked="0"/>
    </xf>
    <xf numFmtId="1" fontId="7" fillId="0" borderId="4" xfId="1" applyNumberFormat="1" applyFont="1" applyBorder="1" applyAlignment="1" applyProtection="1">
      <alignment horizontal="center" vertical="center" wrapText="1"/>
      <protection locked="0"/>
    </xf>
    <xf numFmtId="1" fontId="7" fillId="0" borderId="15" xfId="1" applyNumberFormat="1" applyFont="1" applyBorder="1" applyAlignment="1" applyProtection="1">
      <alignment horizontal="center" vertical="center" wrapText="1"/>
      <protection locked="0"/>
    </xf>
    <xf numFmtId="1" fontId="7" fillId="0" borderId="5" xfId="1" applyNumberFormat="1" applyFont="1" applyBorder="1" applyAlignment="1" applyProtection="1">
      <alignment horizontal="center" vertical="center" wrapText="1"/>
      <protection locked="0"/>
    </xf>
    <xf numFmtId="1" fontId="5" fillId="0" borderId="4" xfId="1" applyNumberFormat="1" applyFont="1" applyBorder="1" applyAlignment="1" applyProtection="1">
      <alignment horizontal="center" vertical="center" wrapText="1"/>
      <protection locked="0"/>
    </xf>
    <xf numFmtId="1" fontId="5" fillId="0" borderId="5" xfId="1" applyNumberFormat="1" applyFont="1" applyBorder="1" applyAlignment="1" applyProtection="1">
      <alignment horizontal="center" vertical="center" wrapText="1"/>
      <protection locked="0"/>
    </xf>
    <xf numFmtId="1" fontId="7" fillId="0" borderId="1" xfId="1" applyNumberFormat="1" applyFont="1" applyBorder="1" applyAlignment="1" applyProtection="1">
      <alignment horizontal="center" vertical="center" wrapText="1"/>
      <protection locked="0"/>
    </xf>
    <xf numFmtId="1" fontId="5" fillId="0" borderId="15" xfId="1" applyNumberFormat="1" applyFont="1" applyBorder="1" applyAlignment="1" applyProtection="1">
      <alignment horizontal="center" vertical="center" wrapText="1"/>
      <protection locked="0"/>
    </xf>
    <xf numFmtId="0" fontId="8" fillId="0" borderId="1" xfId="5" applyFont="1" applyBorder="1" applyAlignment="1">
      <alignment horizontal="left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385</xdr:row>
      <xdr:rowOff>17318</xdr:rowOff>
    </xdr:from>
    <xdr:to>
      <xdr:col>6</xdr:col>
      <xdr:colOff>590162</xdr:colOff>
      <xdr:row>401</xdr:row>
      <xdr:rowOff>70772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500" y="61929818"/>
          <a:ext cx="4547367" cy="3240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11</xdr:col>
      <xdr:colOff>163286</xdr:colOff>
      <xdr:row>398</xdr:row>
      <xdr:rowOff>195249</xdr:rowOff>
    </xdr:from>
    <xdr:to>
      <xdr:col>17</xdr:col>
      <xdr:colOff>399224</xdr:colOff>
      <xdr:row>415</xdr:row>
      <xdr:rowOff>49544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293679" y="54025106"/>
          <a:ext cx="4617438" cy="3324117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>
    <xdr:from>
      <xdr:col>13</xdr:col>
      <xdr:colOff>588836</xdr:colOff>
      <xdr:row>405</xdr:row>
      <xdr:rowOff>7153</xdr:rowOff>
    </xdr:from>
    <xdr:to>
      <xdr:col>14</xdr:col>
      <xdr:colOff>571519</xdr:colOff>
      <xdr:row>407</xdr:row>
      <xdr:rowOff>100139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/>
      </xdr:nvSpPr>
      <xdr:spPr>
        <a:xfrm rot="342734">
          <a:off x="11216015" y="55265760"/>
          <a:ext cx="826325" cy="501200"/>
        </a:xfrm>
        <a:prstGeom prst="rect">
          <a:avLst/>
        </a:prstGeom>
        <a:noFill/>
        <a:ln w="28575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 editAs="oneCell">
    <xdr:from>
      <xdr:col>8</xdr:col>
      <xdr:colOff>389659</xdr:colOff>
      <xdr:row>11</xdr:row>
      <xdr:rowOff>121228</xdr:rowOff>
    </xdr:from>
    <xdr:to>
      <xdr:col>12</xdr:col>
      <xdr:colOff>235997</xdr:colOff>
      <xdr:row>13</xdr:row>
      <xdr:rowOff>399100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909954" y="2701637"/>
          <a:ext cx="3171429" cy="676190"/>
        </a:xfrm>
        <a:prstGeom prst="rect">
          <a:avLst/>
        </a:prstGeom>
      </xdr:spPr>
    </xdr:pic>
    <xdr:clientData/>
  </xdr:twoCellAnchor>
  <xdr:twoCellAnchor editAs="oneCell">
    <xdr:from>
      <xdr:col>8</xdr:col>
      <xdr:colOff>1044287</xdr:colOff>
      <xdr:row>91</xdr:row>
      <xdr:rowOff>66675</xdr:rowOff>
    </xdr:from>
    <xdr:to>
      <xdr:col>14</xdr:col>
      <xdr:colOff>563418</xdr:colOff>
      <xdr:row>100</xdr:row>
      <xdr:rowOff>109395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568912" y="19154775"/>
          <a:ext cx="4481656" cy="1836595"/>
        </a:xfrm>
        <a:prstGeom prst="rect">
          <a:avLst/>
        </a:prstGeom>
      </xdr:spPr>
    </xdr:pic>
    <xdr:clientData/>
  </xdr:twoCellAnchor>
  <xdr:twoCellAnchor>
    <xdr:from>
      <xdr:col>0</xdr:col>
      <xdr:colOff>380999</xdr:colOff>
      <xdr:row>401</xdr:row>
      <xdr:rowOff>190500</xdr:rowOff>
    </xdr:from>
    <xdr:to>
      <xdr:col>7</xdr:col>
      <xdr:colOff>462643</xdr:colOff>
      <xdr:row>419</xdr:row>
      <xdr:rowOff>190501</xdr:rowOff>
    </xdr:to>
    <xdr:grpSp>
      <xdr:nvGrpSpPr>
        <xdr:cNvPr id="25" name="Group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GrpSpPr/>
      </xdr:nvGrpSpPr>
      <xdr:grpSpPr>
        <a:xfrm>
          <a:off x="380999" y="81140300"/>
          <a:ext cx="6056994" cy="3543301"/>
          <a:chOff x="228600" y="2133600"/>
          <a:chExt cx="5760000" cy="3982222"/>
        </a:xfrm>
      </xdr:grpSpPr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/>
          <a:srcRect l="21156" t="21354" r="31406" b="20313"/>
          <a:stretch/>
        </xdr:blipFill>
        <xdr:spPr>
          <a:xfrm>
            <a:off x="228600" y="2133600"/>
            <a:ext cx="5760000" cy="3982222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27" name="Rectangle 26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/>
        </xdr:nvSpPr>
        <xdr:spPr>
          <a:xfrm rot="879082">
            <a:off x="2251350" y="2724149"/>
            <a:ext cx="1714500" cy="2533650"/>
          </a:xfrm>
          <a:prstGeom prst="rect">
            <a:avLst/>
          </a:prstGeom>
          <a:noFill/>
          <a:ln w="38100">
            <a:solidFill>
              <a:srgbClr val="FFFF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IN"/>
          </a:p>
        </xdr:txBody>
      </xdr:sp>
    </xdr:grpSp>
    <xdr:clientData/>
  </xdr:twoCellAnchor>
  <xdr:twoCellAnchor>
    <xdr:from>
      <xdr:col>0</xdr:col>
      <xdr:colOff>381000</xdr:colOff>
      <xdr:row>351</xdr:row>
      <xdr:rowOff>28575</xdr:rowOff>
    </xdr:from>
    <xdr:to>
      <xdr:col>7</xdr:col>
      <xdr:colOff>445050</xdr:colOff>
      <xdr:row>372</xdr:row>
      <xdr:rowOff>53544</xdr:rowOff>
    </xdr:to>
    <xdr:grpSp>
      <xdr:nvGrpSpPr>
        <xdr:cNvPr id="29" name="Group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GrpSpPr/>
      </xdr:nvGrpSpPr>
      <xdr:grpSpPr>
        <a:xfrm>
          <a:off x="381000" y="71135875"/>
          <a:ext cx="6039400" cy="4158819"/>
          <a:chOff x="-588651" y="3242929"/>
          <a:chExt cx="5760000" cy="4225494"/>
        </a:xfrm>
      </xdr:grpSpPr>
      <xdr:pic>
        <xdr:nvPicPr>
          <xdr:cNvPr id="30" name="Picture 29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6037" t="10317" r="13439" b="7359"/>
          <a:stretch/>
        </xdr:blipFill>
        <xdr:spPr>
          <a:xfrm rot="16200000">
            <a:off x="178602" y="2475676"/>
            <a:ext cx="4225494" cy="57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31" name="Rectangle 30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/>
        </xdr:nvSpPr>
        <xdr:spPr>
          <a:xfrm>
            <a:off x="1794292" y="4002656"/>
            <a:ext cx="2260123" cy="2553417"/>
          </a:xfrm>
          <a:prstGeom prst="rect">
            <a:avLst/>
          </a:prstGeom>
          <a:noFill/>
          <a:ln w="3810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IN"/>
          </a:p>
        </xdr:txBody>
      </xdr:sp>
      <xdr:sp macro="" textlink="">
        <xdr:nvSpPr>
          <xdr:cNvPr id="32" name="TextBox 3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 txBox="1"/>
        </xdr:nvSpPr>
        <xdr:spPr>
          <a:xfrm>
            <a:off x="2486572" y="3633324"/>
            <a:ext cx="875561" cy="3693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b="1">
                <a:solidFill>
                  <a:srgbClr val="FF0000"/>
                </a:solidFill>
              </a:rPr>
              <a:t>Wing A</a:t>
            </a:r>
            <a:endParaRPr lang="en-IN" b="1">
              <a:solidFill>
                <a:srgbClr val="FF0000"/>
              </a:solidFill>
            </a:endParaRPr>
          </a:p>
        </xdr:txBody>
      </xdr:sp>
    </xdr:grpSp>
    <xdr:clientData/>
  </xdr:twoCellAnchor>
  <xdr:twoCellAnchor editAs="oneCell">
    <xdr:from>
      <xdr:col>10</xdr:col>
      <xdr:colOff>190500</xdr:colOff>
      <xdr:row>35</xdr:row>
      <xdr:rowOff>165100</xdr:rowOff>
    </xdr:from>
    <xdr:to>
      <xdr:col>16</xdr:col>
      <xdr:colOff>190550</xdr:colOff>
      <xdr:row>52</xdr:row>
      <xdr:rowOff>67998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055100" y="8312150"/>
          <a:ext cx="4680000" cy="430344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9</xdr:col>
      <xdr:colOff>501650</xdr:colOff>
      <xdr:row>55</xdr:row>
      <xdr:rowOff>171450</xdr:rowOff>
    </xdr:from>
    <xdr:to>
      <xdr:col>13</xdr:col>
      <xdr:colOff>282850</xdr:colOff>
      <xdr:row>63</xdr:row>
      <xdr:rowOff>140500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566150" y="12706350"/>
          <a:ext cx="2880000" cy="1728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9</xdr:col>
      <xdr:colOff>0</xdr:colOff>
      <xdr:row>306</xdr:row>
      <xdr:rowOff>0</xdr:rowOff>
    </xdr:from>
    <xdr:to>
      <xdr:col>10</xdr:col>
      <xdr:colOff>117932</xdr:colOff>
      <xdr:row>307</xdr:row>
      <xdr:rowOff>166654</xdr:rowOff>
    </xdr:to>
    <xdr:sp macro="" textlink="">
      <xdr:nvSpPr>
        <xdr:cNvPr id="23" name="TextBox 3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/>
      </xdr:nvSpPr>
      <xdr:spPr>
        <a:xfrm>
          <a:off x="8064500" y="60845700"/>
          <a:ext cx="918032" cy="363504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 b="0" cap="none" spc="0">
              <a:ln w="0"/>
              <a:solidFill>
                <a:sysClr val="windowText" lastClr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Wing A</a:t>
          </a:r>
          <a:endParaRPr lang="en-IN" sz="14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twoCellAnchor>
  <xdr:twoCellAnchor>
    <xdr:from>
      <xdr:col>0</xdr:col>
      <xdr:colOff>165100</xdr:colOff>
      <xdr:row>307</xdr:row>
      <xdr:rowOff>95250</xdr:rowOff>
    </xdr:from>
    <xdr:to>
      <xdr:col>7</xdr:col>
      <xdr:colOff>684485</xdr:colOff>
      <xdr:row>338</xdr:row>
      <xdr:rowOff>126384</xdr:rowOff>
    </xdr:to>
    <xdr:grpSp>
      <xdr:nvGrpSpPr>
        <xdr:cNvPr id="6" name="Group 5"/>
        <xdr:cNvGrpSpPr/>
      </xdr:nvGrpSpPr>
      <xdr:grpSpPr>
        <a:xfrm>
          <a:off x="165100" y="62547500"/>
          <a:ext cx="6494735" cy="6127134"/>
          <a:chOff x="165100" y="62547500"/>
          <a:chExt cx="6494735" cy="6127134"/>
        </a:xfrm>
      </xdr:grpSpPr>
      <xdr:pic>
        <xdr:nvPicPr>
          <xdr:cNvPr id="28" name="Picture 27"/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5122438" y="66622634"/>
            <a:ext cx="1537397" cy="2052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3" name="Picture 32"/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65100" y="66622634"/>
            <a:ext cx="1537397" cy="2052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4" name="Picture 33"/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538777" y="62547500"/>
            <a:ext cx="2966907" cy="39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5" name="Picture 34"/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828606" y="66622634"/>
            <a:ext cx="1537397" cy="2052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6" name="Picture 35"/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71930" y="66622634"/>
            <a:ext cx="1537397" cy="2052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7" name="Picture 36"/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04815" y="62547500"/>
            <a:ext cx="2966907" cy="396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7" Type="http://schemas.openxmlformats.org/officeDocument/2006/relationships/comments" Target="../comments1.xml"/><Relationship Id="rId2" Type="http://schemas.openxmlformats.org/officeDocument/2006/relationships/hyperlink" Target="https://phoenix-tanshiq.com/" TargetMode="External"/><Relationship Id="rId1" Type="http://schemas.openxmlformats.org/officeDocument/2006/relationships/hyperlink" Target="https://maps.app.goo.gl/hUJVxtX3MmjoPJZYA" TargetMode="External"/><Relationship Id="rId6" Type="http://schemas.openxmlformats.org/officeDocument/2006/relationships/vmlDrawing" Target="../drawings/vmlDrawing2.v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T427"/>
  <sheetViews>
    <sheetView tabSelected="1" view="pageBreakPreview" zoomScaleNormal="100" zoomScaleSheetLayoutView="100" workbookViewId="0">
      <selection activeCell="E9" sqref="E9:H9"/>
    </sheetView>
  </sheetViews>
  <sheetFormatPr defaultColWidth="9.1796875" defaultRowHeight="15.5" x14ac:dyDescent="0.35"/>
  <cols>
    <col min="1" max="1" width="11.453125" style="35" customWidth="1"/>
    <col min="2" max="2" width="12" style="35" customWidth="1"/>
    <col min="3" max="3" width="12.7265625" style="35" customWidth="1"/>
    <col min="4" max="4" width="14.1796875" style="35" customWidth="1"/>
    <col min="5" max="7" width="11.7265625" style="35" customWidth="1"/>
    <col min="8" max="8" width="12.453125" style="35" customWidth="1"/>
    <col min="9" max="9" width="17.453125" style="16" customWidth="1"/>
    <col min="10" max="10" width="11.453125" style="16" customWidth="1"/>
    <col min="11" max="11" width="10.54296875" style="16" bestFit="1" customWidth="1"/>
    <col min="12" max="12" width="10.54296875" style="16" customWidth="1"/>
    <col min="13" max="13" width="11.81640625" style="16" customWidth="1"/>
    <col min="14" max="14" width="12.54296875" style="16" customWidth="1"/>
    <col min="15" max="15" width="9.81640625" style="16" customWidth="1"/>
    <col min="16" max="16" width="11.7265625" style="16" customWidth="1"/>
    <col min="17" max="247" width="9.1796875" style="16"/>
    <col min="248" max="248" width="8.7265625" style="16" customWidth="1"/>
    <col min="249" max="249" width="9.81640625" style="16" customWidth="1"/>
    <col min="250" max="250" width="14.453125" style="16" customWidth="1"/>
    <col min="251" max="251" width="7.26953125" style="16" customWidth="1"/>
    <col min="252" max="252" width="5.54296875" style="16" customWidth="1"/>
    <col min="253" max="253" width="9" style="16" customWidth="1"/>
    <col min="254" max="255" width="9.81640625" style="16" customWidth="1"/>
    <col min="256" max="256" width="11.1796875" style="16" customWidth="1"/>
    <col min="257" max="257" width="2.81640625" style="16" customWidth="1"/>
    <col min="258" max="258" width="3.54296875" style="16" customWidth="1"/>
    <col min="259" max="503" width="9.1796875" style="16"/>
    <col min="504" max="504" width="8.7265625" style="16" customWidth="1"/>
    <col min="505" max="505" width="9.81640625" style="16" customWidth="1"/>
    <col min="506" max="506" width="14.453125" style="16" customWidth="1"/>
    <col min="507" max="507" width="7.26953125" style="16" customWidth="1"/>
    <col min="508" max="508" width="5.54296875" style="16" customWidth="1"/>
    <col min="509" max="509" width="9" style="16" customWidth="1"/>
    <col min="510" max="511" width="9.81640625" style="16" customWidth="1"/>
    <col min="512" max="512" width="11.1796875" style="16" customWidth="1"/>
    <col min="513" max="513" width="2.81640625" style="16" customWidth="1"/>
    <col min="514" max="514" width="3.54296875" style="16" customWidth="1"/>
    <col min="515" max="759" width="9.1796875" style="16"/>
    <col min="760" max="760" width="8.7265625" style="16" customWidth="1"/>
    <col min="761" max="761" width="9.81640625" style="16" customWidth="1"/>
    <col min="762" max="762" width="14.453125" style="16" customWidth="1"/>
    <col min="763" max="763" width="7.26953125" style="16" customWidth="1"/>
    <col min="764" max="764" width="5.54296875" style="16" customWidth="1"/>
    <col min="765" max="765" width="9" style="16" customWidth="1"/>
    <col min="766" max="767" width="9.81640625" style="16" customWidth="1"/>
    <col min="768" max="768" width="11.1796875" style="16" customWidth="1"/>
    <col min="769" max="769" width="2.81640625" style="16" customWidth="1"/>
    <col min="770" max="770" width="3.54296875" style="16" customWidth="1"/>
    <col min="771" max="1015" width="9.1796875" style="16"/>
    <col min="1016" max="1016" width="8.7265625" style="16" customWidth="1"/>
    <col min="1017" max="1017" width="9.81640625" style="16" customWidth="1"/>
    <col min="1018" max="1018" width="14.453125" style="16" customWidth="1"/>
    <col min="1019" max="1019" width="7.26953125" style="16" customWidth="1"/>
    <col min="1020" max="1020" width="5.54296875" style="16" customWidth="1"/>
    <col min="1021" max="1021" width="9" style="16" customWidth="1"/>
    <col min="1022" max="1023" width="9.81640625" style="16" customWidth="1"/>
    <col min="1024" max="1024" width="11.1796875" style="16" customWidth="1"/>
    <col min="1025" max="1025" width="2.81640625" style="16" customWidth="1"/>
    <col min="1026" max="1026" width="3.54296875" style="16" customWidth="1"/>
    <col min="1027" max="1271" width="9.1796875" style="16"/>
    <col min="1272" max="1272" width="8.7265625" style="16" customWidth="1"/>
    <col min="1273" max="1273" width="9.81640625" style="16" customWidth="1"/>
    <col min="1274" max="1274" width="14.453125" style="16" customWidth="1"/>
    <col min="1275" max="1275" width="7.26953125" style="16" customWidth="1"/>
    <col min="1276" max="1276" width="5.54296875" style="16" customWidth="1"/>
    <col min="1277" max="1277" width="9" style="16" customWidth="1"/>
    <col min="1278" max="1279" width="9.81640625" style="16" customWidth="1"/>
    <col min="1280" max="1280" width="11.1796875" style="16" customWidth="1"/>
    <col min="1281" max="1281" width="2.81640625" style="16" customWidth="1"/>
    <col min="1282" max="1282" width="3.54296875" style="16" customWidth="1"/>
    <col min="1283" max="1527" width="9.1796875" style="16"/>
    <col min="1528" max="1528" width="8.7265625" style="16" customWidth="1"/>
    <col min="1529" max="1529" width="9.81640625" style="16" customWidth="1"/>
    <col min="1530" max="1530" width="14.453125" style="16" customWidth="1"/>
    <col min="1531" max="1531" width="7.26953125" style="16" customWidth="1"/>
    <col min="1532" max="1532" width="5.54296875" style="16" customWidth="1"/>
    <col min="1533" max="1533" width="9" style="16" customWidth="1"/>
    <col min="1534" max="1535" width="9.81640625" style="16" customWidth="1"/>
    <col min="1536" max="1536" width="11.1796875" style="16" customWidth="1"/>
    <col min="1537" max="1537" width="2.81640625" style="16" customWidth="1"/>
    <col min="1538" max="1538" width="3.54296875" style="16" customWidth="1"/>
    <col min="1539" max="1783" width="9.1796875" style="16"/>
    <col min="1784" max="1784" width="8.7265625" style="16" customWidth="1"/>
    <col min="1785" max="1785" width="9.81640625" style="16" customWidth="1"/>
    <col min="1786" max="1786" width="14.453125" style="16" customWidth="1"/>
    <col min="1787" max="1787" width="7.26953125" style="16" customWidth="1"/>
    <col min="1788" max="1788" width="5.54296875" style="16" customWidth="1"/>
    <col min="1789" max="1789" width="9" style="16" customWidth="1"/>
    <col min="1790" max="1791" width="9.81640625" style="16" customWidth="1"/>
    <col min="1792" max="1792" width="11.1796875" style="16" customWidth="1"/>
    <col min="1793" max="1793" width="2.81640625" style="16" customWidth="1"/>
    <col min="1794" max="1794" width="3.54296875" style="16" customWidth="1"/>
    <col min="1795" max="2039" width="9.1796875" style="16"/>
    <col min="2040" max="2040" width="8.7265625" style="16" customWidth="1"/>
    <col min="2041" max="2041" width="9.81640625" style="16" customWidth="1"/>
    <col min="2042" max="2042" width="14.453125" style="16" customWidth="1"/>
    <col min="2043" max="2043" width="7.26953125" style="16" customWidth="1"/>
    <col min="2044" max="2044" width="5.54296875" style="16" customWidth="1"/>
    <col min="2045" max="2045" width="9" style="16" customWidth="1"/>
    <col min="2046" max="2047" width="9.81640625" style="16" customWidth="1"/>
    <col min="2048" max="2048" width="11.1796875" style="16" customWidth="1"/>
    <col min="2049" max="2049" width="2.81640625" style="16" customWidth="1"/>
    <col min="2050" max="2050" width="3.54296875" style="16" customWidth="1"/>
    <col min="2051" max="2295" width="9.1796875" style="16"/>
    <col min="2296" max="2296" width="8.7265625" style="16" customWidth="1"/>
    <col min="2297" max="2297" width="9.81640625" style="16" customWidth="1"/>
    <col min="2298" max="2298" width="14.453125" style="16" customWidth="1"/>
    <col min="2299" max="2299" width="7.26953125" style="16" customWidth="1"/>
    <col min="2300" max="2300" width="5.54296875" style="16" customWidth="1"/>
    <col min="2301" max="2301" width="9" style="16" customWidth="1"/>
    <col min="2302" max="2303" width="9.81640625" style="16" customWidth="1"/>
    <col min="2304" max="2304" width="11.1796875" style="16" customWidth="1"/>
    <col min="2305" max="2305" width="2.81640625" style="16" customWidth="1"/>
    <col min="2306" max="2306" width="3.54296875" style="16" customWidth="1"/>
    <col min="2307" max="2551" width="9.1796875" style="16"/>
    <col min="2552" max="2552" width="8.7265625" style="16" customWidth="1"/>
    <col min="2553" max="2553" width="9.81640625" style="16" customWidth="1"/>
    <col min="2554" max="2554" width="14.453125" style="16" customWidth="1"/>
    <col min="2555" max="2555" width="7.26953125" style="16" customWidth="1"/>
    <col min="2556" max="2556" width="5.54296875" style="16" customWidth="1"/>
    <col min="2557" max="2557" width="9" style="16" customWidth="1"/>
    <col min="2558" max="2559" width="9.81640625" style="16" customWidth="1"/>
    <col min="2560" max="2560" width="11.1796875" style="16" customWidth="1"/>
    <col min="2561" max="2561" width="2.81640625" style="16" customWidth="1"/>
    <col min="2562" max="2562" width="3.54296875" style="16" customWidth="1"/>
    <col min="2563" max="2807" width="9.1796875" style="16"/>
    <col min="2808" max="2808" width="8.7265625" style="16" customWidth="1"/>
    <col min="2809" max="2809" width="9.81640625" style="16" customWidth="1"/>
    <col min="2810" max="2810" width="14.453125" style="16" customWidth="1"/>
    <col min="2811" max="2811" width="7.26953125" style="16" customWidth="1"/>
    <col min="2812" max="2812" width="5.54296875" style="16" customWidth="1"/>
    <col min="2813" max="2813" width="9" style="16" customWidth="1"/>
    <col min="2814" max="2815" width="9.81640625" style="16" customWidth="1"/>
    <col min="2816" max="2816" width="11.1796875" style="16" customWidth="1"/>
    <col min="2817" max="2817" width="2.81640625" style="16" customWidth="1"/>
    <col min="2818" max="2818" width="3.54296875" style="16" customWidth="1"/>
    <col min="2819" max="3063" width="9.1796875" style="16"/>
    <col min="3064" max="3064" width="8.7265625" style="16" customWidth="1"/>
    <col min="3065" max="3065" width="9.81640625" style="16" customWidth="1"/>
    <col min="3066" max="3066" width="14.453125" style="16" customWidth="1"/>
    <col min="3067" max="3067" width="7.26953125" style="16" customWidth="1"/>
    <col min="3068" max="3068" width="5.54296875" style="16" customWidth="1"/>
    <col min="3069" max="3069" width="9" style="16" customWidth="1"/>
    <col min="3070" max="3071" width="9.81640625" style="16" customWidth="1"/>
    <col min="3072" max="3072" width="11.1796875" style="16" customWidth="1"/>
    <col min="3073" max="3073" width="2.81640625" style="16" customWidth="1"/>
    <col min="3074" max="3074" width="3.54296875" style="16" customWidth="1"/>
    <col min="3075" max="3319" width="9.1796875" style="16"/>
    <col min="3320" max="3320" width="8.7265625" style="16" customWidth="1"/>
    <col min="3321" max="3321" width="9.81640625" style="16" customWidth="1"/>
    <col min="3322" max="3322" width="14.453125" style="16" customWidth="1"/>
    <col min="3323" max="3323" width="7.26953125" style="16" customWidth="1"/>
    <col min="3324" max="3324" width="5.54296875" style="16" customWidth="1"/>
    <col min="3325" max="3325" width="9" style="16" customWidth="1"/>
    <col min="3326" max="3327" width="9.81640625" style="16" customWidth="1"/>
    <col min="3328" max="3328" width="11.1796875" style="16" customWidth="1"/>
    <col min="3329" max="3329" width="2.81640625" style="16" customWidth="1"/>
    <col min="3330" max="3330" width="3.54296875" style="16" customWidth="1"/>
    <col min="3331" max="3575" width="9.1796875" style="16"/>
    <col min="3576" max="3576" width="8.7265625" style="16" customWidth="1"/>
    <col min="3577" max="3577" width="9.81640625" style="16" customWidth="1"/>
    <col min="3578" max="3578" width="14.453125" style="16" customWidth="1"/>
    <col min="3579" max="3579" width="7.26953125" style="16" customWidth="1"/>
    <col min="3580" max="3580" width="5.54296875" style="16" customWidth="1"/>
    <col min="3581" max="3581" width="9" style="16" customWidth="1"/>
    <col min="3582" max="3583" width="9.81640625" style="16" customWidth="1"/>
    <col min="3584" max="3584" width="11.1796875" style="16" customWidth="1"/>
    <col min="3585" max="3585" width="2.81640625" style="16" customWidth="1"/>
    <col min="3586" max="3586" width="3.54296875" style="16" customWidth="1"/>
    <col min="3587" max="3831" width="9.1796875" style="16"/>
    <col min="3832" max="3832" width="8.7265625" style="16" customWidth="1"/>
    <col min="3833" max="3833" width="9.81640625" style="16" customWidth="1"/>
    <col min="3834" max="3834" width="14.453125" style="16" customWidth="1"/>
    <col min="3835" max="3835" width="7.26953125" style="16" customWidth="1"/>
    <col min="3836" max="3836" width="5.54296875" style="16" customWidth="1"/>
    <col min="3837" max="3837" width="9" style="16" customWidth="1"/>
    <col min="3838" max="3839" width="9.81640625" style="16" customWidth="1"/>
    <col min="3840" max="3840" width="11.1796875" style="16" customWidth="1"/>
    <col min="3841" max="3841" width="2.81640625" style="16" customWidth="1"/>
    <col min="3842" max="3842" width="3.54296875" style="16" customWidth="1"/>
    <col min="3843" max="4087" width="9.1796875" style="16"/>
    <col min="4088" max="4088" width="8.7265625" style="16" customWidth="1"/>
    <col min="4089" max="4089" width="9.81640625" style="16" customWidth="1"/>
    <col min="4090" max="4090" width="14.453125" style="16" customWidth="1"/>
    <col min="4091" max="4091" width="7.26953125" style="16" customWidth="1"/>
    <col min="4092" max="4092" width="5.54296875" style="16" customWidth="1"/>
    <col min="4093" max="4093" width="9" style="16" customWidth="1"/>
    <col min="4094" max="4095" width="9.81640625" style="16" customWidth="1"/>
    <col min="4096" max="4096" width="11.1796875" style="16" customWidth="1"/>
    <col min="4097" max="4097" width="2.81640625" style="16" customWidth="1"/>
    <col min="4098" max="4098" width="3.54296875" style="16" customWidth="1"/>
    <col min="4099" max="4343" width="9.1796875" style="16"/>
    <col min="4344" max="4344" width="8.7265625" style="16" customWidth="1"/>
    <col min="4345" max="4345" width="9.81640625" style="16" customWidth="1"/>
    <col min="4346" max="4346" width="14.453125" style="16" customWidth="1"/>
    <col min="4347" max="4347" width="7.26953125" style="16" customWidth="1"/>
    <col min="4348" max="4348" width="5.54296875" style="16" customWidth="1"/>
    <col min="4349" max="4349" width="9" style="16" customWidth="1"/>
    <col min="4350" max="4351" width="9.81640625" style="16" customWidth="1"/>
    <col min="4352" max="4352" width="11.1796875" style="16" customWidth="1"/>
    <col min="4353" max="4353" width="2.81640625" style="16" customWidth="1"/>
    <col min="4354" max="4354" width="3.54296875" style="16" customWidth="1"/>
    <col min="4355" max="4599" width="9.1796875" style="16"/>
    <col min="4600" max="4600" width="8.7265625" style="16" customWidth="1"/>
    <col min="4601" max="4601" width="9.81640625" style="16" customWidth="1"/>
    <col min="4602" max="4602" width="14.453125" style="16" customWidth="1"/>
    <col min="4603" max="4603" width="7.26953125" style="16" customWidth="1"/>
    <col min="4604" max="4604" width="5.54296875" style="16" customWidth="1"/>
    <col min="4605" max="4605" width="9" style="16" customWidth="1"/>
    <col min="4606" max="4607" width="9.81640625" style="16" customWidth="1"/>
    <col min="4608" max="4608" width="11.1796875" style="16" customWidth="1"/>
    <col min="4609" max="4609" width="2.81640625" style="16" customWidth="1"/>
    <col min="4610" max="4610" width="3.54296875" style="16" customWidth="1"/>
    <col min="4611" max="4855" width="9.1796875" style="16"/>
    <col min="4856" max="4856" width="8.7265625" style="16" customWidth="1"/>
    <col min="4857" max="4857" width="9.81640625" style="16" customWidth="1"/>
    <col min="4858" max="4858" width="14.453125" style="16" customWidth="1"/>
    <col min="4859" max="4859" width="7.26953125" style="16" customWidth="1"/>
    <col min="4860" max="4860" width="5.54296875" style="16" customWidth="1"/>
    <col min="4861" max="4861" width="9" style="16" customWidth="1"/>
    <col min="4862" max="4863" width="9.81640625" style="16" customWidth="1"/>
    <col min="4864" max="4864" width="11.1796875" style="16" customWidth="1"/>
    <col min="4865" max="4865" width="2.81640625" style="16" customWidth="1"/>
    <col min="4866" max="4866" width="3.54296875" style="16" customWidth="1"/>
    <col min="4867" max="5111" width="9.1796875" style="16"/>
    <col min="5112" max="5112" width="8.7265625" style="16" customWidth="1"/>
    <col min="5113" max="5113" width="9.81640625" style="16" customWidth="1"/>
    <col min="5114" max="5114" width="14.453125" style="16" customWidth="1"/>
    <col min="5115" max="5115" width="7.26953125" style="16" customWidth="1"/>
    <col min="5116" max="5116" width="5.54296875" style="16" customWidth="1"/>
    <col min="5117" max="5117" width="9" style="16" customWidth="1"/>
    <col min="5118" max="5119" width="9.81640625" style="16" customWidth="1"/>
    <col min="5120" max="5120" width="11.1796875" style="16" customWidth="1"/>
    <col min="5121" max="5121" width="2.81640625" style="16" customWidth="1"/>
    <col min="5122" max="5122" width="3.54296875" style="16" customWidth="1"/>
    <col min="5123" max="5367" width="9.1796875" style="16"/>
    <col min="5368" max="5368" width="8.7265625" style="16" customWidth="1"/>
    <col min="5369" max="5369" width="9.81640625" style="16" customWidth="1"/>
    <col min="5370" max="5370" width="14.453125" style="16" customWidth="1"/>
    <col min="5371" max="5371" width="7.26953125" style="16" customWidth="1"/>
    <col min="5372" max="5372" width="5.54296875" style="16" customWidth="1"/>
    <col min="5373" max="5373" width="9" style="16" customWidth="1"/>
    <col min="5374" max="5375" width="9.81640625" style="16" customWidth="1"/>
    <col min="5376" max="5376" width="11.1796875" style="16" customWidth="1"/>
    <col min="5377" max="5377" width="2.81640625" style="16" customWidth="1"/>
    <col min="5378" max="5378" width="3.54296875" style="16" customWidth="1"/>
    <col min="5379" max="5623" width="9.1796875" style="16"/>
    <col min="5624" max="5624" width="8.7265625" style="16" customWidth="1"/>
    <col min="5625" max="5625" width="9.81640625" style="16" customWidth="1"/>
    <col min="5626" max="5626" width="14.453125" style="16" customWidth="1"/>
    <col min="5627" max="5627" width="7.26953125" style="16" customWidth="1"/>
    <col min="5628" max="5628" width="5.54296875" style="16" customWidth="1"/>
    <col min="5629" max="5629" width="9" style="16" customWidth="1"/>
    <col min="5630" max="5631" width="9.81640625" style="16" customWidth="1"/>
    <col min="5632" max="5632" width="11.1796875" style="16" customWidth="1"/>
    <col min="5633" max="5633" width="2.81640625" style="16" customWidth="1"/>
    <col min="5634" max="5634" width="3.54296875" style="16" customWidth="1"/>
    <col min="5635" max="5879" width="9.1796875" style="16"/>
    <col min="5880" max="5880" width="8.7265625" style="16" customWidth="1"/>
    <col min="5881" max="5881" width="9.81640625" style="16" customWidth="1"/>
    <col min="5882" max="5882" width="14.453125" style="16" customWidth="1"/>
    <col min="5883" max="5883" width="7.26953125" style="16" customWidth="1"/>
    <col min="5884" max="5884" width="5.54296875" style="16" customWidth="1"/>
    <col min="5885" max="5885" width="9" style="16" customWidth="1"/>
    <col min="5886" max="5887" width="9.81640625" style="16" customWidth="1"/>
    <col min="5888" max="5888" width="11.1796875" style="16" customWidth="1"/>
    <col min="5889" max="5889" width="2.81640625" style="16" customWidth="1"/>
    <col min="5890" max="5890" width="3.54296875" style="16" customWidth="1"/>
    <col min="5891" max="6135" width="9.1796875" style="16"/>
    <col min="6136" max="6136" width="8.7265625" style="16" customWidth="1"/>
    <col min="6137" max="6137" width="9.81640625" style="16" customWidth="1"/>
    <col min="6138" max="6138" width="14.453125" style="16" customWidth="1"/>
    <col min="6139" max="6139" width="7.26953125" style="16" customWidth="1"/>
    <col min="6140" max="6140" width="5.54296875" style="16" customWidth="1"/>
    <col min="6141" max="6141" width="9" style="16" customWidth="1"/>
    <col min="6142" max="6143" width="9.81640625" style="16" customWidth="1"/>
    <col min="6144" max="6144" width="11.1796875" style="16" customWidth="1"/>
    <col min="6145" max="6145" width="2.81640625" style="16" customWidth="1"/>
    <col min="6146" max="6146" width="3.54296875" style="16" customWidth="1"/>
    <col min="6147" max="6391" width="9.1796875" style="16"/>
    <col min="6392" max="6392" width="8.7265625" style="16" customWidth="1"/>
    <col min="6393" max="6393" width="9.81640625" style="16" customWidth="1"/>
    <col min="6394" max="6394" width="14.453125" style="16" customWidth="1"/>
    <col min="6395" max="6395" width="7.26953125" style="16" customWidth="1"/>
    <col min="6396" max="6396" width="5.54296875" style="16" customWidth="1"/>
    <col min="6397" max="6397" width="9" style="16" customWidth="1"/>
    <col min="6398" max="6399" width="9.81640625" style="16" customWidth="1"/>
    <col min="6400" max="6400" width="11.1796875" style="16" customWidth="1"/>
    <col min="6401" max="6401" width="2.81640625" style="16" customWidth="1"/>
    <col min="6402" max="6402" width="3.54296875" style="16" customWidth="1"/>
    <col min="6403" max="6647" width="9.1796875" style="16"/>
    <col min="6648" max="6648" width="8.7265625" style="16" customWidth="1"/>
    <col min="6649" max="6649" width="9.81640625" style="16" customWidth="1"/>
    <col min="6650" max="6650" width="14.453125" style="16" customWidth="1"/>
    <col min="6651" max="6651" width="7.26953125" style="16" customWidth="1"/>
    <col min="6652" max="6652" width="5.54296875" style="16" customWidth="1"/>
    <col min="6653" max="6653" width="9" style="16" customWidth="1"/>
    <col min="6654" max="6655" width="9.81640625" style="16" customWidth="1"/>
    <col min="6656" max="6656" width="11.1796875" style="16" customWidth="1"/>
    <col min="6657" max="6657" width="2.81640625" style="16" customWidth="1"/>
    <col min="6658" max="6658" width="3.54296875" style="16" customWidth="1"/>
    <col min="6659" max="6903" width="9.1796875" style="16"/>
    <col min="6904" max="6904" width="8.7265625" style="16" customWidth="1"/>
    <col min="6905" max="6905" width="9.81640625" style="16" customWidth="1"/>
    <col min="6906" max="6906" width="14.453125" style="16" customWidth="1"/>
    <col min="6907" max="6907" width="7.26953125" style="16" customWidth="1"/>
    <col min="6908" max="6908" width="5.54296875" style="16" customWidth="1"/>
    <col min="6909" max="6909" width="9" style="16" customWidth="1"/>
    <col min="6910" max="6911" width="9.81640625" style="16" customWidth="1"/>
    <col min="6912" max="6912" width="11.1796875" style="16" customWidth="1"/>
    <col min="6913" max="6913" width="2.81640625" style="16" customWidth="1"/>
    <col min="6914" max="6914" width="3.54296875" style="16" customWidth="1"/>
    <col min="6915" max="7159" width="9.1796875" style="16"/>
    <col min="7160" max="7160" width="8.7265625" style="16" customWidth="1"/>
    <col min="7161" max="7161" width="9.81640625" style="16" customWidth="1"/>
    <col min="7162" max="7162" width="14.453125" style="16" customWidth="1"/>
    <col min="7163" max="7163" width="7.26953125" style="16" customWidth="1"/>
    <col min="7164" max="7164" width="5.54296875" style="16" customWidth="1"/>
    <col min="7165" max="7165" width="9" style="16" customWidth="1"/>
    <col min="7166" max="7167" width="9.81640625" style="16" customWidth="1"/>
    <col min="7168" max="7168" width="11.1796875" style="16" customWidth="1"/>
    <col min="7169" max="7169" width="2.81640625" style="16" customWidth="1"/>
    <col min="7170" max="7170" width="3.54296875" style="16" customWidth="1"/>
    <col min="7171" max="7415" width="9.1796875" style="16"/>
    <col min="7416" max="7416" width="8.7265625" style="16" customWidth="1"/>
    <col min="7417" max="7417" width="9.81640625" style="16" customWidth="1"/>
    <col min="7418" max="7418" width="14.453125" style="16" customWidth="1"/>
    <col min="7419" max="7419" width="7.26953125" style="16" customWidth="1"/>
    <col min="7420" max="7420" width="5.54296875" style="16" customWidth="1"/>
    <col min="7421" max="7421" width="9" style="16" customWidth="1"/>
    <col min="7422" max="7423" width="9.81640625" style="16" customWidth="1"/>
    <col min="7424" max="7424" width="11.1796875" style="16" customWidth="1"/>
    <col min="7425" max="7425" width="2.81640625" style="16" customWidth="1"/>
    <col min="7426" max="7426" width="3.54296875" style="16" customWidth="1"/>
    <col min="7427" max="7671" width="9.1796875" style="16"/>
    <col min="7672" max="7672" width="8.7265625" style="16" customWidth="1"/>
    <col min="7673" max="7673" width="9.81640625" style="16" customWidth="1"/>
    <col min="7674" max="7674" width="14.453125" style="16" customWidth="1"/>
    <col min="7675" max="7675" width="7.26953125" style="16" customWidth="1"/>
    <col min="7676" max="7676" width="5.54296875" style="16" customWidth="1"/>
    <col min="7677" max="7677" width="9" style="16" customWidth="1"/>
    <col min="7678" max="7679" width="9.81640625" style="16" customWidth="1"/>
    <col min="7680" max="7680" width="11.1796875" style="16" customWidth="1"/>
    <col min="7681" max="7681" width="2.81640625" style="16" customWidth="1"/>
    <col min="7682" max="7682" width="3.54296875" style="16" customWidth="1"/>
    <col min="7683" max="7927" width="9.1796875" style="16"/>
    <col min="7928" max="7928" width="8.7265625" style="16" customWidth="1"/>
    <col min="7929" max="7929" width="9.81640625" style="16" customWidth="1"/>
    <col min="7930" max="7930" width="14.453125" style="16" customWidth="1"/>
    <col min="7931" max="7931" width="7.26953125" style="16" customWidth="1"/>
    <col min="7932" max="7932" width="5.54296875" style="16" customWidth="1"/>
    <col min="7933" max="7933" width="9" style="16" customWidth="1"/>
    <col min="7934" max="7935" width="9.81640625" style="16" customWidth="1"/>
    <col min="7936" max="7936" width="11.1796875" style="16" customWidth="1"/>
    <col min="7937" max="7937" width="2.81640625" style="16" customWidth="1"/>
    <col min="7938" max="7938" width="3.54296875" style="16" customWidth="1"/>
    <col min="7939" max="8183" width="9.1796875" style="16"/>
    <col min="8184" max="8184" width="8.7265625" style="16" customWidth="1"/>
    <col min="8185" max="8185" width="9.81640625" style="16" customWidth="1"/>
    <col min="8186" max="8186" width="14.453125" style="16" customWidth="1"/>
    <col min="8187" max="8187" width="7.26953125" style="16" customWidth="1"/>
    <col min="8188" max="8188" width="5.54296875" style="16" customWidth="1"/>
    <col min="8189" max="8189" width="9" style="16" customWidth="1"/>
    <col min="8190" max="8191" width="9.81640625" style="16" customWidth="1"/>
    <col min="8192" max="8192" width="11.1796875" style="16" customWidth="1"/>
    <col min="8193" max="8193" width="2.81640625" style="16" customWidth="1"/>
    <col min="8194" max="8194" width="3.54296875" style="16" customWidth="1"/>
    <col min="8195" max="8439" width="9.1796875" style="16"/>
    <col min="8440" max="8440" width="8.7265625" style="16" customWidth="1"/>
    <col min="8441" max="8441" width="9.81640625" style="16" customWidth="1"/>
    <col min="8442" max="8442" width="14.453125" style="16" customWidth="1"/>
    <col min="8443" max="8443" width="7.26953125" style="16" customWidth="1"/>
    <col min="8444" max="8444" width="5.54296875" style="16" customWidth="1"/>
    <col min="8445" max="8445" width="9" style="16" customWidth="1"/>
    <col min="8446" max="8447" width="9.81640625" style="16" customWidth="1"/>
    <col min="8448" max="8448" width="11.1796875" style="16" customWidth="1"/>
    <col min="8449" max="8449" width="2.81640625" style="16" customWidth="1"/>
    <col min="8450" max="8450" width="3.54296875" style="16" customWidth="1"/>
    <col min="8451" max="8695" width="9.1796875" style="16"/>
    <col min="8696" max="8696" width="8.7265625" style="16" customWidth="1"/>
    <col min="8697" max="8697" width="9.81640625" style="16" customWidth="1"/>
    <col min="8698" max="8698" width="14.453125" style="16" customWidth="1"/>
    <col min="8699" max="8699" width="7.26953125" style="16" customWidth="1"/>
    <col min="8700" max="8700" width="5.54296875" style="16" customWidth="1"/>
    <col min="8701" max="8701" width="9" style="16" customWidth="1"/>
    <col min="8702" max="8703" width="9.81640625" style="16" customWidth="1"/>
    <col min="8704" max="8704" width="11.1796875" style="16" customWidth="1"/>
    <col min="8705" max="8705" width="2.81640625" style="16" customWidth="1"/>
    <col min="8706" max="8706" width="3.54296875" style="16" customWidth="1"/>
    <col min="8707" max="8951" width="9.1796875" style="16"/>
    <col min="8952" max="8952" width="8.7265625" style="16" customWidth="1"/>
    <col min="8953" max="8953" width="9.81640625" style="16" customWidth="1"/>
    <col min="8954" max="8954" width="14.453125" style="16" customWidth="1"/>
    <col min="8955" max="8955" width="7.26953125" style="16" customWidth="1"/>
    <col min="8956" max="8956" width="5.54296875" style="16" customWidth="1"/>
    <col min="8957" max="8957" width="9" style="16" customWidth="1"/>
    <col min="8958" max="8959" width="9.81640625" style="16" customWidth="1"/>
    <col min="8960" max="8960" width="11.1796875" style="16" customWidth="1"/>
    <col min="8961" max="8961" width="2.81640625" style="16" customWidth="1"/>
    <col min="8962" max="8962" width="3.54296875" style="16" customWidth="1"/>
    <col min="8963" max="9207" width="9.1796875" style="16"/>
    <col min="9208" max="9208" width="8.7265625" style="16" customWidth="1"/>
    <col min="9209" max="9209" width="9.81640625" style="16" customWidth="1"/>
    <col min="9210" max="9210" width="14.453125" style="16" customWidth="1"/>
    <col min="9211" max="9211" width="7.26953125" style="16" customWidth="1"/>
    <col min="9212" max="9212" width="5.54296875" style="16" customWidth="1"/>
    <col min="9213" max="9213" width="9" style="16" customWidth="1"/>
    <col min="9214" max="9215" width="9.81640625" style="16" customWidth="1"/>
    <col min="9216" max="9216" width="11.1796875" style="16" customWidth="1"/>
    <col min="9217" max="9217" width="2.81640625" style="16" customWidth="1"/>
    <col min="9218" max="9218" width="3.54296875" style="16" customWidth="1"/>
    <col min="9219" max="9463" width="9.1796875" style="16"/>
    <col min="9464" max="9464" width="8.7265625" style="16" customWidth="1"/>
    <col min="9465" max="9465" width="9.81640625" style="16" customWidth="1"/>
    <col min="9466" max="9466" width="14.453125" style="16" customWidth="1"/>
    <col min="9467" max="9467" width="7.26953125" style="16" customWidth="1"/>
    <col min="9468" max="9468" width="5.54296875" style="16" customWidth="1"/>
    <col min="9469" max="9469" width="9" style="16" customWidth="1"/>
    <col min="9470" max="9471" width="9.81640625" style="16" customWidth="1"/>
    <col min="9472" max="9472" width="11.1796875" style="16" customWidth="1"/>
    <col min="9473" max="9473" width="2.81640625" style="16" customWidth="1"/>
    <col min="9474" max="9474" width="3.54296875" style="16" customWidth="1"/>
    <col min="9475" max="9719" width="9.1796875" style="16"/>
    <col min="9720" max="9720" width="8.7265625" style="16" customWidth="1"/>
    <col min="9721" max="9721" width="9.81640625" style="16" customWidth="1"/>
    <col min="9722" max="9722" width="14.453125" style="16" customWidth="1"/>
    <col min="9723" max="9723" width="7.26953125" style="16" customWidth="1"/>
    <col min="9724" max="9724" width="5.54296875" style="16" customWidth="1"/>
    <col min="9725" max="9725" width="9" style="16" customWidth="1"/>
    <col min="9726" max="9727" width="9.81640625" style="16" customWidth="1"/>
    <col min="9728" max="9728" width="11.1796875" style="16" customWidth="1"/>
    <col min="9729" max="9729" width="2.81640625" style="16" customWidth="1"/>
    <col min="9730" max="9730" width="3.54296875" style="16" customWidth="1"/>
    <col min="9731" max="9975" width="9.1796875" style="16"/>
    <col min="9976" max="9976" width="8.7265625" style="16" customWidth="1"/>
    <col min="9977" max="9977" width="9.81640625" style="16" customWidth="1"/>
    <col min="9978" max="9978" width="14.453125" style="16" customWidth="1"/>
    <col min="9979" max="9979" width="7.26953125" style="16" customWidth="1"/>
    <col min="9980" max="9980" width="5.54296875" style="16" customWidth="1"/>
    <col min="9981" max="9981" width="9" style="16" customWidth="1"/>
    <col min="9982" max="9983" width="9.81640625" style="16" customWidth="1"/>
    <col min="9984" max="9984" width="11.1796875" style="16" customWidth="1"/>
    <col min="9985" max="9985" width="2.81640625" style="16" customWidth="1"/>
    <col min="9986" max="9986" width="3.54296875" style="16" customWidth="1"/>
    <col min="9987" max="10231" width="9.1796875" style="16"/>
    <col min="10232" max="10232" width="8.7265625" style="16" customWidth="1"/>
    <col min="10233" max="10233" width="9.81640625" style="16" customWidth="1"/>
    <col min="10234" max="10234" width="14.453125" style="16" customWidth="1"/>
    <col min="10235" max="10235" width="7.26953125" style="16" customWidth="1"/>
    <col min="10236" max="10236" width="5.54296875" style="16" customWidth="1"/>
    <col min="10237" max="10237" width="9" style="16" customWidth="1"/>
    <col min="10238" max="10239" width="9.81640625" style="16" customWidth="1"/>
    <col min="10240" max="10240" width="11.1796875" style="16" customWidth="1"/>
    <col min="10241" max="10241" width="2.81640625" style="16" customWidth="1"/>
    <col min="10242" max="10242" width="3.54296875" style="16" customWidth="1"/>
    <col min="10243" max="10487" width="9.1796875" style="16"/>
    <col min="10488" max="10488" width="8.7265625" style="16" customWidth="1"/>
    <col min="10489" max="10489" width="9.81640625" style="16" customWidth="1"/>
    <col min="10490" max="10490" width="14.453125" style="16" customWidth="1"/>
    <col min="10491" max="10491" width="7.26953125" style="16" customWidth="1"/>
    <col min="10492" max="10492" width="5.54296875" style="16" customWidth="1"/>
    <col min="10493" max="10493" width="9" style="16" customWidth="1"/>
    <col min="10494" max="10495" width="9.81640625" style="16" customWidth="1"/>
    <col min="10496" max="10496" width="11.1796875" style="16" customWidth="1"/>
    <col min="10497" max="10497" width="2.81640625" style="16" customWidth="1"/>
    <col min="10498" max="10498" width="3.54296875" style="16" customWidth="1"/>
    <col min="10499" max="10743" width="9.1796875" style="16"/>
    <col min="10744" max="10744" width="8.7265625" style="16" customWidth="1"/>
    <col min="10745" max="10745" width="9.81640625" style="16" customWidth="1"/>
    <col min="10746" max="10746" width="14.453125" style="16" customWidth="1"/>
    <col min="10747" max="10747" width="7.26953125" style="16" customWidth="1"/>
    <col min="10748" max="10748" width="5.54296875" style="16" customWidth="1"/>
    <col min="10749" max="10749" width="9" style="16" customWidth="1"/>
    <col min="10750" max="10751" width="9.81640625" style="16" customWidth="1"/>
    <col min="10752" max="10752" width="11.1796875" style="16" customWidth="1"/>
    <col min="10753" max="10753" width="2.81640625" style="16" customWidth="1"/>
    <col min="10754" max="10754" width="3.54296875" style="16" customWidth="1"/>
    <col min="10755" max="10999" width="9.1796875" style="16"/>
    <col min="11000" max="11000" width="8.7265625" style="16" customWidth="1"/>
    <col min="11001" max="11001" width="9.81640625" style="16" customWidth="1"/>
    <col min="11002" max="11002" width="14.453125" style="16" customWidth="1"/>
    <col min="11003" max="11003" width="7.26953125" style="16" customWidth="1"/>
    <col min="11004" max="11004" width="5.54296875" style="16" customWidth="1"/>
    <col min="11005" max="11005" width="9" style="16" customWidth="1"/>
    <col min="11006" max="11007" width="9.81640625" style="16" customWidth="1"/>
    <col min="11008" max="11008" width="11.1796875" style="16" customWidth="1"/>
    <col min="11009" max="11009" width="2.81640625" style="16" customWidth="1"/>
    <col min="11010" max="11010" width="3.54296875" style="16" customWidth="1"/>
    <col min="11011" max="11255" width="9.1796875" style="16"/>
    <col min="11256" max="11256" width="8.7265625" style="16" customWidth="1"/>
    <col min="11257" max="11257" width="9.81640625" style="16" customWidth="1"/>
    <col min="11258" max="11258" width="14.453125" style="16" customWidth="1"/>
    <col min="11259" max="11259" width="7.26953125" style="16" customWidth="1"/>
    <col min="11260" max="11260" width="5.54296875" style="16" customWidth="1"/>
    <col min="11261" max="11261" width="9" style="16" customWidth="1"/>
    <col min="11262" max="11263" width="9.81640625" style="16" customWidth="1"/>
    <col min="11264" max="11264" width="11.1796875" style="16" customWidth="1"/>
    <col min="11265" max="11265" width="2.81640625" style="16" customWidth="1"/>
    <col min="11266" max="11266" width="3.54296875" style="16" customWidth="1"/>
    <col min="11267" max="11511" width="9.1796875" style="16"/>
    <col min="11512" max="11512" width="8.7265625" style="16" customWidth="1"/>
    <col min="11513" max="11513" width="9.81640625" style="16" customWidth="1"/>
    <col min="11514" max="11514" width="14.453125" style="16" customWidth="1"/>
    <col min="11515" max="11515" width="7.26953125" style="16" customWidth="1"/>
    <col min="11516" max="11516" width="5.54296875" style="16" customWidth="1"/>
    <col min="11517" max="11517" width="9" style="16" customWidth="1"/>
    <col min="11518" max="11519" width="9.81640625" style="16" customWidth="1"/>
    <col min="11520" max="11520" width="11.1796875" style="16" customWidth="1"/>
    <col min="11521" max="11521" width="2.81640625" style="16" customWidth="1"/>
    <col min="11522" max="11522" width="3.54296875" style="16" customWidth="1"/>
    <col min="11523" max="11767" width="9.1796875" style="16"/>
    <col min="11768" max="11768" width="8.7265625" style="16" customWidth="1"/>
    <col min="11769" max="11769" width="9.81640625" style="16" customWidth="1"/>
    <col min="11770" max="11770" width="14.453125" style="16" customWidth="1"/>
    <col min="11771" max="11771" width="7.26953125" style="16" customWidth="1"/>
    <col min="11772" max="11772" width="5.54296875" style="16" customWidth="1"/>
    <col min="11773" max="11773" width="9" style="16" customWidth="1"/>
    <col min="11774" max="11775" width="9.81640625" style="16" customWidth="1"/>
    <col min="11776" max="11776" width="11.1796875" style="16" customWidth="1"/>
    <col min="11777" max="11777" width="2.81640625" style="16" customWidth="1"/>
    <col min="11778" max="11778" width="3.54296875" style="16" customWidth="1"/>
    <col min="11779" max="12023" width="9.1796875" style="16"/>
    <col min="12024" max="12024" width="8.7265625" style="16" customWidth="1"/>
    <col min="12025" max="12025" width="9.81640625" style="16" customWidth="1"/>
    <col min="12026" max="12026" width="14.453125" style="16" customWidth="1"/>
    <col min="12027" max="12027" width="7.26953125" style="16" customWidth="1"/>
    <col min="12028" max="12028" width="5.54296875" style="16" customWidth="1"/>
    <col min="12029" max="12029" width="9" style="16" customWidth="1"/>
    <col min="12030" max="12031" width="9.81640625" style="16" customWidth="1"/>
    <col min="12032" max="12032" width="11.1796875" style="16" customWidth="1"/>
    <col min="12033" max="12033" width="2.81640625" style="16" customWidth="1"/>
    <col min="12034" max="12034" width="3.54296875" style="16" customWidth="1"/>
    <col min="12035" max="12279" width="9.1796875" style="16"/>
    <col min="12280" max="12280" width="8.7265625" style="16" customWidth="1"/>
    <col min="12281" max="12281" width="9.81640625" style="16" customWidth="1"/>
    <col min="12282" max="12282" width="14.453125" style="16" customWidth="1"/>
    <col min="12283" max="12283" width="7.26953125" style="16" customWidth="1"/>
    <col min="12284" max="12284" width="5.54296875" style="16" customWidth="1"/>
    <col min="12285" max="12285" width="9" style="16" customWidth="1"/>
    <col min="12286" max="12287" width="9.81640625" style="16" customWidth="1"/>
    <col min="12288" max="12288" width="11.1796875" style="16" customWidth="1"/>
    <col min="12289" max="12289" width="2.81640625" style="16" customWidth="1"/>
    <col min="12290" max="12290" width="3.54296875" style="16" customWidth="1"/>
    <col min="12291" max="12535" width="9.1796875" style="16"/>
    <col min="12536" max="12536" width="8.7265625" style="16" customWidth="1"/>
    <col min="12537" max="12537" width="9.81640625" style="16" customWidth="1"/>
    <col min="12538" max="12538" width="14.453125" style="16" customWidth="1"/>
    <col min="12539" max="12539" width="7.26953125" style="16" customWidth="1"/>
    <col min="12540" max="12540" width="5.54296875" style="16" customWidth="1"/>
    <col min="12541" max="12541" width="9" style="16" customWidth="1"/>
    <col min="12542" max="12543" width="9.81640625" style="16" customWidth="1"/>
    <col min="12544" max="12544" width="11.1796875" style="16" customWidth="1"/>
    <col min="12545" max="12545" width="2.81640625" style="16" customWidth="1"/>
    <col min="12546" max="12546" width="3.54296875" style="16" customWidth="1"/>
    <col min="12547" max="12791" width="9.1796875" style="16"/>
    <col min="12792" max="12792" width="8.7265625" style="16" customWidth="1"/>
    <col min="12793" max="12793" width="9.81640625" style="16" customWidth="1"/>
    <col min="12794" max="12794" width="14.453125" style="16" customWidth="1"/>
    <col min="12795" max="12795" width="7.26953125" style="16" customWidth="1"/>
    <col min="12796" max="12796" width="5.54296875" style="16" customWidth="1"/>
    <col min="12797" max="12797" width="9" style="16" customWidth="1"/>
    <col min="12798" max="12799" width="9.81640625" style="16" customWidth="1"/>
    <col min="12800" max="12800" width="11.1796875" style="16" customWidth="1"/>
    <col min="12801" max="12801" width="2.81640625" style="16" customWidth="1"/>
    <col min="12802" max="12802" width="3.54296875" style="16" customWidth="1"/>
    <col min="12803" max="13047" width="9.1796875" style="16"/>
    <col min="13048" max="13048" width="8.7265625" style="16" customWidth="1"/>
    <col min="13049" max="13049" width="9.81640625" style="16" customWidth="1"/>
    <col min="13050" max="13050" width="14.453125" style="16" customWidth="1"/>
    <col min="13051" max="13051" width="7.26953125" style="16" customWidth="1"/>
    <col min="13052" max="13052" width="5.54296875" style="16" customWidth="1"/>
    <col min="13053" max="13053" width="9" style="16" customWidth="1"/>
    <col min="13054" max="13055" width="9.81640625" style="16" customWidth="1"/>
    <col min="13056" max="13056" width="11.1796875" style="16" customWidth="1"/>
    <col min="13057" max="13057" width="2.81640625" style="16" customWidth="1"/>
    <col min="13058" max="13058" width="3.54296875" style="16" customWidth="1"/>
    <col min="13059" max="13303" width="9.1796875" style="16"/>
    <col min="13304" max="13304" width="8.7265625" style="16" customWidth="1"/>
    <col min="13305" max="13305" width="9.81640625" style="16" customWidth="1"/>
    <col min="13306" max="13306" width="14.453125" style="16" customWidth="1"/>
    <col min="13307" max="13307" width="7.26953125" style="16" customWidth="1"/>
    <col min="13308" max="13308" width="5.54296875" style="16" customWidth="1"/>
    <col min="13309" max="13309" width="9" style="16" customWidth="1"/>
    <col min="13310" max="13311" width="9.81640625" style="16" customWidth="1"/>
    <col min="13312" max="13312" width="11.1796875" style="16" customWidth="1"/>
    <col min="13313" max="13313" width="2.81640625" style="16" customWidth="1"/>
    <col min="13314" max="13314" width="3.54296875" style="16" customWidth="1"/>
    <col min="13315" max="13559" width="9.1796875" style="16"/>
    <col min="13560" max="13560" width="8.7265625" style="16" customWidth="1"/>
    <col min="13561" max="13561" width="9.81640625" style="16" customWidth="1"/>
    <col min="13562" max="13562" width="14.453125" style="16" customWidth="1"/>
    <col min="13563" max="13563" width="7.26953125" style="16" customWidth="1"/>
    <col min="13564" max="13564" width="5.54296875" style="16" customWidth="1"/>
    <col min="13565" max="13565" width="9" style="16" customWidth="1"/>
    <col min="13566" max="13567" width="9.81640625" style="16" customWidth="1"/>
    <col min="13568" max="13568" width="11.1796875" style="16" customWidth="1"/>
    <col min="13569" max="13569" width="2.81640625" style="16" customWidth="1"/>
    <col min="13570" max="13570" width="3.54296875" style="16" customWidth="1"/>
    <col min="13571" max="13815" width="9.1796875" style="16"/>
    <col min="13816" max="13816" width="8.7265625" style="16" customWidth="1"/>
    <col min="13817" max="13817" width="9.81640625" style="16" customWidth="1"/>
    <col min="13818" max="13818" width="14.453125" style="16" customWidth="1"/>
    <col min="13819" max="13819" width="7.26953125" style="16" customWidth="1"/>
    <col min="13820" max="13820" width="5.54296875" style="16" customWidth="1"/>
    <col min="13821" max="13821" width="9" style="16" customWidth="1"/>
    <col min="13822" max="13823" width="9.81640625" style="16" customWidth="1"/>
    <col min="13824" max="13824" width="11.1796875" style="16" customWidth="1"/>
    <col min="13825" max="13825" width="2.81640625" style="16" customWidth="1"/>
    <col min="13826" max="13826" width="3.54296875" style="16" customWidth="1"/>
    <col min="13827" max="14071" width="9.1796875" style="16"/>
    <col min="14072" max="14072" width="8.7265625" style="16" customWidth="1"/>
    <col min="14073" max="14073" width="9.81640625" style="16" customWidth="1"/>
    <col min="14074" max="14074" width="14.453125" style="16" customWidth="1"/>
    <col min="14075" max="14075" width="7.26953125" style="16" customWidth="1"/>
    <col min="14076" max="14076" width="5.54296875" style="16" customWidth="1"/>
    <col min="14077" max="14077" width="9" style="16" customWidth="1"/>
    <col min="14078" max="14079" width="9.81640625" style="16" customWidth="1"/>
    <col min="14080" max="14080" width="11.1796875" style="16" customWidth="1"/>
    <col min="14081" max="14081" width="2.81640625" style="16" customWidth="1"/>
    <col min="14082" max="14082" width="3.54296875" style="16" customWidth="1"/>
    <col min="14083" max="14327" width="9.1796875" style="16"/>
    <col min="14328" max="14328" width="8.7265625" style="16" customWidth="1"/>
    <col min="14329" max="14329" width="9.81640625" style="16" customWidth="1"/>
    <col min="14330" max="14330" width="14.453125" style="16" customWidth="1"/>
    <col min="14331" max="14331" width="7.26953125" style="16" customWidth="1"/>
    <col min="14332" max="14332" width="5.54296875" style="16" customWidth="1"/>
    <col min="14333" max="14333" width="9" style="16" customWidth="1"/>
    <col min="14334" max="14335" width="9.81640625" style="16" customWidth="1"/>
    <col min="14336" max="14336" width="11.1796875" style="16" customWidth="1"/>
    <col min="14337" max="14337" width="2.81640625" style="16" customWidth="1"/>
    <col min="14338" max="14338" width="3.54296875" style="16" customWidth="1"/>
    <col min="14339" max="14583" width="9.1796875" style="16"/>
    <col min="14584" max="14584" width="8.7265625" style="16" customWidth="1"/>
    <col min="14585" max="14585" width="9.81640625" style="16" customWidth="1"/>
    <col min="14586" max="14586" width="14.453125" style="16" customWidth="1"/>
    <col min="14587" max="14587" width="7.26953125" style="16" customWidth="1"/>
    <col min="14588" max="14588" width="5.54296875" style="16" customWidth="1"/>
    <col min="14589" max="14589" width="9" style="16" customWidth="1"/>
    <col min="14590" max="14591" width="9.81640625" style="16" customWidth="1"/>
    <col min="14592" max="14592" width="11.1796875" style="16" customWidth="1"/>
    <col min="14593" max="14593" width="2.81640625" style="16" customWidth="1"/>
    <col min="14594" max="14594" width="3.54296875" style="16" customWidth="1"/>
    <col min="14595" max="14839" width="9.1796875" style="16"/>
    <col min="14840" max="14840" width="8.7265625" style="16" customWidth="1"/>
    <col min="14841" max="14841" width="9.81640625" style="16" customWidth="1"/>
    <col min="14842" max="14842" width="14.453125" style="16" customWidth="1"/>
    <col min="14843" max="14843" width="7.26953125" style="16" customWidth="1"/>
    <col min="14844" max="14844" width="5.54296875" style="16" customWidth="1"/>
    <col min="14845" max="14845" width="9" style="16" customWidth="1"/>
    <col min="14846" max="14847" width="9.81640625" style="16" customWidth="1"/>
    <col min="14848" max="14848" width="11.1796875" style="16" customWidth="1"/>
    <col min="14849" max="14849" width="2.81640625" style="16" customWidth="1"/>
    <col min="14850" max="14850" width="3.54296875" style="16" customWidth="1"/>
    <col min="14851" max="15095" width="9.1796875" style="16"/>
    <col min="15096" max="15096" width="8.7265625" style="16" customWidth="1"/>
    <col min="15097" max="15097" width="9.81640625" style="16" customWidth="1"/>
    <col min="15098" max="15098" width="14.453125" style="16" customWidth="1"/>
    <col min="15099" max="15099" width="7.26953125" style="16" customWidth="1"/>
    <col min="15100" max="15100" width="5.54296875" style="16" customWidth="1"/>
    <col min="15101" max="15101" width="9" style="16" customWidth="1"/>
    <col min="15102" max="15103" width="9.81640625" style="16" customWidth="1"/>
    <col min="15104" max="15104" width="11.1796875" style="16" customWidth="1"/>
    <col min="15105" max="15105" width="2.81640625" style="16" customWidth="1"/>
    <col min="15106" max="15106" width="3.54296875" style="16" customWidth="1"/>
    <col min="15107" max="15351" width="9.1796875" style="16"/>
    <col min="15352" max="15352" width="8.7265625" style="16" customWidth="1"/>
    <col min="15353" max="15353" width="9.81640625" style="16" customWidth="1"/>
    <col min="15354" max="15354" width="14.453125" style="16" customWidth="1"/>
    <col min="15355" max="15355" width="7.26953125" style="16" customWidth="1"/>
    <col min="15356" max="15356" width="5.54296875" style="16" customWidth="1"/>
    <col min="15357" max="15357" width="9" style="16" customWidth="1"/>
    <col min="15358" max="15359" width="9.81640625" style="16" customWidth="1"/>
    <col min="15360" max="15360" width="11.1796875" style="16" customWidth="1"/>
    <col min="15361" max="15361" width="2.81640625" style="16" customWidth="1"/>
    <col min="15362" max="15362" width="3.54296875" style="16" customWidth="1"/>
    <col min="15363" max="15607" width="9.1796875" style="16"/>
    <col min="15608" max="15608" width="8.7265625" style="16" customWidth="1"/>
    <col min="15609" max="15609" width="9.81640625" style="16" customWidth="1"/>
    <col min="15610" max="15610" width="14.453125" style="16" customWidth="1"/>
    <col min="15611" max="15611" width="7.26953125" style="16" customWidth="1"/>
    <col min="15612" max="15612" width="5.54296875" style="16" customWidth="1"/>
    <col min="15613" max="15613" width="9" style="16" customWidth="1"/>
    <col min="15614" max="15615" width="9.81640625" style="16" customWidth="1"/>
    <col min="15616" max="15616" width="11.1796875" style="16" customWidth="1"/>
    <col min="15617" max="15617" width="2.81640625" style="16" customWidth="1"/>
    <col min="15618" max="15618" width="3.54296875" style="16" customWidth="1"/>
    <col min="15619" max="15863" width="9.1796875" style="16"/>
    <col min="15864" max="15864" width="8.7265625" style="16" customWidth="1"/>
    <col min="15865" max="15865" width="9.81640625" style="16" customWidth="1"/>
    <col min="15866" max="15866" width="14.453125" style="16" customWidth="1"/>
    <col min="15867" max="15867" width="7.26953125" style="16" customWidth="1"/>
    <col min="15868" max="15868" width="5.54296875" style="16" customWidth="1"/>
    <col min="15869" max="15869" width="9" style="16" customWidth="1"/>
    <col min="15870" max="15871" width="9.81640625" style="16" customWidth="1"/>
    <col min="15872" max="15872" width="11.1796875" style="16" customWidth="1"/>
    <col min="15873" max="15873" width="2.81640625" style="16" customWidth="1"/>
    <col min="15874" max="15874" width="3.54296875" style="16" customWidth="1"/>
    <col min="15875" max="16119" width="9.1796875" style="16"/>
    <col min="16120" max="16120" width="8.7265625" style="16" customWidth="1"/>
    <col min="16121" max="16121" width="9.81640625" style="16" customWidth="1"/>
    <col min="16122" max="16122" width="14.453125" style="16" customWidth="1"/>
    <col min="16123" max="16123" width="7.26953125" style="16" customWidth="1"/>
    <col min="16124" max="16124" width="5.54296875" style="16" customWidth="1"/>
    <col min="16125" max="16125" width="9" style="16" customWidth="1"/>
    <col min="16126" max="16127" width="9.81640625" style="16" customWidth="1"/>
    <col min="16128" max="16128" width="11.1796875" style="16" customWidth="1"/>
    <col min="16129" max="16129" width="2.81640625" style="16" customWidth="1"/>
    <col min="16130" max="16130" width="3.54296875" style="16" customWidth="1"/>
    <col min="16131" max="16384" width="9.1796875" style="16"/>
  </cols>
  <sheetData>
    <row r="1" spans="1:9" ht="46.5" customHeight="1" x14ac:dyDescent="0.35">
      <c r="A1" s="101" t="s">
        <v>167</v>
      </c>
      <c r="B1" s="101"/>
      <c r="C1" s="101"/>
      <c r="D1" s="101"/>
      <c r="E1" s="101"/>
      <c r="F1" s="101"/>
      <c r="G1" s="101"/>
      <c r="H1" s="101"/>
    </row>
    <row r="2" spans="1:9" ht="16.5" customHeight="1" x14ac:dyDescent="0.35">
      <c r="A2" s="102" t="s">
        <v>0</v>
      </c>
      <c r="B2" s="102"/>
      <c r="C2" s="102"/>
      <c r="D2" s="102"/>
      <c r="E2" s="102"/>
      <c r="F2" s="102"/>
      <c r="G2" s="102"/>
      <c r="H2" s="102"/>
    </row>
    <row r="3" spans="1:9" x14ac:dyDescent="0.35">
      <c r="A3" s="78" t="s">
        <v>1</v>
      </c>
      <c r="B3" s="78"/>
      <c r="C3" s="78"/>
      <c r="D3" s="78"/>
      <c r="E3" s="78" t="str">
        <f ca="1">TEXT(TODAY(),"DD/MM/YYYY")</f>
        <v>19/09/2025</v>
      </c>
      <c r="F3" s="78"/>
      <c r="G3" s="78"/>
      <c r="H3" s="78"/>
    </row>
    <row r="4" spans="1:9" ht="15" customHeight="1" x14ac:dyDescent="0.35">
      <c r="A4" s="78" t="s">
        <v>2</v>
      </c>
      <c r="B4" s="78"/>
      <c r="C4" s="78"/>
      <c r="D4" s="78"/>
      <c r="E4" s="78" t="s">
        <v>166</v>
      </c>
      <c r="F4" s="78"/>
      <c r="G4" s="78"/>
      <c r="H4" s="78"/>
    </row>
    <row r="5" spans="1:9" x14ac:dyDescent="0.35">
      <c r="A5" s="78" t="s">
        <v>3</v>
      </c>
      <c r="B5" s="78"/>
      <c r="C5" s="78"/>
      <c r="D5" s="78"/>
      <c r="E5" s="103">
        <v>45906</v>
      </c>
      <c r="F5" s="78"/>
      <c r="G5" s="78"/>
      <c r="H5" s="78"/>
    </row>
    <row r="6" spans="1:9" ht="16.5" customHeight="1" x14ac:dyDescent="0.35">
      <c r="A6" s="78" t="s">
        <v>4</v>
      </c>
      <c r="B6" s="78"/>
      <c r="C6" s="78"/>
      <c r="D6" s="78"/>
      <c r="E6" s="78" t="s">
        <v>170</v>
      </c>
      <c r="F6" s="78"/>
      <c r="G6" s="78"/>
      <c r="H6" s="78"/>
    </row>
    <row r="7" spans="1:9" ht="15" customHeight="1" x14ac:dyDescent="0.35">
      <c r="A7" s="78" t="s">
        <v>5</v>
      </c>
      <c r="B7" s="78"/>
      <c r="C7" s="78"/>
      <c r="D7" s="78"/>
      <c r="E7" s="78" t="str">
        <f>E6</f>
        <v>Phoenix Realty</v>
      </c>
      <c r="F7" s="78"/>
      <c r="G7" s="78"/>
      <c r="H7" s="78"/>
    </row>
    <row r="8" spans="1:9" x14ac:dyDescent="0.35">
      <c r="A8" s="78" t="s">
        <v>6</v>
      </c>
      <c r="B8" s="78"/>
      <c r="C8" s="78"/>
      <c r="D8" s="78"/>
      <c r="E8" s="98" t="s">
        <v>169</v>
      </c>
      <c r="F8" s="98"/>
      <c r="G8" s="98"/>
      <c r="H8" s="98"/>
    </row>
    <row r="9" spans="1:9" x14ac:dyDescent="0.35">
      <c r="A9" s="78" t="s">
        <v>164</v>
      </c>
      <c r="B9" s="78"/>
      <c r="C9" s="78"/>
      <c r="D9" s="78"/>
      <c r="E9" s="78">
        <v>9324293939</v>
      </c>
      <c r="F9" s="78"/>
      <c r="G9" s="78"/>
      <c r="H9" s="78"/>
    </row>
    <row r="10" spans="1:9" x14ac:dyDescent="0.35">
      <c r="A10" s="89" t="s">
        <v>193</v>
      </c>
      <c r="B10" s="78"/>
      <c r="C10" s="78"/>
      <c r="D10" s="78"/>
      <c r="E10" s="78" t="s">
        <v>245</v>
      </c>
      <c r="F10" s="78"/>
      <c r="G10" s="78"/>
      <c r="H10" s="78"/>
    </row>
    <row r="11" spans="1:9" x14ac:dyDescent="0.35">
      <c r="A11" s="78" t="s">
        <v>7</v>
      </c>
      <c r="B11" s="78"/>
      <c r="C11" s="78"/>
      <c r="D11" s="78"/>
      <c r="E11" s="78" t="s">
        <v>205</v>
      </c>
      <c r="F11" s="78"/>
      <c r="G11" s="78"/>
      <c r="H11" s="78"/>
    </row>
    <row r="12" spans="1:9" x14ac:dyDescent="0.35">
      <c r="A12" s="66" t="s">
        <v>8</v>
      </c>
      <c r="B12" s="66"/>
      <c r="C12" s="66"/>
      <c r="D12" s="66"/>
      <c r="E12" s="89" t="s">
        <v>172</v>
      </c>
      <c r="F12" s="89"/>
      <c r="G12" s="89"/>
      <c r="H12" s="89"/>
    </row>
    <row r="13" spans="1:9" x14ac:dyDescent="0.35">
      <c r="A13" s="66" t="s">
        <v>9</v>
      </c>
      <c r="B13" s="66"/>
      <c r="C13" s="66"/>
      <c r="D13" s="66"/>
      <c r="E13" s="89" t="s">
        <v>171</v>
      </c>
      <c r="F13" s="78"/>
      <c r="G13" s="78"/>
      <c r="H13" s="78"/>
    </row>
    <row r="14" spans="1:9" ht="48.75" customHeight="1" x14ac:dyDescent="0.35">
      <c r="A14" s="88" t="s">
        <v>10</v>
      </c>
      <c r="B14" s="88"/>
      <c r="C14" s="88" t="str">
        <f>CONCATENATE((IF(OR(E8="",E8="NA"),"",E8)),", ",(IF(OR(A15="",A15="NA"),"",A15)),".",(IF(OR(C15="",C15="NA"),"",C15)),", near ",(IF(OR(C20="",C20="NA"),"",C20)),", ",(IF(OR(C17="",C17="NA"),"",C17)),", ",(IF(OR(C16="",C16="NA"),"",C16)),", ",(IF(OR(G17="",G17="NA"),"",G17)),", ",(IF(OR(C18="",C18="NA"),"",C18)),", ",(IF(OR(C19="",C19="NA"),"",C19)),", ",(IF(OR(G18="",G18="NA"),"",G18))," - ",(IF(OR(G19="",G19="NA"),"",G19)),".")</f>
        <v>Tanishq, Survey No.97, H.No. 1/2, 1/3, 3/1, 3/2, 5/2, 6/2, &amp; 6/3, near Gulab Co Operative Housing Society, Rambaug Four - Kala Talao Road, Rambaug, Chikanghar, Kalyan West, Kalyan, Thane - 421301.</v>
      </c>
      <c r="D14" s="88"/>
      <c r="E14" s="88"/>
      <c r="F14" s="88"/>
      <c r="G14" s="88"/>
      <c r="H14" s="88"/>
    </row>
    <row r="15" spans="1:9" x14ac:dyDescent="0.35">
      <c r="A15" s="89" t="s">
        <v>173</v>
      </c>
      <c r="B15" s="89"/>
      <c r="C15" s="89" t="s">
        <v>194</v>
      </c>
      <c r="D15" s="89"/>
      <c r="E15" s="89"/>
      <c r="F15" s="89"/>
      <c r="G15" s="89"/>
      <c r="H15" s="89"/>
      <c r="I15" s="16" t="s">
        <v>174</v>
      </c>
    </row>
    <row r="16" spans="1:9" x14ac:dyDescent="0.35">
      <c r="A16" s="89" t="s">
        <v>163</v>
      </c>
      <c r="B16" s="89"/>
      <c r="C16" s="89" t="s">
        <v>181</v>
      </c>
      <c r="D16" s="89"/>
      <c r="E16" s="89"/>
      <c r="F16" s="89"/>
      <c r="G16" s="89"/>
      <c r="H16" s="89"/>
    </row>
    <row r="17" spans="1:8" ht="32.25" customHeight="1" x14ac:dyDescent="0.35">
      <c r="A17" s="88" t="s">
        <v>11</v>
      </c>
      <c r="B17" s="88"/>
      <c r="C17" s="89" t="s">
        <v>178</v>
      </c>
      <c r="D17" s="89"/>
      <c r="E17" s="88" t="s">
        <v>73</v>
      </c>
      <c r="F17" s="88"/>
      <c r="G17" s="89" t="s">
        <v>175</v>
      </c>
      <c r="H17" s="89"/>
    </row>
    <row r="18" spans="1:8" x14ac:dyDescent="0.35">
      <c r="A18" s="66" t="s">
        <v>13</v>
      </c>
      <c r="B18" s="66"/>
      <c r="C18" s="89" t="s">
        <v>197</v>
      </c>
      <c r="D18" s="89"/>
      <c r="E18" s="88" t="s">
        <v>12</v>
      </c>
      <c r="F18" s="88"/>
      <c r="G18" s="104" t="s">
        <v>176</v>
      </c>
      <c r="H18" s="104"/>
    </row>
    <row r="19" spans="1:8" x14ac:dyDescent="0.35">
      <c r="A19" s="66" t="s">
        <v>74</v>
      </c>
      <c r="B19" s="66"/>
      <c r="C19" s="89" t="s">
        <v>177</v>
      </c>
      <c r="D19" s="89"/>
      <c r="E19" s="88" t="s">
        <v>14</v>
      </c>
      <c r="F19" s="88"/>
      <c r="G19" s="89">
        <v>421301</v>
      </c>
      <c r="H19" s="89"/>
    </row>
    <row r="20" spans="1:8" ht="32.25" customHeight="1" x14ac:dyDescent="0.35">
      <c r="A20" s="66" t="s">
        <v>121</v>
      </c>
      <c r="B20" s="66"/>
      <c r="C20" s="89" t="s">
        <v>180</v>
      </c>
      <c r="D20" s="89"/>
      <c r="E20" s="88" t="s">
        <v>15</v>
      </c>
      <c r="F20" s="88"/>
      <c r="G20" s="89" t="s">
        <v>182</v>
      </c>
      <c r="H20" s="89"/>
    </row>
    <row r="21" spans="1:8" ht="15" customHeight="1" x14ac:dyDescent="0.35">
      <c r="A21" s="88" t="s">
        <v>76</v>
      </c>
      <c r="B21" s="88"/>
      <c r="C21" s="88"/>
      <c r="D21" s="88"/>
      <c r="E21" s="78" t="s">
        <v>16</v>
      </c>
      <c r="F21" s="78"/>
      <c r="G21" s="78"/>
      <c r="H21" s="78"/>
    </row>
    <row r="22" spans="1:8" ht="18.75" customHeight="1" x14ac:dyDescent="0.35">
      <c r="A22" s="88"/>
      <c r="B22" s="88"/>
      <c r="C22" s="88"/>
      <c r="D22" s="88"/>
      <c r="E22" s="78"/>
      <c r="F22" s="78"/>
      <c r="G22" s="78"/>
      <c r="H22" s="78"/>
    </row>
    <row r="23" spans="1:8" ht="15" customHeight="1" x14ac:dyDescent="0.35">
      <c r="A23" s="88" t="s">
        <v>17</v>
      </c>
      <c r="B23" s="88"/>
      <c r="C23" s="88"/>
      <c r="D23" s="88"/>
      <c r="E23" s="89" t="s">
        <v>18</v>
      </c>
      <c r="F23" s="89"/>
      <c r="G23" s="89"/>
      <c r="H23" s="89"/>
    </row>
    <row r="24" spans="1:8" ht="15" customHeight="1" x14ac:dyDescent="0.35">
      <c r="A24" s="66" t="s">
        <v>19</v>
      </c>
      <c r="B24" s="66"/>
      <c r="C24" s="66"/>
      <c r="D24" s="66"/>
      <c r="E24" s="89" t="str">
        <f>IF(AND(G18="Mumbai"),"Upper Class","Middle Class")</f>
        <v>Middle Class</v>
      </c>
      <c r="F24" s="89"/>
      <c r="G24" s="89"/>
      <c r="H24" s="89"/>
    </row>
    <row r="25" spans="1:8" x14ac:dyDescent="0.35">
      <c r="A25" s="66" t="s">
        <v>20</v>
      </c>
      <c r="B25" s="66"/>
      <c r="C25" s="66"/>
      <c r="D25" s="66"/>
      <c r="E25" s="89" t="s">
        <v>21</v>
      </c>
      <c r="F25" s="89"/>
      <c r="G25" s="89"/>
      <c r="H25" s="89"/>
    </row>
    <row r="26" spans="1:8" ht="15.75" customHeight="1" x14ac:dyDescent="0.35">
      <c r="A26" s="66" t="s">
        <v>22</v>
      </c>
      <c r="B26" s="66"/>
      <c r="C26" s="66"/>
      <c r="D26" s="66"/>
      <c r="E26" s="89" t="str">
        <f>IF(AND(G18="Mumbai"),"Developed","Developing")</f>
        <v>Developing</v>
      </c>
      <c r="F26" s="89"/>
      <c r="G26" s="89"/>
      <c r="H26" s="89"/>
    </row>
    <row r="27" spans="1:8" x14ac:dyDescent="0.35">
      <c r="A27" s="66" t="s">
        <v>23</v>
      </c>
      <c r="B27" s="66"/>
      <c r="C27" s="66"/>
      <c r="D27" s="66"/>
      <c r="E27" s="89" t="s">
        <v>24</v>
      </c>
      <c r="F27" s="89"/>
      <c r="G27" s="89"/>
      <c r="H27" s="89"/>
    </row>
    <row r="28" spans="1:8" ht="15.75" customHeight="1" x14ac:dyDescent="0.35">
      <c r="A28" s="66" t="s">
        <v>81</v>
      </c>
      <c r="B28" s="66"/>
      <c r="C28" s="66"/>
      <c r="D28" s="66"/>
      <c r="E28" s="89" t="s">
        <v>82</v>
      </c>
      <c r="F28" s="89"/>
      <c r="G28" s="89"/>
      <c r="H28" s="89"/>
    </row>
    <row r="29" spans="1:8" ht="15" customHeight="1" x14ac:dyDescent="0.35">
      <c r="A29" s="66" t="s">
        <v>33</v>
      </c>
      <c r="B29" s="66"/>
      <c r="C29" s="66"/>
      <c r="D29" s="66"/>
      <c r="E29" s="89" t="str">
        <f>IF(AND(ISNUMBER(SEARCH("Flat",D55)),ISNUMBER(SEARCH("Shop",D55)),ISNUMBER(SEARCH("Office",D55))),"Residential + Commercial",IF(AND(ISNUMBER(SEARCH("Flat",D55)),ISNUMBER(SEARCH("Shop",D55))),"Residential + Commercial",IF(AND(ISNUMBER(SEARCH("Flat",D55)),ISNUMBER(SEARCH("Office",D55))),"Residential + Commercial",IF(AND(ISNUMBER(SEARCH("Shop",D55)),ISNUMBER(SEARCH("Office",D55))),"Commercial",IF(ISNUMBER(SEARCH("Shop",D55)),"Commercial",IF(ISNUMBER(SEARCH("Office",D55)),"Commercial",IF(ISNUMBER(SEARCH("Flat",D55)),"Residential")))))))</f>
        <v>Residential + Commercial</v>
      </c>
      <c r="F29" s="89"/>
      <c r="G29" s="89"/>
      <c r="H29" s="89"/>
    </row>
    <row r="30" spans="1:8" ht="15.75" customHeight="1" x14ac:dyDescent="0.35">
      <c r="A30" s="66" t="s">
        <v>93</v>
      </c>
      <c r="B30" s="66"/>
      <c r="C30" s="66"/>
      <c r="D30" s="66"/>
      <c r="E30" s="89" t="s">
        <v>34</v>
      </c>
      <c r="F30" s="89"/>
      <c r="G30" s="89"/>
      <c r="H30" s="89"/>
    </row>
    <row r="31" spans="1:8" s="17" customFormat="1" x14ac:dyDescent="0.35">
      <c r="A31" s="108" t="s">
        <v>94</v>
      </c>
      <c r="B31" s="108"/>
      <c r="C31" s="107" t="s">
        <v>29</v>
      </c>
      <c r="D31" s="107"/>
      <c r="E31" s="107"/>
      <c r="F31" s="107" t="s">
        <v>31</v>
      </c>
      <c r="G31" s="107"/>
      <c r="H31" s="107"/>
    </row>
    <row r="32" spans="1:8" s="17" customFormat="1" x14ac:dyDescent="0.35">
      <c r="A32" s="105" t="s">
        <v>25</v>
      </c>
      <c r="B32" s="105" t="s">
        <v>30</v>
      </c>
      <c r="C32" s="106" t="s">
        <v>200</v>
      </c>
      <c r="D32" s="106"/>
      <c r="E32" s="106"/>
      <c r="F32" s="106" t="s">
        <v>202</v>
      </c>
      <c r="G32" s="106"/>
      <c r="H32" s="106"/>
    </row>
    <row r="33" spans="1:8" x14ac:dyDescent="0.35">
      <c r="A33" s="105" t="s">
        <v>26</v>
      </c>
      <c r="B33" s="105" t="s">
        <v>30</v>
      </c>
      <c r="C33" s="106" t="s">
        <v>201</v>
      </c>
      <c r="D33" s="106"/>
      <c r="E33" s="106"/>
      <c r="F33" s="106" t="s">
        <v>179</v>
      </c>
      <c r="G33" s="106"/>
      <c r="H33" s="106"/>
    </row>
    <row r="34" spans="1:8" s="17" customFormat="1" x14ac:dyDescent="0.35">
      <c r="A34" s="105" t="s">
        <v>28</v>
      </c>
      <c r="B34" s="105" t="s">
        <v>30</v>
      </c>
      <c r="C34" s="106" t="s">
        <v>199</v>
      </c>
      <c r="D34" s="106"/>
      <c r="E34" s="106"/>
      <c r="F34" s="106" t="s">
        <v>178</v>
      </c>
      <c r="G34" s="106"/>
      <c r="H34" s="106"/>
    </row>
    <row r="35" spans="1:8" x14ac:dyDescent="0.35">
      <c r="A35" s="105" t="s">
        <v>27</v>
      </c>
      <c r="B35" s="105" t="s">
        <v>30</v>
      </c>
      <c r="C35" s="106" t="s">
        <v>198</v>
      </c>
      <c r="D35" s="106"/>
      <c r="E35" s="106"/>
      <c r="F35" s="106" t="s">
        <v>203</v>
      </c>
      <c r="G35" s="106"/>
      <c r="H35" s="106"/>
    </row>
    <row r="36" spans="1:8" x14ac:dyDescent="0.35">
      <c r="A36" s="66" t="s">
        <v>32</v>
      </c>
      <c r="B36" s="66"/>
      <c r="C36" s="66"/>
      <c r="D36" s="66"/>
      <c r="E36" s="66"/>
      <c r="F36" s="66"/>
      <c r="G36" s="66"/>
      <c r="H36" s="66"/>
    </row>
    <row r="37" spans="1:8" ht="15.75" customHeight="1" x14ac:dyDescent="0.35">
      <c r="A37" s="66" t="s">
        <v>168</v>
      </c>
      <c r="B37" s="66"/>
      <c r="C37" s="96" t="s">
        <v>195</v>
      </c>
      <c r="D37" s="96"/>
      <c r="E37" s="96"/>
      <c r="F37" s="96"/>
      <c r="G37" s="96"/>
      <c r="H37" s="96"/>
    </row>
    <row r="38" spans="1:8" x14ac:dyDescent="0.35">
      <c r="A38" s="66" t="s">
        <v>162</v>
      </c>
      <c r="B38" s="66"/>
      <c r="C38" s="136" t="s">
        <v>196</v>
      </c>
      <c r="D38" s="89"/>
      <c r="E38" s="89"/>
      <c r="F38" s="89"/>
      <c r="G38" s="89"/>
      <c r="H38" s="89"/>
    </row>
    <row r="39" spans="1:8" x14ac:dyDescent="0.35">
      <c r="A39" s="96" t="s">
        <v>35</v>
      </c>
      <c r="B39" s="96"/>
      <c r="C39" s="96"/>
      <c r="D39" s="96"/>
      <c r="E39" s="96"/>
      <c r="F39" s="96"/>
      <c r="G39" s="96"/>
      <c r="H39" s="96"/>
    </row>
    <row r="40" spans="1:8" x14ac:dyDescent="0.35">
      <c r="A40" s="66" t="s">
        <v>36</v>
      </c>
      <c r="B40" s="66"/>
      <c r="C40" s="66"/>
      <c r="D40" s="66"/>
      <c r="E40" s="109">
        <v>3643.75</v>
      </c>
      <c r="F40" s="109"/>
      <c r="G40" s="109"/>
      <c r="H40" s="109"/>
    </row>
    <row r="41" spans="1:8" x14ac:dyDescent="0.35">
      <c r="A41" s="66" t="s">
        <v>37</v>
      </c>
      <c r="B41" s="66"/>
      <c r="C41" s="66"/>
      <c r="D41" s="66"/>
      <c r="E41" s="65">
        <f>4008.12/E40</f>
        <v>1.0999986277873071</v>
      </c>
      <c r="F41" s="65"/>
      <c r="G41" s="65"/>
      <c r="H41" s="65"/>
    </row>
    <row r="42" spans="1:8" x14ac:dyDescent="0.35">
      <c r="A42" s="66" t="s">
        <v>38</v>
      </c>
      <c r="B42" s="66"/>
      <c r="C42" s="66"/>
      <c r="D42" s="66"/>
      <c r="E42" s="65">
        <f>E44/E40-E41</f>
        <v>1.8649001715265865</v>
      </c>
      <c r="F42" s="65"/>
      <c r="G42" s="65"/>
      <c r="H42" s="65"/>
    </row>
    <row r="43" spans="1:8" x14ac:dyDescent="0.35">
      <c r="A43" s="66" t="s">
        <v>39</v>
      </c>
      <c r="B43" s="66"/>
      <c r="C43" s="66"/>
      <c r="D43" s="66"/>
      <c r="E43" s="65">
        <f>E41+E42</f>
        <v>2.9648987993138936</v>
      </c>
      <c r="F43" s="65"/>
      <c r="G43" s="65"/>
      <c r="H43" s="65"/>
    </row>
    <row r="44" spans="1:8" x14ac:dyDescent="0.35">
      <c r="A44" s="66" t="s">
        <v>92</v>
      </c>
      <c r="B44" s="66"/>
      <c r="C44" s="66"/>
      <c r="D44" s="66"/>
      <c r="E44" s="111">
        <v>10803.35</v>
      </c>
      <c r="F44" s="111"/>
      <c r="G44" s="111"/>
      <c r="H44" s="111"/>
    </row>
    <row r="45" spans="1:8" x14ac:dyDescent="0.35">
      <c r="A45" s="78" t="s">
        <v>40</v>
      </c>
      <c r="B45" s="78"/>
      <c r="C45" s="78"/>
      <c r="D45" s="78"/>
      <c r="E45" s="78" t="s">
        <v>120</v>
      </c>
      <c r="F45" s="78"/>
      <c r="G45" s="78"/>
      <c r="H45" s="78"/>
    </row>
    <row r="46" spans="1:8" x14ac:dyDescent="0.35">
      <c r="A46" s="96" t="s">
        <v>41</v>
      </c>
      <c r="B46" s="96"/>
      <c r="C46" s="96"/>
      <c r="D46" s="96"/>
      <c r="E46" s="96"/>
      <c r="F46" s="96"/>
      <c r="G46" s="96"/>
      <c r="H46" s="96"/>
    </row>
    <row r="47" spans="1:8" ht="33.75" customHeight="1" x14ac:dyDescent="0.35">
      <c r="A47" s="73" t="s">
        <v>150</v>
      </c>
      <c r="B47" s="74"/>
      <c r="C47" s="139" t="s">
        <v>183</v>
      </c>
      <c r="D47" s="140"/>
      <c r="E47" s="140"/>
      <c r="F47" s="140"/>
      <c r="G47" s="140"/>
      <c r="H47" s="91"/>
    </row>
    <row r="48" spans="1:8" ht="15.75" customHeight="1" x14ac:dyDescent="0.35">
      <c r="A48" s="73" t="s">
        <v>42</v>
      </c>
      <c r="B48" s="74"/>
      <c r="C48" s="73" t="s">
        <v>204</v>
      </c>
      <c r="D48" s="75"/>
      <c r="E48" s="74"/>
      <c r="F48" s="41" t="s">
        <v>43</v>
      </c>
      <c r="G48" s="76">
        <v>45506</v>
      </c>
      <c r="H48" s="74"/>
    </row>
    <row r="49" spans="1:14" x14ac:dyDescent="0.35">
      <c r="A49" s="73" t="s">
        <v>44</v>
      </c>
      <c r="B49" s="74"/>
      <c r="C49" s="73" t="str">
        <f>C48</f>
        <v>KDMC/TPD/BP/KD/2022-23/57/84</v>
      </c>
      <c r="D49" s="75"/>
      <c r="E49" s="74"/>
      <c r="F49" s="41" t="s">
        <v>43</v>
      </c>
      <c r="G49" s="76">
        <f>G48</f>
        <v>45506</v>
      </c>
      <c r="H49" s="77"/>
    </row>
    <row r="50" spans="1:14" s="18" customFormat="1" ht="15.75" customHeight="1" x14ac:dyDescent="0.35">
      <c r="A50" s="79" t="s">
        <v>154</v>
      </c>
      <c r="B50" s="112"/>
      <c r="C50" s="73" t="str">
        <f>C49</f>
        <v>KDMC/TPD/BP/KD/2022-23/57/84</v>
      </c>
      <c r="D50" s="75"/>
      <c r="E50" s="74"/>
      <c r="F50" s="41" t="s">
        <v>43</v>
      </c>
      <c r="G50" s="76">
        <f>G49</f>
        <v>45506</v>
      </c>
      <c r="H50" s="77"/>
    </row>
    <row r="51" spans="1:14" s="18" customFormat="1" ht="48.5" customHeight="1" x14ac:dyDescent="0.35">
      <c r="A51" s="113"/>
      <c r="B51" s="114"/>
      <c r="C51" s="73" t="s">
        <v>242</v>
      </c>
      <c r="D51" s="75"/>
      <c r="E51" s="75"/>
      <c r="F51" s="75"/>
      <c r="G51" s="75"/>
      <c r="H51" s="74"/>
    </row>
    <row r="52" spans="1:14" ht="47.5" customHeight="1" x14ac:dyDescent="0.35">
      <c r="A52" s="84" t="s">
        <v>263</v>
      </c>
      <c r="B52" s="85"/>
      <c r="C52" s="84" t="s">
        <v>262</v>
      </c>
      <c r="D52" s="86"/>
      <c r="E52" s="85"/>
      <c r="F52" s="42" t="s">
        <v>43</v>
      </c>
      <c r="G52" s="90">
        <v>45835</v>
      </c>
      <c r="H52" s="91"/>
    </row>
    <row r="53" spans="1:14" x14ac:dyDescent="0.35">
      <c r="A53" s="87" t="s">
        <v>46</v>
      </c>
      <c r="B53" s="87"/>
      <c r="C53" s="87"/>
      <c r="D53" s="87"/>
      <c r="E53" s="87"/>
      <c r="F53" s="87"/>
      <c r="G53" s="87"/>
      <c r="H53" s="87"/>
    </row>
    <row r="54" spans="1:14" x14ac:dyDescent="0.35">
      <c r="A54" s="88" t="s">
        <v>91</v>
      </c>
      <c r="B54" s="88"/>
      <c r="C54" s="88"/>
      <c r="D54" s="78">
        <f>E44</f>
        <v>10803.35</v>
      </c>
      <c r="E54" s="78"/>
      <c r="F54" s="78"/>
      <c r="G54" s="78"/>
      <c r="H54" s="78"/>
    </row>
    <row r="55" spans="1:14" x14ac:dyDescent="0.35">
      <c r="A55" s="89" t="s">
        <v>47</v>
      </c>
      <c r="B55" s="78"/>
      <c r="C55" s="78"/>
      <c r="D55" s="78" t="s">
        <v>252</v>
      </c>
      <c r="E55" s="78"/>
      <c r="F55" s="78"/>
      <c r="G55" s="78"/>
      <c r="H55" s="78"/>
      <c r="I55" s="19" t="s">
        <v>239</v>
      </c>
    </row>
    <row r="56" spans="1:14" ht="15.75" customHeight="1" x14ac:dyDescent="0.35">
      <c r="A56" s="79" t="s">
        <v>48</v>
      </c>
      <c r="B56" s="80"/>
      <c r="C56" s="112"/>
      <c r="D56" s="81" t="s">
        <v>225</v>
      </c>
      <c r="E56" s="82"/>
      <c r="F56" s="82"/>
      <c r="G56" s="82"/>
      <c r="H56" s="83"/>
    </row>
    <row r="57" spans="1:14" ht="15.75" customHeight="1" x14ac:dyDescent="0.35">
      <c r="A57" s="79" t="s">
        <v>89</v>
      </c>
      <c r="B57" s="80"/>
      <c r="C57" s="80"/>
      <c r="D57" s="81" t="s">
        <v>225</v>
      </c>
      <c r="E57" s="82"/>
      <c r="F57" s="82"/>
      <c r="G57" s="82"/>
      <c r="H57" s="83"/>
    </row>
    <row r="58" spans="1:14" ht="15.75" customHeight="1" x14ac:dyDescent="0.35">
      <c r="A58" s="66" t="s">
        <v>45</v>
      </c>
      <c r="B58" s="66"/>
      <c r="C58" s="66"/>
      <c r="D58" s="110" t="s">
        <v>184</v>
      </c>
      <c r="E58" s="110"/>
      <c r="F58" s="110"/>
      <c r="G58" s="110"/>
      <c r="H58" s="110"/>
      <c r="J58" s="20"/>
      <c r="K58" s="19"/>
      <c r="N58" s="19"/>
    </row>
    <row r="59" spans="1:14" ht="15.75" customHeight="1" x14ac:dyDescent="0.35">
      <c r="A59" s="66" t="s">
        <v>87</v>
      </c>
      <c r="B59" s="66"/>
      <c r="C59" s="66"/>
      <c r="D59" s="137" t="s">
        <v>264</v>
      </c>
      <c r="E59" s="137"/>
      <c r="F59" s="137"/>
      <c r="G59" s="137"/>
      <c r="H59" s="137"/>
      <c r="I59" s="137" t="str">
        <f>(IF(L52="NA","60 Years After Completion",IF(L52&lt;&gt;"NA",""&amp;60-ROUNDDOWN((J3-L52)/360,0)&amp;" Years"," ")))</f>
        <v>60 Years</v>
      </c>
      <c r="J59" s="137"/>
      <c r="K59" s="137"/>
      <c r="L59" s="137"/>
      <c r="M59" s="137"/>
      <c r="N59" s="19"/>
    </row>
    <row r="60" spans="1:14" ht="15.75" customHeight="1" x14ac:dyDescent="0.35">
      <c r="A60" s="66" t="s">
        <v>88</v>
      </c>
      <c r="B60" s="66"/>
      <c r="C60" s="66"/>
      <c r="D60" s="88" t="s">
        <v>24</v>
      </c>
      <c r="E60" s="88"/>
      <c r="F60" s="88"/>
      <c r="G60" s="88"/>
      <c r="H60" s="88"/>
      <c r="J60" s="21"/>
      <c r="K60" s="21"/>
    </row>
    <row r="61" spans="1:14" ht="30" customHeight="1" x14ac:dyDescent="0.35">
      <c r="A61" s="66" t="s">
        <v>75</v>
      </c>
      <c r="B61" s="66"/>
      <c r="C61" s="66"/>
      <c r="D61" s="89" t="s">
        <v>224</v>
      </c>
      <c r="E61" s="88"/>
      <c r="F61" s="88"/>
      <c r="G61" s="88"/>
      <c r="H61" s="88"/>
      <c r="I61" s="50" t="s">
        <v>223</v>
      </c>
    </row>
    <row r="62" spans="1:14" x14ac:dyDescent="0.35">
      <c r="A62" s="88" t="s">
        <v>147</v>
      </c>
      <c r="B62" s="88"/>
      <c r="C62" s="88"/>
      <c r="D62" s="88" t="s">
        <v>30</v>
      </c>
      <c r="E62" s="88"/>
      <c r="F62" s="88"/>
      <c r="G62" s="88"/>
      <c r="H62" s="88"/>
      <c r="I62" s="22"/>
      <c r="J62" s="22"/>
      <c r="K62" s="22"/>
      <c r="L62" s="22"/>
      <c r="M62" s="22"/>
      <c r="N62" s="22"/>
    </row>
    <row r="63" spans="1:14" ht="15.75" customHeight="1" x14ac:dyDescent="0.35">
      <c r="A63" s="66" t="s">
        <v>86</v>
      </c>
      <c r="B63" s="66"/>
      <c r="C63" s="66"/>
      <c r="D63" s="89" t="str">
        <f ca="1">(IF(G69&gt;95%,"Nothing",IF(G69&gt;0%,"Cement, Aggregate, Steel, etc",IF(G69=0%,"Work not yet Started"))))</f>
        <v>Cement, Aggregate, Steel, etc</v>
      </c>
      <c r="E63" s="89"/>
      <c r="F63" s="89"/>
      <c r="G63" s="89"/>
      <c r="H63" s="89"/>
      <c r="J63" s="21"/>
    </row>
    <row r="64" spans="1:14" ht="33.75" customHeight="1" thickBot="1" x14ac:dyDescent="0.4">
      <c r="A64" s="88" t="s">
        <v>118</v>
      </c>
      <c r="B64" s="88"/>
      <c r="C64" s="88"/>
      <c r="D64" s="89" t="str">
        <f ca="1">(IF(D63="Nothing","Yes",IF(D63="Cement, Aggregate, Steel, etc","Under Construction",IF(D63="Work not yet Started","Work not yet Started"))))</f>
        <v>Under Construction</v>
      </c>
      <c r="E64" s="89"/>
      <c r="F64" s="89" t="str">
        <f ca="1">(IF(D63="Nothing","Yes",IF(D63="Cement, Aggregate, Steel, etc","Under Construction",IF(D63="Work not yet Started","Work not yet Started"))))</f>
        <v>Under Construction</v>
      </c>
      <c r="G64" s="89"/>
      <c r="H64" s="89"/>
    </row>
    <row r="65" spans="1:11" ht="15.75" customHeight="1" x14ac:dyDescent="0.35">
      <c r="A65" s="99" t="s">
        <v>139</v>
      </c>
      <c r="B65" s="99"/>
      <c r="C65" s="99" t="str">
        <f>D57</f>
        <v>Wing A = Gr + 1st to 23rd Floor</v>
      </c>
      <c r="D65" s="99"/>
      <c r="E65" s="99"/>
      <c r="F65" s="99"/>
      <c r="G65" s="99"/>
      <c r="H65" s="99"/>
      <c r="I65" s="51" t="str">
        <f ca="1">IF(D78=100%,"All work Completed. Possession granted to the Building.",IF(D77=100%,"All work Completed, Waiting for OC",I66&amp;""&amp;I67&amp;""&amp;J66&amp;""&amp;J65&amp;" "&amp;J67))</f>
        <v>Excavation, Plinth Completed, RCC upto 23 Slab, Brickwork upto 18 Floor, Internal Plaster upto 14 Floor, External Plaster upto 5 Floor, Flooring upto 4 Floor, Painting upto 4 Floor Completed</v>
      </c>
      <c r="J65" s="37" t="str">
        <f ca="1">(IF(C71=(D66+F66+H66),"",IF(C71&gt;0,", RCC upto "&amp;C71&amp;" Slab","")))&amp;(IF(C72=H66,"",IF(C72&gt;0,", Brickwork upto "&amp;C72&amp;" Floor","")))&amp;(IF(C73=H66,"",IF(C73&gt;0,", Internal Plaster upto "&amp;C73&amp;" Floor","")))&amp;(IF(C74=H66,"",IF(C74&gt;0,", External Plaster upto "&amp;C74&amp;" Floor","")))&amp;(IF(C75=H66,"",IF(C75&gt;0,", Flooring upto "&amp;C75&amp;" Floor","")))&amp;(IF(C76=H66,"",IF(C76&gt;0,", Painting upto "&amp;C76&amp;" Floor","")))&amp;(IF(C77=H66,"",IF(C77&gt;0,", Finishing upto "&amp;C77&amp;" Floor","")))&amp;(IF(C78=H66,"",IF(C78&gt;0,", Possession upto "&amp;C78&amp;" Floor","")))</f>
        <v>, RCC upto 23 Slab, Brickwork upto 18 Floor, Internal Plaster upto 14 Floor, External Plaster upto 5 Floor, Flooring upto 4 Floor, Painting upto 4 Floor</v>
      </c>
    </row>
    <row r="66" spans="1:11" x14ac:dyDescent="0.35">
      <c r="A66" s="56" t="s">
        <v>141</v>
      </c>
      <c r="B66" s="56">
        <v>0</v>
      </c>
      <c r="C66" s="56" t="s">
        <v>72</v>
      </c>
      <c r="D66" s="56">
        <v>1</v>
      </c>
      <c r="E66" s="56" t="s">
        <v>71</v>
      </c>
      <c r="F66" s="56">
        <v>0</v>
      </c>
      <c r="G66" s="56" t="s">
        <v>80</v>
      </c>
      <c r="H66" s="56">
        <f ca="1">--TRIM(RIGHT(SUBSTITUTE(LEFT(C65,_xlfn.AGGREGATE(16,6,FIND({0,1,2,3,4,5,6,7,8,9},C65,ROW(INDIRECT("1:"&amp;LEN(C65)))),1))," ",REPT(" ",LEN(C65))),LEN(C65)))</f>
        <v>23</v>
      </c>
      <c r="I66" s="52" t="str">
        <f ca="1">IF(D69=100%,"Excavation","")&amp;IF(D70=100%,", Plinth","")&amp;IF(D71=100%,", RCC Slab","")&amp;IF(D72=100%,", Brickwork","")&amp;IF(D73=100%,", Internal Plaster","")&amp;IF(D74=100%,", External Plaster","")&amp;IF(D75=100%,", Flooring","")&amp;IF(D76=100%,", Painting","")&amp;IF(D77=100%,", Building common Amenities","")</f>
        <v>Excavation, Plinth</v>
      </c>
      <c r="J66" s="38" t="str">
        <f ca="1">(IF(C69=0,"Work not yet Started.",IF(D69=25%,"Piling work in process",IF(D69=50%,"Excavation work in process",IF(D69=100%,"","0")))))&amp;(IF(C70=0%,"",IF(C70=J71,", Footing work is process",IF(C70=J72,", Footing work Completed",IF(C70=J73,", 1st Basement Completed",IF(C70=J74,", 1st &amp; 2nd Basement Completed",IF(C70=J75,", 1st to 3rd Basement Completed",IF(C70=J76,", 1st to 4th Basement Completed",IF(C70=J77,", Plinth work is process",IF(C70=J78,"","0"))))))))))</f>
        <v/>
      </c>
    </row>
    <row r="67" spans="1:11" ht="47.25" customHeight="1" x14ac:dyDescent="0.35">
      <c r="A67" s="98" t="s">
        <v>90</v>
      </c>
      <c r="B67" s="98"/>
      <c r="C67" s="138" t="str">
        <f ca="1">I65</f>
        <v>Excavation, Plinth Completed, RCC upto 23 Slab, Brickwork upto 18 Floor, Internal Plaster upto 14 Floor, External Plaster upto 5 Floor, Flooring upto 4 Floor, Painting upto 4 Floor Completed</v>
      </c>
      <c r="D67" s="138"/>
      <c r="E67" s="138"/>
      <c r="F67" s="138"/>
      <c r="G67" s="138"/>
      <c r="H67" s="138"/>
      <c r="I67" s="52" t="str">
        <f ca="1">IF(I66&lt;&gt;""," Completed","")</f>
        <v xml:space="preserve"> Completed</v>
      </c>
      <c r="J67" s="38" t="str">
        <f ca="1">IF(J65&lt;&gt;"","Completed","")</f>
        <v>Completed</v>
      </c>
    </row>
    <row r="68" spans="1:11" ht="15.75" customHeight="1" x14ac:dyDescent="0.35">
      <c r="A68" s="69" t="s">
        <v>49</v>
      </c>
      <c r="B68" s="69"/>
      <c r="C68" s="55" t="s">
        <v>138</v>
      </c>
      <c r="D68" s="55" t="s">
        <v>83</v>
      </c>
      <c r="E68" s="69" t="s">
        <v>85</v>
      </c>
      <c r="F68" s="69"/>
      <c r="G68" s="69" t="s">
        <v>84</v>
      </c>
      <c r="H68" s="69"/>
      <c r="I68" s="13" t="s">
        <v>140</v>
      </c>
      <c r="J68" s="23">
        <f ca="1">H66*25%</f>
        <v>5.75</v>
      </c>
    </row>
    <row r="69" spans="1:11" x14ac:dyDescent="0.35">
      <c r="A69" s="69" t="s">
        <v>127</v>
      </c>
      <c r="B69" s="69"/>
      <c r="C69" s="55">
        <f ca="1">J70</f>
        <v>23</v>
      </c>
      <c r="D69" s="15">
        <f ca="1">((100/H66)*C69)/100</f>
        <v>1</v>
      </c>
      <c r="E69" s="124">
        <f ca="1">(((C70/H66*10)+(40/(D66+F66+H66)*C71)+(7.5/(H66)*C72)+(7.5/(H66)*C73)+(10/H66*C74)+(10/H66*C75)+(5/H66*C76)+(5/H66*C77)+(5/H66*C78))/100)</f>
        <v>0.63550724637681155</v>
      </c>
      <c r="F69" s="124"/>
      <c r="G69" s="124">
        <f ca="1">((((C69/H66)*20)+((C70/H66)*25)+(30/(H66+F66+D66)*C71)+(5/H66*C72)+(5/H66*C73)+(5/H66*C74)+(5/H66*C75)+(0/H66*C76)+(0/H66*C77)+(5/H66*C78))/100)</f>
        <v>0.82663043478260856</v>
      </c>
      <c r="H69" s="124"/>
      <c r="I69" s="13" t="s">
        <v>101</v>
      </c>
      <c r="J69" s="24">
        <f ca="1">H66*50%</f>
        <v>11.5</v>
      </c>
    </row>
    <row r="70" spans="1:11" x14ac:dyDescent="0.35">
      <c r="A70" s="69" t="s">
        <v>50</v>
      </c>
      <c r="B70" s="69"/>
      <c r="C70" s="39">
        <f ca="1">J78</f>
        <v>23</v>
      </c>
      <c r="D70" s="15">
        <f ca="1">((100/H66)*C70)/100</f>
        <v>1</v>
      </c>
      <c r="E70" s="124"/>
      <c r="F70" s="124"/>
      <c r="G70" s="124"/>
      <c r="H70" s="124"/>
      <c r="I70" s="13" t="s">
        <v>102</v>
      </c>
      <c r="J70" s="24">
        <f ca="1">H66</f>
        <v>23</v>
      </c>
    </row>
    <row r="71" spans="1:11" ht="15.75" customHeight="1" x14ac:dyDescent="0.35">
      <c r="A71" s="69" t="s">
        <v>128</v>
      </c>
      <c r="B71" s="69"/>
      <c r="C71" s="55">
        <v>23</v>
      </c>
      <c r="D71" s="15">
        <f ca="1">((100/(D66+F66+H66))*C71)/100</f>
        <v>0.95833333333333348</v>
      </c>
      <c r="E71" s="124"/>
      <c r="F71" s="124"/>
      <c r="G71" s="124"/>
      <c r="H71" s="124"/>
      <c r="I71" s="13" t="s">
        <v>103</v>
      </c>
      <c r="J71" s="25">
        <f ca="1">(IF(B66&gt;1,(H66/(B66+2)),H66/4))</f>
        <v>5.75</v>
      </c>
    </row>
    <row r="72" spans="1:11" ht="15.75" customHeight="1" x14ac:dyDescent="0.35">
      <c r="A72" s="69" t="s">
        <v>135</v>
      </c>
      <c r="B72" s="69" t="s">
        <v>129</v>
      </c>
      <c r="C72" s="55">
        <v>18</v>
      </c>
      <c r="D72" s="15">
        <f ca="1">((100/H66)*C72)/100</f>
        <v>0.78260869565217395</v>
      </c>
      <c r="E72" s="124"/>
      <c r="F72" s="124"/>
      <c r="G72" s="124"/>
      <c r="H72" s="124"/>
      <c r="I72" s="13" t="s">
        <v>104</v>
      </c>
      <c r="J72" s="25">
        <f ca="1">(IF(B66&gt;1,(H66/(B66+2)+J71),H66/4+J71))</f>
        <v>11.5</v>
      </c>
    </row>
    <row r="73" spans="1:11" ht="15.75" customHeight="1" x14ac:dyDescent="0.35">
      <c r="A73" s="69" t="s">
        <v>136</v>
      </c>
      <c r="B73" s="69" t="s">
        <v>129</v>
      </c>
      <c r="C73" s="55">
        <v>14</v>
      </c>
      <c r="D73" s="15">
        <f ca="1">((100/H66)*C73)/100</f>
        <v>0.60869565217391297</v>
      </c>
      <c r="E73" s="124"/>
      <c r="F73" s="124"/>
      <c r="G73" s="124"/>
      <c r="H73" s="124"/>
      <c r="I73" s="13" t="s">
        <v>145</v>
      </c>
      <c r="J73" s="25">
        <f>(IF(B66&gt;1,(H66/(B66+2)+J72),0))</f>
        <v>0</v>
      </c>
    </row>
    <row r="74" spans="1:11" ht="15" customHeight="1" x14ac:dyDescent="0.35">
      <c r="A74" s="69" t="s">
        <v>134</v>
      </c>
      <c r="B74" s="69" t="s">
        <v>131</v>
      </c>
      <c r="C74" s="55">
        <v>5</v>
      </c>
      <c r="D74" s="15">
        <f ca="1">((100/(H66))*C74)/100</f>
        <v>0.21739130434782608</v>
      </c>
      <c r="E74" s="124"/>
      <c r="F74" s="124"/>
      <c r="G74" s="124"/>
      <c r="H74" s="124"/>
      <c r="I74" s="13" t="s">
        <v>142</v>
      </c>
      <c r="J74" s="25">
        <f>(IF(B66&gt;2,(H66/(B66+2)+J73),0))</f>
        <v>0</v>
      </c>
    </row>
    <row r="75" spans="1:11" ht="15.75" customHeight="1" x14ac:dyDescent="0.35">
      <c r="A75" s="69" t="s">
        <v>130</v>
      </c>
      <c r="B75" s="69" t="s">
        <v>130</v>
      </c>
      <c r="C75" s="55">
        <v>4</v>
      </c>
      <c r="D75" s="15">
        <f ca="1">((100/H66)*C75)/100</f>
        <v>0.17391304347826086</v>
      </c>
      <c r="E75" s="124"/>
      <c r="F75" s="124"/>
      <c r="G75" s="124"/>
      <c r="H75" s="124"/>
      <c r="I75" s="13" t="s">
        <v>143</v>
      </c>
      <c r="J75" s="26">
        <f>(IF(B66&gt;3,(H66/(B66+2)+J74),0))</f>
        <v>0</v>
      </c>
      <c r="K75" s="44"/>
    </row>
    <row r="76" spans="1:11" ht="15.75" customHeight="1" x14ac:dyDescent="0.35">
      <c r="A76" s="69" t="s">
        <v>137</v>
      </c>
      <c r="B76" s="69"/>
      <c r="C76" s="55">
        <v>4</v>
      </c>
      <c r="D76" s="15">
        <f ca="1">((100/H66)*C76)/100</f>
        <v>0.17391304347826086</v>
      </c>
      <c r="E76" s="124"/>
      <c r="F76" s="124"/>
      <c r="G76" s="124"/>
      <c r="H76" s="124"/>
      <c r="I76" s="13" t="s">
        <v>144</v>
      </c>
      <c r="J76" s="25">
        <f>(IF(B66&gt;4,(H66/(B66+2)+J75),0))</f>
        <v>0</v>
      </c>
    </row>
    <row r="77" spans="1:11" ht="15.75" customHeight="1" x14ac:dyDescent="0.35">
      <c r="A77" s="69" t="s">
        <v>132</v>
      </c>
      <c r="B77" s="69" t="s">
        <v>132</v>
      </c>
      <c r="C77" s="55">
        <v>0</v>
      </c>
      <c r="D77" s="15">
        <f ca="1">((100/(H66))*C77)/100</f>
        <v>0</v>
      </c>
      <c r="E77" s="124"/>
      <c r="F77" s="124"/>
      <c r="G77" s="124"/>
      <c r="H77" s="124"/>
      <c r="I77" s="13" t="s">
        <v>146</v>
      </c>
      <c r="J77" s="25">
        <f ca="1">(IF(B66=1,(H66/(B66+3)+J72),IF(B66=0,(H66/4+J72),IF(B66&gt;1,0))))</f>
        <v>17.25</v>
      </c>
    </row>
    <row r="78" spans="1:11" ht="16" thickBot="1" x14ac:dyDescent="0.4">
      <c r="A78" s="69" t="s">
        <v>133</v>
      </c>
      <c r="B78" s="69"/>
      <c r="C78" s="55">
        <v>0</v>
      </c>
      <c r="D78" s="15">
        <f ca="1">((100/(H66))*C78)/100</f>
        <v>0</v>
      </c>
      <c r="E78" s="124"/>
      <c r="F78" s="124"/>
      <c r="G78" s="124"/>
      <c r="H78" s="124"/>
      <c r="I78" s="14" t="s">
        <v>105</v>
      </c>
      <c r="J78" s="27">
        <f ca="1">(IF(B66&gt;1.5,(H66/(B66+2)+J72+MAX(0,J73-J72)+MAX(0,J74-J73)+MAX(0,J75-J74)+MAX(0,J76-J75)+MAX(0,J77-J76)),IF(B66=1,(H66/(B66+3)+J77),IF(B66=0,H66/4+J77))))</f>
        <v>23</v>
      </c>
    </row>
    <row r="79" spans="1:11" x14ac:dyDescent="0.35">
      <c r="A79" s="141" t="s">
        <v>155</v>
      </c>
      <c r="B79" s="141"/>
      <c r="C79" s="141"/>
      <c r="D79" s="141"/>
      <c r="E79" s="141"/>
      <c r="F79" s="100" t="s">
        <v>160</v>
      </c>
      <c r="G79" s="100"/>
      <c r="H79" s="100"/>
    </row>
    <row r="80" spans="1:11" x14ac:dyDescent="0.35">
      <c r="A80" s="66" t="s">
        <v>158</v>
      </c>
      <c r="B80" s="66"/>
      <c r="C80" s="66"/>
      <c r="D80" s="66"/>
      <c r="E80" s="66"/>
      <c r="F80" s="70">
        <v>7500</v>
      </c>
      <c r="G80" s="70"/>
      <c r="H80" s="70"/>
      <c r="J80" s="32" t="s">
        <v>191</v>
      </c>
    </row>
    <row r="81" spans="1:11" x14ac:dyDescent="0.35">
      <c r="A81" s="66" t="s">
        <v>157</v>
      </c>
      <c r="B81" s="66"/>
      <c r="C81" s="66"/>
      <c r="D81" s="66"/>
      <c r="E81" s="66"/>
      <c r="F81" s="95">
        <v>20000</v>
      </c>
      <c r="G81" s="95"/>
      <c r="H81" s="95"/>
      <c r="J81" s="32">
        <v>8500</v>
      </c>
      <c r="K81" s="17" t="s">
        <v>268</v>
      </c>
    </row>
    <row r="82" spans="1:11" x14ac:dyDescent="0.35">
      <c r="A82" s="66" t="s">
        <v>159</v>
      </c>
      <c r="B82" s="66"/>
      <c r="C82" s="66"/>
      <c r="D82" s="66"/>
      <c r="E82" s="66"/>
      <c r="F82" s="95">
        <v>17000</v>
      </c>
      <c r="G82" s="95"/>
      <c r="H82" s="95"/>
      <c r="I82" s="16" t="s">
        <v>267</v>
      </c>
    </row>
    <row r="83" spans="1:11" s="28" customFormat="1" hidden="1" x14ac:dyDescent="0.3">
      <c r="A83" s="66" t="s">
        <v>156</v>
      </c>
      <c r="B83" s="66"/>
      <c r="C83" s="66"/>
      <c r="D83" s="66"/>
      <c r="E83" s="66"/>
      <c r="F83" s="95"/>
      <c r="G83" s="95"/>
      <c r="H83" s="95"/>
    </row>
    <row r="84" spans="1:11" s="28" customFormat="1" hidden="1" x14ac:dyDescent="0.3">
      <c r="A84" s="66" t="s">
        <v>95</v>
      </c>
      <c r="B84" s="66"/>
      <c r="C84" s="66"/>
      <c r="D84" s="66"/>
      <c r="E84" s="66"/>
      <c r="F84" s="95"/>
      <c r="G84" s="95"/>
      <c r="H84" s="95"/>
    </row>
    <row r="85" spans="1:11" s="28" customFormat="1" hidden="1" x14ac:dyDescent="0.3">
      <c r="A85" s="66" t="s">
        <v>96</v>
      </c>
      <c r="B85" s="66"/>
      <c r="C85" s="66"/>
      <c r="D85" s="66"/>
      <c r="E85" s="66"/>
      <c r="F85" s="95"/>
      <c r="G85" s="95"/>
      <c r="H85" s="95"/>
    </row>
    <row r="86" spans="1:11" s="28" customFormat="1" hidden="1" x14ac:dyDescent="0.3">
      <c r="A86" s="66" t="s">
        <v>161</v>
      </c>
      <c r="B86" s="66"/>
      <c r="C86" s="66"/>
      <c r="D86" s="66"/>
      <c r="E86" s="66"/>
      <c r="F86" s="95"/>
      <c r="G86" s="95"/>
      <c r="H86" s="95"/>
    </row>
    <row r="87" spans="1:11" s="28" customFormat="1" hidden="1" x14ac:dyDescent="0.3">
      <c r="A87" s="66" t="s">
        <v>97</v>
      </c>
      <c r="B87" s="66"/>
      <c r="C87" s="66"/>
      <c r="D87" s="66"/>
      <c r="E87" s="66"/>
      <c r="F87" s="95"/>
      <c r="G87" s="95"/>
      <c r="H87" s="95"/>
    </row>
    <row r="88" spans="1:11" s="28" customFormat="1" hidden="1" x14ac:dyDescent="0.3">
      <c r="A88" s="66" t="s">
        <v>98</v>
      </c>
      <c r="B88" s="66"/>
      <c r="C88" s="66"/>
      <c r="D88" s="66"/>
      <c r="E88" s="66"/>
      <c r="F88" s="95"/>
      <c r="G88" s="95"/>
      <c r="H88" s="95"/>
    </row>
    <row r="89" spans="1:11" s="28" customFormat="1" hidden="1" x14ac:dyDescent="0.3">
      <c r="A89" s="66" t="s">
        <v>99</v>
      </c>
      <c r="B89" s="66"/>
      <c r="C89" s="66"/>
      <c r="D89" s="66"/>
      <c r="E89" s="66"/>
      <c r="F89" s="95"/>
      <c r="G89" s="95"/>
      <c r="H89" s="95"/>
    </row>
    <row r="90" spans="1:11" s="28" customFormat="1" hidden="1" x14ac:dyDescent="0.3">
      <c r="A90" s="66" t="s">
        <v>100</v>
      </c>
      <c r="B90" s="66"/>
      <c r="C90" s="66"/>
      <c r="D90" s="66"/>
      <c r="E90" s="66"/>
      <c r="F90" s="95"/>
      <c r="G90" s="95"/>
      <c r="H90" s="95"/>
    </row>
    <row r="91" spans="1:11" x14ac:dyDescent="0.35">
      <c r="A91" s="66" t="s">
        <v>51</v>
      </c>
      <c r="B91" s="66"/>
      <c r="C91" s="66"/>
      <c r="D91" s="66"/>
      <c r="E91" s="66"/>
      <c r="F91" s="95">
        <v>250000</v>
      </c>
      <c r="G91" s="95"/>
      <c r="H91" s="95"/>
    </row>
    <row r="92" spans="1:11" s="29" customFormat="1" x14ac:dyDescent="0.35">
      <c r="A92" s="96" t="s">
        <v>52</v>
      </c>
      <c r="B92" s="96"/>
      <c r="C92" s="96"/>
      <c r="D92" s="96"/>
      <c r="E92" s="96"/>
      <c r="F92" s="95">
        <f>F80*0.8</f>
        <v>6000</v>
      </c>
      <c r="G92" s="95"/>
      <c r="H92" s="95"/>
    </row>
    <row r="93" spans="1:11" s="30" customFormat="1" ht="15.75" customHeight="1" x14ac:dyDescent="0.35">
      <c r="A93" s="94" t="s">
        <v>258</v>
      </c>
      <c r="B93" s="94"/>
      <c r="C93" s="94"/>
      <c r="D93" s="94"/>
      <c r="E93" s="94"/>
      <c r="F93" s="94"/>
      <c r="G93" s="94"/>
      <c r="H93" s="94"/>
    </row>
    <row r="94" spans="1:11" s="30" customFormat="1" ht="15.75" customHeight="1" x14ac:dyDescent="0.35">
      <c r="A94" s="68" t="s">
        <v>53</v>
      </c>
      <c r="B94" s="68"/>
      <c r="C94" s="129" t="s">
        <v>78</v>
      </c>
      <c r="D94" s="129"/>
      <c r="E94" s="135" t="s">
        <v>54</v>
      </c>
      <c r="F94" s="135"/>
      <c r="G94" s="68" t="s">
        <v>55</v>
      </c>
      <c r="H94" s="68"/>
    </row>
    <row r="95" spans="1:11" s="30" customFormat="1" x14ac:dyDescent="0.35">
      <c r="A95" s="97" t="s">
        <v>260</v>
      </c>
      <c r="B95" s="97"/>
      <c r="C95" s="130">
        <f>COUNT(D109:D137)</f>
        <v>29</v>
      </c>
      <c r="D95" s="132"/>
      <c r="E95" s="71">
        <f>SUM(D109:D137)</f>
        <v>5761.2184109999998</v>
      </c>
      <c r="F95" s="72"/>
      <c r="G95" s="71">
        <f>SUM(F109:F137)</f>
        <v>14574.860529059999</v>
      </c>
      <c r="H95" s="72"/>
    </row>
    <row r="96" spans="1:11" s="30" customFormat="1" x14ac:dyDescent="0.35">
      <c r="A96" s="97" t="s">
        <v>261</v>
      </c>
      <c r="B96" s="97"/>
      <c r="C96" s="130">
        <f>COUNT(D140:D158)*3+COUNT(D160:D178)</f>
        <v>76</v>
      </c>
      <c r="D96" s="130"/>
      <c r="E96" s="71">
        <f>SUM(D140:D158)*3+SUM(D160:D178)</f>
        <v>16968.046679999999</v>
      </c>
      <c r="F96" s="71"/>
      <c r="G96" s="71">
        <f>SUM(F140:F158)*3+SUM(F160:F178)</f>
        <v>26300.472354000005</v>
      </c>
      <c r="H96" s="71"/>
    </row>
    <row r="97" spans="1:14" s="30" customFormat="1" x14ac:dyDescent="0.35">
      <c r="A97" s="94" t="s">
        <v>149</v>
      </c>
      <c r="B97" s="94"/>
      <c r="C97" s="128">
        <f>SUM(C95:C96)</f>
        <v>105</v>
      </c>
      <c r="D97" s="129"/>
      <c r="E97" s="128">
        <f>SUM(E95:E96)</f>
        <v>22729.265091000001</v>
      </c>
      <c r="F97" s="129"/>
      <c r="G97" s="128">
        <f>SUM(G95:G96)</f>
        <v>40875.332883060008</v>
      </c>
      <c r="H97" s="129"/>
    </row>
    <row r="98" spans="1:14" s="30" customFormat="1" x14ac:dyDescent="0.35">
      <c r="A98" s="94" t="s">
        <v>70</v>
      </c>
      <c r="B98" s="94"/>
      <c r="C98" s="94"/>
      <c r="D98" s="94"/>
      <c r="E98" s="94"/>
      <c r="F98" s="94"/>
      <c r="G98" s="94"/>
      <c r="H98" s="94"/>
    </row>
    <row r="99" spans="1:14" s="30" customFormat="1" ht="15.75" customHeight="1" x14ac:dyDescent="0.35">
      <c r="A99" s="68" t="s">
        <v>53</v>
      </c>
      <c r="B99" s="68"/>
      <c r="C99" s="129" t="s">
        <v>78</v>
      </c>
      <c r="D99" s="129"/>
      <c r="E99" s="135" t="s">
        <v>54</v>
      </c>
      <c r="F99" s="135"/>
      <c r="G99" s="68" t="s">
        <v>55</v>
      </c>
      <c r="H99" s="68"/>
    </row>
    <row r="100" spans="1:14" s="30" customFormat="1" x14ac:dyDescent="0.35">
      <c r="A100" s="97" t="s">
        <v>222</v>
      </c>
      <c r="B100" s="97"/>
      <c r="C100" s="116">
        <f>COUNT(D187:D191)+COUNT(D193:D197)+COUNT(D199:D203)+COUNT(D205:D209)+COUNT(D211:D214)+COUNT(D217:D221)*2+COUNT(D223:D227)+COUNT(D229:D232)+COUNT(D235:D239)+COUNT(D241:D245)*3+COUNT(D247:D250)+COUNT(D253:D254,D256)+COUNT(D260,D262)+COUNT(D266,D268)</f>
        <v>74</v>
      </c>
      <c r="D100" s="116"/>
      <c r="E100" s="116">
        <f t="shared" ref="E100" si="0">SUM(F187:F191)+SUM(F193:F197)+SUM(F199:F203)+SUM(F205:F209)+SUM(F211:F214)+SUM(F217:F221)*2+SUM(F223:F227)+SUM(F229:F232)+SUM(F235:F239)+SUM(F241:F245)*3+SUM(F247:F250)+SUM(F253:F254,F256)+SUM(F260,F262)+SUM(F266,F268)</f>
        <v>63490.75434</v>
      </c>
      <c r="F100" s="116"/>
      <c r="G100" s="116">
        <f t="shared" ref="G100" si="1">SUM(H187:H191)+SUM(H193:H197)+SUM(H199:H203)+SUM(H205:H209)+SUM(H211:H214)+SUM(H217:H221)*2+SUM(H223:H227)+SUM(H229:H232)+SUM(H235:H239)+SUM(H241:H245)*3+SUM(H247:H250)+SUM(H253:H254,H256)+SUM(H260,H262)+SUM(H266,H268)</f>
        <v>95667.983189999999</v>
      </c>
      <c r="H100" s="116"/>
      <c r="I100" s="30">
        <f>3+65+6</f>
        <v>74</v>
      </c>
    </row>
    <row r="101" spans="1:14" s="30" customFormat="1" x14ac:dyDescent="0.35">
      <c r="A101" s="94" t="s">
        <v>149</v>
      </c>
      <c r="B101" s="94"/>
      <c r="C101" s="128">
        <f>SUM(C100)</f>
        <v>74</v>
      </c>
      <c r="D101" s="129"/>
      <c r="E101" s="128">
        <f t="shared" ref="E101" si="2">SUM(E100)</f>
        <v>63490.75434</v>
      </c>
      <c r="F101" s="129"/>
      <c r="G101" s="128">
        <f t="shared" ref="G101" si="3">SUM(G100)</f>
        <v>95667.983189999999</v>
      </c>
      <c r="H101" s="129"/>
    </row>
    <row r="102" spans="1:14" s="30" customFormat="1" x14ac:dyDescent="0.35">
      <c r="A102" s="94" t="s">
        <v>256</v>
      </c>
      <c r="B102" s="94"/>
      <c r="C102" s="128">
        <f>C101+C97</f>
        <v>179</v>
      </c>
      <c r="D102" s="129"/>
      <c r="E102" s="128">
        <f>E97+E101</f>
        <v>86220.019430999993</v>
      </c>
      <c r="F102" s="129"/>
      <c r="G102" s="128">
        <f>G97+G101</f>
        <v>136543.31607306001</v>
      </c>
      <c r="H102" s="129"/>
    </row>
    <row r="103" spans="1:14" s="29" customFormat="1" x14ac:dyDescent="0.35">
      <c r="A103" s="107" t="s">
        <v>56</v>
      </c>
      <c r="B103" s="107"/>
      <c r="C103" s="107"/>
      <c r="D103" s="107"/>
      <c r="E103" s="107"/>
      <c r="F103" s="107"/>
      <c r="G103" s="107"/>
      <c r="H103" s="107"/>
    </row>
    <row r="104" spans="1:14" x14ac:dyDescent="0.35">
      <c r="A104" s="107" t="s">
        <v>257</v>
      </c>
      <c r="B104" s="107"/>
      <c r="C104" s="107"/>
      <c r="D104" s="107"/>
      <c r="E104" s="107"/>
      <c r="F104" s="107"/>
      <c r="G104" s="107"/>
      <c r="H104" s="107"/>
    </row>
    <row r="105" spans="1:14" ht="47.25" customHeight="1" x14ac:dyDescent="0.35">
      <c r="A105" s="133" t="s">
        <v>220</v>
      </c>
      <c r="B105" s="133" t="s">
        <v>119</v>
      </c>
      <c r="C105" s="133" t="s">
        <v>57</v>
      </c>
      <c r="D105" s="133" t="s">
        <v>58</v>
      </c>
      <c r="E105" s="118" t="s">
        <v>248</v>
      </c>
      <c r="F105" s="47" t="s">
        <v>148</v>
      </c>
      <c r="G105" s="120" t="s">
        <v>60</v>
      </c>
      <c r="H105" s="121"/>
    </row>
    <row r="106" spans="1:14" s="32" customFormat="1" x14ac:dyDescent="0.35">
      <c r="A106" s="134"/>
      <c r="B106" s="134"/>
      <c r="C106" s="134"/>
      <c r="D106" s="134"/>
      <c r="E106" s="119"/>
      <c r="F106" s="46">
        <v>0.55000000000000004</v>
      </c>
      <c r="G106" s="122"/>
      <c r="H106" s="123"/>
    </row>
    <row r="107" spans="1:14" s="32" customFormat="1" x14ac:dyDescent="0.35">
      <c r="A107" s="117" t="s">
        <v>259</v>
      </c>
      <c r="B107" s="117"/>
      <c r="C107" s="117"/>
      <c r="D107" s="117"/>
      <c r="E107" s="117"/>
      <c r="F107" s="117"/>
      <c r="G107" s="117"/>
      <c r="H107" s="117"/>
      <c r="J107" s="31"/>
    </row>
    <row r="108" spans="1:14" s="32" customFormat="1" x14ac:dyDescent="0.35">
      <c r="A108" s="117" t="s">
        <v>249</v>
      </c>
      <c r="B108" s="117"/>
      <c r="C108" s="117"/>
      <c r="D108" s="117"/>
      <c r="E108" s="117"/>
      <c r="F108" s="117"/>
      <c r="G108" s="117"/>
      <c r="H108" s="117"/>
      <c r="J108" s="31"/>
    </row>
    <row r="109" spans="1:14" s="32" customFormat="1" ht="15.75" customHeight="1" x14ac:dyDescent="0.35">
      <c r="A109" s="142">
        <v>1</v>
      </c>
      <c r="B109" s="142"/>
      <c r="C109" s="48" t="s">
        <v>185</v>
      </c>
      <c r="D109" s="49">
        <f>(4.1*2.9)*(10.764)</f>
        <v>127.98395999999998</v>
      </c>
      <c r="E109" s="49">
        <f>(1.25*1.5+1.2*2.9)*(10.764)</f>
        <v>57.641220000000004</v>
      </c>
      <c r="F109" s="48">
        <f>(D109+E109)*(($F$106)+1)</f>
        <v>287.71902900000003</v>
      </c>
      <c r="G109" s="131" t="str">
        <f>A108</f>
        <v>Ground Floor For Commercial, Entrance Lobby, Society Office, Meter room &amp; Parking</v>
      </c>
      <c r="H109" s="131"/>
      <c r="I109" s="31"/>
      <c r="L109" s="115"/>
      <c r="M109" s="115"/>
      <c r="N109" s="31"/>
    </row>
    <row r="110" spans="1:14" s="32" customFormat="1" ht="15.75" customHeight="1" x14ac:dyDescent="0.35">
      <c r="A110" s="131">
        <f t="shared" ref="A110:A137" si="4">A109+1</f>
        <v>2</v>
      </c>
      <c r="B110" s="131"/>
      <c r="C110" s="48" t="s">
        <v>185</v>
      </c>
      <c r="D110" s="49">
        <f>(4.1*2.9)*(10.764)</f>
        <v>127.98395999999998</v>
      </c>
      <c r="E110" s="49">
        <f>(1.25*1.5+1.2*2.9)*(10.764)</f>
        <v>57.641220000000004</v>
      </c>
      <c r="F110" s="48">
        <f t="shared" ref="F110:F112" si="5">(D110+E110)*(($F$106)+1)</f>
        <v>287.71902900000003</v>
      </c>
      <c r="G110" s="131"/>
      <c r="H110" s="131"/>
      <c r="I110" s="31"/>
      <c r="J110" s="40">
        <f>10.764</f>
        <v>10.763999999999999</v>
      </c>
      <c r="L110" s="115"/>
      <c r="M110" s="115"/>
      <c r="N110" s="31"/>
    </row>
    <row r="111" spans="1:14" s="32" customFormat="1" ht="15.75" customHeight="1" x14ac:dyDescent="0.35">
      <c r="A111" s="131">
        <f t="shared" si="4"/>
        <v>3</v>
      </c>
      <c r="B111" s="131"/>
      <c r="C111" s="48" t="s">
        <v>185</v>
      </c>
      <c r="D111" s="49">
        <f>(5.1*2.9)*(10.764)</f>
        <v>159.19955999999999</v>
      </c>
      <c r="E111" s="49">
        <f>(2.9*1.55+1.2*2.9)*(10.764)</f>
        <v>85.842899999999986</v>
      </c>
      <c r="F111" s="48">
        <f t="shared" si="5"/>
        <v>379.81581299999999</v>
      </c>
      <c r="G111" s="131"/>
      <c r="H111" s="131"/>
      <c r="I111" s="31"/>
      <c r="L111" s="115"/>
      <c r="M111" s="115"/>
      <c r="N111" s="31"/>
    </row>
    <row r="112" spans="1:14" s="32" customFormat="1" ht="15.75" customHeight="1" x14ac:dyDescent="0.35">
      <c r="A112" s="131">
        <f t="shared" si="4"/>
        <v>4</v>
      </c>
      <c r="B112" s="131"/>
      <c r="C112" s="48" t="s">
        <v>185</v>
      </c>
      <c r="D112" s="49">
        <f>(4.35*2.9)*(10.764)</f>
        <v>135.78785999999997</v>
      </c>
      <c r="E112" s="49">
        <f>(1.87*2.15+0.5*1*0.75+1.2*2.9)*(10.764)</f>
        <v>84.771882000000005</v>
      </c>
      <c r="F112" s="48">
        <f t="shared" si="5"/>
        <v>341.86760009999995</v>
      </c>
      <c r="G112" s="131"/>
      <c r="H112" s="131"/>
      <c r="I112" s="31"/>
      <c r="L112" s="115"/>
      <c r="M112" s="115"/>
      <c r="N112" s="31"/>
    </row>
    <row r="113" spans="1:14" s="32" customFormat="1" x14ac:dyDescent="0.35">
      <c r="A113" s="131">
        <f t="shared" si="4"/>
        <v>5</v>
      </c>
      <c r="B113" s="131"/>
      <c r="C113" s="48" t="s">
        <v>185</v>
      </c>
      <c r="D113" s="49">
        <f>(6.5*3.05)*(10.764)</f>
        <v>213.39629999999997</v>
      </c>
      <c r="E113" s="49">
        <f>(3.05*3.2+1.2*3.05)*(10.764)</f>
        <v>144.45287999999999</v>
      </c>
      <c r="F113" s="48">
        <f>(D113+E113)*(($F$106)+1)</f>
        <v>554.66622899999993</v>
      </c>
      <c r="G113" s="131"/>
      <c r="H113" s="131"/>
      <c r="I113" s="31"/>
      <c r="L113" s="115"/>
      <c r="M113" s="115"/>
      <c r="N113" s="31"/>
    </row>
    <row r="114" spans="1:14" s="32" customFormat="1" x14ac:dyDescent="0.35">
      <c r="A114" s="131">
        <f t="shared" si="4"/>
        <v>6</v>
      </c>
      <c r="B114" s="131"/>
      <c r="C114" s="48" t="s">
        <v>185</v>
      </c>
      <c r="D114" s="49">
        <f>(6.5*3.35)*(10.764)</f>
        <v>234.3861</v>
      </c>
      <c r="E114" s="49">
        <f>(3.35*3.2+1.2*3.35)*(10.764)</f>
        <v>158.66136</v>
      </c>
      <c r="F114" s="48">
        <f t="shared" ref="F114:F116" si="6">(D114+E114)*(($F$106)+1)</f>
        <v>609.22356300000001</v>
      </c>
      <c r="G114" s="131"/>
      <c r="H114" s="131"/>
      <c r="I114" s="31"/>
      <c r="L114" s="115"/>
      <c r="M114" s="115"/>
      <c r="N114" s="31"/>
    </row>
    <row r="115" spans="1:14" s="32" customFormat="1" x14ac:dyDescent="0.35">
      <c r="A115" s="131">
        <f t="shared" si="4"/>
        <v>7</v>
      </c>
      <c r="B115" s="131"/>
      <c r="C115" s="48" t="s">
        <v>185</v>
      </c>
      <c r="D115" s="49">
        <f>(5.75*3.35)*(10.764)</f>
        <v>207.34154999999998</v>
      </c>
      <c r="E115" s="48">
        <f>D115/3</f>
        <v>69.113849999999999</v>
      </c>
      <c r="F115" s="48">
        <f t="shared" si="6"/>
        <v>428.50587000000002</v>
      </c>
      <c r="G115" s="131"/>
      <c r="H115" s="131"/>
      <c r="I115" s="31">
        <f>0.5*(5*5)+1.2*4.31</f>
        <v>17.672000000000001</v>
      </c>
      <c r="J115" s="32">
        <v>1</v>
      </c>
      <c r="L115" s="115"/>
      <c r="M115" s="115"/>
      <c r="N115" s="31"/>
    </row>
    <row r="116" spans="1:14" s="32" customFormat="1" x14ac:dyDescent="0.35">
      <c r="A116" s="131" t="s">
        <v>254</v>
      </c>
      <c r="B116" s="131"/>
      <c r="C116" s="48" t="s">
        <v>185</v>
      </c>
      <c r="D116" s="49">
        <f>(6.2*2.85)*(10.764)</f>
        <v>190.19988000000001</v>
      </c>
      <c r="E116" s="49">
        <f>(2.85*3+1.2*2.85)*(10.764)</f>
        <v>128.84508</v>
      </c>
      <c r="F116" s="48">
        <f t="shared" si="6"/>
        <v>494.51968800000003</v>
      </c>
      <c r="G116" s="131"/>
      <c r="H116" s="131"/>
      <c r="I116" s="31"/>
      <c r="L116" s="115"/>
      <c r="M116" s="115"/>
      <c r="N116" s="31"/>
    </row>
    <row r="117" spans="1:14" s="32" customFormat="1" x14ac:dyDescent="0.35">
      <c r="A117" s="131" t="s">
        <v>255</v>
      </c>
      <c r="B117" s="131"/>
      <c r="C117" s="48" t="s">
        <v>185</v>
      </c>
      <c r="D117" s="49">
        <f>(6.2*2.8)*(10.764)</f>
        <v>186.86303999999998</v>
      </c>
      <c r="E117" s="49">
        <f>(3.2*2.8+1.2*2.8)*(10.764)</f>
        <v>132.61247999999998</v>
      </c>
      <c r="F117" s="48">
        <f>(D117+E117)*(($F$106)+1)</f>
        <v>495.18705599999993</v>
      </c>
      <c r="G117" s="131"/>
      <c r="H117" s="131"/>
      <c r="I117" s="31"/>
      <c r="L117" s="115"/>
      <c r="M117" s="115"/>
      <c r="N117" s="31"/>
    </row>
    <row r="118" spans="1:14" s="32" customFormat="1" x14ac:dyDescent="0.35">
      <c r="A118" s="131">
        <v>9</v>
      </c>
      <c r="B118" s="131"/>
      <c r="C118" s="48" t="s">
        <v>185</v>
      </c>
      <c r="D118" s="49">
        <f>(4.7*2.45+0.5*2.85*5)*(10.764)</f>
        <v>200.64096000000001</v>
      </c>
      <c r="E118" s="49">
        <f>(2.45*2.8+1.2*2.45+1.2*2.75)*(10.764)</f>
        <v>141.00839999999999</v>
      </c>
      <c r="F118" s="48">
        <f>(D118+E118)*(($F$106)+1)</f>
        <v>529.55650800000001</v>
      </c>
      <c r="G118" s="131"/>
      <c r="H118" s="131"/>
      <c r="I118" s="31"/>
      <c r="L118" s="115"/>
      <c r="M118" s="115"/>
      <c r="N118" s="31"/>
    </row>
    <row r="119" spans="1:14" s="32" customFormat="1" x14ac:dyDescent="0.35">
      <c r="A119" s="131">
        <v>10</v>
      </c>
      <c r="B119" s="131"/>
      <c r="C119" s="48" t="s">
        <v>185</v>
      </c>
      <c r="D119" s="49">
        <f>(4.85*6.2+0.5*1.85*1.43)*(10.764)</f>
        <v>337.91156099999995</v>
      </c>
      <c r="E119" s="49">
        <f>(4.85*3+0.5*1.97*1.43+1.2*4.85)*(10.764)</f>
        <v>234.42431219999997</v>
      </c>
      <c r="F119" s="48">
        <f t="shared" ref="F119:F121" si="7">(D119+E119)*(($F$106)+1)</f>
        <v>887.12060345999987</v>
      </c>
      <c r="G119" s="131"/>
      <c r="H119" s="131"/>
      <c r="I119" s="31"/>
      <c r="L119" s="115"/>
      <c r="M119" s="115"/>
      <c r="N119" s="31"/>
    </row>
    <row r="120" spans="1:14" s="32" customFormat="1" x14ac:dyDescent="0.35">
      <c r="A120" s="131">
        <f t="shared" si="4"/>
        <v>11</v>
      </c>
      <c r="B120" s="131"/>
      <c r="C120" s="48" t="s">
        <v>185</v>
      </c>
      <c r="D120" s="49">
        <f>(3.35*6.85+3.5*2.15+2.85*0.75)*(10.764)</f>
        <v>351.01403999999997</v>
      </c>
      <c r="E120" s="49">
        <f>(3.35*3.4+3.5*2.15+2.4*0.75+1.2*3.35)*(10.764)</f>
        <v>266.24753999999996</v>
      </c>
      <c r="F120" s="48">
        <f t="shared" si="7"/>
        <v>956.75544899999977</v>
      </c>
      <c r="G120" s="131"/>
      <c r="H120" s="131"/>
      <c r="I120" s="31"/>
      <c r="L120" s="115"/>
      <c r="M120" s="115"/>
      <c r="N120" s="31"/>
    </row>
    <row r="121" spans="1:14" s="32" customFormat="1" x14ac:dyDescent="0.35">
      <c r="A121" s="131">
        <f t="shared" si="4"/>
        <v>12</v>
      </c>
      <c r="B121" s="131"/>
      <c r="C121" s="48" t="s">
        <v>185</v>
      </c>
      <c r="D121" s="49">
        <f>(3.2*4.55)*(10.764)</f>
        <v>156.72384</v>
      </c>
      <c r="E121" s="49">
        <f>(3.2*2.35+1.2*3.2)*(10.764)</f>
        <v>122.27903999999998</v>
      </c>
      <c r="F121" s="48">
        <f t="shared" si="7"/>
        <v>432.45446400000003</v>
      </c>
      <c r="G121" s="131"/>
      <c r="H121" s="131"/>
      <c r="I121" s="31"/>
      <c r="L121" s="115"/>
      <c r="M121" s="115"/>
      <c r="N121" s="31"/>
    </row>
    <row r="122" spans="1:14" s="32" customFormat="1" x14ac:dyDescent="0.35">
      <c r="A122" s="131">
        <f t="shared" si="4"/>
        <v>13</v>
      </c>
      <c r="B122" s="131"/>
      <c r="C122" s="48" t="s">
        <v>185</v>
      </c>
      <c r="D122" s="49">
        <f>(3.25*5.75)*(10.764)</f>
        <v>201.15224999999998</v>
      </c>
      <c r="E122" s="49">
        <f>(3.25*2.85+1.2*3.25)*(10.764)</f>
        <v>141.68115</v>
      </c>
      <c r="F122" s="48">
        <f>(D122+E122)*(($F$106)+1)</f>
        <v>531.39176999999995</v>
      </c>
      <c r="G122" s="131"/>
      <c r="H122" s="131"/>
      <c r="I122" s="31"/>
      <c r="L122" s="115"/>
      <c r="M122" s="115"/>
      <c r="N122" s="31"/>
    </row>
    <row r="123" spans="1:14" s="32" customFormat="1" x14ac:dyDescent="0.35">
      <c r="A123" s="131">
        <f t="shared" si="4"/>
        <v>14</v>
      </c>
      <c r="B123" s="131"/>
      <c r="C123" s="48" t="s">
        <v>185</v>
      </c>
      <c r="D123" s="49">
        <f>(3.65*8.8+3.4*2.9)*(10.764)</f>
        <v>451.87272000000002</v>
      </c>
      <c r="E123" s="49">
        <f>(3.65*4.55+3.4*2.9+1.2*3.65)*(10.764)</f>
        <v>332.04248999999993</v>
      </c>
      <c r="F123" s="48">
        <f t="shared" ref="F123:F125" si="8">(D123+E123)*(($F$106)+1)</f>
        <v>1215.0685755</v>
      </c>
      <c r="G123" s="131"/>
      <c r="H123" s="131"/>
      <c r="I123" s="31"/>
      <c r="L123" s="115"/>
      <c r="M123" s="115"/>
      <c r="N123" s="31"/>
    </row>
    <row r="124" spans="1:14" s="32" customFormat="1" x14ac:dyDescent="0.35">
      <c r="A124" s="131">
        <f t="shared" si="4"/>
        <v>15</v>
      </c>
      <c r="B124" s="131"/>
      <c r="C124" s="48" t="s">
        <v>185</v>
      </c>
      <c r="D124" s="49">
        <f>(3.05*8.8)*(10.764)</f>
        <v>288.90575999999999</v>
      </c>
      <c r="E124" s="49">
        <f>(3.05*4.55+1.2*3.05)*(10.764)</f>
        <v>188.77364999999998</v>
      </c>
      <c r="F124" s="48">
        <f t="shared" si="8"/>
        <v>740.40308549999997</v>
      </c>
      <c r="G124" s="131"/>
      <c r="H124" s="131"/>
      <c r="I124" s="31"/>
      <c r="L124" s="115"/>
      <c r="M124" s="115"/>
      <c r="N124" s="31"/>
    </row>
    <row r="125" spans="1:14" s="32" customFormat="1" x14ac:dyDescent="0.35">
      <c r="A125" s="131">
        <f t="shared" si="4"/>
        <v>16</v>
      </c>
      <c r="B125" s="131"/>
      <c r="C125" s="48" t="s">
        <v>185</v>
      </c>
      <c r="D125" s="49">
        <f>(3.05*8.8)*(10.764)</f>
        <v>288.90575999999999</v>
      </c>
      <c r="E125" s="49">
        <f>(3.05*4.55+1.2*3.05)*(10.764)</f>
        <v>188.77364999999998</v>
      </c>
      <c r="F125" s="48">
        <f t="shared" si="8"/>
        <v>740.40308549999997</v>
      </c>
      <c r="G125" s="131"/>
      <c r="H125" s="131"/>
      <c r="I125" s="31"/>
      <c r="L125" s="115"/>
      <c r="M125" s="115"/>
      <c r="N125" s="31"/>
    </row>
    <row r="126" spans="1:14" s="32" customFormat="1" x14ac:dyDescent="0.35">
      <c r="A126" s="131">
        <f t="shared" si="4"/>
        <v>17</v>
      </c>
      <c r="B126" s="131"/>
      <c r="C126" s="48" t="s">
        <v>185</v>
      </c>
      <c r="D126" s="49">
        <f>(2.9*7.4)*(10.764)</f>
        <v>230.99544</v>
      </c>
      <c r="E126" s="49">
        <f>(2.9*2.45+1.2*2.9)*(10.764)</f>
        <v>113.93694000000001</v>
      </c>
      <c r="F126" s="48">
        <f t="shared" ref="F126" si="9">(D126+E126)*(($F$106)+1)</f>
        <v>534.64518900000007</v>
      </c>
      <c r="G126" s="131"/>
      <c r="H126" s="131"/>
      <c r="I126" s="31"/>
      <c r="L126" s="115"/>
      <c r="M126" s="115"/>
      <c r="N126" s="31"/>
    </row>
    <row r="127" spans="1:14" s="32" customFormat="1" x14ac:dyDescent="0.35">
      <c r="A127" s="131">
        <f t="shared" si="4"/>
        <v>18</v>
      </c>
      <c r="B127" s="131"/>
      <c r="C127" s="48" t="s">
        <v>185</v>
      </c>
      <c r="D127" s="49">
        <f>(2.9*5.2)*(10.764)</f>
        <v>162.32111999999998</v>
      </c>
      <c r="E127" s="49">
        <f>(2.9*1.6+1.2*2.9)*(10.764)</f>
        <v>87.40367999999998</v>
      </c>
      <c r="F127" s="48">
        <f>(D127+E127)*(($F$106)+1)</f>
        <v>387.07343999999995</v>
      </c>
      <c r="G127" s="131"/>
      <c r="H127" s="131"/>
      <c r="I127" s="31"/>
      <c r="L127" s="115"/>
      <c r="M127" s="115"/>
      <c r="N127" s="31"/>
    </row>
    <row r="128" spans="1:14" s="32" customFormat="1" x14ac:dyDescent="0.35">
      <c r="A128" s="131">
        <f t="shared" si="4"/>
        <v>19</v>
      </c>
      <c r="B128" s="131"/>
      <c r="C128" s="48" t="s">
        <v>185</v>
      </c>
      <c r="D128" s="49">
        <f>(3.2*4.35)*(10.764)</f>
        <v>149.83488</v>
      </c>
      <c r="E128" s="49">
        <f>(3.2*2.5+1.2*3.2)*(10.764)</f>
        <v>127.44575999999999</v>
      </c>
      <c r="F128" s="48">
        <f>(D128+E128)*(($F$106)+1)</f>
        <v>429.78499200000005</v>
      </c>
      <c r="G128" s="131"/>
      <c r="H128" s="131"/>
      <c r="I128" s="31"/>
      <c r="L128" s="115"/>
      <c r="M128" s="115"/>
      <c r="N128" s="31"/>
    </row>
    <row r="129" spans="1:14" s="32" customFormat="1" x14ac:dyDescent="0.35">
      <c r="A129" s="131">
        <f t="shared" si="4"/>
        <v>20</v>
      </c>
      <c r="B129" s="131"/>
      <c r="C129" s="48" t="s">
        <v>185</v>
      </c>
      <c r="D129" s="49">
        <f>(2.15*4.45)*(10.764)</f>
        <v>102.98457000000001</v>
      </c>
      <c r="E129" s="49">
        <f>(2.15*1.35+1.2*2.15)*(10.764)</f>
        <v>59.013629999999999</v>
      </c>
      <c r="F129" s="48">
        <f>(D129+E129)*(($F$106)+1)</f>
        <v>251.09720999999999</v>
      </c>
      <c r="G129" s="131"/>
      <c r="H129" s="131"/>
      <c r="I129" s="31"/>
      <c r="L129" s="115"/>
      <c r="M129" s="115"/>
      <c r="N129" s="31"/>
    </row>
    <row r="130" spans="1:14" s="32" customFormat="1" x14ac:dyDescent="0.35">
      <c r="A130" s="131">
        <f t="shared" si="4"/>
        <v>21</v>
      </c>
      <c r="B130" s="131"/>
      <c r="C130" s="48" t="s">
        <v>185</v>
      </c>
      <c r="D130" s="49">
        <f>(2.55*6.4+2.3*1+1.35*1.3)*(10.764)</f>
        <v>219.31649999999999</v>
      </c>
      <c r="E130" s="49">
        <f>(2.55*1.8+1.2*2.55)*(10.764)</f>
        <v>82.344599999999986</v>
      </c>
      <c r="F130" s="48">
        <f t="shared" ref="F130:F132" si="10">(D130+E130)*(($F$106)+1)</f>
        <v>467.57470499999999</v>
      </c>
      <c r="G130" s="131"/>
      <c r="H130" s="131"/>
      <c r="I130" s="31"/>
      <c r="L130" s="115"/>
      <c r="M130" s="115"/>
      <c r="N130" s="31"/>
    </row>
    <row r="131" spans="1:14" s="32" customFormat="1" x14ac:dyDescent="0.35">
      <c r="A131" s="131">
        <f t="shared" si="4"/>
        <v>22</v>
      </c>
      <c r="B131" s="131"/>
      <c r="C131" s="48" t="s">
        <v>185</v>
      </c>
      <c r="D131" s="49">
        <f>(4.5*5.8)*(10.764)</f>
        <v>280.94039999999995</v>
      </c>
      <c r="E131" s="49">
        <f>(4.5*2.9+1.2*4.5)*(10.764)</f>
        <v>198.59579999999997</v>
      </c>
      <c r="F131" s="48">
        <f t="shared" si="10"/>
        <v>743.2811099999999</v>
      </c>
      <c r="G131" s="131"/>
      <c r="H131" s="131"/>
      <c r="I131" s="31"/>
      <c r="L131" s="115"/>
      <c r="M131" s="115"/>
      <c r="N131" s="31"/>
    </row>
    <row r="132" spans="1:14" s="32" customFormat="1" x14ac:dyDescent="0.35">
      <c r="A132" s="131">
        <f t="shared" si="4"/>
        <v>23</v>
      </c>
      <c r="B132" s="131"/>
      <c r="C132" s="48" t="s">
        <v>185</v>
      </c>
      <c r="D132" s="49">
        <f>(2.75*5.45)*(10.764)</f>
        <v>161.32544999999999</v>
      </c>
      <c r="E132" s="49">
        <f>(2.75*1.75+1.2*2.75)*(10.764)</f>
        <v>87.322950000000006</v>
      </c>
      <c r="F132" s="48">
        <f t="shared" si="10"/>
        <v>385.40501999999998</v>
      </c>
      <c r="G132" s="131"/>
      <c r="H132" s="131"/>
      <c r="I132" s="31"/>
      <c r="L132" s="115"/>
      <c r="M132" s="115"/>
      <c r="N132" s="31"/>
    </row>
    <row r="133" spans="1:14" s="32" customFormat="1" x14ac:dyDescent="0.35">
      <c r="A133" s="131">
        <f t="shared" si="4"/>
        <v>24</v>
      </c>
      <c r="B133" s="131"/>
      <c r="C133" s="48" t="s">
        <v>185</v>
      </c>
      <c r="D133" s="49">
        <f>(2.75*4.05)*(10.764)</f>
        <v>119.88404999999999</v>
      </c>
      <c r="E133" s="49">
        <f>(2.75*1.25+1.2*2.75)*(10.764)</f>
        <v>72.522449999999992</v>
      </c>
      <c r="F133" s="48">
        <f>(D133+E133)*(($F$106)+1)</f>
        <v>298.230075</v>
      </c>
      <c r="G133" s="131"/>
      <c r="H133" s="131"/>
      <c r="I133" s="31"/>
      <c r="L133" s="115"/>
      <c r="M133" s="115"/>
      <c r="N133" s="31"/>
    </row>
    <row r="134" spans="1:14" s="32" customFormat="1" x14ac:dyDescent="0.35">
      <c r="A134" s="131">
        <f t="shared" si="4"/>
        <v>25</v>
      </c>
      <c r="B134" s="131"/>
      <c r="C134" s="48" t="s">
        <v>185</v>
      </c>
      <c r="D134" s="49">
        <f>(2.75*5.3)*(10.764)</f>
        <v>156.88529999999997</v>
      </c>
      <c r="E134" s="49">
        <f>(2.75*1.75+1.2*2.75)*(10.764)</f>
        <v>87.322950000000006</v>
      </c>
      <c r="F134" s="48">
        <f t="shared" ref="F134:F137" si="11">(D134+E134)*(($F$106)+1)</f>
        <v>378.52278749999994</v>
      </c>
      <c r="G134" s="131"/>
      <c r="H134" s="131"/>
      <c r="I134" s="31"/>
      <c r="L134" s="115"/>
      <c r="M134" s="115"/>
      <c r="N134" s="31"/>
    </row>
    <row r="135" spans="1:14" s="32" customFormat="1" x14ac:dyDescent="0.35">
      <c r="A135" s="131">
        <f t="shared" si="4"/>
        <v>26</v>
      </c>
      <c r="B135" s="131"/>
      <c r="C135" s="48" t="s">
        <v>185</v>
      </c>
      <c r="D135" s="49">
        <f>(2.45*4.2)*(10.764)</f>
        <v>110.76156</v>
      </c>
      <c r="E135" s="49">
        <f>(2.45*1.25+1.2*2.45)*(10.764)</f>
        <v>64.61090999999999</v>
      </c>
      <c r="F135" s="48">
        <f t="shared" si="11"/>
        <v>271.82732850000002</v>
      </c>
      <c r="G135" s="131"/>
      <c r="H135" s="131"/>
      <c r="I135" s="31"/>
      <c r="L135" s="115"/>
      <c r="M135" s="115"/>
      <c r="N135" s="31"/>
    </row>
    <row r="136" spans="1:14" s="32" customFormat="1" x14ac:dyDescent="0.35">
      <c r="A136" s="131">
        <f t="shared" si="4"/>
        <v>27</v>
      </c>
      <c r="B136" s="131"/>
      <c r="C136" s="48" t="s">
        <v>185</v>
      </c>
      <c r="D136" s="49">
        <f>(2.45*3.9)*(10.764)</f>
        <v>102.85001999999999</v>
      </c>
      <c r="E136" s="49">
        <f>(2.45*1.2+1.2*2.45)*(10.764)</f>
        <v>63.292319999999997</v>
      </c>
      <c r="F136" s="48">
        <f t="shared" si="11"/>
        <v>257.52062699999999</v>
      </c>
      <c r="G136" s="131"/>
      <c r="H136" s="131"/>
      <c r="I136" s="31"/>
      <c r="L136" s="115"/>
      <c r="M136" s="115"/>
      <c r="N136" s="31"/>
    </row>
    <row r="137" spans="1:14" s="32" customFormat="1" x14ac:dyDescent="0.35">
      <c r="A137" s="131">
        <f t="shared" si="4"/>
        <v>28</v>
      </c>
      <c r="B137" s="131"/>
      <c r="C137" s="48" t="s">
        <v>185</v>
      </c>
      <c r="D137" s="49">
        <f>(2.45*3.9)*(10.764)</f>
        <v>102.85001999999999</v>
      </c>
      <c r="E137" s="49">
        <f>(2.45*1.2+1.2*2.45)*(10.764)</f>
        <v>63.292319999999997</v>
      </c>
      <c r="F137" s="48">
        <f t="shared" si="11"/>
        <v>257.52062699999999</v>
      </c>
      <c r="G137" s="131"/>
      <c r="H137" s="131"/>
      <c r="I137" s="31"/>
      <c r="L137" s="115"/>
      <c r="M137" s="115"/>
      <c r="N137" s="31"/>
    </row>
    <row r="138" spans="1:14" s="32" customFormat="1" x14ac:dyDescent="0.35">
      <c r="A138" s="143" t="s">
        <v>205</v>
      </c>
      <c r="B138" s="144"/>
      <c r="C138" s="144"/>
      <c r="D138" s="144"/>
      <c r="E138" s="144"/>
      <c r="F138" s="144"/>
      <c r="G138" s="144"/>
      <c r="H138" s="145"/>
      <c r="J138" s="31"/>
    </row>
    <row r="139" spans="1:14" s="32" customFormat="1" x14ac:dyDescent="0.35">
      <c r="A139" s="143" t="s">
        <v>250</v>
      </c>
      <c r="B139" s="144"/>
      <c r="C139" s="144"/>
      <c r="D139" s="144"/>
      <c r="E139" s="144"/>
      <c r="F139" s="144"/>
      <c r="G139" s="144"/>
      <c r="H139" s="145"/>
      <c r="J139" s="31"/>
    </row>
    <row r="140" spans="1:14" s="32" customFormat="1" ht="15.75" customHeight="1" x14ac:dyDescent="0.35">
      <c r="A140" s="131">
        <v>1</v>
      </c>
      <c r="B140" s="131"/>
      <c r="C140" s="48" t="s">
        <v>186</v>
      </c>
      <c r="D140" s="49">
        <f>(4.7*5.65+3.35*1.65+1.5*1.2)*(10.764)</f>
        <v>364.71123</v>
      </c>
      <c r="E140" s="49">
        <v>0</v>
      </c>
      <c r="F140" s="48">
        <f>(D140+E140)*(($F$106)+1)</f>
        <v>565.30240649999996</v>
      </c>
      <c r="G140" s="131" t="str">
        <f>A139</f>
        <v>1st to 3rd Podium Floor for Commercial &amp; Parking</v>
      </c>
      <c r="H140" s="131"/>
      <c r="I140" s="31"/>
      <c r="L140" s="115"/>
      <c r="M140" s="115"/>
      <c r="N140" s="31"/>
    </row>
    <row r="141" spans="1:14" s="32" customFormat="1" ht="15.75" customHeight="1" x14ac:dyDescent="0.35">
      <c r="A141" s="131">
        <f t="shared" ref="A141:A158" si="12">A140+1</f>
        <v>2</v>
      </c>
      <c r="B141" s="131"/>
      <c r="C141" s="48" t="s">
        <v>186</v>
      </c>
      <c r="D141" s="49">
        <f>(3.35*4.4+2*1.65+1.5*1.2+0.5*(4*2.4))*(10.764)</f>
        <v>265.22496000000001</v>
      </c>
      <c r="E141" s="49">
        <v>0</v>
      </c>
      <c r="F141" s="48">
        <f t="shared" ref="F141:F143" si="13">(D141+E141)*(($F$106)+1)</f>
        <v>411.09868800000004</v>
      </c>
      <c r="G141" s="131"/>
      <c r="H141" s="131"/>
      <c r="I141" s="31"/>
      <c r="J141" s="40">
        <f>10.764</f>
        <v>10.763999999999999</v>
      </c>
      <c r="L141" s="115"/>
      <c r="M141" s="115"/>
      <c r="N141" s="31"/>
    </row>
    <row r="142" spans="1:14" s="32" customFormat="1" ht="15.75" customHeight="1" x14ac:dyDescent="0.35">
      <c r="A142" s="131">
        <f t="shared" si="12"/>
        <v>3</v>
      </c>
      <c r="B142" s="131"/>
      <c r="C142" s="48" t="s">
        <v>186</v>
      </c>
      <c r="D142" s="49">
        <f>(3.45*3.35)*(10.764)</f>
        <v>124.40493000000001</v>
      </c>
      <c r="E142" s="49">
        <v>0</v>
      </c>
      <c r="F142" s="48">
        <f t="shared" si="13"/>
        <v>192.82764150000003</v>
      </c>
      <c r="G142" s="131"/>
      <c r="H142" s="131"/>
      <c r="I142" s="31">
        <f>2.5*3.5+0.5*(3.5*1.8)</f>
        <v>11.9</v>
      </c>
      <c r="L142" s="115"/>
      <c r="M142" s="115"/>
      <c r="N142" s="31"/>
    </row>
    <row r="143" spans="1:14" s="32" customFormat="1" ht="15.75" customHeight="1" x14ac:dyDescent="0.35">
      <c r="A143" s="131">
        <f t="shared" si="12"/>
        <v>4</v>
      </c>
      <c r="B143" s="131"/>
      <c r="C143" s="48" t="s">
        <v>186</v>
      </c>
      <c r="D143" s="49">
        <f>(2.8*4.4+1.45*1.65+1.5*1.2)*(10.764)</f>
        <v>177.74054999999998</v>
      </c>
      <c r="E143" s="49">
        <v>0</v>
      </c>
      <c r="F143" s="48">
        <f t="shared" si="13"/>
        <v>275.49785249999996</v>
      </c>
      <c r="G143" s="131"/>
      <c r="H143" s="131"/>
      <c r="I143" s="31"/>
      <c r="L143" s="115"/>
      <c r="M143" s="115"/>
      <c r="N143" s="31"/>
    </row>
    <row r="144" spans="1:14" s="32" customFormat="1" x14ac:dyDescent="0.35">
      <c r="A144" s="131">
        <f t="shared" si="12"/>
        <v>5</v>
      </c>
      <c r="B144" s="131"/>
      <c r="C144" s="48" t="s">
        <v>186</v>
      </c>
      <c r="D144" s="49">
        <f>(2.8*4.4+1.45*1.65+1.5*1.2)*(10.764)</f>
        <v>177.74054999999998</v>
      </c>
      <c r="E144" s="49">
        <v>0</v>
      </c>
      <c r="F144" s="48">
        <f>(D144+E144)*(($F$106)+1)</f>
        <v>275.49785249999996</v>
      </c>
      <c r="G144" s="131"/>
      <c r="H144" s="131"/>
      <c r="I144" s="31"/>
      <c r="L144" s="115"/>
      <c r="M144" s="115"/>
      <c r="N144" s="31"/>
    </row>
    <row r="145" spans="1:14" s="32" customFormat="1" x14ac:dyDescent="0.35">
      <c r="A145" s="131">
        <f t="shared" si="12"/>
        <v>6</v>
      </c>
      <c r="B145" s="131"/>
      <c r="C145" s="48" t="s">
        <v>186</v>
      </c>
      <c r="D145" s="49">
        <f>(4.2*3.35)*(10.764)</f>
        <v>151.44947999999999</v>
      </c>
      <c r="E145" s="49">
        <v>0</v>
      </c>
      <c r="F145" s="48">
        <f t="shared" ref="F145:F147" si="14">(D145+E145)*(($F$106)+1)</f>
        <v>234.74669399999999</v>
      </c>
      <c r="G145" s="131"/>
      <c r="H145" s="131"/>
      <c r="I145" s="31">
        <f>2.8*3.5+0.5*(2.5*3.5)</f>
        <v>14.174999999999999</v>
      </c>
      <c r="L145" s="115"/>
      <c r="M145" s="115"/>
      <c r="N145" s="31"/>
    </row>
    <row r="146" spans="1:14" s="32" customFormat="1" x14ac:dyDescent="0.35">
      <c r="A146" s="131">
        <f t="shared" si="12"/>
        <v>7</v>
      </c>
      <c r="B146" s="131"/>
      <c r="C146" s="48" t="s">
        <v>186</v>
      </c>
      <c r="D146" s="49">
        <f>(6.5*3.05+0.5*(2.5*1.4)+2.35*1.2)*(10.764)</f>
        <v>262.58777999999995</v>
      </c>
      <c r="E146" s="49">
        <v>0</v>
      </c>
      <c r="F146" s="48">
        <f t="shared" si="14"/>
        <v>407.01105899999993</v>
      </c>
      <c r="G146" s="131"/>
      <c r="H146" s="131"/>
      <c r="I146" s="31"/>
      <c r="L146" s="115"/>
      <c r="M146" s="115"/>
      <c r="N146" s="31"/>
    </row>
    <row r="147" spans="1:14" s="32" customFormat="1" x14ac:dyDescent="0.35">
      <c r="A147" s="131">
        <f t="shared" si="12"/>
        <v>8</v>
      </c>
      <c r="B147" s="131"/>
      <c r="C147" s="48" t="s">
        <v>186</v>
      </c>
      <c r="D147" s="49">
        <f>(4.7*3.35+2*1.65+1.5*1.2)*(10.764)</f>
        <v>224.37558000000001</v>
      </c>
      <c r="E147" s="49">
        <v>0</v>
      </c>
      <c r="F147" s="48">
        <f t="shared" si="14"/>
        <v>347.782149</v>
      </c>
      <c r="G147" s="131"/>
      <c r="H147" s="131"/>
      <c r="I147" s="31"/>
      <c r="J147" s="31">
        <f>11000000/F147</f>
        <v>31628.995426099344</v>
      </c>
      <c r="L147" s="115"/>
      <c r="M147" s="115"/>
      <c r="N147" s="31"/>
    </row>
    <row r="148" spans="1:14" s="32" customFormat="1" x14ac:dyDescent="0.35">
      <c r="A148" s="131">
        <f t="shared" si="12"/>
        <v>9</v>
      </c>
      <c r="B148" s="131"/>
      <c r="C148" s="48" t="s">
        <v>186</v>
      </c>
      <c r="D148" s="49">
        <f>(4.4*4.05)*(10.764)</f>
        <v>191.81448</v>
      </c>
      <c r="E148" s="49">
        <v>0</v>
      </c>
      <c r="F148" s="48">
        <f>(D148+E148)*(($F$106)+1)</f>
        <v>297.31244400000003</v>
      </c>
      <c r="G148" s="131"/>
      <c r="H148" s="131"/>
      <c r="I148" s="31"/>
      <c r="L148" s="115"/>
      <c r="M148" s="115"/>
      <c r="N148" s="31"/>
    </row>
    <row r="149" spans="1:14" s="32" customFormat="1" x14ac:dyDescent="0.35">
      <c r="A149" s="131">
        <f t="shared" si="12"/>
        <v>10</v>
      </c>
      <c r="B149" s="131"/>
      <c r="C149" s="48" t="s">
        <v>186</v>
      </c>
      <c r="D149" s="49">
        <f>(4.4*2.85+1.65*1.5+1.5*1.2)*(10.764)</f>
        <v>180.99665999999999</v>
      </c>
      <c r="E149" s="49">
        <v>0</v>
      </c>
      <c r="F149" s="48">
        <f t="shared" ref="F149:F151" si="15">(D149+E149)*(($F$106)+1)</f>
        <v>280.54482300000001</v>
      </c>
      <c r="G149" s="131"/>
      <c r="H149" s="131"/>
      <c r="I149" s="31"/>
      <c r="L149" s="115"/>
      <c r="M149" s="115"/>
      <c r="N149" s="31"/>
    </row>
    <row r="150" spans="1:14" s="32" customFormat="1" x14ac:dyDescent="0.35">
      <c r="A150" s="131">
        <f t="shared" si="12"/>
        <v>11</v>
      </c>
      <c r="B150" s="131"/>
      <c r="C150" s="48" t="s">
        <v>186</v>
      </c>
      <c r="D150" s="49">
        <f>(4.4*2.8+1.65*1.45+1.5*1.2)*(10.764)</f>
        <v>177.74054999999998</v>
      </c>
      <c r="E150" s="49">
        <v>0</v>
      </c>
      <c r="F150" s="48">
        <f t="shared" si="15"/>
        <v>275.49785249999996</v>
      </c>
      <c r="G150" s="131"/>
      <c r="H150" s="131"/>
      <c r="I150" s="31"/>
      <c r="L150" s="115"/>
      <c r="M150" s="115"/>
      <c r="N150" s="31"/>
    </row>
    <row r="151" spans="1:14" s="32" customFormat="1" x14ac:dyDescent="0.35">
      <c r="A151" s="131">
        <f t="shared" si="12"/>
        <v>12</v>
      </c>
      <c r="B151" s="131"/>
      <c r="C151" s="48" t="s">
        <v>186</v>
      </c>
      <c r="D151" s="49">
        <f>(3.35*3.05)*(10.764)</f>
        <v>109.98116999999999</v>
      </c>
      <c r="E151" s="49">
        <v>0</v>
      </c>
      <c r="F151" s="48">
        <f t="shared" si="15"/>
        <v>170.47081349999999</v>
      </c>
      <c r="G151" s="131"/>
      <c r="H151" s="131"/>
      <c r="I151" s="31"/>
      <c r="L151" s="115"/>
      <c r="M151" s="115"/>
      <c r="N151" s="31"/>
    </row>
    <row r="152" spans="1:14" s="32" customFormat="1" x14ac:dyDescent="0.35">
      <c r="A152" s="131">
        <f t="shared" si="12"/>
        <v>13</v>
      </c>
      <c r="B152" s="131"/>
      <c r="C152" s="48" t="s">
        <v>186</v>
      </c>
      <c r="D152" s="49">
        <f>(4.85*3.95+3.5*1.65+1.5*1.2+0.5*(4*2.3))*(10.764)</f>
        <v>337.26302999999996</v>
      </c>
      <c r="E152" s="49">
        <v>0</v>
      </c>
      <c r="F152" s="48">
        <f>(D152+E152)*(($F$106)+1)</f>
        <v>522.75769649999995</v>
      </c>
      <c r="G152" s="131"/>
      <c r="H152" s="131"/>
      <c r="I152" s="31"/>
      <c r="L152" s="115"/>
      <c r="M152" s="115"/>
      <c r="N152" s="31"/>
    </row>
    <row r="153" spans="1:14" s="32" customFormat="1" x14ac:dyDescent="0.35">
      <c r="A153" s="131">
        <f t="shared" si="12"/>
        <v>14</v>
      </c>
      <c r="B153" s="131"/>
      <c r="C153" s="48" t="s">
        <v>186</v>
      </c>
      <c r="D153" s="49">
        <f>(3.2*4.7+1.85*2.15+1.5*1.2)*(10.764)</f>
        <v>224.07957000000002</v>
      </c>
      <c r="E153" s="49">
        <v>0</v>
      </c>
      <c r="F153" s="48">
        <f t="shared" ref="F153:F156" si="16">(D153+E153)*(($F$106)+1)</f>
        <v>347.32333350000005</v>
      </c>
      <c r="G153" s="131"/>
      <c r="H153" s="131"/>
      <c r="I153" s="31"/>
      <c r="L153" s="115"/>
      <c r="M153" s="115"/>
      <c r="N153" s="31"/>
    </row>
    <row r="154" spans="1:14" s="32" customFormat="1" x14ac:dyDescent="0.35">
      <c r="A154" s="131">
        <f t="shared" si="12"/>
        <v>15</v>
      </c>
      <c r="B154" s="131"/>
      <c r="C154" s="48" t="s">
        <v>186</v>
      </c>
      <c r="D154" s="49">
        <f>(3.2*6.55+1.85*1.65+1.5*1.2)*(10.764)</f>
        <v>277.84575000000001</v>
      </c>
      <c r="E154" s="49">
        <v>0</v>
      </c>
      <c r="F154" s="48">
        <f t="shared" si="16"/>
        <v>430.66091250000005</v>
      </c>
      <c r="G154" s="131"/>
      <c r="H154" s="131"/>
      <c r="I154" s="31"/>
      <c r="L154" s="115"/>
      <c r="M154" s="115"/>
      <c r="N154" s="31"/>
    </row>
    <row r="155" spans="1:14" s="32" customFormat="1" x14ac:dyDescent="0.35">
      <c r="A155" s="131">
        <f t="shared" si="12"/>
        <v>16</v>
      </c>
      <c r="B155" s="131"/>
      <c r="C155" s="48" t="s">
        <v>186</v>
      </c>
      <c r="D155" s="49">
        <f>(3.25*6.55+1.5*1.2)*(10.764)</f>
        <v>248.51384999999996</v>
      </c>
      <c r="E155" s="49">
        <v>0</v>
      </c>
      <c r="F155" s="48">
        <f t="shared" si="16"/>
        <v>385.19646749999993</v>
      </c>
      <c r="G155" s="131"/>
      <c r="H155" s="131"/>
      <c r="I155" s="31"/>
      <c r="L155" s="115"/>
      <c r="M155" s="115"/>
      <c r="N155" s="31"/>
    </row>
    <row r="156" spans="1:14" s="32" customFormat="1" x14ac:dyDescent="0.35">
      <c r="A156" s="131">
        <f t="shared" si="12"/>
        <v>17</v>
      </c>
      <c r="B156" s="131"/>
      <c r="C156" s="48" t="s">
        <v>186</v>
      </c>
      <c r="D156" s="49">
        <f>(3.65*6.55+1.5*1.2)*(10.764)</f>
        <v>276.71553</v>
      </c>
      <c r="E156" s="49">
        <v>0</v>
      </c>
      <c r="F156" s="48">
        <f t="shared" si="16"/>
        <v>428.90907150000004</v>
      </c>
      <c r="G156" s="131"/>
      <c r="H156" s="131"/>
      <c r="I156" s="31"/>
      <c r="L156" s="115"/>
      <c r="M156" s="115"/>
      <c r="N156" s="31"/>
    </row>
    <row r="157" spans="1:14" s="32" customFormat="1" x14ac:dyDescent="0.35">
      <c r="A157" s="131">
        <f t="shared" si="12"/>
        <v>18</v>
      </c>
      <c r="B157" s="131"/>
      <c r="C157" s="48" t="s">
        <v>186</v>
      </c>
      <c r="D157" s="49">
        <f>(3.05*6.55+1.5*1.2)*(10.764)</f>
        <v>234.41300999999999</v>
      </c>
      <c r="E157" s="49">
        <v>0</v>
      </c>
      <c r="F157" s="48">
        <f>(D157+E157)*(($F$106)+1)</f>
        <v>363.34016550000001</v>
      </c>
      <c r="G157" s="131"/>
      <c r="H157" s="131"/>
      <c r="I157" s="31"/>
      <c r="L157" s="115"/>
      <c r="M157" s="115"/>
      <c r="N157" s="31"/>
    </row>
    <row r="158" spans="1:14" s="32" customFormat="1" x14ac:dyDescent="0.35">
      <c r="A158" s="131">
        <f t="shared" si="12"/>
        <v>19</v>
      </c>
      <c r="B158" s="131"/>
      <c r="C158" s="48" t="s">
        <v>186</v>
      </c>
      <c r="D158" s="49">
        <f>(3.05*6.55+1.5*1.2)*(10.764)</f>
        <v>234.41300999999999</v>
      </c>
      <c r="E158" s="49">
        <v>0</v>
      </c>
      <c r="F158" s="48">
        <f t="shared" ref="F158" si="17">(D158+E158)*(($F$106)+1)</f>
        <v>363.34016550000001</v>
      </c>
      <c r="G158" s="131"/>
      <c r="H158" s="131"/>
      <c r="I158" s="53"/>
      <c r="J158" s="54"/>
      <c r="K158" s="54"/>
      <c r="L158" s="115"/>
      <c r="M158" s="115"/>
      <c r="N158" s="31"/>
    </row>
    <row r="159" spans="1:14" s="32" customFormat="1" x14ac:dyDescent="0.35">
      <c r="A159" s="117" t="s">
        <v>251</v>
      </c>
      <c r="B159" s="117"/>
      <c r="C159" s="117"/>
      <c r="D159" s="117"/>
      <c r="E159" s="117"/>
      <c r="F159" s="117"/>
      <c r="G159" s="117"/>
      <c r="H159" s="117"/>
      <c r="I159" s="53"/>
      <c r="J159" s="54"/>
      <c r="K159" s="54"/>
    </row>
    <row r="160" spans="1:14" s="32" customFormat="1" ht="15.75" customHeight="1" x14ac:dyDescent="0.35">
      <c r="A160" s="131">
        <v>1</v>
      </c>
      <c r="B160" s="131"/>
      <c r="C160" s="48" t="s">
        <v>186</v>
      </c>
      <c r="D160" s="49">
        <f>(4.7*5.65+3.35*1.65+1.5*1.2)*(10.764)</f>
        <v>364.71123</v>
      </c>
      <c r="E160" s="49">
        <v>0</v>
      </c>
      <c r="F160" s="48">
        <f>(D160+E160)*(($F$106)+1)</f>
        <v>565.30240649999996</v>
      </c>
      <c r="G160" s="131" t="str">
        <f>A159</f>
        <v>4th Podium Floor for Commercial &amp; Parking</v>
      </c>
      <c r="H160" s="131"/>
      <c r="I160" s="53"/>
      <c r="J160" s="54"/>
      <c r="K160" s="54"/>
      <c r="L160" s="115"/>
      <c r="M160" s="115"/>
      <c r="N160" s="31"/>
    </row>
    <row r="161" spans="1:14" s="32" customFormat="1" ht="15.75" customHeight="1" x14ac:dyDescent="0.35">
      <c r="A161" s="131">
        <f t="shared" ref="A161:A178" si="18">A160+1</f>
        <v>2</v>
      </c>
      <c r="B161" s="131"/>
      <c r="C161" s="48" t="s">
        <v>186</v>
      </c>
      <c r="D161" s="49">
        <f>(3.35*4.4+2*1.65+1.5*1.2+0.5*(4*2.4))*(10.764)</f>
        <v>265.22496000000001</v>
      </c>
      <c r="E161" s="49">
        <v>0</v>
      </c>
      <c r="F161" s="48">
        <f t="shared" ref="F161:F163" si="19">(D161+E161)*(($F$106)+1)</f>
        <v>411.09868800000004</v>
      </c>
      <c r="G161" s="131"/>
      <c r="H161" s="131"/>
      <c r="I161" s="53"/>
      <c r="J161" s="54"/>
      <c r="K161" s="54"/>
      <c r="L161" s="115"/>
      <c r="M161" s="115"/>
      <c r="N161" s="31"/>
    </row>
    <row r="162" spans="1:14" s="32" customFormat="1" ht="15.75" customHeight="1" x14ac:dyDescent="0.35">
      <c r="A162" s="131">
        <f t="shared" si="18"/>
        <v>3</v>
      </c>
      <c r="B162" s="131"/>
      <c r="C162" s="48" t="s">
        <v>186</v>
      </c>
      <c r="D162" s="49">
        <f>(3.45*3.35)*(10.764)</f>
        <v>124.40493000000001</v>
      </c>
      <c r="E162" s="49">
        <v>0</v>
      </c>
      <c r="F162" s="48">
        <f t="shared" si="19"/>
        <v>192.82764150000003</v>
      </c>
      <c r="G162" s="131"/>
      <c r="H162" s="131"/>
      <c r="I162" s="53"/>
      <c r="J162" s="54"/>
      <c r="K162" s="54"/>
      <c r="L162" s="115"/>
      <c r="M162" s="115"/>
      <c r="N162" s="31"/>
    </row>
    <row r="163" spans="1:14" s="32" customFormat="1" ht="15.75" customHeight="1" x14ac:dyDescent="0.35">
      <c r="A163" s="131">
        <f t="shared" si="18"/>
        <v>4</v>
      </c>
      <c r="B163" s="131"/>
      <c r="C163" s="48" t="s">
        <v>186</v>
      </c>
      <c r="D163" s="49">
        <f>(2.8*4.4+1.45*1.65+1.5*1.2)*(10.764)</f>
        <v>177.74054999999998</v>
      </c>
      <c r="E163" s="49">
        <v>0</v>
      </c>
      <c r="F163" s="48">
        <f t="shared" si="19"/>
        <v>275.49785249999996</v>
      </c>
      <c r="G163" s="131"/>
      <c r="H163" s="131"/>
      <c r="I163" s="53"/>
      <c r="J163" s="54"/>
      <c r="K163" s="54"/>
      <c r="L163" s="115"/>
      <c r="M163" s="115"/>
      <c r="N163" s="31"/>
    </row>
    <row r="164" spans="1:14" s="32" customFormat="1" x14ac:dyDescent="0.35">
      <c r="A164" s="131">
        <f t="shared" si="18"/>
        <v>5</v>
      </c>
      <c r="B164" s="131"/>
      <c r="C164" s="48" t="s">
        <v>186</v>
      </c>
      <c r="D164" s="49">
        <f>(2.8*4.4+1.45*1.65+1.5*1.2)*(10.764)</f>
        <v>177.74054999999998</v>
      </c>
      <c r="E164" s="49">
        <v>0</v>
      </c>
      <c r="F164" s="48">
        <f>(D164+E164)*(($F$106)+1)</f>
        <v>275.49785249999996</v>
      </c>
      <c r="G164" s="131"/>
      <c r="H164" s="131"/>
      <c r="I164" s="53"/>
      <c r="J164" s="54"/>
      <c r="K164" s="54"/>
      <c r="L164" s="115"/>
      <c r="M164" s="115"/>
      <c r="N164" s="31"/>
    </row>
    <row r="165" spans="1:14" s="32" customFormat="1" x14ac:dyDescent="0.35">
      <c r="A165" s="131">
        <f t="shared" si="18"/>
        <v>6</v>
      </c>
      <c r="B165" s="131"/>
      <c r="C165" s="48" t="s">
        <v>186</v>
      </c>
      <c r="D165" s="49">
        <f>(4.2*3.35)*(10.764)</f>
        <v>151.44947999999999</v>
      </c>
      <c r="E165" s="49">
        <v>0</v>
      </c>
      <c r="F165" s="48">
        <f t="shared" ref="F165:F167" si="20">(D165+E165)*(($F$106)+1)</f>
        <v>234.74669399999999</v>
      </c>
      <c r="G165" s="131"/>
      <c r="H165" s="131"/>
      <c r="I165" s="53"/>
      <c r="J165" s="54"/>
      <c r="K165" s="54"/>
      <c r="L165" s="115"/>
      <c r="M165" s="115"/>
      <c r="N165" s="31"/>
    </row>
    <row r="166" spans="1:14" s="32" customFormat="1" x14ac:dyDescent="0.35">
      <c r="A166" s="131">
        <f t="shared" si="18"/>
        <v>7</v>
      </c>
      <c r="B166" s="131"/>
      <c r="C166" s="48" t="s">
        <v>186</v>
      </c>
      <c r="D166" s="49">
        <f>(6.5*3.05+0.5*(2.5*1.4)+2.35*1.2)*(10.764)</f>
        <v>262.58777999999995</v>
      </c>
      <c r="E166" s="49">
        <v>0</v>
      </c>
      <c r="F166" s="48">
        <f t="shared" si="20"/>
        <v>407.01105899999993</v>
      </c>
      <c r="G166" s="131"/>
      <c r="H166" s="131"/>
      <c r="I166" s="53"/>
      <c r="J166" s="54"/>
      <c r="K166" s="54"/>
      <c r="L166" s="115"/>
      <c r="M166" s="115"/>
      <c r="N166" s="31"/>
    </row>
    <row r="167" spans="1:14" s="32" customFormat="1" x14ac:dyDescent="0.35">
      <c r="A167" s="131">
        <f t="shared" si="18"/>
        <v>8</v>
      </c>
      <c r="B167" s="131"/>
      <c r="C167" s="48" t="s">
        <v>186</v>
      </c>
      <c r="D167" s="49">
        <f>(4.7*3.35+2*1.65+1.5*1.2)*(10.764)</f>
        <v>224.37558000000001</v>
      </c>
      <c r="E167" s="49">
        <v>0</v>
      </c>
      <c r="F167" s="48">
        <f t="shared" si="20"/>
        <v>347.782149</v>
      </c>
      <c r="G167" s="131"/>
      <c r="H167" s="131"/>
      <c r="I167" s="53"/>
      <c r="J167" s="54"/>
      <c r="K167" s="54"/>
      <c r="L167" s="115"/>
      <c r="M167" s="115"/>
      <c r="N167" s="31"/>
    </row>
    <row r="168" spans="1:14" s="32" customFormat="1" x14ac:dyDescent="0.35">
      <c r="A168" s="131">
        <f t="shared" si="18"/>
        <v>9</v>
      </c>
      <c r="B168" s="131"/>
      <c r="C168" s="48" t="s">
        <v>186</v>
      </c>
      <c r="D168" s="49">
        <f>(4.4*4.05)*(10.764)</f>
        <v>191.81448</v>
      </c>
      <c r="E168" s="49">
        <v>0</v>
      </c>
      <c r="F168" s="48">
        <f>(D168+E168)*(($F$106)+1)</f>
        <v>297.31244400000003</v>
      </c>
      <c r="G168" s="131"/>
      <c r="H168" s="131"/>
      <c r="I168" s="53"/>
      <c r="J168" s="54"/>
      <c r="K168" s="54"/>
      <c r="L168" s="115"/>
      <c r="M168" s="115"/>
      <c r="N168" s="31"/>
    </row>
    <row r="169" spans="1:14" s="32" customFormat="1" x14ac:dyDescent="0.35">
      <c r="A169" s="131">
        <f t="shared" si="18"/>
        <v>10</v>
      </c>
      <c r="B169" s="131"/>
      <c r="C169" s="48" t="s">
        <v>186</v>
      </c>
      <c r="D169" s="49">
        <f>(4.4*2.85+1.65*1.5+1.5*1.2)*(10.764)</f>
        <v>180.99665999999999</v>
      </c>
      <c r="E169" s="49">
        <v>0</v>
      </c>
      <c r="F169" s="48">
        <f t="shared" ref="F169:F171" si="21">(D169+E169)*(($F$106)+1)</f>
        <v>280.54482300000001</v>
      </c>
      <c r="G169" s="131"/>
      <c r="H169" s="131"/>
      <c r="I169" s="31"/>
      <c r="L169" s="115"/>
      <c r="M169" s="115"/>
      <c r="N169" s="31"/>
    </row>
    <row r="170" spans="1:14" s="32" customFormat="1" x14ac:dyDescent="0.35">
      <c r="A170" s="131">
        <f t="shared" si="18"/>
        <v>11</v>
      </c>
      <c r="B170" s="131"/>
      <c r="C170" s="48" t="s">
        <v>186</v>
      </c>
      <c r="D170" s="49">
        <f>(4.4*2.8+1.65*1.45+1.5*1.2)*(10.764)</f>
        <v>177.74054999999998</v>
      </c>
      <c r="E170" s="49">
        <v>0</v>
      </c>
      <c r="F170" s="48">
        <f t="shared" si="21"/>
        <v>275.49785249999996</v>
      </c>
      <c r="G170" s="131"/>
      <c r="H170" s="131"/>
      <c r="I170" s="31"/>
      <c r="L170" s="115"/>
      <c r="M170" s="115"/>
      <c r="N170" s="31"/>
    </row>
    <row r="171" spans="1:14" s="32" customFormat="1" x14ac:dyDescent="0.35">
      <c r="A171" s="131">
        <f t="shared" si="18"/>
        <v>12</v>
      </c>
      <c r="B171" s="131"/>
      <c r="C171" s="48" t="s">
        <v>186</v>
      </c>
      <c r="D171" s="49">
        <f>(3.35*3.05)*(10.764)</f>
        <v>109.98116999999999</v>
      </c>
      <c r="E171" s="49">
        <v>0</v>
      </c>
      <c r="F171" s="48">
        <f t="shared" si="21"/>
        <v>170.47081349999999</v>
      </c>
      <c r="G171" s="131"/>
      <c r="H171" s="131"/>
      <c r="I171" s="31"/>
      <c r="L171" s="115"/>
      <c r="M171" s="115"/>
      <c r="N171" s="31"/>
    </row>
    <row r="172" spans="1:14" s="32" customFormat="1" x14ac:dyDescent="0.35">
      <c r="A172" s="131">
        <f t="shared" si="18"/>
        <v>13</v>
      </c>
      <c r="B172" s="131"/>
      <c r="C172" s="48" t="s">
        <v>186</v>
      </c>
      <c r="D172" s="49">
        <f>(4.85*3.95+3.5*1.65+1.5*1.2+0.5*(4*2.3))*(10.764)</f>
        <v>337.26302999999996</v>
      </c>
      <c r="E172" s="49">
        <v>0</v>
      </c>
      <c r="F172" s="48">
        <f>(D172+E172)*(($F$106)+1)</f>
        <v>522.75769649999995</v>
      </c>
      <c r="G172" s="131"/>
      <c r="H172" s="131"/>
      <c r="I172" s="31"/>
      <c r="L172" s="115"/>
      <c r="M172" s="115"/>
      <c r="N172" s="31"/>
    </row>
    <row r="173" spans="1:14" s="32" customFormat="1" x14ac:dyDescent="0.35">
      <c r="A173" s="131">
        <f t="shared" si="18"/>
        <v>14</v>
      </c>
      <c r="B173" s="131"/>
      <c r="C173" s="48" t="s">
        <v>186</v>
      </c>
      <c r="D173" s="49">
        <f>(3.2*4.7+1.85*2.15+1.5*1.2)*(10.764)</f>
        <v>224.07957000000002</v>
      </c>
      <c r="E173" s="49">
        <v>0</v>
      </c>
      <c r="F173" s="48">
        <f t="shared" ref="F173:F176" si="22">(D173+E173)*(($F$106)+1)</f>
        <v>347.32333350000005</v>
      </c>
      <c r="G173" s="131"/>
      <c r="H173" s="131"/>
      <c r="I173" s="31"/>
      <c r="L173" s="115"/>
      <c r="M173" s="115"/>
      <c r="N173" s="31"/>
    </row>
    <row r="174" spans="1:14" s="32" customFormat="1" x14ac:dyDescent="0.35">
      <c r="A174" s="131">
        <f t="shared" si="18"/>
        <v>15</v>
      </c>
      <c r="B174" s="131"/>
      <c r="C174" s="48" t="s">
        <v>186</v>
      </c>
      <c r="D174" s="49">
        <f>(3.2*6.55+1.85*1.65+1.5*1.2)*(10.764)</f>
        <v>277.84575000000001</v>
      </c>
      <c r="E174" s="49">
        <v>0</v>
      </c>
      <c r="F174" s="48">
        <f t="shared" si="22"/>
        <v>430.66091250000005</v>
      </c>
      <c r="G174" s="131"/>
      <c r="H174" s="131"/>
      <c r="I174" s="31"/>
      <c r="L174" s="115"/>
      <c r="M174" s="115"/>
      <c r="N174" s="31"/>
    </row>
    <row r="175" spans="1:14" s="32" customFormat="1" x14ac:dyDescent="0.35">
      <c r="A175" s="131">
        <f t="shared" si="18"/>
        <v>16</v>
      </c>
      <c r="B175" s="131"/>
      <c r="C175" s="48" t="s">
        <v>186</v>
      </c>
      <c r="D175" s="49">
        <f>(3.25*6.55+1.5*1.2)*(10.764)</f>
        <v>248.51384999999996</v>
      </c>
      <c r="E175" s="49">
        <v>0</v>
      </c>
      <c r="F175" s="48">
        <f t="shared" si="22"/>
        <v>385.19646749999993</v>
      </c>
      <c r="G175" s="131"/>
      <c r="H175" s="131"/>
      <c r="I175" s="31"/>
      <c r="L175" s="115"/>
      <c r="M175" s="115"/>
      <c r="N175" s="31"/>
    </row>
    <row r="176" spans="1:14" s="32" customFormat="1" x14ac:dyDescent="0.35">
      <c r="A176" s="131">
        <f t="shared" si="18"/>
        <v>17</v>
      </c>
      <c r="B176" s="131"/>
      <c r="C176" s="48" t="s">
        <v>186</v>
      </c>
      <c r="D176" s="49">
        <f>(3.65*6.55+1.5*1.2)*(10.764)</f>
        <v>276.71553</v>
      </c>
      <c r="E176" s="49">
        <v>0</v>
      </c>
      <c r="F176" s="48">
        <f t="shared" si="22"/>
        <v>428.90907150000004</v>
      </c>
      <c r="G176" s="131"/>
      <c r="H176" s="131"/>
      <c r="I176" s="31"/>
      <c r="L176" s="115"/>
      <c r="M176" s="115"/>
      <c r="N176" s="31"/>
    </row>
    <row r="177" spans="1:20" s="32" customFormat="1" x14ac:dyDescent="0.35">
      <c r="A177" s="131">
        <f t="shared" si="18"/>
        <v>18</v>
      </c>
      <c r="B177" s="131"/>
      <c r="C177" s="48" t="s">
        <v>186</v>
      </c>
      <c r="D177" s="49">
        <f>(3.05*6.55+1.5*1.2)*(10.764)</f>
        <v>234.41300999999999</v>
      </c>
      <c r="E177" s="49">
        <v>0</v>
      </c>
      <c r="F177" s="48">
        <f>(D177+E177)*(($F$106)+1)</f>
        <v>363.34016550000001</v>
      </c>
      <c r="G177" s="131"/>
      <c r="H177" s="131"/>
      <c r="I177" s="31"/>
      <c r="L177" s="115"/>
      <c r="M177" s="115"/>
      <c r="N177" s="31"/>
    </row>
    <row r="178" spans="1:20" s="32" customFormat="1" x14ac:dyDescent="0.35">
      <c r="A178" s="131">
        <f t="shared" si="18"/>
        <v>19</v>
      </c>
      <c r="B178" s="131"/>
      <c r="C178" s="48" t="s">
        <v>186</v>
      </c>
      <c r="D178" s="49">
        <f>(3.05*6.55+1.5*1.2)*(10.764)</f>
        <v>234.41300999999999</v>
      </c>
      <c r="E178" s="49">
        <v>0</v>
      </c>
      <c r="F178" s="48">
        <f t="shared" ref="F178" si="23">(D178+E178)*(($F$106)+1)</f>
        <v>363.34016550000001</v>
      </c>
      <c r="G178" s="131"/>
      <c r="H178" s="131"/>
      <c r="I178" s="31"/>
      <c r="L178" s="115"/>
      <c r="M178" s="115"/>
      <c r="N178" s="31"/>
    </row>
    <row r="179" spans="1:20" s="32" customFormat="1" x14ac:dyDescent="0.35">
      <c r="A179" s="125"/>
      <c r="B179" s="126"/>
      <c r="C179" s="126"/>
      <c r="D179" s="126"/>
      <c r="E179" s="126"/>
      <c r="F179" s="126"/>
      <c r="G179" s="126"/>
      <c r="H179" s="127"/>
      <c r="I179" s="31"/>
      <c r="N179" s="31"/>
    </row>
    <row r="180" spans="1:20" ht="47.25" customHeight="1" x14ac:dyDescent="0.35">
      <c r="A180" s="120" t="s">
        <v>221</v>
      </c>
      <c r="B180" s="133" t="s">
        <v>206</v>
      </c>
      <c r="C180" s="133" t="s">
        <v>57</v>
      </c>
      <c r="D180" s="133" t="s">
        <v>207</v>
      </c>
      <c r="E180" s="133" t="s">
        <v>237</v>
      </c>
      <c r="F180" s="133" t="s">
        <v>58</v>
      </c>
      <c r="G180" s="118" t="s">
        <v>59</v>
      </c>
      <c r="H180" s="47" t="s">
        <v>148</v>
      </c>
      <c r="I180" s="31"/>
      <c r="T180" s="32"/>
    </row>
    <row r="181" spans="1:20" s="32" customFormat="1" x14ac:dyDescent="0.35">
      <c r="A181" s="122"/>
      <c r="B181" s="134"/>
      <c r="C181" s="134"/>
      <c r="D181" s="134"/>
      <c r="E181" s="134"/>
      <c r="F181" s="134"/>
      <c r="G181" s="119"/>
      <c r="H181" s="46">
        <v>0.5</v>
      </c>
      <c r="I181" s="31"/>
    </row>
    <row r="182" spans="1:20" s="32" customFormat="1" x14ac:dyDescent="0.35">
      <c r="A182" s="150" t="s">
        <v>205</v>
      </c>
      <c r="B182" s="151"/>
      <c r="C182" s="151"/>
      <c r="D182" s="151"/>
      <c r="E182" s="151"/>
      <c r="F182" s="151"/>
      <c r="G182" s="151"/>
      <c r="H182" s="152"/>
      <c r="J182" s="31"/>
    </row>
    <row r="183" spans="1:20" s="32" customFormat="1" x14ac:dyDescent="0.35">
      <c r="A183" s="150" t="s">
        <v>240</v>
      </c>
      <c r="B183" s="151"/>
      <c r="C183" s="151"/>
      <c r="D183" s="151"/>
      <c r="E183" s="151"/>
      <c r="F183" s="151"/>
      <c r="G183" s="151"/>
      <c r="H183" s="152"/>
      <c r="J183" s="31"/>
    </row>
    <row r="184" spans="1:20" s="32" customFormat="1" x14ac:dyDescent="0.35">
      <c r="A184" s="150" t="s">
        <v>219</v>
      </c>
      <c r="B184" s="151"/>
      <c r="C184" s="151"/>
      <c r="D184" s="151"/>
      <c r="E184" s="151"/>
      <c r="F184" s="151"/>
      <c r="G184" s="151"/>
      <c r="H184" s="152"/>
      <c r="J184" s="31"/>
    </row>
    <row r="185" spans="1:20" s="32" customFormat="1" x14ac:dyDescent="0.35">
      <c r="A185" s="150" t="s">
        <v>187</v>
      </c>
      <c r="B185" s="151"/>
      <c r="C185" s="151"/>
      <c r="D185" s="151"/>
      <c r="E185" s="151"/>
      <c r="F185" s="151"/>
      <c r="G185" s="151"/>
      <c r="H185" s="152"/>
      <c r="J185" s="31"/>
      <c r="M185" s="45">
        <v>10.763999999999999</v>
      </c>
    </row>
    <row r="186" spans="1:20" s="32" customFormat="1" x14ac:dyDescent="0.35">
      <c r="A186" s="150" t="s">
        <v>210</v>
      </c>
      <c r="B186" s="151"/>
      <c r="C186" s="151"/>
      <c r="D186" s="151"/>
      <c r="E186" s="151"/>
      <c r="F186" s="151"/>
      <c r="G186" s="151"/>
      <c r="H186" s="152"/>
      <c r="J186" s="31"/>
    </row>
    <row r="187" spans="1:20" s="32" customFormat="1" ht="15.75" customHeight="1" x14ac:dyDescent="0.35">
      <c r="A187" s="153">
        <v>1</v>
      </c>
      <c r="B187" s="154"/>
      <c r="C187" s="45" t="s">
        <v>188</v>
      </c>
      <c r="D187" s="45">
        <f>(58.59)*10.764</f>
        <v>630.66276000000005</v>
      </c>
      <c r="E187" s="45">
        <f>(0.75*(5.8+2.9+2.9+3.35)+1.1*(2.1+1.2))*10.764</f>
        <v>159.76466999999997</v>
      </c>
      <c r="F187" s="45">
        <f>D187+E187</f>
        <v>790.42742999999996</v>
      </c>
      <c r="G187" s="45">
        <v>0</v>
      </c>
      <c r="H187" s="45">
        <f>F187*(($H$181)+1)+(IF(G187&lt;101,G187,IF(G187&lt;201,G187/2,IF(G187&lt;=301,G187/3,G187/4))))</f>
        <v>1185.6411450000001</v>
      </c>
      <c r="I187" s="31"/>
      <c r="J187" s="31">
        <f>5.8*3.05+2.9*2.75+2.9*2.75+3.35*3.05+2.25*1.35+2.45*1.35+1.25*0.9+1.1*1.2+3.1*1+1.1*0.4</f>
        <v>56.1875</v>
      </c>
      <c r="L187" s="115"/>
      <c r="M187" s="115"/>
      <c r="N187" s="31"/>
    </row>
    <row r="188" spans="1:20" s="32" customFormat="1" ht="15.75" customHeight="1" x14ac:dyDescent="0.35">
      <c r="A188" s="146">
        <f>A187+1</f>
        <v>2</v>
      </c>
      <c r="B188" s="146"/>
      <c r="C188" s="45" t="s">
        <v>209</v>
      </c>
      <c r="D188" s="45">
        <f>(37.06)*10.764</f>
        <v>398.91383999999999</v>
      </c>
      <c r="E188" s="45">
        <f>(0.75*(3.05+2.45+2.9))*10.764</f>
        <v>67.813200000000009</v>
      </c>
      <c r="F188" s="45">
        <f>D188+E188</f>
        <v>466.72703999999999</v>
      </c>
      <c r="G188" s="45">
        <v>0</v>
      </c>
      <c r="H188" s="45">
        <f t="shared" ref="H188:H190" si="24">F188*(($H$181)+1)+(IF(G188&lt;101,G188,IF(G188&lt;201,G188/2,IF(G188&lt;=301,G188/3,G188/4))))</f>
        <v>700.09055999999998</v>
      </c>
      <c r="L188" s="115"/>
      <c r="M188" s="115"/>
      <c r="N188" s="31"/>
    </row>
    <row r="189" spans="1:20" s="32" customFormat="1" ht="15.75" customHeight="1" x14ac:dyDescent="0.35">
      <c r="A189" s="146">
        <f>A188+1</f>
        <v>3</v>
      </c>
      <c r="B189" s="146"/>
      <c r="C189" s="45" t="s">
        <v>188</v>
      </c>
      <c r="D189" s="45">
        <f>(56.02)*10.764</f>
        <v>602.99928</v>
      </c>
      <c r="E189" s="45">
        <f>(0.75*(3.35+2.45+3.35+3.05))*10.764</f>
        <v>98.490599999999972</v>
      </c>
      <c r="F189" s="45">
        <f>D189+E189</f>
        <v>701.48987999999997</v>
      </c>
      <c r="G189" s="45">
        <v>0</v>
      </c>
      <c r="H189" s="45">
        <f t="shared" si="24"/>
        <v>1052.2348199999999</v>
      </c>
      <c r="I189" s="31"/>
      <c r="J189" s="31">
        <f>5.15*3.35+2.45*2.45+2.75*3.35+2.75*3.05+2.25*1.35+2.25*1.35+1.2*1.8+1*3</f>
        <v>52.09</v>
      </c>
      <c r="L189" s="115"/>
      <c r="M189" s="115"/>
      <c r="N189" s="31"/>
    </row>
    <row r="190" spans="1:20" s="32" customFormat="1" ht="15.75" customHeight="1" x14ac:dyDescent="0.35">
      <c r="A190" s="146">
        <f>A189+1</f>
        <v>4</v>
      </c>
      <c r="B190" s="146"/>
      <c r="C190" s="45" t="s">
        <v>188</v>
      </c>
      <c r="D190" s="45">
        <f>(62.89)*10.764</f>
        <v>676.94795999999997</v>
      </c>
      <c r="E190" s="45">
        <f>(3.48+0.75*(5.8+2.9+2.9+3.35)+1.1*2.1+0.9*1.4)*10.764</f>
        <v>196.57754999999997</v>
      </c>
      <c r="F190" s="45">
        <f>D190+E190</f>
        <v>873.52550999999994</v>
      </c>
      <c r="G190" s="45">
        <v>0</v>
      </c>
      <c r="H190" s="45">
        <f t="shared" si="24"/>
        <v>1310.2882649999999</v>
      </c>
      <c r="I190" s="31"/>
      <c r="L190" s="115"/>
      <c r="M190" s="115"/>
      <c r="N190" s="31"/>
      <c r="T190" s="16"/>
    </row>
    <row r="191" spans="1:20" s="32" customFormat="1" ht="15.75" customHeight="1" x14ac:dyDescent="0.35">
      <c r="A191" s="146">
        <f>A190+1</f>
        <v>5</v>
      </c>
      <c r="B191" s="146"/>
      <c r="C191" s="45" t="s">
        <v>188</v>
      </c>
      <c r="D191" s="45">
        <f>(54.07)*10.764</f>
        <v>582.00947999999994</v>
      </c>
      <c r="E191" s="45">
        <f>(0.75*(3.05+2.45+2.9+3.2)+1.35*2.1)*10.764</f>
        <v>124.16274000000001</v>
      </c>
      <c r="F191" s="45">
        <f>D191+E191</f>
        <v>706.17221999999992</v>
      </c>
      <c r="G191" s="45">
        <v>0</v>
      </c>
      <c r="H191" s="45">
        <f t="shared" ref="H191" si="25">F191*(($H$181)+1)+(IF(G191&lt;101,G191,IF(G191&lt;201,G191/2,IF(G191&lt;=301,G191/3,G191/4))))</f>
        <v>1059.2583299999999</v>
      </c>
      <c r="I191" s="31"/>
      <c r="L191" s="115"/>
      <c r="M191" s="115"/>
      <c r="N191" s="31"/>
      <c r="T191" s="16"/>
    </row>
    <row r="192" spans="1:20" s="32" customFormat="1" x14ac:dyDescent="0.35">
      <c r="A192" s="155" t="s">
        <v>190</v>
      </c>
      <c r="B192" s="155"/>
      <c r="C192" s="155"/>
      <c r="D192" s="155"/>
      <c r="E192" s="155"/>
      <c r="F192" s="155"/>
      <c r="G192" s="155"/>
      <c r="H192" s="155"/>
      <c r="J192" s="31"/>
    </row>
    <row r="193" spans="1:20" s="32" customFormat="1" ht="15.75" customHeight="1" x14ac:dyDescent="0.35">
      <c r="A193" s="146">
        <v>1</v>
      </c>
      <c r="B193" s="146"/>
      <c r="C193" s="57" t="s">
        <v>209</v>
      </c>
      <c r="D193" s="57">
        <f>(37.06)*10.764</f>
        <v>398.91383999999999</v>
      </c>
      <c r="E193" s="57">
        <f>(0.75*(3.05+2.45+2.9))*10.764</f>
        <v>67.813200000000009</v>
      </c>
      <c r="F193" s="57">
        <f>D193+E193</f>
        <v>466.72703999999999</v>
      </c>
      <c r="G193" s="57">
        <v>0</v>
      </c>
      <c r="H193" s="57">
        <f>F193*(($H$181)+1)+(IF(G193&lt;101,G193,IF(G193&lt;201,G193/2,IF(G193&lt;=301,G193/3,G193/4))))</f>
        <v>700.09055999999998</v>
      </c>
      <c r="I193" s="31"/>
      <c r="L193" s="115"/>
      <c r="M193" s="115"/>
      <c r="N193" s="31"/>
    </row>
    <row r="194" spans="1:20" s="32" customFormat="1" ht="15.75" customHeight="1" x14ac:dyDescent="0.35">
      <c r="A194" s="146">
        <f>A193+1</f>
        <v>2</v>
      </c>
      <c r="B194" s="146"/>
      <c r="C194" s="57" t="s">
        <v>188</v>
      </c>
      <c r="D194" s="57">
        <f>(58.59)*10.764</f>
        <v>630.66276000000005</v>
      </c>
      <c r="E194" s="57">
        <f>(0.75*(5.8+2.9+2.9+3.35)+1.1*(2.1+1.2))*10.764</f>
        <v>159.76466999999997</v>
      </c>
      <c r="F194" s="57">
        <f>D194+E194</f>
        <v>790.42742999999996</v>
      </c>
      <c r="G194" s="57">
        <v>0</v>
      </c>
      <c r="H194" s="57">
        <f t="shared" ref="H194:H197" si="26">F194*(($H$181)+1)+(IF(G194&lt;101,G194,IF(G194&lt;201,G194/2,IF(G194&lt;=301,G194/3,G194/4))))</f>
        <v>1185.6411450000001</v>
      </c>
      <c r="I194" s="31"/>
      <c r="L194" s="115"/>
      <c r="M194" s="115"/>
      <c r="N194" s="31"/>
    </row>
    <row r="195" spans="1:20" s="32" customFormat="1" ht="15.75" customHeight="1" x14ac:dyDescent="0.35">
      <c r="A195" s="146">
        <f>A194+1</f>
        <v>3</v>
      </c>
      <c r="B195" s="146"/>
      <c r="C195" s="57" t="s">
        <v>243</v>
      </c>
      <c r="D195" s="57">
        <f>(64.73)*10.764</f>
        <v>696.75372000000004</v>
      </c>
      <c r="E195" s="57">
        <f>(0.75*(3.35+2.45+3.35+3.05))*10.764</f>
        <v>98.490599999999972</v>
      </c>
      <c r="F195" s="57">
        <f>D195+E195</f>
        <v>795.24432000000002</v>
      </c>
      <c r="G195" s="57">
        <v>0</v>
      </c>
      <c r="H195" s="57">
        <f t="shared" si="26"/>
        <v>1192.8664800000001</v>
      </c>
      <c r="I195" s="31"/>
      <c r="L195" s="115"/>
      <c r="M195" s="115"/>
      <c r="N195" s="31"/>
    </row>
    <row r="196" spans="1:20" s="32" customFormat="1" ht="15.75" customHeight="1" x14ac:dyDescent="0.35">
      <c r="A196" s="146">
        <f>A195+1</f>
        <v>4</v>
      </c>
      <c r="B196" s="146"/>
      <c r="C196" s="57" t="s">
        <v>188</v>
      </c>
      <c r="D196" s="57">
        <f>(61.57)*10.764</f>
        <v>662.73947999999996</v>
      </c>
      <c r="E196" s="57">
        <f>(0.75*(5.8+2.9+2.9+3.35)+1.1*2.1+0.9*1.4)*10.764</f>
        <v>159.11882999999997</v>
      </c>
      <c r="F196" s="57">
        <f>D196+E196</f>
        <v>821.85830999999996</v>
      </c>
      <c r="G196" s="57">
        <v>0</v>
      </c>
      <c r="H196" s="57">
        <f t="shared" si="26"/>
        <v>1232.7874649999999</v>
      </c>
      <c r="I196" s="31"/>
      <c r="L196" s="115"/>
      <c r="M196" s="115"/>
      <c r="N196" s="31"/>
      <c r="T196" s="16"/>
    </row>
    <row r="197" spans="1:20" s="32" customFormat="1" ht="15.75" customHeight="1" x14ac:dyDescent="0.35">
      <c r="A197" s="146">
        <f>A196+1</f>
        <v>5</v>
      </c>
      <c r="B197" s="146"/>
      <c r="C197" s="57" t="s">
        <v>188</v>
      </c>
      <c r="D197" s="57">
        <f>(54.07)*10.764</f>
        <v>582.00947999999994</v>
      </c>
      <c r="E197" s="57">
        <f>(0.75*(3.05+2.45+2.9+3.2)+1.35*2.1)*10.764</f>
        <v>124.16274000000001</v>
      </c>
      <c r="F197" s="57">
        <f>D197+E197</f>
        <v>706.17221999999992</v>
      </c>
      <c r="G197" s="57">
        <v>0</v>
      </c>
      <c r="H197" s="57">
        <f t="shared" si="26"/>
        <v>1059.2583299999999</v>
      </c>
      <c r="I197" s="31"/>
      <c r="L197" s="115"/>
      <c r="M197" s="115"/>
      <c r="N197" s="31"/>
      <c r="T197" s="16"/>
    </row>
    <row r="198" spans="1:20" s="32" customFormat="1" x14ac:dyDescent="0.35">
      <c r="A198" s="155" t="s">
        <v>211</v>
      </c>
      <c r="B198" s="155"/>
      <c r="C198" s="155"/>
      <c r="D198" s="155"/>
      <c r="E198" s="155"/>
      <c r="F198" s="155"/>
      <c r="G198" s="155"/>
      <c r="H198" s="155"/>
      <c r="J198" s="31"/>
    </row>
    <row r="199" spans="1:20" s="32" customFormat="1" ht="15.75" customHeight="1" x14ac:dyDescent="0.35">
      <c r="A199" s="146">
        <v>1</v>
      </c>
      <c r="B199" s="146"/>
      <c r="C199" s="57" t="s">
        <v>209</v>
      </c>
      <c r="D199" s="57">
        <f>(37.06)*10.764</f>
        <v>398.91383999999999</v>
      </c>
      <c r="E199" s="57">
        <f>(0.75*(3.05+2.45+2.9))*10.764</f>
        <v>67.813200000000009</v>
      </c>
      <c r="F199" s="57">
        <f>D199+E199</f>
        <v>466.72703999999999</v>
      </c>
      <c r="G199" s="57">
        <v>0</v>
      </c>
      <c r="H199" s="57">
        <f>F199*(($H$181)+1)+(IF(G199&lt;101,G199,IF(G199&lt;201,G199/2,IF(G199&lt;=301,G199/3,G199/4))))</f>
        <v>700.09055999999998</v>
      </c>
      <c r="I199" s="31"/>
      <c r="L199" s="115"/>
      <c r="M199" s="115"/>
      <c r="N199" s="31"/>
    </row>
    <row r="200" spans="1:20" s="32" customFormat="1" ht="15.75" customHeight="1" x14ac:dyDescent="0.35">
      <c r="A200" s="146">
        <f>A199+1</f>
        <v>2</v>
      </c>
      <c r="B200" s="146"/>
      <c r="C200" s="57" t="s">
        <v>188</v>
      </c>
      <c r="D200" s="57">
        <f>(58.59)*10.764</f>
        <v>630.66276000000005</v>
      </c>
      <c r="E200" s="57">
        <f>(0.75*(5.8+2.9+2.9+3.35)+1.1*(2.1+1.2))*10.764</f>
        <v>159.76466999999997</v>
      </c>
      <c r="F200" s="57">
        <f>D200+E200</f>
        <v>790.42742999999996</v>
      </c>
      <c r="G200" s="57">
        <v>0</v>
      </c>
      <c r="H200" s="57">
        <f t="shared" ref="H200:H203" si="27">F200*(($H$181)+1)+(IF(G200&lt;101,G200,IF(G200&lt;201,G200/2,IF(G200&lt;=301,G200/3,G200/4))))</f>
        <v>1185.6411450000001</v>
      </c>
      <c r="I200" s="31"/>
      <c r="L200" s="115"/>
      <c r="M200" s="115"/>
      <c r="N200" s="31"/>
    </row>
    <row r="201" spans="1:20" s="32" customFormat="1" ht="15.75" customHeight="1" x14ac:dyDescent="0.35">
      <c r="A201" s="153">
        <f>A200+1</f>
        <v>3</v>
      </c>
      <c r="B201" s="154"/>
      <c r="C201" s="45" t="s">
        <v>188</v>
      </c>
      <c r="D201" s="45">
        <f>(54.07)*10.764</f>
        <v>582.00947999999994</v>
      </c>
      <c r="E201" s="45">
        <f>(0.75*(3.35+2.45+3.35+3.05))*10.764</f>
        <v>98.490599999999972</v>
      </c>
      <c r="F201" s="45">
        <f>D201+E201</f>
        <v>680.50007999999991</v>
      </c>
      <c r="G201" s="45">
        <v>0</v>
      </c>
      <c r="H201" s="45">
        <f t="shared" si="27"/>
        <v>1020.7501199999999</v>
      </c>
      <c r="I201" s="31"/>
      <c r="L201" s="115"/>
      <c r="M201" s="115"/>
      <c r="N201" s="31"/>
    </row>
    <row r="202" spans="1:20" s="32" customFormat="1" ht="15.75" customHeight="1" x14ac:dyDescent="0.35">
      <c r="A202" s="153">
        <f>A201+1</f>
        <v>4</v>
      </c>
      <c r="B202" s="154"/>
      <c r="C202" s="45" t="s">
        <v>188</v>
      </c>
      <c r="D202" s="45">
        <f>(61.57)*10.764</f>
        <v>662.73947999999996</v>
      </c>
      <c r="E202" s="45">
        <f>(0.75*(5.8+2.9+2.9+3.35)+1.1*2.1+0.9*1.4)*10.764</f>
        <v>159.11882999999997</v>
      </c>
      <c r="F202" s="45">
        <f>D202+E202</f>
        <v>821.85830999999996</v>
      </c>
      <c r="G202" s="45">
        <v>0</v>
      </c>
      <c r="H202" s="45">
        <f t="shared" si="27"/>
        <v>1232.7874649999999</v>
      </c>
      <c r="I202" s="31"/>
      <c r="L202" s="115"/>
      <c r="M202" s="115"/>
      <c r="N202" s="31"/>
      <c r="T202" s="16"/>
    </row>
    <row r="203" spans="1:20" s="32" customFormat="1" ht="15.75" customHeight="1" x14ac:dyDescent="0.35">
      <c r="A203" s="153">
        <f>A202+1</f>
        <v>5</v>
      </c>
      <c r="B203" s="154"/>
      <c r="C203" s="45" t="s">
        <v>188</v>
      </c>
      <c r="D203" s="45">
        <f>(56.02)*10.764</f>
        <v>602.99928</v>
      </c>
      <c r="E203" s="45">
        <f>(0.75*(3.05+2.45+2.9+3.2)+1.35*2.1)*10.764</f>
        <v>124.16274000000001</v>
      </c>
      <c r="F203" s="45">
        <f>D203+E203</f>
        <v>727.16201999999998</v>
      </c>
      <c r="G203" s="45">
        <v>0</v>
      </c>
      <c r="H203" s="45">
        <f t="shared" si="27"/>
        <v>1090.7430300000001</v>
      </c>
      <c r="I203" s="31"/>
      <c r="L203" s="115"/>
      <c r="M203" s="115"/>
      <c r="N203" s="31"/>
      <c r="T203" s="16"/>
    </row>
    <row r="204" spans="1:20" s="32" customFormat="1" x14ac:dyDescent="0.35">
      <c r="A204" s="150" t="s">
        <v>212</v>
      </c>
      <c r="B204" s="151"/>
      <c r="C204" s="151"/>
      <c r="D204" s="151"/>
      <c r="E204" s="151"/>
      <c r="F204" s="151"/>
      <c r="G204" s="151"/>
      <c r="H204" s="152"/>
      <c r="J204" s="31"/>
    </row>
    <row r="205" spans="1:20" s="32" customFormat="1" ht="15.75" customHeight="1" x14ac:dyDescent="0.35">
      <c r="A205" s="153">
        <v>1</v>
      </c>
      <c r="B205" s="154"/>
      <c r="C205" s="45" t="s">
        <v>188</v>
      </c>
      <c r="D205" s="45">
        <f>(54.07)*10.764</f>
        <v>582.00947999999994</v>
      </c>
      <c r="E205" s="45">
        <f>(0.75*(3.05+2.45+2.9+3.2)+1.35*2.1)*10.764</f>
        <v>124.16274000000001</v>
      </c>
      <c r="F205" s="45">
        <f>D205+E205</f>
        <v>706.17221999999992</v>
      </c>
      <c r="G205" s="45">
        <v>0</v>
      </c>
      <c r="H205" s="45">
        <f>F205*(($H$181)+1)+(IF(G205&lt;101,G205,IF(G205&lt;201,G205/2,IF(G205&lt;=301,G205/3,G205/4))))</f>
        <v>1059.2583299999999</v>
      </c>
      <c r="I205" s="31"/>
      <c r="L205" s="115"/>
      <c r="M205" s="115"/>
      <c r="N205" s="31"/>
    </row>
    <row r="206" spans="1:20" s="32" customFormat="1" ht="15.75" customHeight="1" x14ac:dyDescent="0.35">
      <c r="A206" s="153">
        <f>A205+1</f>
        <v>2</v>
      </c>
      <c r="B206" s="154"/>
      <c r="C206" s="45" t="s">
        <v>188</v>
      </c>
      <c r="D206" s="45">
        <f>(58.59)*10.764</f>
        <v>630.66276000000005</v>
      </c>
      <c r="E206" s="45">
        <f>(0.75*(5.8+2.9+2.9+3.35)+1.1*(2.1+1.2))*10.764</f>
        <v>159.76466999999997</v>
      </c>
      <c r="F206" s="45">
        <f>D206+E206</f>
        <v>790.42742999999996</v>
      </c>
      <c r="G206" s="45">
        <v>0</v>
      </c>
      <c r="H206" s="45">
        <f t="shared" ref="H206:H209" si="28">F206*(($H$181)+1)+(IF(G206&lt;101,G206,IF(G206&lt;201,G206/2,IF(G206&lt;=301,G206/3,G206/4))))</f>
        <v>1185.6411450000001</v>
      </c>
      <c r="I206" s="31"/>
      <c r="L206" s="115"/>
      <c r="M206" s="115"/>
      <c r="N206" s="31"/>
    </row>
    <row r="207" spans="1:20" s="32" customFormat="1" ht="15.75" customHeight="1" x14ac:dyDescent="0.35">
      <c r="A207" s="153">
        <f>A206+1</f>
        <v>3</v>
      </c>
      <c r="B207" s="154"/>
      <c r="C207" s="45" t="s">
        <v>188</v>
      </c>
      <c r="D207" s="45">
        <f>(56.02)*10.764</f>
        <v>602.99928</v>
      </c>
      <c r="E207" s="45">
        <f>(0.75*(3.35+2.45+3.35+3.05))*10.764</f>
        <v>98.490599999999972</v>
      </c>
      <c r="F207" s="45">
        <f>D207+E207</f>
        <v>701.48987999999997</v>
      </c>
      <c r="G207" s="45">
        <v>0</v>
      </c>
      <c r="H207" s="45">
        <f t="shared" si="28"/>
        <v>1052.2348199999999</v>
      </c>
      <c r="I207" s="31"/>
      <c r="L207" s="115"/>
      <c r="M207" s="115"/>
      <c r="N207" s="31"/>
    </row>
    <row r="208" spans="1:20" s="32" customFormat="1" ht="15.75" customHeight="1" x14ac:dyDescent="0.35">
      <c r="A208" s="153">
        <f>A207+1</f>
        <v>4</v>
      </c>
      <c r="B208" s="154"/>
      <c r="C208" s="45" t="s">
        <v>188</v>
      </c>
      <c r="D208" s="45">
        <f>(61.57)*10.764</f>
        <v>662.73947999999996</v>
      </c>
      <c r="E208" s="45">
        <f>(0.75*(5.8+2.9+2.9+3.35)+1.1*2.1+0.9*1.4)*10.764</f>
        <v>159.11882999999997</v>
      </c>
      <c r="F208" s="45">
        <f>D208+E208</f>
        <v>821.85830999999996</v>
      </c>
      <c r="G208" s="45">
        <v>0</v>
      </c>
      <c r="H208" s="45">
        <f t="shared" si="28"/>
        <v>1232.7874649999999</v>
      </c>
      <c r="I208" s="31"/>
      <c r="L208" s="115"/>
      <c r="M208" s="115"/>
      <c r="N208" s="31"/>
      <c r="T208" s="16"/>
    </row>
    <row r="209" spans="1:20" s="32" customFormat="1" ht="15.75" customHeight="1" x14ac:dyDescent="0.35">
      <c r="A209" s="153">
        <f>A208+1</f>
        <v>5</v>
      </c>
      <c r="B209" s="154"/>
      <c r="C209" s="45" t="s">
        <v>188</v>
      </c>
      <c r="D209" s="45">
        <f>(54.07)*10.764</f>
        <v>582.00947999999994</v>
      </c>
      <c r="E209" s="45">
        <f>(0.75*(3.05+2.45+2.9+3.2)+1.35*2.1)*10.764</f>
        <v>124.16274000000001</v>
      </c>
      <c r="F209" s="45">
        <f>D209+E209</f>
        <v>706.17221999999992</v>
      </c>
      <c r="G209" s="45">
        <v>0</v>
      </c>
      <c r="H209" s="45">
        <f t="shared" si="28"/>
        <v>1059.2583299999999</v>
      </c>
      <c r="I209" s="31"/>
      <c r="L209" s="115"/>
      <c r="M209" s="115"/>
      <c r="N209" s="31"/>
      <c r="T209" s="16"/>
    </row>
    <row r="210" spans="1:20" s="32" customFormat="1" x14ac:dyDescent="0.35">
      <c r="A210" s="150" t="s">
        <v>226</v>
      </c>
      <c r="B210" s="151"/>
      <c r="C210" s="151"/>
      <c r="D210" s="151"/>
      <c r="E210" s="151"/>
      <c r="F210" s="151"/>
      <c r="G210" s="151"/>
      <c r="H210" s="152"/>
      <c r="J210" s="31"/>
    </row>
    <row r="211" spans="1:20" s="32" customFormat="1" ht="15.75" customHeight="1" x14ac:dyDescent="0.35">
      <c r="A211" s="153">
        <v>1</v>
      </c>
      <c r="B211" s="154"/>
      <c r="C211" s="45" t="s">
        <v>188</v>
      </c>
      <c r="D211" s="45">
        <f>(54.07)*10.764</f>
        <v>582.00947999999994</v>
      </c>
      <c r="E211" s="45">
        <f>(0.75*(3.05+2.45+2.9+3.2)+1.35*2.1)*10.764</f>
        <v>124.16274000000001</v>
      </c>
      <c r="F211" s="45">
        <f>D211+E211</f>
        <v>706.17221999999992</v>
      </c>
      <c r="G211" s="45">
        <v>0</v>
      </c>
      <c r="H211" s="45">
        <f>F211*(($H$181)+1)+(IF(G211&lt;101,G211,IF(G211&lt;201,G211/2,IF(G211&lt;=301,G211/3,G211/4))))</f>
        <v>1059.2583299999999</v>
      </c>
      <c r="I211" s="31"/>
      <c r="L211" s="115"/>
      <c r="M211" s="115"/>
      <c r="N211" s="31"/>
    </row>
    <row r="212" spans="1:20" s="32" customFormat="1" ht="15.75" customHeight="1" x14ac:dyDescent="0.35">
      <c r="A212" s="153">
        <f>A211+1</f>
        <v>2</v>
      </c>
      <c r="B212" s="154"/>
      <c r="C212" s="45" t="s">
        <v>188</v>
      </c>
      <c r="D212" s="45">
        <f>(58.59)*10.764</f>
        <v>630.66276000000005</v>
      </c>
      <c r="E212" s="45">
        <f>(0.75*(5.8+2.9+2.9+3.35)+1.1*(2.1+1.2))*10.764</f>
        <v>159.76466999999997</v>
      </c>
      <c r="F212" s="45">
        <f>D212+E212</f>
        <v>790.42742999999996</v>
      </c>
      <c r="G212" s="45">
        <v>0</v>
      </c>
      <c r="H212" s="45">
        <f t="shared" ref="H212:H214" si="29">F212*(($H$181)+1)+(IF(G212&lt;101,G212,IF(G212&lt;201,G212/2,IF(G212&lt;=301,G212/3,G212/4))))</f>
        <v>1185.6411450000001</v>
      </c>
      <c r="I212" s="31"/>
      <c r="L212" s="115"/>
      <c r="M212" s="115"/>
      <c r="N212" s="31"/>
    </row>
    <row r="213" spans="1:20" s="32" customFormat="1" ht="15.75" customHeight="1" x14ac:dyDescent="0.35">
      <c r="A213" s="153">
        <f>A212+1</f>
        <v>3</v>
      </c>
      <c r="B213" s="154"/>
      <c r="C213" s="45" t="s">
        <v>188</v>
      </c>
      <c r="D213" s="45">
        <f>(56.02)*10.764</f>
        <v>602.99928</v>
      </c>
      <c r="E213" s="45">
        <f>(0.75*(3.35+2.45+3.35+3.05))*10.764</f>
        <v>98.490599999999972</v>
      </c>
      <c r="F213" s="45">
        <f>D213+E213</f>
        <v>701.48987999999997</v>
      </c>
      <c r="G213" s="45">
        <v>0</v>
      </c>
      <c r="H213" s="45">
        <f t="shared" si="29"/>
        <v>1052.2348199999999</v>
      </c>
      <c r="I213" s="31"/>
      <c r="L213" s="115"/>
      <c r="M213" s="115"/>
      <c r="N213" s="31"/>
    </row>
    <row r="214" spans="1:20" s="32" customFormat="1" ht="15.75" customHeight="1" x14ac:dyDescent="0.35">
      <c r="A214" s="153">
        <f>A213+1</f>
        <v>4</v>
      </c>
      <c r="B214" s="154"/>
      <c r="C214" s="45" t="s">
        <v>188</v>
      </c>
      <c r="D214" s="45">
        <f>(61.57)*10.764</f>
        <v>662.73947999999996</v>
      </c>
      <c r="E214" s="45">
        <f>(0.75*(5.8+2.9+2.9+3.35)+1.1*2.1+0.9*1.4)*10.764</f>
        <v>159.11882999999997</v>
      </c>
      <c r="F214" s="45">
        <f>D214+E214</f>
        <v>821.85830999999996</v>
      </c>
      <c r="G214" s="45">
        <v>0</v>
      </c>
      <c r="H214" s="45">
        <f t="shared" si="29"/>
        <v>1232.7874649999999</v>
      </c>
      <c r="I214" s="31"/>
      <c r="L214" s="115"/>
      <c r="M214" s="115"/>
      <c r="N214" s="31"/>
      <c r="T214" s="16"/>
    </row>
    <row r="215" spans="1:20" s="32" customFormat="1" ht="15.75" customHeight="1" x14ac:dyDescent="0.35">
      <c r="A215" s="153">
        <f>A214+1</f>
        <v>5</v>
      </c>
      <c r="B215" s="154"/>
      <c r="C215" s="153" t="s">
        <v>189</v>
      </c>
      <c r="D215" s="156"/>
      <c r="E215" s="156"/>
      <c r="F215" s="156"/>
      <c r="G215" s="156"/>
      <c r="H215" s="154"/>
      <c r="I215" s="31"/>
      <c r="L215" s="115"/>
      <c r="M215" s="115"/>
      <c r="N215" s="31"/>
      <c r="T215" s="16"/>
    </row>
    <row r="216" spans="1:20" s="32" customFormat="1" x14ac:dyDescent="0.35">
      <c r="A216" s="150" t="s">
        <v>213</v>
      </c>
      <c r="B216" s="151"/>
      <c r="C216" s="151"/>
      <c r="D216" s="151"/>
      <c r="E216" s="151"/>
      <c r="F216" s="151"/>
      <c r="G216" s="151"/>
      <c r="H216" s="152"/>
      <c r="J216" s="31"/>
    </row>
    <row r="217" spans="1:20" s="32" customFormat="1" ht="15.75" customHeight="1" x14ac:dyDescent="0.35">
      <c r="A217" s="153">
        <v>1</v>
      </c>
      <c r="B217" s="154"/>
      <c r="C217" s="45" t="s">
        <v>188</v>
      </c>
      <c r="D217" s="45">
        <f>(54.07)*10.764</f>
        <v>582.00947999999994</v>
      </c>
      <c r="E217" s="45">
        <f>(0.75*(3.05+2.45+2.9+3.2)+1.35*2.1)*10.764</f>
        <v>124.16274000000001</v>
      </c>
      <c r="F217" s="45">
        <f>D217+E217</f>
        <v>706.17221999999992</v>
      </c>
      <c r="G217" s="45">
        <v>0</v>
      </c>
      <c r="H217" s="45">
        <f>F217*(($H$181)+1)+(IF(G217&lt;101,G217,IF(G217&lt;201,G217/2,IF(G217&lt;=301,G217/3,G217/4))))</f>
        <v>1059.2583299999999</v>
      </c>
      <c r="I217" s="31"/>
      <c r="L217" s="115"/>
      <c r="M217" s="115"/>
      <c r="N217" s="31"/>
    </row>
    <row r="218" spans="1:20" s="32" customFormat="1" ht="15.75" customHeight="1" x14ac:dyDescent="0.35">
      <c r="A218" s="153">
        <f>A217+1</f>
        <v>2</v>
      </c>
      <c r="B218" s="154"/>
      <c r="C218" s="45" t="s">
        <v>188</v>
      </c>
      <c r="D218" s="45">
        <f>(58.59)*10.764</f>
        <v>630.66276000000005</v>
      </c>
      <c r="E218" s="45">
        <f>(0.75*(5.8+2.9+2.9+3.35)+1.1*(2.1+1.2))*10.764</f>
        <v>159.76466999999997</v>
      </c>
      <c r="F218" s="45">
        <f>D218+E218</f>
        <v>790.42742999999996</v>
      </c>
      <c r="G218" s="45">
        <v>0</v>
      </c>
      <c r="H218" s="45">
        <f t="shared" ref="H218:H221" si="30">F218*(($H$181)+1)+(IF(G218&lt;101,G218,IF(G218&lt;201,G218/2,IF(G218&lt;=301,G218/3,G218/4))))</f>
        <v>1185.6411450000001</v>
      </c>
      <c r="I218" s="31"/>
      <c r="L218" s="115"/>
      <c r="M218" s="115"/>
      <c r="N218" s="31"/>
    </row>
    <row r="219" spans="1:20" s="32" customFormat="1" ht="15.75" customHeight="1" x14ac:dyDescent="0.35">
      <c r="A219" s="153">
        <f>A218+1</f>
        <v>3</v>
      </c>
      <c r="B219" s="154"/>
      <c r="C219" s="45" t="s">
        <v>243</v>
      </c>
      <c r="D219" s="45">
        <f>(64.73)*10.764</f>
        <v>696.75372000000004</v>
      </c>
      <c r="E219" s="45">
        <f>(0.75*(3.35+2.45+3.35+3.05))*10.764</f>
        <v>98.490599999999972</v>
      </c>
      <c r="F219" s="45">
        <f>D219+E219</f>
        <v>795.24432000000002</v>
      </c>
      <c r="G219" s="45">
        <v>0</v>
      </c>
      <c r="H219" s="45">
        <f t="shared" si="30"/>
        <v>1192.8664800000001</v>
      </c>
      <c r="I219" s="31"/>
      <c r="L219" s="115"/>
      <c r="M219" s="115"/>
      <c r="N219" s="31"/>
    </row>
    <row r="220" spans="1:20" s="32" customFormat="1" ht="15.75" customHeight="1" x14ac:dyDescent="0.35">
      <c r="A220" s="153">
        <f>A219+1</f>
        <v>4</v>
      </c>
      <c r="B220" s="154"/>
      <c r="C220" s="45" t="s">
        <v>188</v>
      </c>
      <c r="D220" s="45">
        <f>(61.57)*10.764</f>
        <v>662.73947999999996</v>
      </c>
      <c r="E220" s="45">
        <f>(0.75*(5.8+2.9+2.9+3.35)+1.1*2.1+0.9*1.4)*10.764</f>
        <v>159.11882999999997</v>
      </c>
      <c r="F220" s="45">
        <f>D220+E220</f>
        <v>821.85830999999996</v>
      </c>
      <c r="G220" s="45">
        <v>0</v>
      </c>
      <c r="H220" s="45">
        <f t="shared" si="30"/>
        <v>1232.7874649999999</v>
      </c>
      <c r="I220" s="31"/>
      <c r="L220" s="115"/>
      <c r="M220" s="115"/>
      <c r="N220" s="31"/>
      <c r="T220" s="16"/>
    </row>
    <row r="221" spans="1:20" s="32" customFormat="1" ht="15.75" customHeight="1" x14ac:dyDescent="0.35">
      <c r="A221" s="153">
        <f>A220+1</f>
        <v>5</v>
      </c>
      <c r="B221" s="154"/>
      <c r="C221" s="45" t="s">
        <v>188</v>
      </c>
      <c r="D221" s="45">
        <f>(54.07)*10.764</f>
        <v>582.00947999999994</v>
      </c>
      <c r="E221" s="45">
        <f>(0.75*(3.05+2.45+2.9+3.2)+1.35*2.1)*10.764</f>
        <v>124.16274000000001</v>
      </c>
      <c r="F221" s="45">
        <f>D221+E221</f>
        <v>706.17221999999992</v>
      </c>
      <c r="G221" s="45">
        <v>0</v>
      </c>
      <c r="H221" s="45">
        <f t="shared" si="30"/>
        <v>1059.2583299999999</v>
      </c>
      <c r="I221" s="31"/>
      <c r="L221" s="115"/>
      <c r="M221" s="115"/>
      <c r="N221" s="31"/>
      <c r="T221" s="16"/>
    </row>
    <row r="222" spans="1:20" s="32" customFormat="1" x14ac:dyDescent="0.35">
      <c r="A222" s="150" t="s">
        <v>214</v>
      </c>
      <c r="B222" s="151"/>
      <c r="C222" s="151"/>
      <c r="D222" s="151"/>
      <c r="E222" s="151"/>
      <c r="F222" s="151"/>
      <c r="G222" s="151"/>
      <c r="H222" s="152"/>
      <c r="J222" s="31"/>
    </row>
    <row r="223" spans="1:20" s="32" customFormat="1" ht="15.75" customHeight="1" x14ac:dyDescent="0.35">
      <c r="A223" s="153">
        <v>1</v>
      </c>
      <c r="B223" s="154"/>
      <c r="C223" s="45" t="s">
        <v>188</v>
      </c>
      <c r="D223" s="45">
        <f>(54.07)*10.764</f>
        <v>582.00947999999994</v>
      </c>
      <c r="E223" s="45">
        <f>(0.75*(3.05+2.45+2.9+3.2)+1.35*2.1)*10.764</f>
        <v>124.16274000000001</v>
      </c>
      <c r="F223" s="45">
        <f>D223+E223</f>
        <v>706.17221999999992</v>
      </c>
      <c r="G223" s="45">
        <v>0</v>
      </c>
      <c r="H223" s="45">
        <f>F223*(($H$181)+1)+(IF(G223&lt;101,G223,IF(G223&lt;201,G223/2,IF(G223&lt;=301,G223/3,G223/4))))</f>
        <v>1059.2583299999999</v>
      </c>
      <c r="I223" s="31"/>
      <c r="L223" s="115"/>
      <c r="M223" s="115"/>
      <c r="N223" s="31"/>
    </row>
    <row r="224" spans="1:20" s="32" customFormat="1" ht="15.75" customHeight="1" x14ac:dyDescent="0.35">
      <c r="A224" s="153">
        <f>A223+1</f>
        <v>2</v>
      </c>
      <c r="B224" s="154"/>
      <c r="C224" s="45" t="s">
        <v>188</v>
      </c>
      <c r="D224" s="45">
        <f>(61.22)*10.764</f>
        <v>658.97207999999989</v>
      </c>
      <c r="E224" s="45">
        <f>(0.75*(5.8+2.9+2.9+3.35)+1.1*(2.1+1.2))*10.764</f>
        <v>159.76466999999997</v>
      </c>
      <c r="F224" s="45">
        <f>D224+E224</f>
        <v>818.7367499999998</v>
      </c>
      <c r="G224" s="45">
        <v>0</v>
      </c>
      <c r="H224" s="45">
        <f t="shared" ref="H224:H227" si="31">F224*(($H$181)+1)+(IF(G224&lt;101,G224,IF(G224&lt;201,G224/2,IF(G224&lt;=301,G224/3,G224/4))))</f>
        <v>1228.1051249999996</v>
      </c>
      <c r="I224" s="31"/>
      <c r="L224" s="115"/>
      <c r="M224" s="115"/>
      <c r="N224" s="31"/>
    </row>
    <row r="225" spans="1:20" s="32" customFormat="1" ht="15.75" customHeight="1" x14ac:dyDescent="0.35">
      <c r="A225" s="153">
        <f>A224+1</f>
        <v>3</v>
      </c>
      <c r="B225" s="154"/>
      <c r="C225" s="45" t="s">
        <v>188</v>
      </c>
      <c r="D225" s="45">
        <f>(59.6)*10.764</f>
        <v>641.53440000000001</v>
      </c>
      <c r="E225" s="45">
        <f>(6.25+0.75*(3.35+2.45+3.35+3.05))*10.764</f>
        <v>165.76559999999998</v>
      </c>
      <c r="F225" s="45">
        <f>D225+E225</f>
        <v>807.3</v>
      </c>
      <c r="G225" s="45">
        <v>0</v>
      </c>
      <c r="H225" s="45">
        <f t="shared" si="31"/>
        <v>1210.9499999999998</v>
      </c>
      <c r="I225" s="31"/>
      <c r="L225" s="115"/>
      <c r="M225" s="115"/>
      <c r="N225" s="31"/>
    </row>
    <row r="226" spans="1:20" s="32" customFormat="1" ht="15.75" customHeight="1" x14ac:dyDescent="0.35">
      <c r="A226" s="153">
        <f>A225+1</f>
        <v>4</v>
      </c>
      <c r="B226" s="154"/>
      <c r="C226" s="45" t="s">
        <v>188</v>
      </c>
      <c r="D226" s="45">
        <f>(61.57)*10.764</f>
        <v>662.73947999999996</v>
      </c>
      <c r="E226" s="45">
        <f>(0.75*(5.8+2.9+2.9+3.35)+1.1*2.1+0.9*1.4)*10.764</f>
        <v>159.11882999999997</v>
      </c>
      <c r="F226" s="45">
        <f>D226+E226</f>
        <v>821.85830999999996</v>
      </c>
      <c r="G226" s="45">
        <v>0</v>
      </c>
      <c r="H226" s="45">
        <f t="shared" si="31"/>
        <v>1232.7874649999999</v>
      </c>
      <c r="I226" s="31"/>
      <c r="L226" s="115"/>
      <c r="M226" s="115"/>
      <c r="N226" s="31"/>
      <c r="T226" s="16"/>
    </row>
    <row r="227" spans="1:20" s="32" customFormat="1" ht="15.75" customHeight="1" x14ac:dyDescent="0.35">
      <c r="A227" s="153">
        <f>A226+1</f>
        <v>5</v>
      </c>
      <c r="B227" s="154"/>
      <c r="C227" s="45" t="s">
        <v>188</v>
      </c>
      <c r="D227" s="45">
        <f>(54.07)*10.764</f>
        <v>582.00947999999994</v>
      </c>
      <c r="E227" s="45">
        <f>(0.75*(3.05+2.45+2.9+3.2)+1.35*2.1)*10.764</f>
        <v>124.16274000000001</v>
      </c>
      <c r="F227" s="45">
        <f>D227+E227</f>
        <v>706.17221999999992</v>
      </c>
      <c r="G227" s="45">
        <v>0</v>
      </c>
      <c r="H227" s="45">
        <f t="shared" si="31"/>
        <v>1059.2583299999999</v>
      </c>
      <c r="I227" s="31"/>
      <c r="L227" s="115"/>
      <c r="M227" s="115"/>
      <c r="N227" s="31"/>
      <c r="T227" s="16"/>
    </row>
    <row r="228" spans="1:20" s="32" customFormat="1" x14ac:dyDescent="0.35">
      <c r="A228" s="150" t="s">
        <v>227</v>
      </c>
      <c r="B228" s="151"/>
      <c r="C228" s="151"/>
      <c r="D228" s="151"/>
      <c r="E228" s="151"/>
      <c r="F228" s="151"/>
      <c r="G228" s="151"/>
      <c r="H228" s="152"/>
      <c r="J228" s="31"/>
    </row>
    <row r="229" spans="1:20" s="32" customFormat="1" ht="15.75" customHeight="1" x14ac:dyDescent="0.35">
      <c r="A229" s="153">
        <v>1</v>
      </c>
      <c r="B229" s="154"/>
      <c r="C229" s="45" t="s">
        <v>188</v>
      </c>
      <c r="D229" s="45">
        <f>(54.07)*10.764</f>
        <v>582.00947999999994</v>
      </c>
      <c r="E229" s="45">
        <f>(0.75*(3.05+2.45+2.9+3.2)+1.35*2.1)*10.764</f>
        <v>124.16274000000001</v>
      </c>
      <c r="F229" s="45">
        <f>D229+E229</f>
        <v>706.17221999999992</v>
      </c>
      <c r="G229" s="45">
        <v>0</v>
      </c>
      <c r="H229" s="45">
        <f>F229*(($H$181)+1)+(IF(G229&lt;101,G229,IF(G229&lt;201,G229/2,IF(G229&lt;=301,G229/3,G229/4))))</f>
        <v>1059.2583299999999</v>
      </c>
      <c r="I229" s="31"/>
      <c r="L229" s="115"/>
      <c r="M229" s="115"/>
      <c r="N229" s="31"/>
    </row>
    <row r="230" spans="1:20" s="32" customFormat="1" ht="15.75" customHeight="1" x14ac:dyDescent="0.35">
      <c r="A230" s="153">
        <f>A229+1</f>
        <v>2</v>
      </c>
      <c r="B230" s="154"/>
      <c r="C230" s="45" t="s">
        <v>188</v>
      </c>
      <c r="D230" s="45">
        <f>(80.49)*10.764</f>
        <v>866.39435999999989</v>
      </c>
      <c r="E230" s="45">
        <f>(5.22+0.75*(5.8+2.9+2.9+3.35)+1.2*2.1)*10.764</f>
        <v>204.00470999999996</v>
      </c>
      <c r="F230" s="45">
        <f>D230+E230</f>
        <v>1070.3990699999999</v>
      </c>
      <c r="G230" s="45">
        <v>0</v>
      </c>
      <c r="H230" s="45">
        <f t="shared" ref="H230:H232" si="32">F230*(($H$181)+1)+(IF(G230&lt;101,G230,IF(G230&lt;201,G230/2,IF(G230&lt;=301,G230/3,G230/4))))</f>
        <v>1605.5986049999999</v>
      </c>
      <c r="I230" s="31"/>
      <c r="L230" s="115"/>
      <c r="M230" s="115"/>
      <c r="N230" s="31"/>
    </row>
    <row r="231" spans="1:20" s="32" customFormat="1" ht="15.75" customHeight="1" x14ac:dyDescent="0.35">
      <c r="A231" s="153">
        <f>A230+1</f>
        <v>3</v>
      </c>
      <c r="B231" s="154"/>
      <c r="C231" s="45" t="s">
        <v>188</v>
      </c>
      <c r="D231" s="45">
        <f>(66.35)*10.764</f>
        <v>714.19139999999993</v>
      </c>
      <c r="E231" s="45">
        <f>(5.62+0.75*(3.35+2.45+3.05+3.35))*10.764</f>
        <v>158.98427999999998</v>
      </c>
      <c r="F231" s="45">
        <f>D231+E231</f>
        <v>873.17567999999994</v>
      </c>
      <c r="G231" s="45">
        <v>0</v>
      </c>
      <c r="H231" s="45">
        <f t="shared" si="32"/>
        <v>1309.76352</v>
      </c>
      <c r="I231" s="31"/>
      <c r="L231" s="115"/>
      <c r="M231" s="115"/>
      <c r="N231" s="31"/>
    </row>
    <row r="232" spans="1:20" s="32" customFormat="1" ht="15.75" customHeight="1" x14ac:dyDescent="0.35">
      <c r="A232" s="153">
        <f>A231+1</f>
        <v>4</v>
      </c>
      <c r="B232" s="154"/>
      <c r="C232" s="45" t="s">
        <v>188</v>
      </c>
      <c r="D232" s="45">
        <f>(80.72)*10.764</f>
        <v>868.87007999999992</v>
      </c>
      <c r="E232" s="45">
        <f>(5.22+0.75*(5.8+2.9+2.9+3.35)+1.4*(1.5+1.2))*10.764</f>
        <v>217.56734999999998</v>
      </c>
      <c r="F232" s="45">
        <f>D232+E232</f>
        <v>1086.4374299999999</v>
      </c>
      <c r="G232" s="45">
        <v>0</v>
      </c>
      <c r="H232" s="45">
        <f t="shared" si="32"/>
        <v>1629.6561449999999</v>
      </c>
      <c r="I232" s="31"/>
      <c r="L232" s="115"/>
      <c r="M232" s="115"/>
      <c r="N232" s="31"/>
      <c r="T232" s="16"/>
    </row>
    <row r="233" spans="1:20" s="32" customFormat="1" ht="15.75" customHeight="1" x14ac:dyDescent="0.35">
      <c r="A233" s="146">
        <f>A232+1</f>
        <v>5</v>
      </c>
      <c r="B233" s="146"/>
      <c r="C233" s="146" t="s">
        <v>189</v>
      </c>
      <c r="D233" s="146"/>
      <c r="E233" s="146"/>
      <c r="F233" s="146"/>
      <c r="G233" s="146"/>
      <c r="H233" s="146"/>
      <c r="I233" s="31"/>
      <c r="L233" s="115"/>
      <c r="M233" s="115"/>
      <c r="N233" s="31"/>
      <c r="T233" s="16"/>
    </row>
    <row r="234" spans="1:20" s="32" customFormat="1" x14ac:dyDescent="0.35">
      <c r="A234" s="155" t="s">
        <v>215</v>
      </c>
      <c r="B234" s="155"/>
      <c r="C234" s="155"/>
      <c r="D234" s="155"/>
      <c r="E234" s="155"/>
      <c r="F234" s="155"/>
      <c r="G234" s="155"/>
      <c r="H234" s="155"/>
      <c r="J234" s="31"/>
    </row>
    <row r="235" spans="1:20" s="32" customFormat="1" ht="15.75" customHeight="1" x14ac:dyDescent="0.35">
      <c r="A235" s="146">
        <v>1</v>
      </c>
      <c r="B235" s="146"/>
      <c r="C235" s="57" t="s">
        <v>188</v>
      </c>
      <c r="D235" s="57">
        <f>(54.07)*10.764</f>
        <v>582.00947999999994</v>
      </c>
      <c r="E235" s="57">
        <f>(0.75*(3.05+2.45+2.9+3.2)+1.35*2.1)*10.764</f>
        <v>124.16274000000001</v>
      </c>
      <c r="F235" s="57">
        <f>D235+E235</f>
        <v>706.17221999999992</v>
      </c>
      <c r="G235" s="57">
        <v>0</v>
      </c>
      <c r="H235" s="57">
        <f>F235*(($H$181)+1)+(IF(G235&lt;101,G235,IF(G235&lt;201,G235/2,IF(G235&lt;=301,G235/3,G235/4))))</f>
        <v>1059.2583299999999</v>
      </c>
      <c r="I235" s="31"/>
      <c r="L235" s="115"/>
      <c r="M235" s="115"/>
      <c r="N235" s="31"/>
    </row>
    <row r="236" spans="1:20" s="32" customFormat="1" ht="15.75" customHeight="1" x14ac:dyDescent="0.35">
      <c r="A236" s="146">
        <f>A235+1</f>
        <v>2</v>
      </c>
      <c r="B236" s="146"/>
      <c r="C236" s="57" t="s">
        <v>188</v>
      </c>
      <c r="D236" s="57">
        <f>(80.49)*10.764</f>
        <v>866.39435999999989</v>
      </c>
      <c r="E236" s="57">
        <f>(5.22+0.75*(5.8+2.9+2.9+3.35)+1.2*2.1)*10.764</f>
        <v>204.00470999999996</v>
      </c>
      <c r="F236" s="57">
        <f>D236+E236</f>
        <v>1070.3990699999999</v>
      </c>
      <c r="G236" s="57">
        <v>0</v>
      </c>
      <c r="H236" s="57">
        <f t="shared" ref="H236:H239" si="33">F236*(($H$181)+1)+(IF(G236&lt;101,G236,IF(G236&lt;201,G236/2,IF(G236&lt;=301,G236/3,G236/4))))</f>
        <v>1605.5986049999999</v>
      </c>
      <c r="I236" s="31"/>
      <c r="L236" s="115"/>
      <c r="M236" s="115"/>
      <c r="N236" s="31"/>
    </row>
    <row r="237" spans="1:20" s="32" customFormat="1" ht="15.75" customHeight="1" x14ac:dyDescent="0.35">
      <c r="A237" s="146">
        <f>A236+1</f>
        <v>3</v>
      </c>
      <c r="B237" s="146"/>
      <c r="C237" s="57" t="s">
        <v>188</v>
      </c>
      <c r="D237" s="57">
        <f>(66.35)*10.764</f>
        <v>714.19139999999993</v>
      </c>
      <c r="E237" s="57">
        <f>(5.62+0.75*(3.35+2.45+3.05+3.35))*10.764</f>
        <v>158.98427999999998</v>
      </c>
      <c r="F237" s="57">
        <f>D237+E237</f>
        <v>873.17567999999994</v>
      </c>
      <c r="G237" s="57">
        <v>0</v>
      </c>
      <c r="H237" s="57">
        <f t="shared" si="33"/>
        <v>1309.76352</v>
      </c>
      <c r="I237" s="31"/>
      <c r="L237" s="115"/>
      <c r="M237" s="115"/>
      <c r="N237" s="31"/>
    </row>
    <row r="238" spans="1:20" s="32" customFormat="1" ht="15.75" customHeight="1" x14ac:dyDescent="0.35">
      <c r="A238" s="146">
        <f>A237+1</f>
        <v>4</v>
      </c>
      <c r="B238" s="146"/>
      <c r="C238" s="57" t="s">
        <v>188</v>
      </c>
      <c r="D238" s="57">
        <f>(80.72)*10.764</f>
        <v>868.87007999999992</v>
      </c>
      <c r="E238" s="57">
        <f>(5.22+0.75*(5.8+2.9+2.9+3.35)+1.4*(1.5+1.2))*10.764</f>
        <v>217.56734999999998</v>
      </c>
      <c r="F238" s="57">
        <f>D238+E238</f>
        <v>1086.4374299999999</v>
      </c>
      <c r="G238" s="57">
        <v>0</v>
      </c>
      <c r="H238" s="57">
        <f t="shared" si="33"/>
        <v>1629.6561449999999</v>
      </c>
      <c r="I238" s="31"/>
      <c r="L238" s="115"/>
      <c r="M238" s="115"/>
      <c r="N238" s="31"/>
      <c r="T238" s="16"/>
    </row>
    <row r="239" spans="1:20" s="32" customFormat="1" ht="15.75" customHeight="1" x14ac:dyDescent="0.35">
      <c r="A239" s="146">
        <f>A238+1</f>
        <v>5</v>
      </c>
      <c r="B239" s="146"/>
      <c r="C239" s="57" t="s">
        <v>188</v>
      </c>
      <c r="D239" s="57">
        <f>(54.07)*10.764</f>
        <v>582.00947999999994</v>
      </c>
      <c r="E239" s="57">
        <f>(0.75*(3.05+2.45+2.9+3.2)+1.35*2.1)*10.764</f>
        <v>124.16274000000001</v>
      </c>
      <c r="F239" s="57">
        <f>D239+E239</f>
        <v>706.17221999999992</v>
      </c>
      <c r="G239" s="57">
        <v>0</v>
      </c>
      <c r="H239" s="57">
        <f t="shared" si="33"/>
        <v>1059.2583299999999</v>
      </c>
      <c r="I239" s="31"/>
      <c r="L239" s="115"/>
      <c r="M239" s="115"/>
      <c r="N239" s="31"/>
      <c r="T239" s="16"/>
    </row>
    <row r="240" spans="1:20" s="32" customFormat="1" x14ac:dyDescent="0.35">
      <c r="A240" s="155" t="s">
        <v>216</v>
      </c>
      <c r="B240" s="155"/>
      <c r="C240" s="155"/>
      <c r="D240" s="155"/>
      <c r="E240" s="155"/>
      <c r="F240" s="155"/>
      <c r="G240" s="155"/>
      <c r="H240" s="155"/>
      <c r="J240" s="31"/>
    </row>
    <row r="241" spans="1:20" s="32" customFormat="1" ht="15.75" customHeight="1" x14ac:dyDescent="0.35">
      <c r="A241" s="146">
        <v>1</v>
      </c>
      <c r="B241" s="146"/>
      <c r="C241" s="57" t="s">
        <v>188</v>
      </c>
      <c r="D241" s="57">
        <f>(60.47)*10.764</f>
        <v>650.89907999999991</v>
      </c>
      <c r="E241" s="57">
        <f>(2.88+0.75*(3.05+2.9+2.9+3.2)+1.35*2.1)*10.764</f>
        <v>158.79590999999999</v>
      </c>
      <c r="F241" s="57">
        <f>D241+E241</f>
        <v>809.69498999999996</v>
      </c>
      <c r="G241" s="57">
        <v>0</v>
      </c>
      <c r="H241" s="57">
        <f>F241*(($H$181)+1)+(IF(G241&lt;101,G241,IF(G241&lt;201,G241/2,IF(G241&lt;=301,G241/3,G241/4))))</f>
        <v>1214.5424849999999</v>
      </c>
      <c r="I241" s="31"/>
      <c r="L241" s="115"/>
      <c r="M241" s="115"/>
      <c r="N241" s="31"/>
    </row>
    <row r="242" spans="1:20" s="32" customFormat="1" ht="15.75" customHeight="1" x14ac:dyDescent="0.35">
      <c r="A242" s="153">
        <f>A241+1</f>
        <v>2</v>
      </c>
      <c r="B242" s="154"/>
      <c r="C242" s="45" t="s">
        <v>188</v>
      </c>
      <c r="D242" s="45">
        <f>(80.49)*10.764</f>
        <v>866.39435999999989</v>
      </c>
      <c r="E242" s="45">
        <f>(5.22+0.75*(5.8+2.9+2.9+3.35)+1.2*2.1)*10.764</f>
        <v>204.00470999999996</v>
      </c>
      <c r="F242" s="45">
        <f>D242+E242</f>
        <v>1070.3990699999999</v>
      </c>
      <c r="G242" s="45">
        <v>0</v>
      </c>
      <c r="H242" s="45">
        <f t="shared" ref="H242:H245" si="34">F242*(($H$181)+1)+(IF(G242&lt;101,G242,IF(G242&lt;201,G242/2,IF(G242&lt;=301,G242/3,G242/4))))</f>
        <v>1605.5986049999999</v>
      </c>
      <c r="I242" s="31"/>
      <c r="L242" s="115"/>
      <c r="M242" s="115"/>
      <c r="N242" s="31"/>
    </row>
    <row r="243" spans="1:20" s="32" customFormat="1" ht="15.75" customHeight="1" x14ac:dyDescent="0.35">
      <c r="A243" s="153">
        <f>A242+1</f>
        <v>3</v>
      </c>
      <c r="B243" s="154"/>
      <c r="C243" s="45" t="s">
        <v>188</v>
      </c>
      <c r="D243" s="45">
        <f>(66.35)*10.764</f>
        <v>714.19139999999993</v>
      </c>
      <c r="E243" s="45">
        <f>(5.62+0.75*(3.35+2.45+3.05+3.35))*10.764</f>
        <v>158.98427999999998</v>
      </c>
      <c r="F243" s="45">
        <f>D243+E243</f>
        <v>873.17567999999994</v>
      </c>
      <c r="G243" s="45">
        <v>0</v>
      </c>
      <c r="H243" s="45">
        <f t="shared" si="34"/>
        <v>1309.76352</v>
      </c>
      <c r="I243" s="31"/>
      <c r="L243" s="115"/>
      <c r="M243" s="115"/>
      <c r="N243" s="31"/>
    </row>
    <row r="244" spans="1:20" s="32" customFormat="1" ht="15.75" customHeight="1" x14ac:dyDescent="0.35">
      <c r="A244" s="153">
        <f>A243+1</f>
        <v>4</v>
      </c>
      <c r="B244" s="154"/>
      <c r="C244" s="45" t="s">
        <v>188</v>
      </c>
      <c r="D244" s="45">
        <f>(80.72)*10.764</f>
        <v>868.87007999999992</v>
      </c>
      <c r="E244" s="45">
        <f>(5.22+0.75*(5.8+2.9+2.9+3.35)+1.4*(1.5+1.2))*10.764</f>
        <v>217.56734999999998</v>
      </c>
      <c r="F244" s="45">
        <f>D244+E244</f>
        <v>1086.4374299999999</v>
      </c>
      <c r="G244" s="45">
        <v>0</v>
      </c>
      <c r="H244" s="45">
        <f t="shared" si="34"/>
        <v>1629.6561449999999</v>
      </c>
      <c r="I244" s="31"/>
      <c r="L244" s="115"/>
      <c r="M244" s="115"/>
      <c r="N244" s="31"/>
      <c r="T244" s="16"/>
    </row>
    <row r="245" spans="1:20" s="32" customFormat="1" ht="15.75" customHeight="1" x14ac:dyDescent="0.35">
      <c r="A245" s="153">
        <f>A244+1</f>
        <v>5</v>
      </c>
      <c r="B245" s="154"/>
      <c r="C245" s="45" t="s">
        <v>188</v>
      </c>
      <c r="D245" s="45">
        <f>(60.47)*10.764</f>
        <v>650.89907999999991</v>
      </c>
      <c r="E245" s="45">
        <f>(2.88+0.75*(3.05+2.9+2.9+3.2)+1.35*2.1)*10.764</f>
        <v>158.79590999999999</v>
      </c>
      <c r="F245" s="45">
        <f>D245+E245</f>
        <v>809.69498999999996</v>
      </c>
      <c r="G245" s="45">
        <v>0</v>
      </c>
      <c r="H245" s="45">
        <f t="shared" si="34"/>
        <v>1214.5424849999999</v>
      </c>
      <c r="I245" s="31"/>
      <c r="L245" s="115"/>
      <c r="M245" s="115"/>
      <c r="N245" s="31"/>
      <c r="T245" s="16"/>
    </row>
    <row r="246" spans="1:20" s="32" customFormat="1" x14ac:dyDescent="0.35">
      <c r="A246" s="150" t="s">
        <v>228</v>
      </c>
      <c r="B246" s="151"/>
      <c r="C246" s="151"/>
      <c r="D246" s="151"/>
      <c r="E246" s="151"/>
      <c r="F246" s="151"/>
      <c r="G246" s="151"/>
      <c r="H246" s="152"/>
      <c r="J246" s="31"/>
    </row>
    <row r="247" spans="1:20" s="32" customFormat="1" ht="15.75" customHeight="1" x14ac:dyDescent="0.35">
      <c r="A247" s="153">
        <v>1</v>
      </c>
      <c r="B247" s="154"/>
      <c r="C247" s="45" t="s">
        <v>188</v>
      </c>
      <c r="D247" s="45">
        <f>(60.47)*10.764</f>
        <v>650.89907999999991</v>
      </c>
      <c r="E247" s="45">
        <f>(2.88+0.75*(3.05+2.9+2.9+3.2)+1.35*2.1)*10.764</f>
        <v>158.79590999999999</v>
      </c>
      <c r="F247" s="45">
        <f>D247+E247</f>
        <v>809.69498999999996</v>
      </c>
      <c r="G247" s="45">
        <v>0</v>
      </c>
      <c r="H247" s="45">
        <f>F247*(($H$181)+1)+(IF(G247&lt;101,G247,IF(G247&lt;201,G247/2,IF(G247&lt;=301,G247/3,G247/4))))</f>
        <v>1214.5424849999999</v>
      </c>
      <c r="I247" s="31"/>
      <c r="L247" s="115"/>
      <c r="M247" s="115"/>
      <c r="N247" s="31"/>
    </row>
    <row r="248" spans="1:20" s="32" customFormat="1" ht="15.75" customHeight="1" x14ac:dyDescent="0.35">
      <c r="A248" s="153">
        <f>A247+1</f>
        <v>2</v>
      </c>
      <c r="B248" s="154"/>
      <c r="C248" s="45" t="s">
        <v>188</v>
      </c>
      <c r="D248" s="45">
        <f>(80.49)*10.764</f>
        <v>866.39435999999989</v>
      </c>
      <c r="E248" s="45">
        <f>(5.22+0.75*(5.8+2.9+2.9+3.35)+1.2*2.1)*10.764</f>
        <v>204.00470999999996</v>
      </c>
      <c r="F248" s="45">
        <f>D248+E248</f>
        <v>1070.3990699999999</v>
      </c>
      <c r="G248" s="45">
        <v>0</v>
      </c>
      <c r="H248" s="45">
        <f t="shared" ref="H248:H250" si="35">F248*(($H$181)+1)+(IF(G248&lt;101,G248,IF(G248&lt;201,G248/2,IF(G248&lt;=301,G248/3,G248/4))))</f>
        <v>1605.5986049999999</v>
      </c>
      <c r="I248" s="31"/>
      <c r="L248" s="115"/>
      <c r="M248" s="115"/>
      <c r="N248" s="31"/>
    </row>
    <row r="249" spans="1:20" s="32" customFormat="1" ht="15.75" customHeight="1" x14ac:dyDescent="0.35">
      <c r="A249" s="153">
        <f>A248+1</f>
        <v>3</v>
      </c>
      <c r="B249" s="154"/>
      <c r="C249" s="45" t="s">
        <v>188</v>
      </c>
      <c r="D249" s="45">
        <f>(66.35)*10.764</f>
        <v>714.19139999999993</v>
      </c>
      <c r="E249" s="45">
        <f>(5.62+0.75*(3.35+2.45+3.05+3.35))*10.764</f>
        <v>158.98427999999998</v>
      </c>
      <c r="F249" s="45">
        <f>D249+E249</f>
        <v>873.17567999999994</v>
      </c>
      <c r="G249" s="45">
        <v>0</v>
      </c>
      <c r="H249" s="45">
        <f t="shared" si="35"/>
        <v>1309.76352</v>
      </c>
      <c r="I249" s="31"/>
      <c r="L249" s="115"/>
      <c r="M249" s="115"/>
      <c r="N249" s="31"/>
    </row>
    <row r="250" spans="1:20" s="32" customFormat="1" ht="15.75" customHeight="1" x14ac:dyDescent="0.35">
      <c r="A250" s="153">
        <f>A249+1</f>
        <v>4</v>
      </c>
      <c r="B250" s="154"/>
      <c r="C250" s="45" t="s">
        <v>188</v>
      </c>
      <c r="D250" s="45">
        <f>(80.72)*10.764</f>
        <v>868.87007999999992</v>
      </c>
      <c r="E250" s="45">
        <f>(5.22+0.75*(5.8+2.9+2.9+3.35)+1.4*(1.5+1.2))*10.764</f>
        <v>217.56734999999998</v>
      </c>
      <c r="F250" s="45">
        <f>D250+E250</f>
        <v>1086.4374299999999</v>
      </c>
      <c r="G250" s="45">
        <v>0</v>
      </c>
      <c r="H250" s="45">
        <f t="shared" si="35"/>
        <v>1629.6561449999999</v>
      </c>
      <c r="I250" s="31"/>
      <c r="L250" s="115"/>
      <c r="M250" s="115"/>
      <c r="N250" s="31"/>
      <c r="T250" s="16"/>
    </row>
    <row r="251" spans="1:20" s="32" customFormat="1" ht="15.75" customHeight="1" x14ac:dyDescent="0.35">
      <c r="A251" s="153">
        <f>A250+1</f>
        <v>5</v>
      </c>
      <c r="B251" s="154"/>
      <c r="C251" s="153" t="s">
        <v>189</v>
      </c>
      <c r="D251" s="156"/>
      <c r="E251" s="156"/>
      <c r="F251" s="156"/>
      <c r="G251" s="156"/>
      <c r="H251" s="154"/>
      <c r="I251" s="31"/>
      <c r="L251" s="115"/>
      <c r="M251" s="115"/>
      <c r="N251" s="31"/>
      <c r="T251" s="16"/>
    </row>
    <row r="252" spans="1:20" s="32" customFormat="1" x14ac:dyDescent="0.35">
      <c r="A252" s="150" t="s">
        <v>232</v>
      </c>
      <c r="B252" s="151"/>
      <c r="C252" s="151"/>
      <c r="D252" s="151"/>
      <c r="E252" s="151"/>
      <c r="F252" s="151"/>
      <c r="G252" s="151"/>
      <c r="H252" s="152"/>
      <c r="J252" s="31"/>
    </row>
    <row r="253" spans="1:20" s="32" customFormat="1" ht="15.75" customHeight="1" x14ac:dyDescent="0.35">
      <c r="A253" s="153">
        <v>1</v>
      </c>
      <c r="B253" s="154"/>
      <c r="C253" s="45" t="s">
        <v>188</v>
      </c>
      <c r="D253" s="45">
        <f>(60.47)*10.764</f>
        <v>650.89907999999991</v>
      </c>
      <c r="E253" s="45">
        <f>(2.88+0.75*(3.05+2.9+2.9+3.2)+1.35*2.1)*10.764</f>
        <v>158.79590999999999</v>
      </c>
      <c r="F253" s="45">
        <f>D253+E253</f>
        <v>809.69498999999996</v>
      </c>
      <c r="G253" s="45">
        <v>0</v>
      </c>
      <c r="H253" s="45">
        <f>F253*(($H$181)+1)+(IF(G253&lt;101,G253,IF(G253&lt;201,G253/2,IF(G253&lt;=301,G253/3,G253/4))))</f>
        <v>1214.5424849999999</v>
      </c>
      <c r="I253" s="31"/>
      <c r="L253" s="115"/>
      <c r="M253" s="115"/>
      <c r="N253" s="31"/>
    </row>
    <row r="254" spans="1:20" s="32" customFormat="1" ht="15.75" customHeight="1" x14ac:dyDescent="0.35">
      <c r="A254" s="153">
        <f>A253+1</f>
        <v>2</v>
      </c>
      <c r="B254" s="154"/>
      <c r="C254" s="45" t="s">
        <v>229</v>
      </c>
      <c r="D254" s="45">
        <f>(99.29)*10.764</f>
        <v>1068.75756</v>
      </c>
      <c r="E254" s="45">
        <f>(5.22+0.75*(5.8+2.9+2.9+3.35+3.05)+1.2*2.1)*10.764</f>
        <v>228.62735999999998</v>
      </c>
      <c r="F254" s="45">
        <f>D254+E254</f>
        <v>1297.38492</v>
      </c>
      <c r="G254" s="45">
        <v>0</v>
      </c>
      <c r="H254" s="45">
        <f t="shared" ref="H254:H256" si="36">F254*(($H$181)+1)+(IF(G254&lt;101,G254,IF(G254&lt;201,G254/2,IF(G254&lt;=301,G254/3,G254/4))))</f>
        <v>1946.0773799999999</v>
      </c>
      <c r="I254" s="31"/>
      <c r="L254" s="115"/>
      <c r="M254" s="115"/>
      <c r="N254" s="31"/>
    </row>
    <row r="255" spans="1:20" s="32" customFormat="1" ht="15.75" customHeight="1" x14ac:dyDescent="0.35">
      <c r="A255" s="153" t="s">
        <v>230</v>
      </c>
      <c r="B255" s="154"/>
      <c r="C255" s="153" t="s">
        <v>231</v>
      </c>
      <c r="D255" s="156"/>
      <c r="E255" s="156"/>
      <c r="F255" s="156"/>
      <c r="G255" s="156"/>
      <c r="H255" s="154"/>
      <c r="I255" s="31"/>
      <c r="L255" s="115"/>
      <c r="M255" s="115"/>
      <c r="N255" s="31"/>
      <c r="T255" s="16"/>
    </row>
    <row r="256" spans="1:20" s="32" customFormat="1" ht="15.75" customHeight="1" x14ac:dyDescent="0.35">
      <c r="A256" s="153">
        <f>A254+1</f>
        <v>3</v>
      </c>
      <c r="B256" s="154"/>
      <c r="C256" s="45" t="s">
        <v>229</v>
      </c>
      <c r="D256" s="45">
        <f>(100.47)*10.764</f>
        <v>1081.4590799999999</v>
      </c>
      <c r="E256" s="45">
        <f>(5.22+0.75*(5.8+2.9+2.9+3.35+3.05)+1.4*(1.5+1.2))*10.764</f>
        <v>242.19</v>
      </c>
      <c r="F256" s="45">
        <f>D256+E256</f>
        <v>1323.6490799999999</v>
      </c>
      <c r="G256" s="45">
        <f>(80.24)*10.764</f>
        <v>863.70335999999986</v>
      </c>
      <c r="H256" s="45">
        <f t="shared" si="36"/>
        <v>2201.3994599999996</v>
      </c>
      <c r="I256" s="31"/>
      <c r="L256" s="115"/>
      <c r="M256" s="115"/>
      <c r="N256" s="31"/>
    </row>
    <row r="257" spans="1:20" s="32" customFormat="1" ht="15.75" customHeight="1" x14ac:dyDescent="0.35">
      <c r="A257" s="153" t="s">
        <v>230</v>
      </c>
      <c r="B257" s="154"/>
      <c r="C257" s="153" t="s">
        <v>231</v>
      </c>
      <c r="D257" s="156"/>
      <c r="E257" s="156"/>
      <c r="F257" s="156"/>
      <c r="G257" s="156"/>
      <c r="H257" s="154"/>
      <c r="I257" s="31"/>
      <c r="L257" s="115"/>
      <c r="M257" s="115"/>
      <c r="N257" s="31"/>
      <c r="T257" s="16"/>
    </row>
    <row r="258" spans="1:20" s="32" customFormat="1" x14ac:dyDescent="0.35">
      <c r="A258" s="150" t="s">
        <v>233</v>
      </c>
      <c r="B258" s="151"/>
      <c r="C258" s="151"/>
      <c r="D258" s="151"/>
      <c r="E258" s="151"/>
      <c r="F258" s="151"/>
      <c r="G258" s="151"/>
      <c r="H258" s="152"/>
      <c r="J258" s="31"/>
    </row>
    <row r="259" spans="1:20" s="32" customFormat="1" ht="15.75" customHeight="1" x14ac:dyDescent="0.35">
      <c r="A259" s="153" t="s">
        <v>230</v>
      </c>
      <c r="B259" s="154"/>
      <c r="C259" s="153" t="s">
        <v>231</v>
      </c>
      <c r="D259" s="156"/>
      <c r="E259" s="156"/>
      <c r="F259" s="156"/>
      <c r="G259" s="156"/>
      <c r="H259" s="154"/>
      <c r="I259" s="31"/>
      <c r="L259" s="115"/>
      <c r="M259" s="115"/>
      <c r="N259" s="31"/>
    </row>
    <row r="260" spans="1:20" s="32" customFormat="1" ht="15.75" customHeight="1" x14ac:dyDescent="0.35">
      <c r="A260" s="153">
        <v>1</v>
      </c>
      <c r="B260" s="154"/>
      <c r="C260" s="45" t="s">
        <v>229</v>
      </c>
      <c r="D260" s="45">
        <f>(99.29)*10.764</f>
        <v>1068.75756</v>
      </c>
      <c r="E260" s="45">
        <f>(5.22+0.75*(5.8+2.9+2.9+3.35+3.05)+1.2*2.1)*10.764</f>
        <v>228.62735999999998</v>
      </c>
      <c r="F260" s="45">
        <f>D260+E260</f>
        <v>1297.38492</v>
      </c>
      <c r="G260" s="45">
        <f>(80.24)*10.764</f>
        <v>863.70335999999986</v>
      </c>
      <c r="H260" s="45">
        <f>F260*(($H$181)+1)+(IF(G260&lt;101,G260,IF(G260&lt;201,G260/2,IF(G260&lt;=301,G260/3,G260/4))))</f>
        <v>2162.0032200000001</v>
      </c>
      <c r="I260" s="31"/>
      <c r="L260" s="115"/>
      <c r="M260" s="115"/>
      <c r="N260" s="31"/>
    </row>
    <row r="261" spans="1:20" s="32" customFormat="1" ht="15.75" customHeight="1" x14ac:dyDescent="0.35">
      <c r="A261" s="153" t="s">
        <v>230</v>
      </c>
      <c r="B261" s="154"/>
      <c r="C261" s="153" t="s">
        <v>234</v>
      </c>
      <c r="D261" s="156"/>
      <c r="E261" s="156"/>
      <c r="F261" s="156"/>
      <c r="G261" s="156"/>
      <c r="H261" s="154"/>
      <c r="I261" s="31"/>
      <c r="L261" s="115"/>
      <c r="M261" s="115"/>
      <c r="N261" s="31"/>
    </row>
    <row r="262" spans="1:20" s="32" customFormat="1" ht="15.75" customHeight="1" x14ac:dyDescent="0.35">
      <c r="A262" s="153">
        <f>A260+1</f>
        <v>2</v>
      </c>
      <c r="B262" s="154"/>
      <c r="C262" s="45" t="s">
        <v>229</v>
      </c>
      <c r="D262" s="45">
        <f>(100.47)*10.764</f>
        <v>1081.4590799999999</v>
      </c>
      <c r="E262" s="45">
        <f>(5.22+0.75*(5.8+2.9+2.9+3.35+3.05)+1.4*(1.5+1.2))*10.764</f>
        <v>242.19</v>
      </c>
      <c r="F262" s="45">
        <f>D262+E262</f>
        <v>1323.6490799999999</v>
      </c>
      <c r="G262" s="45">
        <v>0</v>
      </c>
      <c r="H262" s="45">
        <f t="shared" ref="H262" si="37">F262*(($H$181)+1)+(IF(G262&lt;101,G262,IF(G262&lt;201,G262/2,IF(G262&lt;=301,G262/3,G262/4))))</f>
        <v>1985.4736199999998</v>
      </c>
      <c r="I262" s="31"/>
      <c r="L262" s="115"/>
      <c r="M262" s="115"/>
      <c r="N262" s="31"/>
    </row>
    <row r="263" spans="1:20" s="32" customFormat="1" ht="15.75" customHeight="1" x14ac:dyDescent="0.35">
      <c r="A263" s="153" t="s">
        <v>230</v>
      </c>
      <c r="B263" s="154"/>
      <c r="C263" s="153" t="s">
        <v>234</v>
      </c>
      <c r="D263" s="156"/>
      <c r="E263" s="156"/>
      <c r="F263" s="156"/>
      <c r="G263" s="156"/>
      <c r="H263" s="154"/>
      <c r="I263" s="31"/>
      <c r="L263" s="115"/>
      <c r="M263" s="115"/>
      <c r="N263" s="31"/>
    </row>
    <row r="264" spans="1:20" s="32" customFormat="1" x14ac:dyDescent="0.35">
      <c r="A264" s="150" t="s">
        <v>236</v>
      </c>
      <c r="B264" s="151"/>
      <c r="C264" s="151"/>
      <c r="D264" s="151"/>
      <c r="E264" s="151"/>
      <c r="F264" s="151"/>
      <c r="G264" s="151"/>
      <c r="H264" s="152"/>
      <c r="J264" s="31"/>
    </row>
    <row r="265" spans="1:20" s="32" customFormat="1" ht="15.75" customHeight="1" x14ac:dyDescent="0.35">
      <c r="A265" s="153" t="s">
        <v>230</v>
      </c>
      <c r="B265" s="154"/>
      <c r="C265" s="153" t="s">
        <v>235</v>
      </c>
      <c r="D265" s="156"/>
      <c r="E265" s="156"/>
      <c r="F265" s="156"/>
      <c r="G265" s="156"/>
      <c r="H265" s="154"/>
      <c r="I265" s="31"/>
      <c r="L265" s="115"/>
      <c r="M265" s="115"/>
      <c r="N265" s="31"/>
    </row>
    <row r="266" spans="1:20" s="32" customFormat="1" ht="15.75" customHeight="1" x14ac:dyDescent="0.35">
      <c r="A266" s="153">
        <v>1</v>
      </c>
      <c r="B266" s="154"/>
      <c r="C266" s="45" t="s">
        <v>229</v>
      </c>
      <c r="D266" s="45">
        <f>(99.29)*10.764</f>
        <v>1068.75756</v>
      </c>
      <c r="E266" s="45">
        <f>(5.22+0.75*(5.8+2.9+2.9+3.35+3.05)+1.2*2.1)*10.764</f>
        <v>228.62735999999998</v>
      </c>
      <c r="F266" s="45">
        <f>D266+E266</f>
        <v>1297.38492</v>
      </c>
      <c r="G266" s="45">
        <v>0</v>
      </c>
      <c r="H266" s="45">
        <f>F266*(($H$181)+1)+(IF(G266&lt;101,G266,IF(G266&lt;201,G266/2,IF(G266&lt;=301,G266/3,G266/4))))</f>
        <v>1946.0773799999999</v>
      </c>
      <c r="I266" s="31"/>
      <c r="L266" s="115"/>
      <c r="M266" s="115"/>
      <c r="N266" s="31"/>
    </row>
    <row r="267" spans="1:20" s="32" customFormat="1" ht="15.75" customHeight="1" x14ac:dyDescent="0.35">
      <c r="A267" s="153" t="s">
        <v>230</v>
      </c>
      <c r="B267" s="154"/>
      <c r="C267" s="153" t="s">
        <v>234</v>
      </c>
      <c r="D267" s="156"/>
      <c r="E267" s="156"/>
      <c r="F267" s="156"/>
      <c r="G267" s="156"/>
      <c r="H267" s="154"/>
      <c r="I267" s="31"/>
      <c r="L267" s="115"/>
      <c r="M267" s="115"/>
      <c r="N267" s="31"/>
    </row>
    <row r="268" spans="1:20" s="32" customFormat="1" ht="15.75" customHeight="1" x14ac:dyDescent="0.35">
      <c r="A268" s="153">
        <f>A266+1</f>
        <v>2</v>
      </c>
      <c r="B268" s="154"/>
      <c r="C268" s="45" t="s">
        <v>229</v>
      </c>
      <c r="D268" s="45">
        <f>(100.47)*10.764</f>
        <v>1081.4590799999999</v>
      </c>
      <c r="E268" s="45">
        <f>(5.22+0.75*(5.8+2.9+2.9+3.35+3.05)+1.4*(1.5+1.2))*10.764</f>
        <v>242.19</v>
      </c>
      <c r="F268" s="45">
        <f>D268+E268</f>
        <v>1323.6490799999999</v>
      </c>
      <c r="G268" s="45">
        <v>0</v>
      </c>
      <c r="H268" s="45">
        <f t="shared" ref="H268" si="38">F268*(($H$181)+1)+(IF(G268&lt;101,G268,IF(G268&lt;201,G268/2,IF(G268&lt;=301,G268/3,G268/4))))</f>
        <v>1985.4736199999998</v>
      </c>
      <c r="I268" s="31"/>
      <c r="L268" s="115"/>
      <c r="M268" s="115"/>
      <c r="N268" s="31"/>
    </row>
    <row r="269" spans="1:20" s="32" customFormat="1" ht="15.75" customHeight="1" x14ac:dyDescent="0.35">
      <c r="A269" s="153" t="s">
        <v>230</v>
      </c>
      <c r="B269" s="154"/>
      <c r="C269" s="153" t="s">
        <v>189</v>
      </c>
      <c r="D269" s="156"/>
      <c r="E269" s="156"/>
      <c r="F269" s="156"/>
      <c r="G269" s="156"/>
      <c r="H269" s="154"/>
      <c r="I269" s="31"/>
      <c r="L269" s="115"/>
      <c r="M269" s="115"/>
      <c r="N269" s="31"/>
    </row>
    <row r="270" spans="1:20" s="32" customFormat="1" x14ac:dyDescent="0.35">
      <c r="A270" s="155" t="s">
        <v>217</v>
      </c>
      <c r="B270" s="155"/>
      <c r="C270" s="155"/>
      <c r="D270" s="155"/>
      <c r="E270" s="155"/>
      <c r="F270" s="155"/>
      <c r="G270" s="155"/>
      <c r="H270" s="155"/>
      <c r="I270" s="31"/>
      <c r="L270" s="115"/>
      <c r="M270" s="115"/>
    </row>
    <row r="271" spans="1:20" s="32" customFormat="1" hidden="1" x14ac:dyDescent="0.35">
      <c r="A271" s="155" t="s">
        <v>208</v>
      </c>
      <c r="B271" s="155"/>
      <c r="C271" s="155"/>
      <c r="D271" s="155"/>
      <c r="E271" s="155"/>
      <c r="F271" s="155"/>
      <c r="G271" s="155"/>
      <c r="H271" s="155"/>
      <c r="I271" s="31"/>
      <c r="L271" s="115"/>
      <c r="M271" s="115"/>
    </row>
    <row r="272" spans="1:20" s="32" customFormat="1" hidden="1" x14ac:dyDescent="0.35">
      <c r="A272" s="146">
        <f>LEFT(A271,SUM(LEN(A271)-LEN(SUBSTITUTE(A271,{"0","1","2","3","4","5","6","7","8","9"},""))))*100+1</f>
        <v>201</v>
      </c>
      <c r="B272" s="146"/>
      <c r="C272" s="45"/>
      <c r="D272" s="45"/>
      <c r="E272" s="45">
        <v>0</v>
      </c>
      <c r="F272" s="45">
        <f>D272+E272</f>
        <v>0</v>
      </c>
      <c r="G272" s="45">
        <v>0</v>
      </c>
      <c r="H272" s="45">
        <f t="shared" ref="H272:H276" si="39">F272*(($H$181)+1)+(IF(G272&lt;101,G272,IF(G272&lt;201,G272/2,IF(G272&lt;=301,G272/3,G272/4))))</f>
        <v>0</v>
      </c>
      <c r="I272" s="31"/>
      <c r="N272" s="31"/>
    </row>
    <row r="273" spans="1:14" s="32" customFormat="1" hidden="1" x14ac:dyDescent="0.35">
      <c r="A273" s="146">
        <f>A272+1</f>
        <v>202</v>
      </c>
      <c r="B273" s="146"/>
      <c r="C273" s="45"/>
      <c r="D273" s="45"/>
      <c r="E273" s="45">
        <v>0</v>
      </c>
      <c r="F273" s="45">
        <f>D273+E273</f>
        <v>0</v>
      </c>
      <c r="G273" s="45">
        <v>0</v>
      </c>
      <c r="H273" s="45">
        <f t="shared" si="39"/>
        <v>0</v>
      </c>
      <c r="I273" s="31"/>
      <c r="N273" s="31"/>
    </row>
    <row r="274" spans="1:14" s="32" customFormat="1" hidden="1" x14ac:dyDescent="0.35">
      <c r="A274" s="146">
        <f>A273+1</f>
        <v>203</v>
      </c>
      <c r="B274" s="146"/>
      <c r="C274" s="45"/>
      <c r="D274" s="45"/>
      <c r="E274" s="45">
        <v>0</v>
      </c>
      <c r="F274" s="45">
        <f>D274+E274</f>
        <v>0</v>
      </c>
      <c r="G274" s="45">
        <v>0</v>
      </c>
      <c r="H274" s="45">
        <f t="shared" si="39"/>
        <v>0</v>
      </c>
      <c r="I274" s="31"/>
      <c r="N274" s="31"/>
    </row>
    <row r="275" spans="1:14" s="32" customFormat="1" hidden="1" x14ac:dyDescent="0.35">
      <c r="A275" s="146">
        <f>A274+1</f>
        <v>204</v>
      </c>
      <c r="B275" s="146"/>
      <c r="C275" s="45"/>
      <c r="D275" s="45"/>
      <c r="E275" s="45">
        <v>0</v>
      </c>
      <c r="F275" s="45">
        <f>D275+E275</f>
        <v>0</v>
      </c>
      <c r="G275" s="45">
        <v>0</v>
      </c>
      <c r="H275" s="45">
        <f t="shared" si="39"/>
        <v>0</v>
      </c>
      <c r="I275" s="31"/>
      <c r="N275" s="31"/>
    </row>
    <row r="276" spans="1:14" s="32" customFormat="1" hidden="1" x14ac:dyDescent="0.35">
      <c r="A276" s="146">
        <f>A275+1</f>
        <v>205</v>
      </c>
      <c r="B276" s="146"/>
      <c r="C276" s="45"/>
      <c r="D276" s="45"/>
      <c r="E276" s="45">
        <v>0</v>
      </c>
      <c r="F276" s="45">
        <f>D276+E276</f>
        <v>0</v>
      </c>
      <c r="G276" s="45">
        <v>0</v>
      </c>
      <c r="H276" s="45">
        <f t="shared" si="39"/>
        <v>0</v>
      </c>
      <c r="I276" s="31"/>
      <c r="N276" s="31"/>
    </row>
    <row r="277" spans="1:14" s="30" customFormat="1" x14ac:dyDescent="0.35">
      <c r="A277" s="148" t="s">
        <v>68</v>
      </c>
      <c r="B277" s="148"/>
      <c r="C277" s="148"/>
      <c r="D277" s="148"/>
      <c r="E277" s="148"/>
      <c r="F277" s="148"/>
      <c r="G277" s="148"/>
      <c r="H277" s="148"/>
    </row>
    <row r="278" spans="1:14" s="30" customFormat="1" ht="32" customHeight="1" x14ac:dyDescent="0.35">
      <c r="A278" s="43" t="s">
        <v>152</v>
      </c>
      <c r="B278" s="149" t="s">
        <v>265</v>
      </c>
      <c r="C278" s="149"/>
      <c r="D278" s="149"/>
      <c r="E278" s="149"/>
      <c r="F278" s="149"/>
      <c r="G278" s="149"/>
      <c r="H278" s="149"/>
    </row>
    <row r="279" spans="1:14" s="30" customFormat="1" x14ac:dyDescent="0.35">
      <c r="A279" s="43" t="s">
        <v>152</v>
      </c>
      <c r="B279" s="149" t="str">
        <f>(IF(H180="Saleable area Loading :","We have considered Saleable area of Flats as per our Calculation.","We considered Saleable area of Flat as per Builder area Sheet."))</f>
        <v>We have considered Saleable area of Flats as per our Calculation.</v>
      </c>
      <c r="C279" s="149"/>
      <c r="D279" s="149"/>
      <c r="E279" s="149"/>
      <c r="F279" s="149"/>
      <c r="G279" s="149"/>
      <c r="H279" s="149"/>
    </row>
    <row r="280" spans="1:14" s="30" customFormat="1" hidden="1" x14ac:dyDescent="0.35">
      <c r="A280" s="43" t="s">
        <v>152</v>
      </c>
      <c r="B280" s="149" t="str">
        <f>(IF(F105="Saleable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280" s="149"/>
      <c r="D280" s="149"/>
      <c r="E280" s="149"/>
      <c r="F280" s="149"/>
      <c r="G280" s="149"/>
      <c r="H280" s="149"/>
    </row>
    <row r="281" spans="1:14" s="30" customFormat="1" x14ac:dyDescent="0.35">
      <c r="A281" s="43" t="s">
        <v>152</v>
      </c>
      <c r="B281" s="147" t="s">
        <v>122</v>
      </c>
      <c r="C281" s="147"/>
      <c r="D281" s="147"/>
      <c r="E281" s="147"/>
      <c r="F281" s="147"/>
      <c r="G281" s="147"/>
      <c r="H281" s="147"/>
    </row>
    <row r="282" spans="1:14" s="30" customFormat="1" x14ac:dyDescent="0.35">
      <c r="A282" s="43" t="s">
        <v>152</v>
      </c>
      <c r="B282" s="149" t="s">
        <v>238</v>
      </c>
      <c r="C282" s="149"/>
      <c r="D282" s="149"/>
      <c r="E282" s="149"/>
      <c r="F282" s="149"/>
      <c r="G282" s="149"/>
      <c r="H282" s="149"/>
    </row>
    <row r="283" spans="1:14" s="30" customFormat="1" x14ac:dyDescent="0.35">
      <c r="A283" s="43" t="s">
        <v>152</v>
      </c>
      <c r="B283" s="147" t="s">
        <v>151</v>
      </c>
      <c r="C283" s="147"/>
      <c r="D283" s="147"/>
      <c r="E283" s="147"/>
      <c r="F283" s="147"/>
      <c r="G283" s="147"/>
      <c r="H283" s="147"/>
    </row>
    <row r="284" spans="1:14" s="30" customFormat="1" x14ac:dyDescent="0.35">
      <c r="A284" s="61" t="s">
        <v>152</v>
      </c>
      <c r="B284" s="147" t="s">
        <v>123</v>
      </c>
      <c r="C284" s="147"/>
      <c r="D284" s="147"/>
      <c r="E284" s="147"/>
      <c r="F284" s="147"/>
      <c r="G284" s="147"/>
      <c r="H284" s="147"/>
    </row>
    <row r="285" spans="1:14" s="30" customFormat="1" ht="34.5" customHeight="1" x14ac:dyDescent="0.35">
      <c r="A285" s="61" t="s">
        <v>152</v>
      </c>
      <c r="B285" s="147" t="s">
        <v>153</v>
      </c>
      <c r="C285" s="147"/>
      <c r="D285" s="147"/>
      <c r="E285" s="147"/>
      <c r="F285" s="147"/>
      <c r="G285" s="147"/>
      <c r="H285" s="147"/>
    </row>
    <row r="286" spans="1:14" s="30" customFormat="1" x14ac:dyDescent="0.35">
      <c r="A286" s="61" t="s">
        <v>152</v>
      </c>
      <c r="B286" s="147" t="s">
        <v>124</v>
      </c>
      <c r="C286" s="147"/>
      <c r="D286" s="147"/>
      <c r="E286" s="147"/>
      <c r="F286" s="147"/>
      <c r="G286" s="147"/>
      <c r="H286" s="147"/>
    </row>
    <row r="287" spans="1:14" s="30" customFormat="1" x14ac:dyDescent="0.35">
      <c r="A287" s="61" t="s">
        <v>152</v>
      </c>
      <c r="B287" s="147" t="s">
        <v>192</v>
      </c>
      <c r="C287" s="147"/>
      <c r="D287" s="147"/>
      <c r="E287" s="147"/>
      <c r="F287" s="147"/>
      <c r="G287" s="147"/>
      <c r="H287" s="147"/>
    </row>
    <row r="288" spans="1:14" s="30" customFormat="1" x14ac:dyDescent="0.35">
      <c r="A288" s="61" t="s">
        <v>152</v>
      </c>
      <c r="B288" s="147" t="s">
        <v>218</v>
      </c>
      <c r="C288" s="147"/>
      <c r="D288" s="147"/>
      <c r="E288" s="147"/>
      <c r="F288" s="147"/>
      <c r="G288" s="147"/>
      <c r="H288" s="147"/>
    </row>
    <row r="289" spans="1:8" s="30" customFormat="1" ht="64.5" hidden="1" customHeight="1" x14ac:dyDescent="0.35">
      <c r="A289" s="61" t="s">
        <v>152</v>
      </c>
      <c r="B289" s="147" t="s">
        <v>244</v>
      </c>
      <c r="C289" s="147"/>
      <c r="D289" s="147"/>
      <c r="E289" s="147"/>
      <c r="F289" s="147"/>
      <c r="G289" s="147"/>
      <c r="H289" s="147"/>
    </row>
    <row r="290" spans="1:8" s="30" customFormat="1" ht="62.25" customHeight="1" x14ac:dyDescent="0.35">
      <c r="A290" s="61" t="s">
        <v>152</v>
      </c>
      <c r="B290" s="147" t="s">
        <v>241</v>
      </c>
      <c r="C290" s="147"/>
      <c r="D290" s="147"/>
      <c r="E290" s="147"/>
      <c r="F290" s="147"/>
      <c r="G290" s="147"/>
      <c r="H290" s="147"/>
    </row>
    <row r="291" spans="1:8" s="30" customFormat="1" x14ac:dyDescent="0.35">
      <c r="A291" s="43" t="s">
        <v>152</v>
      </c>
      <c r="B291" s="62" t="s">
        <v>253</v>
      </c>
      <c r="C291" s="63"/>
      <c r="D291" s="63"/>
      <c r="E291" s="63"/>
      <c r="F291" s="63"/>
      <c r="G291" s="63"/>
      <c r="H291" s="64"/>
    </row>
    <row r="292" spans="1:8" s="30" customFormat="1" x14ac:dyDescent="0.35">
      <c r="A292" s="58" t="s">
        <v>152</v>
      </c>
      <c r="B292" s="62" t="s">
        <v>266</v>
      </c>
      <c r="C292" s="63"/>
      <c r="D292" s="63"/>
      <c r="E292" s="63"/>
      <c r="F292" s="63"/>
      <c r="G292" s="63"/>
      <c r="H292" s="64"/>
    </row>
    <row r="293" spans="1:8" s="30" customFormat="1" ht="31.5" customHeight="1" x14ac:dyDescent="0.35">
      <c r="A293" s="59" t="s">
        <v>152</v>
      </c>
      <c r="B293" s="62" t="s">
        <v>270</v>
      </c>
      <c r="C293" s="63"/>
      <c r="D293" s="63"/>
      <c r="E293" s="63"/>
      <c r="F293" s="63"/>
      <c r="G293" s="63"/>
      <c r="H293" s="64"/>
    </row>
    <row r="294" spans="1:8" s="30" customFormat="1" x14ac:dyDescent="0.35">
      <c r="A294" s="60" t="s">
        <v>152</v>
      </c>
      <c r="B294" s="62" t="s">
        <v>269</v>
      </c>
      <c r="C294" s="63"/>
      <c r="D294" s="63"/>
      <c r="E294" s="63"/>
      <c r="F294" s="63"/>
      <c r="G294" s="63"/>
      <c r="H294" s="64"/>
    </row>
    <row r="295" spans="1:8" x14ac:dyDescent="0.35">
      <c r="A295" s="87" t="s">
        <v>61</v>
      </c>
      <c r="B295" s="87"/>
      <c r="C295" s="87"/>
      <c r="D295" s="87"/>
      <c r="E295" s="87"/>
      <c r="F295" s="87"/>
      <c r="G295" s="87"/>
      <c r="H295" s="87"/>
    </row>
    <row r="296" spans="1:8" x14ac:dyDescent="0.35">
      <c r="A296" s="66" t="s">
        <v>62</v>
      </c>
      <c r="B296" s="66"/>
      <c r="C296" s="66"/>
      <c r="D296" s="66"/>
      <c r="E296" s="66"/>
      <c r="F296" s="66"/>
      <c r="G296" s="66"/>
      <c r="H296" s="66"/>
    </row>
    <row r="297" spans="1:8" ht="15.75" customHeight="1" x14ac:dyDescent="0.35">
      <c r="A297" s="67" t="s">
        <v>63</v>
      </c>
      <c r="B297" s="67"/>
      <c r="C297" s="67"/>
      <c r="D297" s="67"/>
      <c r="E297" s="67"/>
      <c r="F297" s="67"/>
      <c r="G297" s="67"/>
      <c r="H297" s="67"/>
    </row>
    <row r="298" spans="1:8" x14ac:dyDescent="0.35">
      <c r="A298" s="66" t="s">
        <v>64</v>
      </c>
      <c r="B298" s="66"/>
      <c r="C298" s="66"/>
      <c r="D298" s="66"/>
      <c r="E298" s="66"/>
      <c r="F298" s="66"/>
      <c r="G298" s="66"/>
      <c r="H298" s="66"/>
    </row>
    <row r="299" spans="1:8" x14ac:dyDescent="0.35">
      <c r="A299" s="66" t="s">
        <v>65</v>
      </c>
      <c r="B299" s="66"/>
      <c r="C299" s="66"/>
      <c r="D299" s="66"/>
      <c r="E299" s="66"/>
      <c r="F299" s="66"/>
      <c r="G299" s="66"/>
      <c r="H299" s="66"/>
    </row>
    <row r="300" spans="1:8" x14ac:dyDescent="0.35">
      <c r="A300" s="66" t="s">
        <v>125</v>
      </c>
      <c r="B300" s="66"/>
      <c r="C300" s="66"/>
      <c r="D300" s="66"/>
      <c r="E300" s="66"/>
      <c r="F300" s="66"/>
      <c r="G300" s="66"/>
      <c r="H300" s="66"/>
    </row>
    <row r="301" spans="1:8" x14ac:dyDescent="0.35">
      <c r="A301" s="88" t="s">
        <v>126</v>
      </c>
      <c r="B301" s="88"/>
      <c r="C301" s="88"/>
      <c r="D301" s="88"/>
      <c r="E301" s="88"/>
      <c r="F301" s="88"/>
      <c r="G301" s="88"/>
      <c r="H301" s="88"/>
    </row>
    <row r="302" spans="1:8" x14ac:dyDescent="0.35">
      <c r="A302" s="93" t="s">
        <v>77</v>
      </c>
      <c r="B302" s="93"/>
      <c r="C302" s="93" t="s">
        <v>247</v>
      </c>
      <c r="D302" s="93"/>
      <c r="E302" s="93" t="s">
        <v>106</v>
      </c>
      <c r="F302" s="93"/>
      <c r="G302" s="93" t="s">
        <v>246</v>
      </c>
      <c r="H302" s="93"/>
    </row>
    <row r="303" spans="1:8" x14ac:dyDescent="0.35">
      <c r="A303" s="92" t="s">
        <v>79</v>
      </c>
      <c r="B303" s="92"/>
      <c r="C303" s="92"/>
      <c r="D303" s="92"/>
      <c r="E303" s="92"/>
      <c r="F303" s="92"/>
      <c r="G303" s="92"/>
      <c r="H303" s="92"/>
    </row>
    <row r="304" spans="1:8" x14ac:dyDescent="0.35">
      <c r="A304" s="92"/>
      <c r="B304" s="92"/>
      <c r="C304" s="92"/>
      <c r="D304" s="92"/>
      <c r="E304" s="92"/>
      <c r="F304" s="92"/>
      <c r="G304" s="92"/>
      <c r="H304" s="92"/>
    </row>
    <row r="305" spans="1:8" x14ac:dyDescent="0.35">
      <c r="A305" s="92"/>
      <c r="B305" s="92"/>
      <c r="C305" s="92"/>
      <c r="D305" s="92"/>
      <c r="E305" s="92"/>
      <c r="F305" s="92"/>
      <c r="G305" s="92"/>
      <c r="H305" s="92"/>
    </row>
    <row r="306" spans="1:8" x14ac:dyDescent="0.35">
      <c r="A306" s="92"/>
      <c r="B306" s="92"/>
      <c r="C306" s="92"/>
      <c r="D306" s="92"/>
      <c r="E306" s="92"/>
      <c r="F306" s="92"/>
      <c r="G306" s="92"/>
      <c r="H306" s="92"/>
    </row>
    <row r="307" spans="1:8" x14ac:dyDescent="0.35">
      <c r="A307" s="33" t="s">
        <v>66</v>
      </c>
      <c r="B307" s="34"/>
      <c r="C307" s="34"/>
      <c r="D307" s="33" t="str">
        <f>E8</f>
        <v>Tanishq</v>
      </c>
      <c r="F307" s="34"/>
      <c r="G307" s="34"/>
      <c r="H307" s="34"/>
    </row>
    <row r="308" spans="1:8" x14ac:dyDescent="0.35">
      <c r="A308" s="34"/>
      <c r="B308" s="34"/>
      <c r="C308" s="34"/>
      <c r="D308" s="34"/>
      <c r="E308" s="34"/>
      <c r="F308" s="34"/>
      <c r="G308" s="34"/>
      <c r="H308" s="34"/>
    </row>
    <row r="309" spans="1:8" x14ac:dyDescent="0.35">
      <c r="A309" s="34"/>
      <c r="B309" s="34"/>
      <c r="C309" s="34"/>
      <c r="D309" s="34"/>
      <c r="E309" s="34"/>
      <c r="F309" s="34"/>
      <c r="G309" s="34"/>
      <c r="H309" s="34"/>
    </row>
    <row r="310" spans="1:8" ht="15" customHeight="1" x14ac:dyDescent="0.35"/>
    <row r="350" spans="1:1" x14ac:dyDescent="0.35">
      <c r="A350" s="36" t="s">
        <v>165</v>
      </c>
    </row>
    <row r="384" spans="1:1" x14ac:dyDescent="0.35">
      <c r="A384" s="36" t="s">
        <v>67</v>
      </c>
    </row>
    <row r="422" hidden="1" x14ac:dyDescent="0.35"/>
    <row r="423" hidden="1" x14ac:dyDescent="0.35"/>
    <row r="424" hidden="1" x14ac:dyDescent="0.35"/>
    <row r="425" hidden="1" x14ac:dyDescent="0.35"/>
    <row r="426" hidden="1" x14ac:dyDescent="0.35"/>
    <row r="427" hidden="1" x14ac:dyDescent="0.35"/>
  </sheetData>
  <mergeCells count="584">
    <mergeCell ref="B294:H294"/>
    <mergeCell ref="I59:M59"/>
    <mergeCell ref="B292:H292"/>
    <mergeCell ref="L169:M169"/>
    <mergeCell ref="L175:M175"/>
    <mergeCell ref="A176:B176"/>
    <mergeCell ref="L176:M176"/>
    <mergeCell ref="A177:B177"/>
    <mergeCell ref="L177:M177"/>
    <mergeCell ref="A178:B178"/>
    <mergeCell ref="L178:M178"/>
    <mergeCell ref="B291:H291"/>
    <mergeCell ref="L170:M170"/>
    <mergeCell ref="A171:B171"/>
    <mergeCell ref="L171:M171"/>
    <mergeCell ref="A172:B172"/>
    <mergeCell ref="L172:M172"/>
    <mergeCell ref="A173:B173"/>
    <mergeCell ref="L173:M173"/>
    <mergeCell ref="A174:B174"/>
    <mergeCell ref="L174:M174"/>
    <mergeCell ref="L263:M263"/>
    <mergeCell ref="A265:B265"/>
    <mergeCell ref="C265:H265"/>
    <mergeCell ref="A255:B255"/>
    <mergeCell ref="L255:M255"/>
    <mergeCell ref="A251:B251"/>
    <mergeCell ref="L251:M251"/>
    <mergeCell ref="A252:H252"/>
    <mergeCell ref="A253:B253"/>
    <mergeCell ref="L253:M253"/>
    <mergeCell ref="A254:B254"/>
    <mergeCell ref="L254:M254"/>
    <mergeCell ref="L163:M163"/>
    <mergeCell ref="A164:B164"/>
    <mergeCell ref="L164:M164"/>
    <mergeCell ref="L165:M165"/>
    <mergeCell ref="A166:B166"/>
    <mergeCell ref="L166:M166"/>
    <mergeCell ref="A167:B167"/>
    <mergeCell ref="L167:M167"/>
    <mergeCell ref="A168:B168"/>
    <mergeCell ref="L168:M168"/>
    <mergeCell ref="L160:M160"/>
    <mergeCell ref="A161:B161"/>
    <mergeCell ref="L161:M161"/>
    <mergeCell ref="A162:B162"/>
    <mergeCell ref="L162:M162"/>
    <mergeCell ref="L158:M158"/>
    <mergeCell ref="G140:H158"/>
    <mergeCell ref="A159:H159"/>
    <mergeCell ref="A138:H138"/>
    <mergeCell ref="L154:M154"/>
    <mergeCell ref="A155:B155"/>
    <mergeCell ref="L155:M155"/>
    <mergeCell ref="A156:B156"/>
    <mergeCell ref="L156:M156"/>
    <mergeCell ref="A157:B157"/>
    <mergeCell ref="L157:M157"/>
    <mergeCell ref="L142:M142"/>
    <mergeCell ref="L143:M143"/>
    <mergeCell ref="L144:M144"/>
    <mergeCell ref="L145:M145"/>
    <mergeCell ref="B290:H290"/>
    <mergeCell ref="A270:H270"/>
    <mergeCell ref="L270:M270"/>
    <mergeCell ref="B288:H288"/>
    <mergeCell ref="B289:H289"/>
    <mergeCell ref="A182:H182"/>
    <mergeCell ref="A183:H183"/>
    <mergeCell ref="A184:H184"/>
    <mergeCell ref="C215:H215"/>
    <mergeCell ref="C233:H233"/>
    <mergeCell ref="C251:H251"/>
    <mergeCell ref="C255:H255"/>
    <mergeCell ref="C257:H257"/>
    <mergeCell ref="A259:B259"/>
    <mergeCell ref="L259:M259"/>
    <mergeCell ref="C259:H259"/>
    <mergeCell ref="A261:B261"/>
    <mergeCell ref="C261:H261"/>
    <mergeCell ref="L261:M261"/>
    <mergeCell ref="A268:B268"/>
    <mergeCell ref="A263:B263"/>
    <mergeCell ref="C263:H263"/>
    <mergeCell ref="L268:M268"/>
    <mergeCell ref="A267:B267"/>
    <mergeCell ref="C267:H267"/>
    <mergeCell ref="L267:M267"/>
    <mergeCell ref="A269:B269"/>
    <mergeCell ref="C269:H269"/>
    <mergeCell ref="L269:M269"/>
    <mergeCell ref="A264:H264"/>
    <mergeCell ref="A256:B256"/>
    <mergeCell ref="L256:M256"/>
    <mergeCell ref="A262:B262"/>
    <mergeCell ref="L262:M262"/>
    <mergeCell ref="A257:B257"/>
    <mergeCell ref="L257:M257"/>
    <mergeCell ref="A258:H258"/>
    <mergeCell ref="A260:B260"/>
    <mergeCell ref="L260:M260"/>
    <mergeCell ref="A266:B266"/>
    <mergeCell ref="L266:M266"/>
    <mergeCell ref="L265:M265"/>
    <mergeCell ref="A248:B248"/>
    <mergeCell ref="L248:M248"/>
    <mergeCell ref="A249:B249"/>
    <mergeCell ref="L249:M249"/>
    <mergeCell ref="A250:B250"/>
    <mergeCell ref="L250:M250"/>
    <mergeCell ref="A241:B241"/>
    <mergeCell ref="L241:M241"/>
    <mergeCell ref="A242:B242"/>
    <mergeCell ref="L242:M242"/>
    <mergeCell ref="A243:B243"/>
    <mergeCell ref="L243:M243"/>
    <mergeCell ref="A244:B244"/>
    <mergeCell ref="L244:M244"/>
    <mergeCell ref="A245:B245"/>
    <mergeCell ref="L245:M245"/>
    <mergeCell ref="A246:H246"/>
    <mergeCell ref="A247:B247"/>
    <mergeCell ref="L247:M247"/>
    <mergeCell ref="A236:B236"/>
    <mergeCell ref="L236:M236"/>
    <mergeCell ref="A237:B237"/>
    <mergeCell ref="L237:M237"/>
    <mergeCell ref="A238:B238"/>
    <mergeCell ref="L238:M238"/>
    <mergeCell ref="A239:B239"/>
    <mergeCell ref="L239:M239"/>
    <mergeCell ref="A240:H240"/>
    <mergeCell ref="A231:B231"/>
    <mergeCell ref="L231:M231"/>
    <mergeCell ref="A232:B232"/>
    <mergeCell ref="L232:M232"/>
    <mergeCell ref="A233:B233"/>
    <mergeCell ref="L233:M233"/>
    <mergeCell ref="A234:H234"/>
    <mergeCell ref="A235:B235"/>
    <mergeCell ref="L235:M235"/>
    <mergeCell ref="A226:B226"/>
    <mergeCell ref="L226:M226"/>
    <mergeCell ref="A227:B227"/>
    <mergeCell ref="L227:M227"/>
    <mergeCell ref="A228:H228"/>
    <mergeCell ref="A229:B229"/>
    <mergeCell ref="L229:M229"/>
    <mergeCell ref="A230:B230"/>
    <mergeCell ref="L230:M230"/>
    <mergeCell ref="A221:B221"/>
    <mergeCell ref="L221:M221"/>
    <mergeCell ref="A222:H222"/>
    <mergeCell ref="A223:B223"/>
    <mergeCell ref="L223:M223"/>
    <mergeCell ref="A224:B224"/>
    <mergeCell ref="L224:M224"/>
    <mergeCell ref="A225:B225"/>
    <mergeCell ref="L225:M225"/>
    <mergeCell ref="A216:H216"/>
    <mergeCell ref="A217:B217"/>
    <mergeCell ref="L217:M217"/>
    <mergeCell ref="A218:B218"/>
    <mergeCell ref="L218:M218"/>
    <mergeCell ref="A219:B219"/>
    <mergeCell ref="L219:M219"/>
    <mergeCell ref="A220:B220"/>
    <mergeCell ref="L220:M220"/>
    <mergeCell ref="L211:M211"/>
    <mergeCell ref="A212:B212"/>
    <mergeCell ref="L212:M212"/>
    <mergeCell ref="A213:B213"/>
    <mergeCell ref="L213:M213"/>
    <mergeCell ref="A214:B214"/>
    <mergeCell ref="L214:M214"/>
    <mergeCell ref="A215:B215"/>
    <mergeCell ref="L215:M215"/>
    <mergeCell ref="L197:M197"/>
    <mergeCell ref="A198:H198"/>
    <mergeCell ref="A199:B199"/>
    <mergeCell ref="L199:M199"/>
    <mergeCell ref="A200:B200"/>
    <mergeCell ref="L200:M200"/>
    <mergeCell ref="A201:B201"/>
    <mergeCell ref="L201:M201"/>
    <mergeCell ref="A202:B202"/>
    <mergeCell ref="L202:M202"/>
    <mergeCell ref="L191:M191"/>
    <mergeCell ref="A192:H192"/>
    <mergeCell ref="A193:B193"/>
    <mergeCell ref="L193:M193"/>
    <mergeCell ref="A194:B194"/>
    <mergeCell ref="L194:M194"/>
    <mergeCell ref="A195:B195"/>
    <mergeCell ref="L195:M195"/>
    <mergeCell ref="A196:B196"/>
    <mergeCell ref="L196:M196"/>
    <mergeCell ref="L189:M189"/>
    <mergeCell ref="A190:B190"/>
    <mergeCell ref="L190:M190"/>
    <mergeCell ref="A271:H271"/>
    <mergeCell ref="L271:M271"/>
    <mergeCell ref="A272:B272"/>
    <mergeCell ref="A273:B273"/>
    <mergeCell ref="A274:B274"/>
    <mergeCell ref="A275:B275"/>
    <mergeCell ref="A203:B203"/>
    <mergeCell ref="L203:M203"/>
    <mergeCell ref="A204:H204"/>
    <mergeCell ref="A205:B205"/>
    <mergeCell ref="L205:M205"/>
    <mergeCell ref="A206:B206"/>
    <mergeCell ref="L206:M206"/>
    <mergeCell ref="A207:B207"/>
    <mergeCell ref="L207:M207"/>
    <mergeCell ref="A208:B208"/>
    <mergeCell ref="L208:M208"/>
    <mergeCell ref="A209:B209"/>
    <mergeCell ref="L209:M209"/>
    <mergeCell ref="A210:H210"/>
    <mergeCell ref="A211:B211"/>
    <mergeCell ref="A175:B175"/>
    <mergeCell ref="A116:B116"/>
    <mergeCell ref="A140:B140"/>
    <mergeCell ref="G109:H137"/>
    <mergeCell ref="A154:B154"/>
    <mergeCell ref="A160:B160"/>
    <mergeCell ref="G160:H178"/>
    <mergeCell ref="A165:B165"/>
    <mergeCell ref="A120:B120"/>
    <mergeCell ref="A137:B137"/>
    <mergeCell ref="A132:B132"/>
    <mergeCell ref="A129:B129"/>
    <mergeCell ref="A130:B130"/>
    <mergeCell ref="A131:B131"/>
    <mergeCell ref="A134:B134"/>
    <mergeCell ref="A163:B163"/>
    <mergeCell ref="A169:B169"/>
    <mergeCell ref="A144:B144"/>
    <mergeCell ref="A145:B145"/>
    <mergeCell ref="A135:B135"/>
    <mergeCell ref="A136:B136"/>
    <mergeCell ref="A143:B143"/>
    <mergeCell ref="A180:A181"/>
    <mergeCell ref="B180:B181"/>
    <mergeCell ref="C180:C181"/>
    <mergeCell ref="D180:D181"/>
    <mergeCell ref="E180:E181"/>
    <mergeCell ref="F180:F181"/>
    <mergeCell ref="G180:G181"/>
    <mergeCell ref="B287:H287"/>
    <mergeCell ref="B285:H285"/>
    <mergeCell ref="B283:H283"/>
    <mergeCell ref="A277:H277"/>
    <mergeCell ref="B278:H278"/>
    <mergeCell ref="B279:H279"/>
    <mergeCell ref="A186:H186"/>
    <mergeCell ref="A187:B187"/>
    <mergeCell ref="B286:H286"/>
    <mergeCell ref="B284:H284"/>
    <mergeCell ref="B280:H280"/>
    <mergeCell ref="B281:H281"/>
    <mergeCell ref="B282:H282"/>
    <mergeCell ref="A276:B276"/>
    <mergeCell ref="A185:H185"/>
    <mergeCell ref="A191:B191"/>
    <mergeCell ref="A197:B197"/>
    <mergeCell ref="L187:M187"/>
    <mergeCell ref="A188:B188"/>
    <mergeCell ref="L188:M188"/>
    <mergeCell ref="A189:B189"/>
    <mergeCell ref="L140:M140"/>
    <mergeCell ref="A151:B151"/>
    <mergeCell ref="L151:M151"/>
    <mergeCell ref="A152:B152"/>
    <mergeCell ref="L152:M152"/>
    <mergeCell ref="A153:B153"/>
    <mergeCell ref="L153:M153"/>
    <mergeCell ref="A146:B146"/>
    <mergeCell ref="L146:M146"/>
    <mergeCell ref="A147:B147"/>
    <mergeCell ref="L147:M147"/>
    <mergeCell ref="A148:B148"/>
    <mergeCell ref="L148:M148"/>
    <mergeCell ref="A149:B149"/>
    <mergeCell ref="L149:M149"/>
    <mergeCell ref="A150:B150"/>
    <mergeCell ref="L150:M150"/>
    <mergeCell ref="A141:B141"/>
    <mergeCell ref="L141:M141"/>
    <mergeCell ref="A142:B142"/>
    <mergeCell ref="L127:M127"/>
    <mergeCell ref="A123:B123"/>
    <mergeCell ref="L123:M123"/>
    <mergeCell ref="A124:B124"/>
    <mergeCell ref="L124:M124"/>
    <mergeCell ref="A125:B125"/>
    <mergeCell ref="L125:M125"/>
    <mergeCell ref="A139:H139"/>
    <mergeCell ref="A128:B128"/>
    <mergeCell ref="A133:B133"/>
    <mergeCell ref="L137:M137"/>
    <mergeCell ref="L131:M131"/>
    <mergeCell ref="L132:M132"/>
    <mergeCell ref="L128:M128"/>
    <mergeCell ref="L129:M129"/>
    <mergeCell ref="L130:M130"/>
    <mergeCell ref="L133:M133"/>
    <mergeCell ref="L134:M134"/>
    <mergeCell ref="L135:M135"/>
    <mergeCell ref="L136:M136"/>
    <mergeCell ref="L120:M120"/>
    <mergeCell ref="A121:B121"/>
    <mergeCell ref="L121:M121"/>
    <mergeCell ref="A122:B122"/>
    <mergeCell ref="L122:M122"/>
    <mergeCell ref="A126:B126"/>
    <mergeCell ref="A119:B119"/>
    <mergeCell ref="L119:M119"/>
    <mergeCell ref="A113:B113"/>
    <mergeCell ref="L113:M113"/>
    <mergeCell ref="L118:M118"/>
    <mergeCell ref="L126:M126"/>
    <mergeCell ref="A114:B114"/>
    <mergeCell ref="A118:B118"/>
    <mergeCell ref="A82:E82"/>
    <mergeCell ref="L114:M114"/>
    <mergeCell ref="A115:B115"/>
    <mergeCell ref="L115:M115"/>
    <mergeCell ref="A107:H107"/>
    <mergeCell ref="A102:B102"/>
    <mergeCell ref="C102:D102"/>
    <mergeCell ref="E102:F102"/>
    <mergeCell ref="G102:H102"/>
    <mergeCell ref="A89:E89"/>
    <mergeCell ref="C47:H47"/>
    <mergeCell ref="F81:H81"/>
    <mergeCell ref="A81:E81"/>
    <mergeCell ref="A79:E79"/>
    <mergeCell ref="A105:A106"/>
    <mergeCell ref="F82:H82"/>
    <mergeCell ref="A62:C62"/>
    <mergeCell ref="L116:M116"/>
    <mergeCell ref="A117:B117"/>
    <mergeCell ref="L117:M117"/>
    <mergeCell ref="A110:B110"/>
    <mergeCell ref="A111:B111"/>
    <mergeCell ref="A85:E85"/>
    <mergeCell ref="F85:H85"/>
    <mergeCell ref="A86:E86"/>
    <mergeCell ref="A88:E88"/>
    <mergeCell ref="A87:E87"/>
    <mergeCell ref="A83:E83"/>
    <mergeCell ref="A109:B109"/>
    <mergeCell ref="D62:H62"/>
    <mergeCell ref="A63:C63"/>
    <mergeCell ref="D63:H63"/>
    <mergeCell ref="A69:B69"/>
    <mergeCell ref="G68:H68"/>
    <mergeCell ref="A38:B38"/>
    <mergeCell ref="C38:H38"/>
    <mergeCell ref="C101:D101"/>
    <mergeCell ref="G94:H94"/>
    <mergeCell ref="G96:H96"/>
    <mergeCell ref="C105:C106"/>
    <mergeCell ref="D59:H59"/>
    <mergeCell ref="A75:B75"/>
    <mergeCell ref="A68:B68"/>
    <mergeCell ref="A60:C60"/>
    <mergeCell ref="D60:H60"/>
    <mergeCell ref="C67:H67"/>
    <mergeCell ref="A70:B70"/>
    <mergeCell ref="A72:B72"/>
    <mergeCell ref="E68:F68"/>
    <mergeCell ref="A61:C61"/>
    <mergeCell ref="A47:B47"/>
    <mergeCell ref="F89:H89"/>
    <mergeCell ref="E94:F94"/>
    <mergeCell ref="A94:B94"/>
    <mergeCell ref="A96:B96"/>
    <mergeCell ref="A84:E84"/>
    <mergeCell ref="A101:B101"/>
    <mergeCell ref="E101:F101"/>
    <mergeCell ref="A179:H179"/>
    <mergeCell ref="A90:E90"/>
    <mergeCell ref="G101:H101"/>
    <mergeCell ref="C96:D96"/>
    <mergeCell ref="E96:F96"/>
    <mergeCell ref="A97:B97"/>
    <mergeCell ref="C97:D97"/>
    <mergeCell ref="E97:F97"/>
    <mergeCell ref="G97:H97"/>
    <mergeCell ref="C99:D99"/>
    <mergeCell ref="G99:H99"/>
    <mergeCell ref="C94:D94"/>
    <mergeCell ref="F90:H90"/>
    <mergeCell ref="A104:H104"/>
    <mergeCell ref="A112:B112"/>
    <mergeCell ref="C95:D95"/>
    <mergeCell ref="E95:F95"/>
    <mergeCell ref="B105:B106"/>
    <mergeCell ref="D105:D106"/>
    <mergeCell ref="A127:B127"/>
    <mergeCell ref="E99:F99"/>
    <mergeCell ref="A103:H103"/>
    <mergeCell ref="A158:B158"/>
    <mergeCell ref="A170:B170"/>
    <mergeCell ref="A37:B37"/>
    <mergeCell ref="C37:H37"/>
    <mergeCell ref="A44:D44"/>
    <mergeCell ref="L112:M112"/>
    <mergeCell ref="L111:M111"/>
    <mergeCell ref="L110:M110"/>
    <mergeCell ref="L109:M109"/>
    <mergeCell ref="A76:B76"/>
    <mergeCell ref="C100:D100"/>
    <mergeCell ref="E100:F100"/>
    <mergeCell ref="G100:H100"/>
    <mergeCell ref="F86:H86"/>
    <mergeCell ref="A80:E80"/>
    <mergeCell ref="A108:H108"/>
    <mergeCell ref="E105:E106"/>
    <mergeCell ref="G105:H106"/>
    <mergeCell ref="A59:C59"/>
    <mergeCell ref="E69:F78"/>
    <mergeCell ref="G69:H78"/>
    <mergeCell ref="A77:B77"/>
    <mergeCell ref="A78:B78"/>
    <mergeCell ref="D61:H61"/>
    <mergeCell ref="A64:C64"/>
    <mergeCell ref="D64:H64"/>
    <mergeCell ref="A36:H36"/>
    <mergeCell ref="A35:B35"/>
    <mergeCell ref="C35:E35"/>
    <mergeCell ref="A40:D40"/>
    <mergeCell ref="E40:H40"/>
    <mergeCell ref="F32:H32"/>
    <mergeCell ref="F33:H33"/>
    <mergeCell ref="A39:H39"/>
    <mergeCell ref="A58:C58"/>
    <mergeCell ref="D58:H58"/>
    <mergeCell ref="A42:D42"/>
    <mergeCell ref="E42:H42"/>
    <mergeCell ref="E43:H43"/>
    <mergeCell ref="E44:H44"/>
    <mergeCell ref="E45:H45"/>
    <mergeCell ref="A43:D43"/>
    <mergeCell ref="F35:H35"/>
    <mergeCell ref="A45:D45"/>
    <mergeCell ref="A46:H46"/>
    <mergeCell ref="D56:H56"/>
    <mergeCell ref="A56:C56"/>
    <mergeCell ref="G49:H49"/>
    <mergeCell ref="A50:B51"/>
    <mergeCell ref="G48:H48"/>
    <mergeCell ref="E25:H25"/>
    <mergeCell ref="A27:D27"/>
    <mergeCell ref="E27:H27"/>
    <mergeCell ref="A24:D24"/>
    <mergeCell ref="E24:H24"/>
    <mergeCell ref="A28:D28"/>
    <mergeCell ref="E28:H28"/>
    <mergeCell ref="A25:D25"/>
    <mergeCell ref="A34:B34"/>
    <mergeCell ref="C34:E34"/>
    <mergeCell ref="A29:D29"/>
    <mergeCell ref="E29:H29"/>
    <mergeCell ref="A30:D30"/>
    <mergeCell ref="E30:H30"/>
    <mergeCell ref="A26:D26"/>
    <mergeCell ref="E26:H26"/>
    <mergeCell ref="C31:E31"/>
    <mergeCell ref="F34:H34"/>
    <mergeCell ref="F31:H31"/>
    <mergeCell ref="A32:B32"/>
    <mergeCell ref="A31:B31"/>
    <mergeCell ref="C32:E32"/>
    <mergeCell ref="A33:B33"/>
    <mergeCell ref="C33:E33"/>
    <mergeCell ref="A23:D23"/>
    <mergeCell ref="E23:H23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A7:D7"/>
    <mergeCell ref="E7:H7"/>
    <mergeCell ref="A15:B15"/>
    <mergeCell ref="A12:D12"/>
    <mergeCell ref="E12:H12"/>
    <mergeCell ref="A13:D13"/>
    <mergeCell ref="A10:D10"/>
    <mergeCell ref="E10:H10"/>
    <mergeCell ref="A21:D22"/>
    <mergeCell ref="E21:H22"/>
    <mergeCell ref="E13:H13"/>
    <mergeCell ref="A14:B14"/>
    <mergeCell ref="C14:H14"/>
    <mergeCell ref="C15:H15"/>
    <mergeCell ref="A73:B73"/>
    <mergeCell ref="F79:H79"/>
    <mergeCell ref="F84:H84"/>
    <mergeCell ref="F87:H87"/>
    <mergeCell ref="F88:H88"/>
    <mergeCell ref="F83:H83"/>
    <mergeCell ref="A16:B16"/>
    <mergeCell ref="C16:H16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1:D11"/>
    <mergeCell ref="E11:H11"/>
    <mergeCell ref="A5:D5"/>
    <mergeCell ref="E5:H5"/>
    <mergeCell ref="A6:D6"/>
    <mergeCell ref="E6:H6"/>
    <mergeCell ref="G52:H52"/>
    <mergeCell ref="C51:H51"/>
    <mergeCell ref="A303:H306"/>
    <mergeCell ref="A302:B302"/>
    <mergeCell ref="E302:F302"/>
    <mergeCell ref="C302:D302"/>
    <mergeCell ref="G302:H302"/>
    <mergeCell ref="A93:H93"/>
    <mergeCell ref="A91:E91"/>
    <mergeCell ref="F91:H91"/>
    <mergeCell ref="A92:E92"/>
    <mergeCell ref="F92:H92"/>
    <mergeCell ref="A100:B100"/>
    <mergeCell ref="A95:B95"/>
    <mergeCell ref="A298:H298"/>
    <mergeCell ref="A98:H98"/>
    <mergeCell ref="A301:H301"/>
    <mergeCell ref="A299:H299"/>
    <mergeCell ref="A295:H295"/>
    <mergeCell ref="A296:H296"/>
    <mergeCell ref="A71:B71"/>
    <mergeCell ref="A67:B67"/>
    <mergeCell ref="A65:B65"/>
    <mergeCell ref="C65:H65"/>
    <mergeCell ref="B293:H293"/>
    <mergeCell ref="E41:H41"/>
    <mergeCell ref="A41:D41"/>
    <mergeCell ref="A300:H300"/>
    <mergeCell ref="A297:H297"/>
    <mergeCell ref="A99:B99"/>
    <mergeCell ref="A74:B74"/>
    <mergeCell ref="F80:H80"/>
    <mergeCell ref="G95:H95"/>
    <mergeCell ref="A48:B48"/>
    <mergeCell ref="C48:E48"/>
    <mergeCell ref="G50:H50"/>
    <mergeCell ref="D54:H54"/>
    <mergeCell ref="C50:E50"/>
    <mergeCell ref="A57:C57"/>
    <mergeCell ref="D57:H57"/>
    <mergeCell ref="C49:E49"/>
    <mergeCell ref="A52:B52"/>
    <mergeCell ref="C52:E52"/>
    <mergeCell ref="A49:B49"/>
    <mergeCell ref="A53:H53"/>
    <mergeCell ref="A54:C54"/>
    <mergeCell ref="A55:C55"/>
    <mergeCell ref="D55:H55"/>
  </mergeCells>
  <dataValidations disablePrompts="1" count="5">
    <dataValidation type="list" allowBlank="1" showInputMessage="1" showErrorMessage="1" sqref="D180:D181">
      <formula1>"Carpet area,RERA Carpet area"</formula1>
    </dataValidation>
    <dataValidation type="list" allowBlank="1" showInputMessage="1" showErrorMessage="1" sqref="H180">
      <formula1>"Saleable area Loading :,Builder Saleable Area"</formula1>
    </dataValidation>
    <dataValidation type="list" allowBlank="1" showInputMessage="1" showErrorMessage="1" sqref="H181">
      <formula1>".45,.50,.55,.60"</formula1>
    </dataValidation>
    <dataValidation type="list" allowBlank="1" showInputMessage="1" showErrorMessage="1" sqref="E180:E181">
      <formula1>"Fungible area,Balcony + Chajja + Encl Bal. + SA,Chajja Area,Cornice Area,AP Area,WS Area"</formula1>
    </dataValidation>
    <dataValidation type="list" allowBlank="1" showInputMessage="1" showErrorMessage="1" sqref="B180:B181">
      <formula1>"Flat No. (Sale Plan),Sale / Rehab,Sale / Mhada"</formula1>
    </dataValidation>
  </dataValidations>
  <hyperlinks>
    <hyperlink ref="C38" r:id="rId1"/>
    <hyperlink ref="I61" r:id="rId2" location="gallery"/>
  </hyperlinks>
  <printOptions horizontalCentered="1"/>
  <pageMargins left="0.39370078740157499" right="0.39370078740157499" top="0.82677165354330695" bottom="0.78740157480314998" header="0.15748031496063" footer="0.196850393700787"/>
  <pageSetup paperSize="2" fitToHeight="0" orientation="portrait" r:id="rId3"/>
  <headerFooter>
    <oddHeader>&amp;C&amp;G</oddHeader>
    <oddFooter>&amp;L&amp;"Times New Roman,Bold"&amp;12Ref No: &amp;F&amp;C&amp;G&amp;R&amp;"Times New Roman,Bold"&amp;12&amp;P</oddFooter>
  </headerFooter>
  <rowBreaks count="4" manualBreakCount="4">
    <brk id="64" max="16383" man="1"/>
    <brk id="306" max="16383" man="1"/>
    <brk id="349" max="16383" man="1"/>
    <brk id="383" max="16383" man="1"/>
  </rowBreaks>
  <drawing r:id="rId4"/>
  <legacyDrawing r:id="rId5"/>
  <legacyDrawingHF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85" zoomScaleNormal="85" workbookViewId="0">
      <selection activeCell="C20" sqref="C20"/>
    </sheetView>
  </sheetViews>
  <sheetFormatPr defaultColWidth="8.7265625" defaultRowHeight="14.5" x14ac:dyDescent="0.35"/>
  <cols>
    <col min="1" max="1" width="8.7265625" style="1"/>
    <col min="2" max="2" width="22.1796875" style="1" customWidth="1"/>
    <col min="3" max="3" width="37" style="1" customWidth="1"/>
    <col min="4" max="5" width="11.453125" style="1" customWidth="1"/>
    <col min="6" max="6" width="14" style="1" customWidth="1"/>
    <col min="7" max="7" width="20" style="1" customWidth="1"/>
    <col min="8" max="8" width="16.453125" style="1" customWidth="1"/>
    <col min="9" max="16384" width="8.7265625" style="1"/>
  </cols>
  <sheetData>
    <row r="1" spans="1:9" ht="15" customHeight="1" x14ac:dyDescent="0.35"/>
    <row r="2" spans="1:9" ht="15" customHeight="1" x14ac:dyDescent="0.3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5">
      <c r="A3" s="2"/>
      <c r="B3" s="157" t="s">
        <v>107</v>
      </c>
      <c r="C3" s="157"/>
      <c r="D3" s="157"/>
      <c r="E3" s="157"/>
      <c r="F3" s="157"/>
      <c r="G3" s="157"/>
      <c r="H3" s="157"/>
    </row>
    <row r="4" spans="1:9" x14ac:dyDescent="0.35">
      <c r="A4" s="2"/>
      <c r="B4" s="3" t="s">
        <v>108</v>
      </c>
      <c r="C4" s="3" t="s">
        <v>109</v>
      </c>
      <c r="D4" s="3" t="s">
        <v>69</v>
      </c>
      <c r="E4" s="3" t="s">
        <v>110</v>
      </c>
      <c r="F4" s="3" t="s">
        <v>116</v>
      </c>
      <c r="G4" s="3" t="s">
        <v>117</v>
      </c>
      <c r="H4" s="3" t="s">
        <v>111</v>
      </c>
    </row>
    <row r="5" spans="1:9" ht="15" customHeight="1" x14ac:dyDescent="0.35">
      <c r="A5" s="2"/>
      <c r="B5" s="5" t="s">
        <v>112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5">
      <c r="A6" s="2"/>
      <c r="B6" s="5" t="s">
        <v>112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5">
      <c r="A7" s="2"/>
      <c r="B7" s="5" t="s">
        <v>112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5">
      <c r="A8" s="2"/>
      <c r="B8" s="5" t="s">
        <v>112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5">
      <c r="A9" s="2"/>
      <c r="B9" s="5" t="s">
        <v>112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5">
      <c r="A10" s="2"/>
      <c r="B10" s="5" t="s">
        <v>113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5">
      <c r="A11" s="2"/>
      <c r="B11" s="5" t="s">
        <v>113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5">
      <c r="A12" s="2"/>
      <c r="B12" s="10" t="s">
        <v>114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5">
      <c r="B13" s="10" t="s">
        <v>115</v>
      </c>
      <c r="C13" s="5"/>
      <c r="D13" s="5"/>
      <c r="E13" s="5"/>
      <c r="F13" s="12"/>
      <c r="G13" s="10"/>
      <c r="H13" s="10"/>
      <c r="I13" s="4"/>
    </row>
    <row r="14" spans="1:9" ht="15" customHeight="1" x14ac:dyDescent="0.35"/>
    <row r="15" spans="1:9" ht="15" customHeight="1" x14ac:dyDescent="0.35"/>
    <row r="16" spans="1:9" ht="15" customHeight="1" x14ac:dyDescent="0.35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0" zoomScaleNormal="70" workbookViewId="0">
      <selection activeCell="E24" sqref="E24"/>
    </sheetView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Hp Elitebook 840 G6</cp:lastModifiedBy>
  <cp:lastPrinted>2025-07-29T07:26:52Z</cp:lastPrinted>
  <dcterms:created xsi:type="dcterms:W3CDTF">2019-07-16T09:29:46Z</dcterms:created>
  <dcterms:modified xsi:type="dcterms:W3CDTF">2025-09-19T07:22:17Z</dcterms:modified>
</cp:coreProperties>
</file>