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9-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0" i="1" l="1"/>
  <c r="K152" i="1"/>
  <c r="K153" i="1"/>
  <c r="K154" i="1"/>
  <c r="J37" i="1"/>
  <c r="E140" i="1"/>
  <c r="J140" i="1"/>
  <c r="I89" i="1" l="1"/>
  <c r="E159" i="1"/>
  <c r="D159" i="1"/>
  <c r="E158" i="1"/>
  <c r="D158" i="1"/>
  <c r="E157" i="1"/>
  <c r="D157" i="1"/>
  <c r="E156" i="1"/>
  <c r="D156" i="1"/>
  <c r="E155" i="1"/>
  <c r="D155" i="1"/>
  <c r="E151" i="1"/>
  <c r="D151" i="1"/>
  <c r="E150" i="1"/>
  <c r="D150" i="1"/>
  <c r="E149" i="1"/>
  <c r="D149" i="1"/>
  <c r="E148" i="1"/>
  <c r="D148" i="1"/>
  <c r="E147" i="1"/>
  <c r="D147" i="1"/>
  <c r="E146" i="1"/>
  <c r="D146" i="1"/>
  <c r="G143" i="1"/>
  <c r="G142" i="1"/>
  <c r="G141" i="1"/>
  <c r="G140" i="1"/>
  <c r="E143" i="1"/>
  <c r="D143" i="1"/>
  <c r="E142" i="1"/>
  <c r="D142" i="1"/>
  <c r="E141" i="1"/>
  <c r="D141" i="1"/>
  <c r="D140" i="1"/>
  <c r="D134" i="1"/>
  <c r="F134" i="1" s="1"/>
  <c r="H134" i="1" s="1"/>
  <c r="D133" i="1"/>
  <c r="F133" i="1" s="1"/>
  <c r="H133" i="1" s="1"/>
  <c r="D132" i="1"/>
  <c r="F132" i="1" s="1"/>
  <c r="H132" i="1" s="1"/>
  <c r="D131" i="1"/>
  <c r="F131" i="1" s="1"/>
  <c r="H131" i="1" s="1"/>
  <c r="D130" i="1"/>
  <c r="F130" i="1" s="1"/>
  <c r="H130" i="1" s="1"/>
  <c r="D129" i="1"/>
  <c r="F129" i="1" s="1"/>
  <c r="H129" i="1" s="1"/>
  <c r="D128" i="1"/>
  <c r="F128" i="1" s="1"/>
  <c r="H128" i="1" s="1"/>
  <c r="D127" i="1"/>
  <c r="F127" i="1" s="1"/>
  <c r="H127" i="1" s="1"/>
  <c r="D126" i="1"/>
  <c r="F126" i="1" s="1"/>
  <c r="H126" i="1" s="1"/>
  <c r="D125" i="1"/>
  <c r="F125" i="1" s="1"/>
  <c r="H125" i="1" s="1"/>
  <c r="D124" i="1"/>
  <c r="F124" i="1" s="1"/>
  <c r="H124" i="1" s="1"/>
  <c r="D123" i="1"/>
  <c r="F123" i="1" s="1"/>
  <c r="H123" i="1" s="1"/>
  <c r="D122" i="1"/>
  <c r="F122" i="1" s="1"/>
  <c r="H122" i="1" s="1"/>
  <c r="D121" i="1"/>
  <c r="F121" i="1" s="1"/>
  <c r="H121" i="1" s="1"/>
  <c r="D120" i="1"/>
  <c r="F120" i="1" s="1"/>
  <c r="H120" i="1" s="1"/>
  <c r="D119" i="1"/>
  <c r="F119" i="1" s="1"/>
  <c r="H119" i="1" s="1"/>
  <c r="D118" i="1"/>
  <c r="F118" i="1" s="1"/>
  <c r="H118" i="1" s="1"/>
  <c r="D117" i="1"/>
  <c r="D116" i="1"/>
  <c r="D115" i="1"/>
  <c r="D114" i="1"/>
  <c r="A155" i="1"/>
  <c r="A156" i="1" s="1"/>
  <c r="A157" i="1" s="1"/>
  <c r="A158" i="1" s="1"/>
  <c r="A159" i="1" s="1"/>
  <c r="I146" i="1"/>
  <c r="A147" i="1"/>
  <c r="A148" i="1" s="1"/>
  <c r="A149" i="1" s="1"/>
  <c r="A150" i="1" s="1"/>
  <c r="A151" i="1" s="1"/>
  <c r="I140" i="1"/>
  <c r="I115" i="1"/>
  <c r="A134" i="1"/>
  <c r="A130" i="1"/>
  <c r="A131" i="1" s="1"/>
  <c r="A132" i="1" s="1"/>
  <c r="A126" i="1"/>
  <c r="A127" i="1" s="1"/>
  <c r="A128" i="1" s="1"/>
  <c r="A119" i="1"/>
  <c r="A120" i="1" s="1"/>
  <c r="A121" i="1" s="1"/>
  <c r="A122" i="1" s="1"/>
  <c r="A123" i="1" s="1"/>
  <c r="A124" i="1" s="1"/>
  <c r="F143" i="1" l="1"/>
  <c r="H143" i="1" s="1"/>
  <c r="F151" i="1"/>
  <c r="H151" i="1" s="1"/>
  <c r="K151" i="1" s="1"/>
  <c r="F155" i="1"/>
  <c r="H155" i="1" s="1"/>
  <c r="F158" i="1"/>
  <c r="H158" i="1" s="1"/>
  <c r="F157" i="1"/>
  <c r="H157" i="1" s="1"/>
  <c r="K157" i="1" s="1"/>
  <c r="F159" i="1"/>
  <c r="H159" i="1" s="1"/>
  <c r="F156" i="1"/>
  <c r="H156" i="1" s="1"/>
  <c r="K156" i="1" s="1"/>
  <c r="E43" i="1"/>
  <c r="K158" i="1" l="1"/>
  <c r="I158" i="1"/>
  <c r="I155" i="1"/>
  <c r="K155" i="1"/>
  <c r="K159" i="1"/>
  <c r="I159" i="1"/>
  <c r="F114" i="1"/>
  <c r="H114"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8" i="1"/>
  <c r="B164" i="1"/>
  <c r="B163" i="1"/>
  <c r="F150" i="1"/>
  <c r="H150" i="1" s="1"/>
  <c r="F149" i="1"/>
  <c r="H149" i="1" s="1"/>
  <c r="K149" i="1" s="1"/>
  <c r="F148" i="1"/>
  <c r="H148" i="1" s="1"/>
  <c r="K148" i="1" s="1"/>
  <c r="F147" i="1"/>
  <c r="H147" i="1" s="1"/>
  <c r="K147" i="1" s="1"/>
  <c r="F146" i="1"/>
  <c r="H146" i="1" s="1"/>
  <c r="F142" i="1"/>
  <c r="H142" i="1" s="1"/>
  <c r="F141" i="1"/>
  <c r="H141" i="1" s="1"/>
  <c r="F140" i="1"/>
  <c r="A140" i="1"/>
  <c r="A141" i="1" s="1"/>
  <c r="A142" i="1" s="1"/>
  <c r="A143" i="1" s="1"/>
  <c r="A144" i="1" s="1"/>
  <c r="F117" i="1"/>
  <c r="H117" i="1" s="1"/>
  <c r="F116" i="1"/>
  <c r="H116" i="1" s="1"/>
  <c r="F115" i="1"/>
  <c r="H115" i="1" s="1"/>
  <c r="A115" i="1"/>
  <c r="A116" i="1" s="1"/>
  <c r="A117" i="1" s="1"/>
  <c r="F99" i="1"/>
  <c r="C73" i="1"/>
  <c r="B74" i="1" s="1"/>
  <c r="J81" i="1" s="1"/>
  <c r="D67" i="1"/>
  <c r="D62" i="1"/>
  <c r="G56" i="1"/>
  <c r="C56" i="1"/>
  <c r="C54" i="1"/>
  <c r="G51" i="1"/>
  <c r="G52" i="1" s="1"/>
  <c r="K54" i="1" s="1"/>
  <c r="C51" i="1"/>
  <c r="C52" i="1" s="1"/>
  <c r="E44" i="1"/>
  <c r="E45" i="1" s="1"/>
  <c r="S33" i="1"/>
  <c r="E31" i="1"/>
  <c r="E28" i="1"/>
  <c r="E26" i="1"/>
  <c r="C16" i="1"/>
  <c r="I15" i="1"/>
  <c r="Z13" i="1"/>
  <c r="E8" i="1"/>
  <c r="E3" i="1"/>
  <c r="H74" i="1"/>
  <c r="E42" i="7" l="1"/>
  <c r="K146" i="1"/>
  <c r="J146" i="1"/>
  <c r="K150" i="1"/>
  <c r="J150" i="1"/>
  <c r="C106" i="1"/>
  <c r="C107" i="1" s="1"/>
  <c r="E106" i="1"/>
  <c r="E107" i="1" s="1"/>
  <c r="I42" i="7"/>
  <c r="H42" i="7" s="1"/>
  <c r="C102" i="1"/>
  <c r="C103" i="1" s="1"/>
  <c r="B174" i="1"/>
  <c r="L42" i="7"/>
  <c r="K42" i="7" s="1"/>
  <c r="H140" i="1"/>
  <c r="G106" i="1" s="1"/>
  <c r="G107" i="1" s="1"/>
  <c r="G102" i="1"/>
  <c r="G103" i="1" s="1"/>
  <c r="E102" i="1"/>
  <c r="E103" i="1" s="1"/>
  <c r="J82" i="1"/>
  <c r="D82" i="1"/>
  <c r="J76" i="1"/>
  <c r="D81" i="1"/>
  <c r="D86" i="1"/>
  <c r="D80" i="1"/>
  <c r="D85" i="1"/>
  <c r="D79" i="1"/>
  <c r="J78" i="1"/>
  <c r="C77" i="1" s="1"/>
  <c r="D84" i="1"/>
  <c r="D83" i="1"/>
  <c r="J77" i="1"/>
  <c r="J73" i="1"/>
  <c r="J75" i="1" s="1"/>
  <c r="E44" i="7"/>
  <c r="D42" i="7"/>
  <c r="L54" i="1"/>
  <c r="J83" i="1"/>
  <c r="J84" i="1"/>
  <c r="I52" i="1"/>
  <c r="J79" i="1"/>
  <c r="J80" i="1" s="1"/>
  <c r="J85" i="1" s="1"/>
  <c r="J86" i="1" s="1"/>
  <c r="C78" i="1" s="1"/>
  <c r="C108" i="1" l="1"/>
  <c r="D44" i="7"/>
  <c r="G108" i="1"/>
  <c r="E108" i="1"/>
  <c r="E77" i="1"/>
  <c r="D78" i="1"/>
  <c r="G77" i="1"/>
  <c r="D71" i="1" s="1"/>
  <c r="D77" i="1"/>
  <c r="I74" i="1" l="1"/>
  <c r="I75" i="1" s="1"/>
  <c r="J74" i="1"/>
  <c r="D72" i="1"/>
  <c r="F72" i="1"/>
  <c r="I73" i="1" l="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<sst xmlns="http://schemas.openxmlformats.org/spreadsheetml/2006/main" count="643" uniqueCount="407">
  <si>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</si>
  <si>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</si>
  <si>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</si>
  <si>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</si>
  <si>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</si>
  <si>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</si>
  <si>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</si>
  <si>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</si>
  <si>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</si>
  <si>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</si>
  <si>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</si>
  <si>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</si>
  <si>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</si>
  <si>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</si>
  <si>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</si>
  <si>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</si>
  <si>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</si>
  <si>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</si>
  <si>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</si>
  <si>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</si>
  <si>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</si>
  <si>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</si>
  <si>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</si>
  <si>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</si>
  <si>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</si>
  <si>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</si>
  <si>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</si>
  <si>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</si>
  <si>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</si>
  <si>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</si>
  <si>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</si>
  <si>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</si>
  <si>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</si>
  <si>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</si>
  <si>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</si>
  <si>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</si>
  <si>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</si>
  <si>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</si>
  <si>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</si>
  <si>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</si>
  <si>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</si>
  <si>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</si>
  <si>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</si>
  <si>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</si>
  <si>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</si>
  <si>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</si>
  <si>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</si>
  <si>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</si>
  <si>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</si>
  <si>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</si>
  <si>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</si>
  <si>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</si>
  <si>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</si>
  <si>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</si>
  <si>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</si>
  <si>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</si>
  <si>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</si>
  <si>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</si>
  <si>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</si>
  <si>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</si>
  <si>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</si>
  <si>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</si>
  <si>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</si>
  <si>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</si>
  <si>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</si>
  <si>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</si>
  <si>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</si>
  <si>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</si>
  <si>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</si>
  <si>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</si>
  <si>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</si>
  <si>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</si>
  <si>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</si>
  <si>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</si>
  <si>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</si>
  <si>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</si>
  <si>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</si>
  <si>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</si>
  <si>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</si>
  <si>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</si>
  <si>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</si>
  <si>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</si>
  <si>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</si>
  <si>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</si>
  <si>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</si>
  <si>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</si>
  <si>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</si>
  <si>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</si>
  <si>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</si>
  <si>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</si>
  <si>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</si>
  <si>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</si>
  <si>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</si>
  <si>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</si>
  <si>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</si>
  <si>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</si>
  <si>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</si>
  <si>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</si>
  <si>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</si>
  <si>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</si>
  <si>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</si>
  <si>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</si>
  <si>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</si>
  <si>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</si>
  <si>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</si>
  <si>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</si>
  <si>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</si>
  <si>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</si>
  <si>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</si>
  <si>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</si>
  <si>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</si>
  <si>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</si>
  <si>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</si>
  <si>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</si>
  <si>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</si>
  <si>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</si>
  <si>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</si>
  <si>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</si>
  <si>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</si>
  <si>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</si>
  <si>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</si>
  <si>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</si>
  <si>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</si>
  <si>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</si>
  <si>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</si>
  <si>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</si>
  <si>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</si>
  <si>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</si>
  <si>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</si>
  <si>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</si>
  <si>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</si>
  <si>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</si>
  <si>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</si>
  <si>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</si>
  <si>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</si>
  <si>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</si>
  <si>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</si>
  <si>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</si>
  <si>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</si>
  <si>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</si>
  <si>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</si>
  <si>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</si>
  <si>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</si>
  <si>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</si>
  <si>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</si>
  <si>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</si>
  <si>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</si>
  <si>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</si>
  <si>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</si>
  <si>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</si>
  <si>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</si>
  <si>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</si>
  <si>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</si>
  <si>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</si>
  <si>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</si>
  <si>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</si>
  <si>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</si>
  <si>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</si>
  <si>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</si>
  <si>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</si>
  <si>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</si>
  <si>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</si>
  <si>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</si>
  <si>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</si>
  <si>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</si>
  <si>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</si>
  <si>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</si>
  <si>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</si>
  <si>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</si>
  <si>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</si>
  <si>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</si>
  <si>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</si>
  <si>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</si>
  <si>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</si>
  <si>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</si>
  <si>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</si>
  <si>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</si>
  <si>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</si>
  <si>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</si>
  <si>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</si>
  <si>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</si>
  <si>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</si>
  <si>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</si>
  <si>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</si>
  <si>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</si>
  <si>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</si>
  <si>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</si>
  <si>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</si>
  <si>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</si>
  <si>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</si>
  <si>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</si>
  <si>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</si>
  <si>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</si>
  <si>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</si>
  <si>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</si>
  <si>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</si>
  <si>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</si>
  <si>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</si>
  <si>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</si>
  <si>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</si>
  <si>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</si>
  <si>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</si>
  <si>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</si>
  <si>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</si>
  <si>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</si>
  <si>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</si>
  <si>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</si>
  <si>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</si>
  <si>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</si>
  <si>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</si>
  <si>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</si>
  <si>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</si>
  <si>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</si>
  <si>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</si>
  <si>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</si>
  <si>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</si>
  <si>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</si>
  <si>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</si>
  <si>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</si>
  <si>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</si>
  <si>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</si>
  <si>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</si>
  <si>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</si>
  <si>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</si>
  <si>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</si>
  <si>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</si>
  <si>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</si>
  <si>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</si>
  <si>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</si>
  <si>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</si>
  <si>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</si>
  <si>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</si>
  <si>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</si>
  <si>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</si>
  <si>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</si>
  <si>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</si>
  <si>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</si>
  <si>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</si>
  <si>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</si>
  <si>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</si>
  <si>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</si>
  <si>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</si>
  <si>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</si>
  <si>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</si>
  <si>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</si>
  <si>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</si>
  <si>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</si>
  <si>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</si>
  <si>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</si>
  <si>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</si>
  <si>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</si>
  <si>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</si>
  <si>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</si>
  <si>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</si>
  <si>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</si>
  <si>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</si>
  <si>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</si>
  <si>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</si>
  <si>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</si>
  <si>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</si>
  <si>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</si>
  <si>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</si>
  <si>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</si>
  <si>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</si>
  <si>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</si>
  <si>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</si>
  <si>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</si>
  <si>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</si>
  <si>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</si>
  <si>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</si>
  <si>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</si>
  <si>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</si>
  <si>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</si>
  <si>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</si>
  <si>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</si>
  <si>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</si>
  <si>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</si>
  <si>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</si>
  <si>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</si>
  <si>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</si>
  <si>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</si>
  <si>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</si>
  <si>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</si>
  <si>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</si>
  <si>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</si>
  <si>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</si>
  <si>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</si>
  <si>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</si>
  <si>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</si>
  <si>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</si>
  <si>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</si>
  <si>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</si>
  <si>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</si>
  <si>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</si>
  <si>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</si>
  <si>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</si>
  <si>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</si>
  <si>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</si>
  <si>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</si>
  <si>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</si>
  <si>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</si>
  <si>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</si>
  <si>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</si>
  <si>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</si>
  <si>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</si>
  <si>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</si>
  <si>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</si>
  <si>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</si>
  <si>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</si>
  <si>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</si>
  <si>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</si>
  <si>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</si>
  <si>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</si>
  <si>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</si>
  <si>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</si>
  <si>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</si>
  <si>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</si>
  <si>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</si>
  <si>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</si>
  <si>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</si>
  <si>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</si>
  <si>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</si>
  <si>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</si>
  <si>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</si>
  <si>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</si>
  <si>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</si>
  <si>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</si>
  <si>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</si>
  <si>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</si>
  <si>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</si>
  <si>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</si>
  <si>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</si>
  <si>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</si>
  <si>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</si>
  <si>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</si>
  <si>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</si>
  <si>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</si>
  <si>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</si>
  <si>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</si>
  <si>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</si>
  <si>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</si>
  <si>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</si>
  <si>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</si>
  <si>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</si>
  <si>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</si>
  <si>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</si>
  <si>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</si>
  <si>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</si>
  <si>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</si>
  <si>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</si>
  <si>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</si>
  <si>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</si>
  <si>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</si>
  <si>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</si>
  <si>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Tharwani Realtors</t>
  </si>
  <si>
    <t>Tharwani Palladian</t>
  </si>
  <si>
    <t>02512990700/ 02542990600</t>
  </si>
  <si>
    <t>Mr.Gaurav Datta 7977072166</t>
  </si>
  <si>
    <t>P52000052621</t>
  </si>
  <si>
    <t>Plot No</t>
  </si>
  <si>
    <t>57, Sector-34A</t>
  </si>
  <si>
    <t>Kharghar</t>
  </si>
  <si>
    <t>https://maps.app.goo.gl/gyYAj7mQMzFyQzEm6</t>
  </si>
  <si>
    <t>19.069056,73.084306</t>
  </si>
  <si>
    <t>Balaji Skyline</t>
  </si>
  <si>
    <t>Internal Road</t>
  </si>
  <si>
    <t>6.1 KM from Kharghar Railway Station</t>
  </si>
  <si>
    <t>Kharghar East</t>
  </si>
  <si>
    <t>Nisarg Aura</t>
  </si>
  <si>
    <t>45.00 M. Wide Road</t>
  </si>
  <si>
    <t>15.00 M. Wide Road</t>
  </si>
  <si>
    <t>Other Plot</t>
  </si>
  <si>
    <t>CIDCO/BP-18445/TPO(NM &amp; K)/2023/12162</t>
  </si>
  <si>
    <t>Gr + 1st to 27th Floor</t>
  </si>
  <si>
    <t xml:space="preserve">Gr + 1st to 27th Floor
Residential Unit - 142 &amp; Commercial Unit - 21
</t>
  </si>
  <si>
    <t>As per RERA - 30/09/2026</t>
  </si>
  <si>
    <t>https://tharwanirealty.com/ongoing-residential/tharwani-palladian</t>
  </si>
  <si>
    <r>
      <t xml:space="preserve">Proposed Amenities :                                                                                                                                                                                                                         </t>
    </r>
    <r>
      <rPr>
        <b/>
        <sz val="12"/>
        <rFont val="Times New Roman"/>
        <family val="1"/>
      </rPr>
      <t xml:space="preserve">                                               </t>
    </r>
  </si>
  <si>
    <t>Sky Yoga &amp; Medition Zone, Sky Garden &amp; Pathway, Jogging Track, Gym, Indoor Game, Lawn, Kids Play Are, CCTV in entrance Lobby, Power backup for common areas, Fire Fighting system, Gazebo, Roof Infinity Swimming Pool, Parking etc</t>
  </si>
  <si>
    <t>Ground Floor For Commercial, Meter Room, D.G Set Room &amp; Parking</t>
  </si>
  <si>
    <t>Shop</t>
  </si>
  <si>
    <r>
      <t xml:space="preserve">Flat No.
</t>
    </r>
    <r>
      <rPr>
        <b/>
        <sz val="11"/>
        <rFont val="Times New Roman"/>
        <family val="1"/>
      </rPr>
      <t>(Approved Plan)</t>
    </r>
  </si>
  <si>
    <t>Fitness Center/Sosiety Office</t>
  </si>
  <si>
    <t>-</t>
  </si>
  <si>
    <t xml:space="preserve">Driver's Room </t>
  </si>
  <si>
    <t>2BHK</t>
  </si>
  <si>
    <t>3BHK</t>
  </si>
  <si>
    <t>Balcony Area</t>
  </si>
  <si>
    <t>7th, 10th, 13th, 17th, 20th, 23rd Floor For Part Refuge Area</t>
  </si>
  <si>
    <t>Refuge Area</t>
  </si>
  <si>
    <t>14th Recreational Floor</t>
  </si>
  <si>
    <t>We considered Gross carpet area = Net carpet + Balcony Area</t>
  </si>
  <si>
    <t>Flats - 142, Shops - 21</t>
  </si>
  <si>
    <t>Gr + 1st to 26th + 27th (Terrace) Floor</t>
  </si>
  <si>
    <t>2nd to 6th, 8th, 9th, 11th, 12th, 15th, 16th, 18th, 19th, 21st, 22nd, 24th, 25th, 26th Floor For Residential</t>
  </si>
  <si>
    <t>1st Floor For Residential, Podium Garden 
(Part Driver's Room &amp; Fitness Center/Society Office Area)</t>
  </si>
  <si>
    <t>27th Open to sky Terrace Floor For Amenities</t>
  </si>
  <si>
    <t>Builder Profile, Airport Noc</t>
  </si>
  <si>
    <t>We have referred the approved plan &amp; CC from the Cidco site on 06/12/2024.</t>
  </si>
  <si>
    <t>Please check for Fire NOC.</t>
  </si>
  <si>
    <t>NAVI/WEST/B/012823/739161</t>
  </si>
  <si>
    <t>Site Elevation = 6.71M(AMSL)
Permissible Top Elevation = 155.67M</t>
  </si>
  <si>
    <t>fire noc remark removed by bank official smit date 20/12/2024</t>
  </si>
  <si>
    <t>Sunil Peravi</t>
  </si>
  <si>
    <t>Construction work is in process at the time of Visit. Internal visit was not allowed.</t>
  </si>
  <si>
    <t>Mr. Sharma : 8855800148</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</si>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</sst>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27" fillId="0" borderId="0" xfId="10"/>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3" fillId="0" borderId="16"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0" fillId="0" borderId="3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center"/>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3"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1" fontId="6" fillId="0" borderId="21" xfId="1"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 fontId="10" fillId="0" borderId="1" xfId="1"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9</xdr:col>
      <xdr:colOff>152400</xdr:colOff>
      <xdr:row>11</xdr:row>
      <xdr:rowOff>171450</xdr:rowOff>
    </xdr:from>
    <xdr:to>
      <xdr:col>19</xdr:col>
      <xdr:colOff>544040</xdr:colOff>
      <xdr:row>19</xdr:row>
      <xdr:rowOff>26737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629525" y="2752725"/>
          <a:ext cx="7992590" cy="1665037"/>
        </a:xfrm>
        <a:prstGeom prst="rect">
          <a:avLst/>
        </a:prstGeom>
      </xdr:spPr>
    </xdr:pic>
    <xdr:clientData/>
  </xdr:twoCellAnchor>
  <xdr:twoCellAnchor>
    <xdr:from>
      <xdr:col>1</xdr:col>
      <xdr:colOff>517567</xdr:colOff>
      <xdr:row>231</xdr:row>
      <xdr:rowOff>155866</xdr:rowOff>
    </xdr:from>
    <xdr:to>
      <xdr:col>6</xdr:col>
      <xdr:colOff>155864</xdr:colOff>
      <xdr:row>245</xdr:row>
      <xdr:rowOff>79553</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rot="5400000">
          <a:off x="1940147" y="46320186"/>
          <a:ext cx="2679587" cy="3924547"/>
          <a:chOff x="9203411" y="59675407"/>
          <a:chExt cx="3380935" cy="4369625"/>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rot="5400000">
            <a:off x="8709066" y="60169752"/>
            <a:ext cx="4369625" cy="3380935"/>
          </a:xfrm>
          <a:prstGeom prst="rect">
            <a:avLst/>
          </a:prstGeom>
          <a:ln>
            <a:solidFill>
              <a:sysClr val="windowText" lastClr="000000"/>
            </a:solidFill>
          </a:ln>
        </xdr:spPr>
      </xdr:pic>
      <xdr:grpSp>
        <xdr:nvGrpSpPr>
          <xdr:cNvPr id="5" name="Group 4">
            <a:extLst>
              <a:ext uri="{FF2B5EF4-FFF2-40B4-BE49-F238E27FC236}">
                <a16:creationId xmlns:a16="http://schemas.microsoft.com/office/drawing/2014/main" id="{00000000-0008-0000-0000-000005000000}"/>
              </a:ext>
            </a:extLst>
          </xdr:cNvPr>
          <xdr:cNvGrpSpPr/>
        </xdr:nvGrpSpPr>
        <xdr:grpSpPr>
          <a:xfrm>
            <a:off x="9369137" y="59799682"/>
            <a:ext cx="474784" cy="971636"/>
            <a:chOff x="808896" y="1402289"/>
            <a:chExt cx="474784" cy="971636"/>
          </a:xfrm>
        </xdr:grpSpPr>
        <xdr:sp macro="" textlink="">
          <xdr:nvSpPr>
            <xdr:cNvPr id="6" name="Right Arrow 5">
              <a:extLst>
                <a:ext uri="{FF2B5EF4-FFF2-40B4-BE49-F238E27FC236}">
                  <a16:creationId xmlns:a16="http://schemas.microsoft.com/office/drawing/2014/main" id="{00000000-0008-0000-0000-000006000000}"/>
                </a:ext>
              </a:extLst>
            </xdr:cNvPr>
            <xdr:cNvSpPr/>
          </xdr:nvSpPr>
          <xdr:spPr>
            <a:xfrm rot="16200000">
              <a:off x="852857" y="2031024"/>
              <a:ext cx="386861" cy="29894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7" name="TextBox 7">
              <a:extLst>
                <a:ext uri="{FF2B5EF4-FFF2-40B4-BE49-F238E27FC236}">
                  <a16:creationId xmlns:a16="http://schemas.microsoft.com/office/drawing/2014/main" id="{00000000-0008-0000-0000-000007000000}"/>
                </a:ext>
              </a:extLst>
            </xdr:cNvPr>
            <xdr:cNvSpPr txBox="1"/>
          </xdr:nvSpPr>
          <xdr:spPr>
            <a:xfrm>
              <a:off x="808896" y="1402289"/>
              <a:ext cx="47478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clientData/>
  </xdr:twoCellAnchor>
  <xdr:twoCellAnchor>
    <xdr:from>
      <xdr:col>0</xdr:col>
      <xdr:colOff>296949</xdr:colOff>
      <xdr:row>246</xdr:row>
      <xdr:rowOff>69278</xdr:rowOff>
    </xdr:from>
    <xdr:to>
      <xdr:col>7</xdr:col>
      <xdr:colOff>415635</xdr:colOff>
      <xdr:row>267</xdr:row>
      <xdr:rowOff>44337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rot="5400000">
          <a:off x="1229187" y="48876590"/>
          <a:ext cx="4108909" cy="5973386"/>
          <a:chOff x="1437409" y="63881692"/>
          <a:chExt cx="3238500" cy="4203237"/>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rot="5400000">
            <a:off x="966740" y="64375761"/>
            <a:ext cx="4203237" cy="3215100"/>
          </a:xfrm>
          <a:prstGeom prst="rect">
            <a:avLst/>
          </a:prstGeom>
          <a:ln>
            <a:solidFill>
              <a:sysClr val="windowText" lastClr="000000"/>
            </a:solidFill>
          </a:ln>
        </xdr:spPr>
      </xdr:pic>
      <xdr:grpSp>
        <xdr:nvGrpSpPr>
          <xdr:cNvPr id="9" name="Group 8">
            <a:extLst>
              <a:ext uri="{FF2B5EF4-FFF2-40B4-BE49-F238E27FC236}">
                <a16:creationId xmlns:a16="http://schemas.microsoft.com/office/drawing/2014/main" id="{00000000-0008-0000-0000-000009000000}"/>
              </a:ext>
            </a:extLst>
          </xdr:cNvPr>
          <xdr:cNvGrpSpPr/>
        </xdr:nvGrpSpPr>
        <xdr:grpSpPr>
          <a:xfrm>
            <a:off x="1437409" y="66865500"/>
            <a:ext cx="474784" cy="971636"/>
            <a:chOff x="808896" y="1402289"/>
            <a:chExt cx="474784" cy="971636"/>
          </a:xfrm>
        </xdr:grpSpPr>
        <xdr:sp macro="" textlink="">
          <xdr:nvSpPr>
            <xdr:cNvPr id="10" name="Right Arrow 9">
              <a:extLst>
                <a:ext uri="{FF2B5EF4-FFF2-40B4-BE49-F238E27FC236}">
                  <a16:creationId xmlns:a16="http://schemas.microsoft.com/office/drawing/2014/main" id="{00000000-0008-0000-0000-00000A000000}"/>
                </a:ext>
              </a:extLst>
            </xdr:cNvPr>
            <xdr:cNvSpPr/>
          </xdr:nvSpPr>
          <xdr:spPr>
            <a:xfrm rot="16200000">
              <a:off x="852857" y="2031024"/>
              <a:ext cx="386861" cy="29894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11" name="TextBox 7">
              <a:extLst>
                <a:ext uri="{FF2B5EF4-FFF2-40B4-BE49-F238E27FC236}">
                  <a16:creationId xmlns:a16="http://schemas.microsoft.com/office/drawing/2014/main" id="{00000000-0008-0000-0000-00000B000000}"/>
                </a:ext>
              </a:extLst>
            </xdr:cNvPr>
            <xdr:cNvSpPr txBox="1"/>
          </xdr:nvSpPr>
          <xdr:spPr>
            <a:xfrm>
              <a:off x="808896" y="1402289"/>
              <a:ext cx="47478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clientData/>
  </xdr:twoCellAnchor>
  <xdr:twoCellAnchor editAs="oneCell">
    <xdr:from>
      <xdr:col>11</xdr:col>
      <xdr:colOff>58831</xdr:colOff>
      <xdr:row>248</xdr:row>
      <xdr:rowOff>174299</xdr:rowOff>
    </xdr:from>
    <xdr:to>
      <xdr:col>16</xdr:col>
      <xdr:colOff>147358</xdr:colOff>
      <xdr:row>265</xdr:row>
      <xdr:rowOff>126065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9050431" y="67601774"/>
          <a:ext cx="4231902" cy="3352192"/>
        </a:xfrm>
        <a:prstGeom prst="rect">
          <a:avLst/>
        </a:prstGeom>
        <a:ln>
          <a:solidFill>
            <a:sysClr val="windowText" lastClr="000000"/>
          </a:solidFill>
        </a:ln>
      </xdr:spPr>
    </xdr:pic>
    <xdr:clientData/>
  </xdr:twoCellAnchor>
  <xdr:twoCellAnchor>
    <xdr:from>
      <xdr:col>0</xdr:col>
      <xdr:colOff>284775</xdr:colOff>
      <xdr:row>290</xdr:row>
      <xdr:rowOff>26229</xdr:rowOff>
    </xdr:from>
    <xdr:to>
      <xdr:col>7</xdr:col>
      <xdr:colOff>457200</xdr:colOff>
      <xdr:row>312</xdr:row>
      <xdr:rowOff>117198</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284775" y="58427179"/>
          <a:ext cx="6027125" cy="4421669"/>
          <a:chOff x="285189" y="71278760"/>
          <a:chExt cx="5614148" cy="4384478"/>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r="9494" b="3454"/>
          <a:stretch/>
        </xdr:blipFill>
        <xdr:spPr>
          <a:xfrm>
            <a:off x="285189" y="71278760"/>
            <a:ext cx="5614148" cy="4384478"/>
          </a:xfrm>
          <a:prstGeom prst="rect">
            <a:avLst/>
          </a:prstGeom>
          <a:ln>
            <a:solidFill>
              <a:sysClr val="windowText" lastClr="000000"/>
            </a:solidFill>
          </a:ln>
        </xdr:spPr>
      </xdr:pic>
      <xdr:sp macro="" textlink="">
        <xdr:nvSpPr>
          <xdr:cNvPr id="15" name="Freeform 14">
            <a:extLst>
              <a:ext uri="{FF2B5EF4-FFF2-40B4-BE49-F238E27FC236}">
                <a16:creationId xmlns:a16="http://schemas.microsoft.com/office/drawing/2014/main" id="{00000000-0008-0000-0000-00000F000000}"/>
              </a:ext>
            </a:extLst>
          </xdr:cNvPr>
          <xdr:cNvSpPr/>
        </xdr:nvSpPr>
        <xdr:spPr>
          <a:xfrm>
            <a:off x="2590240" y="72640451"/>
            <a:ext cx="1157007" cy="1430992"/>
          </a:xfrm>
          <a:custGeom>
            <a:avLst/>
            <a:gdLst>
              <a:gd name="connsiteX0" fmla="*/ 0 w 1152525"/>
              <a:gd name="connsiteY0" fmla="*/ 152400 h 1419225"/>
              <a:gd name="connsiteX1" fmla="*/ 1152525 w 1152525"/>
              <a:gd name="connsiteY1" fmla="*/ 0 h 1419225"/>
              <a:gd name="connsiteX2" fmla="*/ 876300 w 1152525"/>
              <a:gd name="connsiteY2" fmla="*/ 1304925 h 1419225"/>
              <a:gd name="connsiteX3" fmla="*/ 685800 w 1152525"/>
              <a:gd name="connsiteY3" fmla="*/ 1352550 h 1419225"/>
              <a:gd name="connsiteX4" fmla="*/ 0 w 1152525"/>
              <a:gd name="connsiteY4" fmla="*/ 1419225 h 1419225"/>
              <a:gd name="connsiteX5" fmla="*/ 0 w 1152525"/>
              <a:gd name="connsiteY5" fmla="*/ 152400 h 1419225"/>
              <a:gd name="connsiteX0" fmla="*/ 0 w 1152525"/>
              <a:gd name="connsiteY0" fmla="*/ 152400 h 1419225"/>
              <a:gd name="connsiteX1" fmla="*/ 1152525 w 1152525"/>
              <a:gd name="connsiteY1" fmla="*/ 0 h 1419225"/>
              <a:gd name="connsiteX2" fmla="*/ 923925 w 1152525"/>
              <a:gd name="connsiteY2" fmla="*/ 1095375 h 1419225"/>
              <a:gd name="connsiteX3" fmla="*/ 876300 w 1152525"/>
              <a:gd name="connsiteY3" fmla="*/ 1304925 h 1419225"/>
              <a:gd name="connsiteX4" fmla="*/ 685800 w 1152525"/>
              <a:gd name="connsiteY4" fmla="*/ 1352550 h 1419225"/>
              <a:gd name="connsiteX5" fmla="*/ 0 w 1152525"/>
              <a:gd name="connsiteY5" fmla="*/ 1419225 h 1419225"/>
              <a:gd name="connsiteX6" fmla="*/ 0 w 1152525"/>
              <a:gd name="connsiteY6" fmla="*/ 152400 h 1419225"/>
              <a:gd name="connsiteX0" fmla="*/ 0 w 1152525"/>
              <a:gd name="connsiteY0" fmla="*/ 152400 h 1419225"/>
              <a:gd name="connsiteX1" fmla="*/ 1152525 w 1152525"/>
              <a:gd name="connsiteY1" fmla="*/ 0 h 1419225"/>
              <a:gd name="connsiteX2" fmla="*/ 923925 w 1152525"/>
              <a:gd name="connsiteY2" fmla="*/ 1095375 h 1419225"/>
              <a:gd name="connsiteX3" fmla="*/ 904875 w 1152525"/>
              <a:gd name="connsiteY3" fmla="*/ 1323975 h 1419225"/>
              <a:gd name="connsiteX4" fmla="*/ 685800 w 1152525"/>
              <a:gd name="connsiteY4" fmla="*/ 1352550 h 1419225"/>
              <a:gd name="connsiteX5" fmla="*/ 0 w 1152525"/>
              <a:gd name="connsiteY5" fmla="*/ 1419225 h 1419225"/>
              <a:gd name="connsiteX6" fmla="*/ 0 w 1152525"/>
              <a:gd name="connsiteY6" fmla="*/ 152400 h 1419225"/>
              <a:gd name="connsiteX0" fmla="*/ 0 w 1152525"/>
              <a:gd name="connsiteY0" fmla="*/ 152400 h 1419225"/>
              <a:gd name="connsiteX1" fmla="*/ 1152525 w 1152525"/>
              <a:gd name="connsiteY1" fmla="*/ 0 h 1419225"/>
              <a:gd name="connsiteX2" fmla="*/ 923925 w 1152525"/>
              <a:gd name="connsiteY2" fmla="*/ 1095375 h 1419225"/>
              <a:gd name="connsiteX3" fmla="*/ 904875 w 1152525"/>
              <a:gd name="connsiteY3" fmla="*/ 1323975 h 1419225"/>
              <a:gd name="connsiteX4" fmla="*/ 685800 w 1152525"/>
              <a:gd name="connsiteY4" fmla="*/ 1419225 h 1419225"/>
              <a:gd name="connsiteX5" fmla="*/ 0 w 1152525"/>
              <a:gd name="connsiteY5" fmla="*/ 1419225 h 1419225"/>
              <a:gd name="connsiteX6" fmla="*/ 0 w 1152525"/>
              <a:gd name="connsiteY6" fmla="*/ 152400 h 1419225"/>
              <a:gd name="connsiteX0" fmla="*/ 0 w 1152525"/>
              <a:gd name="connsiteY0" fmla="*/ 152400 h 1419225"/>
              <a:gd name="connsiteX1" fmla="*/ 1152525 w 1152525"/>
              <a:gd name="connsiteY1" fmla="*/ 0 h 1419225"/>
              <a:gd name="connsiteX2" fmla="*/ 956806 w 1152525"/>
              <a:gd name="connsiteY2" fmla="*/ 1108708 h 1419225"/>
              <a:gd name="connsiteX3" fmla="*/ 904875 w 1152525"/>
              <a:gd name="connsiteY3" fmla="*/ 1323975 h 1419225"/>
              <a:gd name="connsiteX4" fmla="*/ 685800 w 1152525"/>
              <a:gd name="connsiteY4" fmla="*/ 1419225 h 1419225"/>
              <a:gd name="connsiteX5" fmla="*/ 0 w 1152525"/>
              <a:gd name="connsiteY5" fmla="*/ 1419225 h 1419225"/>
              <a:gd name="connsiteX6" fmla="*/ 0 w 1152525"/>
              <a:gd name="connsiteY6" fmla="*/ 152400 h 1419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52525" h="1419225">
                <a:moveTo>
                  <a:pt x="0" y="152400"/>
                </a:moveTo>
                <a:lnTo>
                  <a:pt x="1152525" y="0"/>
                </a:lnTo>
                <a:cubicBezTo>
                  <a:pt x="1066800" y="365125"/>
                  <a:pt x="1042531" y="743583"/>
                  <a:pt x="956806" y="1108708"/>
                </a:cubicBezTo>
                <a:lnTo>
                  <a:pt x="904875" y="1323975"/>
                </a:lnTo>
                <a:lnTo>
                  <a:pt x="685800" y="1419225"/>
                </a:lnTo>
                <a:lnTo>
                  <a:pt x="0" y="1419225"/>
                </a:lnTo>
                <a:lnTo>
                  <a:pt x="0" y="1524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514350</xdr:colOff>
      <xdr:row>273</xdr:row>
      <xdr:rowOff>68332</xdr:rowOff>
    </xdr:from>
    <xdr:to>
      <xdr:col>7</xdr:col>
      <xdr:colOff>106294</xdr:colOff>
      <xdr:row>289</xdr:row>
      <xdr:rowOff>96908</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514350" y="57317723"/>
          <a:ext cx="5174422" cy="3209097"/>
        </a:xfrm>
        <a:prstGeom prst="rect">
          <a:avLst/>
        </a:prstGeom>
        <a:ln>
          <a:solidFill>
            <a:sysClr val="windowText" lastClr="000000"/>
          </a:solidFill>
        </a:ln>
      </xdr:spPr>
    </xdr:pic>
    <xdr:clientData/>
  </xdr:twoCellAnchor>
  <xdr:twoCellAnchor editAs="oneCell">
    <xdr:from>
      <xdr:col>10</xdr:col>
      <xdr:colOff>680830</xdr:colOff>
      <xdr:row>112</xdr:row>
      <xdr:rowOff>80912</xdr:rowOff>
    </xdr:from>
    <xdr:to>
      <xdr:col>17</xdr:col>
      <xdr:colOff>363606</xdr:colOff>
      <xdr:row>143</xdr:row>
      <xdr:rowOff>141458</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7"/>
        <a:stretch>
          <a:fillRect/>
        </a:stretch>
      </xdr:blipFill>
      <xdr:spPr>
        <a:xfrm>
          <a:off x="8919955" y="23188562"/>
          <a:ext cx="5188226" cy="6708996"/>
        </a:xfrm>
        <a:prstGeom prst="rect">
          <a:avLst/>
        </a:prstGeom>
      </xdr:spPr>
    </xdr:pic>
    <xdr:clientData/>
  </xdr:twoCellAnchor>
  <xdr:twoCellAnchor editAs="oneCell">
    <xdr:from>
      <xdr:col>11</xdr:col>
      <xdr:colOff>98562</xdr:colOff>
      <xdr:row>87</xdr:row>
      <xdr:rowOff>20707</xdr:rowOff>
    </xdr:from>
    <xdr:to>
      <xdr:col>15</xdr:col>
      <xdr:colOff>43116</xdr:colOff>
      <xdr:row>115</xdr:row>
      <xdr:rowOff>33334</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8"/>
        <a:stretch>
          <a:fillRect/>
        </a:stretch>
      </xdr:blipFill>
      <xdr:spPr>
        <a:xfrm>
          <a:off x="9090162" y="19308832"/>
          <a:ext cx="3306879" cy="4432227"/>
        </a:xfrm>
        <a:prstGeom prst="rect">
          <a:avLst/>
        </a:prstGeom>
      </xdr:spPr>
    </xdr:pic>
    <xdr:clientData/>
  </xdr:twoCellAnchor>
  <xdr:twoCellAnchor editAs="oneCell">
    <xdr:from>
      <xdr:col>12</xdr:col>
      <xdr:colOff>405846</xdr:colOff>
      <xdr:row>144</xdr:row>
      <xdr:rowOff>12306</xdr:rowOff>
    </xdr:from>
    <xdr:to>
      <xdr:col>19</xdr:col>
      <xdr:colOff>404640</xdr:colOff>
      <xdr:row>159</xdr:row>
      <xdr:rowOff>65563</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a:stretch>
          <a:fillRect/>
        </a:stretch>
      </xdr:blipFill>
      <xdr:spPr>
        <a:xfrm>
          <a:off x="10321371" y="29968431"/>
          <a:ext cx="5161344" cy="3263182"/>
        </a:xfrm>
        <a:prstGeom prst="rect">
          <a:avLst/>
        </a:prstGeom>
      </xdr:spPr>
    </xdr:pic>
    <xdr:clientData/>
  </xdr:twoCellAnchor>
  <xdr:twoCellAnchor>
    <xdr:from>
      <xdr:col>0</xdr:col>
      <xdr:colOff>69850</xdr:colOff>
      <xdr:row>188</xdr:row>
      <xdr:rowOff>76200</xdr:rowOff>
    </xdr:from>
    <xdr:to>
      <xdr:col>7</xdr:col>
      <xdr:colOff>684157</xdr:colOff>
      <xdr:row>228</xdr:row>
      <xdr:rowOff>96356</xdr:rowOff>
    </xdr:to>
    <xdr:grpSp>
      <xdr:nvGrpSpPr>
        <xdr:cNvPr id="18" name="Group 17"/>
        <xdr:cNvGrpSpPr/>
      </xdr:nvGrpSpPr>
      <xdr:grpSpPr>
        <a:xfrm>
          <a:off x="69850" y="38398450"/>
          <a:ext cx="6469007" cy="7894156"/>
          <a:chOff x="69850" y="38398450"/>
          <a:chExt cx="6469007" cy="7894156"/>
        </a:xfrm>
      </xdr:grpSpPr>
      <xdr:pic>
        <xdr:nvPicPr>
          <xdr:cNvPr id="30" name="Picture 2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232808" y="44132606"/>
            <a:ext cx="1618313"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488994" y="38398450"/>
            <a:ext cx="2049863"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488993" y="41265528"/>
            <a:ext cx="2049863"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676764" y="44132606"/>
            <a:ext cx="1618313"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69850" y="41265528"/>
            <a:ext cx="2049863" cy="273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279422" y="38398450"/>
            <a:ext cx="2049863" cy="273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279422" y="41265528"/>
            <a:ext cx="2049863"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69850" y="38398450"/>
            <a:ext cx="2049863" cy="2736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454786" y="44132606"/>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0</xdr:col>
      <xdr:colOff>380999</xdr:colOff>
      <xdr:row>2</xdr:row>
      <xdr:rowOff>11206</xdr:rowOff>
    </xdr:from>
    <xdr:to>
      <xdr:col>10</xdr:col>
      <xdr:colOff>395924</xdr:colOff>
      <xdr:row>18</xdr:row>
      <xdr:rowOff>425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80999" y="392206"/>
          <a:ext cx="10593278" cy="3048425"/>
        </a:xfrm>
        <a:prstGeom prst="rect">
          <a:avLst/>
        </a:prstGeom>
      </xdr:spPr>
    </xdr:pic>
    <xdr:clientData/>
  </xdr:twoCellAnchor>
  <xdr:twoCellAnchor editAs="oneCell">
    <xdr:from>
      <xdr:col>2</xdr:col>
      <xdr:colOff>156882</xdr:colOff>
      <xdr:row>1</xdr:row>
      <xdr:rowOff>11206</xdr:rowOff>
    </xdr:from>
    <xdr:to>
      <xdr:col>8</xdr:col>
      <xdr:colOff>255413</xdr:colOff>
      <xdr:row>9</xdr:row>
      <xdr:rowOff>162160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218764" y="201706"/>
          <a:ext cx="7449590" cy="1686160"/>
        </a:xfrm>
        <a:prstGeom prst="rect">
          <a:avLst/>
        </a:prstGeom>
      </xdr:spPr>
    </xdr:pic>
    <xdr:clientData/>
  </xdr:twoCellAnchor>
  <xdr:twoCellAnchor editAs="oneCell">
    <xdr:from>
      <xdr:col>1</xdr:col>
      <xdr:colOff>638735</xdr:colOff>
      <xdr:row>18</xdr:row>
      <xdr:rowOff>100853</xdr:rowOff>
    </xdr:from>
    <xdr:to>
      <xdr:col>9</xdr:col>
      <xdr:colOff>237702</xdr:colOff>
      <xdr:row>28</xdr:row>
      <xdr:rowOff>53487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221441" y="3541059"/>
          <a:ext cx="9011908" cy="18576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tharwanirealty.com/ongoing-residential/tharwani-palladian" TargetMode="External"/><Relationship Id="rId1" Type="http://schemas.openxmlformats.org/officeDocument/2006/relationships/hyperlink" Target="https://maps.app.goo.gl/gyYAj7mQMzFyQzEm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3"/>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1.2695312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56" t="s">
        <v>162</v>
      </c>
      <c r="B1" s="156"/>
      <c r="C1" s="156"/>
      <c r="D1" s="156"/>
      <c r="E1" s="156"/>
      <c r="F1" s="156"/>
      <c r="G1" s="156"/>
      <c r="H1" s="156"/>
    </row>
    <row r="2" spans="1:26" ht="16.5" customHeight="1" x14ac:dyDescent="0.35">
      <c r="A2" s="157" t="s">
        <v>0</v>
      </c>
      <c r="B2" s="157"/>
      <c r="C2" s="157"/>
      <c r="D2" s="157"/>
      <c r="E2" s="157"/>
      <c r="F2" s="157"/>
      <c r="G2" s="157"/>
      <c r="H2" s="157"/>
    </row>
    <row r="3" spans="1:26" x14ac:dyDescent="0.35">
      <c r="A3" s="94" t="s">
        <v>1</v>
      </c>
      <c r="B3" s="94"/>
      <c r="C3" s="94"/>
      <c r="D3" s="94"/>
      <c r="E3" s="94" t="str">
        <f ca="1">TEXT(TODAY(),"DD/MM/YYYY")</f>
        <v>19/09/2025</v>
      </c>
      <c r="F3" s="94"/>
      <c r="G3" s="94"/>
      <c r="H3" s="94"/>
      <c r="K3" s="51" t="s">
        <v>234</v>
      </c>
      <c r="L3" s="49" t="s">
        <v>232</v>
      </c>
      <c r="M3" s="49" t="s">
        <v>237</v>
      </c>
      <c r="N3" s="49" t="s">
        <v>235</v>
      </c>
      <c r="O3" s="49" t="s">
        <v>339</v>
      </c>
      <c r="P3" s="49" t="s">
        <v>238</v>
      </c>
    </row>
    <row r="4" spans="1:26" ht="15" customHeight="1" x14ac:dyDescent="0.35">
      <c r="A4" s="94" t="s">
        <v>231</v>
      </c>
      <c r="B4" s="94"/>
      <c r="C4" s="94"/>
      <c r="D4" s="94"/>
      <c r="E4" s="94" t="s">
        <v>232</v>
      </c>
      <c r="F4" s="94"/>
      <c r="G4" s="94"/>
      <c r="H4" s="94"/>
      <c r="K4" s="48" t="s">
        <v>233</v>
      </c>
      <c r="L4" s="49" t="s">
        <v>168</v>
      </c>
      <c r="M4" s="49" t="s">
        <v>242</v>
      </c>
      <c r="N4" s="49" t="s">
        <v>244</v>
      </c>
      <c r="O4" s="49" t="s">
        <v>340</v>
      </c>
      <c r="P4" s="49"/>
    </row>
    <row r="5" spans="1:26" ht="15" customHeight="1" x14ac:dyDescent="0.35">
      <c r="A5" s="94" t="s">
        <v>2</v>
      </c>
      <c r="B5" s="94"/>
      <c r="C5" s="94"/>
      <c r="D5" s="94"/>
      <c r="E5" s="94" t="s">
        <v>240</v>
      </c>
      <c r="F5" s="94"/>
      <c r="G5" s="94"/>
      <c r="H5" s="94"/>
      <c r="K5" s="48"/>
      <c r="L5" s="49" t="s">
        <v>239</v>
      </c>
      <c r="M5" s="49" t="s">
        <v>243</v>
      </c>
      <c r="N5" s="49" t="s">
        <v>245</v>
      </c>
      <c r="O5" s="49" t="s">
        <v>341</v>
      </c>
      <c r="P5" s="49"/>
    </row>
    <row r="6" spans="1:26" x14ac:dyDescent="0.35">
      <c r="A6" s="94" t="s">
        <v>3</v>
      </c>
      <c r="B6" s="94"/>
      <c r="C6" s="94"/>
      <c r="D6" s="94"/>
      <c r="E6" s="159">
        <v>45906</v>
      </c>
      <c r="F6" s="94"/>
      <c r="G6" s="94"/>
      <c r="H6" s="94"/>
      <c r="K6" s="48"/>
      <c r="L6" s="49" t="s">
        <v>240</v>
      </c>
      <c r="M6" s="49" t="s">
        <v>353</v>
      </c>
      <c r="N6" s="49"/>
      <c r="O6" s="49" t="s">
        <v>342</v>
      </c>
      <c r="P6" s="49"/>
    </row>
    <row r="7" spans="1:26" ht="16.5" customHeight="1" x14ac:dyDescent="0.35">
      <c r="A7" s="94" t="s">
        <v>4</v>
      </c>
      <c r="B7" s="94"/>
      <c r="C7" s="94"/>
      <c r="D7" s="94"/>
      <c r="E7" s="160" t="s">
        <v>354</v>
      </c>
      <c r="F7" s="94"/>
      <c r="G7" s="94"/>
      <c r="H7" s="94"/>
      <c r="K7" s="48"/>
      <c r="L7" s="49" t="s">
        <v>241</v>
      </c>
      <c r="M7" s="49"/>
      <c r="N7" s="49"/>
      <c r="O7" s="49" t="s">
        <v>342</v>
      </c>
      <c r="P7" s="49"/>
    </row>
    <row r="8" spans="1:26" ht="15" customHeight="1" x14ac:dyDescent="0.35">
      <c r="A8" s="94" t="s">
        <v>5</v>
      </c>
      <c r="B8" s="94"/>
      <c r="C8" s="94"/>
      <c r="D8" s="94"/>
      <c r="E8" s="94" t="str">
        <f>E7</f>
        <v>Tharwani Realtors</v>
      </c>
      <c r="F8" s="94"/>
      <c r="G8" s="94"/>
      <c r="H8" s="94"/>
      <c r="K8" s="48"/>
      <c r="L8" s="49"/>
      <c r="M8" s="49"/>
      <c r="N8" s="49"/>
      <c r="O8" s="49" t="s">
        <v>343</v>
      </c>
      <c r="P8" s="49"/>
    </row>
    <row r="9" spans="1:26" x14ac:dyDescent="0.35">
      <c r="A9" s="94" t="s">
        <v>6</v>
      </c>
      <c r="B9" s="94"/>
      <c r="C9" s="94"/>
      <c r="D9" s="94"/>
      <c r="E9" s="158" t="s">
        <v>355</v>
      </c>
      <c r="F9" s="158"/>
      <c r="G9" s="158"/>
      <c r="H9" s="158"/>
      <c r="K9" s="48"/>
      <c r="L9" s="49"/>
      <c r="M9" s="49"/>
      <c r="N9" s="49"/>
      <c r="O9" s="49" t="s">
        <v>344</v>
      </c>
      <c r="P9" s="49"/>
    </row>
    <row r="10" spans="1:26" x14ac:dyDescent="0.35">
      <c r="A10" s="94" t="s">
        <v>165</v>
      </c>
      <c r="B10" s="94"/>
      <c r="C10" s="94"/>
      <c r="D10" s="94"/>
      <c r="E10" s="94" t="s">
        <v>356</v>
      </c>
      <c r="F10" s="94"/>
      <c r="G10" s="94"/>
      <c r="H10" s="94"/>
      <c r="K10" s="48"/>
      <c r="L10" s="49"/>
      <c r="M10" s="49"/>
      <c r="N10" s="49"/>
      <c r="O10" s="49" t="s">
        <v>345</v>
      </c>
      <c r="P10" s="49"/>
    </row>
    <row r="11" spans="1:26" x14ac:dyDescent="0.35">
      <c r="A11" s="94" t="s">
        <v>166</v>
      </c>
      <c r="B11" s="94"/>
      <c r="C11" s="94"/>
      <c r="D11" s="94"/>
      <c r="E11" s="94" t="s">
        <v>405</v>
      </c>
      <c r="F11" s="94"/>
      <c r="G11" s="94"/>
      <c r="H11" s="94"/>
      <c r="I11" s="94" t="s">
        <v>357</v>
      </c>
      <c r="J11" s="94"/>
      <c r="K11" s="94"/>
      <c r="L11" s="94"/>
      <c r="O11" s="49" t="s">
        <v>346</v>
      </c>
    </row>
    <row r="12" spans="1:26" x14ac:dyDescent="0.35">
      <c r="A12" s="94" t="s">
        <v>7</v>
      </c>
      <c r="B12" s="94"/>
      <c r="C12" s="94"/>
      <c r="D12" s="94"/>
      <c r="E12" s="94" t="s">
        <v>118</v>
      </c>
      <c r="F12" s="94"/>
      <c r="G12" s="94"/>
      <c r="H12" s="94"/>
    </row>
    <row r="13" spans="1:26" x14ac:dyDescent="0.35">
      <c r="A13" s="94" t="s">
        <v>169</v>
      </c>
      <c r="B13" s="94"/>
      <c r="C13" s="94"/>
      <c r="D13" s="94"/>
      <c r="E13" s="94" t="s">
        <v>28</v>
      </c>
      <c r="F13" s="94"/>
      <c r="G13" s="94"/>
      <c r="H13" s="94"/>
      <c r="S13" s="49" t="s">
        <v>178</v>
      </c>
      <c r="T13" s="49" t="s">
        <v>187</v>
      </c>
      <c r="U13" s="49" t="s">
        <v>170</v>
      </c>
      <c r="V13" s="49" t="s">
        <v>192</v>
      </c>
      <c r="W13" s="49" t="s">
        <v>210</v>
      </c>
      <c r="X13"/>
      <c r="Y13" t="s">
        <v>192</v>
      </c>
      <c r="Z13" t="e">
        <f ca="1">OFFSET($S$13,1,MATCH($G20,$S$13:$W$13,0)-1,15,1)</f>
        <v>#VALUE!</v>
      </c>
    </row>
    <row r="14" spans="1:26" x14ac:dyDescent="0.35">
      <c r="A14" s="96" t="s">
        <v>277</v>
      </c>
      <c r="B14" s="96"/>
      <c r="C14" s="96"/>
      <c r="D14" s="96"/>
      <c r="E14" s="160" t="s">
        <v>397</v>
      </c>
      <c r="F14" s="161"/>
      <c r="G14" s="161"/>
      <c r="H14" s="161"/>
      <c r="S14" s="49" t="s">
        <v>178</v>
      </c>
      <c r="T14" s="49" t="s">
        <v>185</v>
      </c>
      <c r="U14" s="49" t="s">
        <v>207</v>
      </c>
      <c r="V14" s="49" t="s">
        <v>193</v>
      </c>
      <c r="W14" s="49" t="s">
        <v>211</v>
      </c>
      <c r="X14"/>
      <c r="Y14"/>
      <c r="Z14"/>
    </row>
    <row r="15" spans="1:26" x14ac:dyDescent="0.35">
      <c r="A15" s="96" t="s">
        <v>8</v>
      </c>
      <c r="B15" s="96"/>
      <c r="C15" s="96"/>
      <c r="D15" s="96"/>
      <c r="E15" s="160" t="s">
        <v>358</v>
      </c>
      <c r="F15" s="94"/>
      <c r="G15" s="94"/>
      <c r="H15" s="94"/>
      <c r="I15" s="117" t="e">
        <f ca="1">OFFSET($D$5,1,MATCH($J13,$D$5:$H$5,0)-1,15,1)</f>
        <v>#N/A</v>
      </c>
      <c r="J15" s="118"/>
      <c r="K15" s="118"/>
      <c r="L15" s="118"/>
      <c r="M15" s="118"/>
      <c r="N15" s="118"/>
      <c r="O15" s="118"/>
      <c r="P15" s="118"/>
      <c r="S15" s="49" t="s">
        <v>179</v>
      </c>
      <c r="T15" s="49" t="s">
        <v>186</v>
      </c>
      <c r="U15" s="49" t="s">
        <v>208</v>
      </c>
      <c r="V15" s="49" t="s">
        <v>194</v>
      </c>
      <c r="W15" s="49" t="s">
        <v>224</v>
      </c>
      <c r="X15"/>
      <c r="Y15"/>
      <c r="Z15"/>
    </row>
    <row r="16" spans="1:26" ht="32.25" customHeight="1" x14ac:dyDescent="0.35">
      <c r="A16" s="104" t="s">
        <v>9</v>
      </c>
      <c r="B16" s="104"/>
      <c r="C16" s="104" t="str">
        <f>CONCATENATE((IF(OR(E9="",E9="NA"),"",E9)),", ",(IF(OR(A17="",A17="NA"),"",A17)),".",(IF(OR(C17="",C17="NA"),"",C17)),", near ",(IF(OR(C22="",C22="NA"),"",C22)),", ",(IF(OR(C19="",C19="NA"),"",C19)),", ",(IF(OR(C18="",C18="NA"),"",C18)),", ",(IF(OR(G19="",G19="NA"),"",G19)),", ",(IF(OR(C20="",C20="NA"),"",C20)),", ",(IF(OR(C21="",C21="NA"),"",C21)),", ",(IF(OR(G20="",G20="NA"),"",G20))," - ",(IF(OR(G21="",G21="NA"),"",G21)),".")</f>
        <v>Tharwani Palladian, Plot No.57, Sector-34A, near Balaji Skyline, Internal Road, Kharghar, Kharghar, Kharghar East, Panvel, Raigad - 410210.</v>
      </c>
      <c r="D16" s="104"/>
      <c r="E16" s="104"/>
      <c r="F16" s="104"/>
      <c r="G16" s="104"/>
      <c r="H16" s="104"/>
      <c r="S16" s="49" t="s">
        <v>180</v>
      </c>
      <c r="T16" s="49" t="s">
        <v>188</v>
      </c>
      <c r="U16" s="49" t="s">
        <v>209</v>
      </c>
      <c r="V16" s="49" t="s">
        <v>195</v>
      </c>
      <c r="W16" s="49" t="s">
        <v>212</v>
      </c>
      <c r="X16"/>
      <c r="Y16"/>
      <c r="Z16"/>
    </row>
    <row r="17" spans="1:26" x14ac:dyDescent="0.35">
      <c r="A17" s="160" t="s">
        <v>359</v>
      </c>
      <c r="B17" s="160"/>
      <c r="C17" s="160" t="s">
        <v>360</v>
      </c>
      <c r="D17" s="160"/>
      <c r="E17" s="160"/>
      <c r="F17" s="160"/>
      <c r="G17" s="160"/>
      <c r="H17" s="160"/>
      <c r="S17" s="49" t="s">
        <v>181</v>
      </c>
      <c r="T17" s="49" t="s">
        <v>189</v>
      </c>
      <c r="U17" s="49" t="s">
        <v>170</v>
      </c>
      <c r="V17" s="49" t="s">
        <v>196</v>
      </c>
      <c r="W17" s="49" t="s">
        <v>213</v>
      </c>
      <c r="X17"/>
      <c r="Y17"/>
      <c r="Z17"/>
    </row>
    <row r="18" spans="1:26" ht="15.75" customHeight="1" x14ac:dyDescent="0.35">
      <c r="A18" s="160" t="s">
        <v>160</v>
      </c>
      <c r="B18" s="160"/>
      <c r="C18" s="160" t="s">
        <v>361</v>
      </c>
      <c r="D18" s="160"/>
      <c r="E18" s="160"/>
      <c r="F18" s="160"/>
      <c r="G18" s="160"/>
      <c r="H18" s="160"/>
      <c r="S18" s="49" t="s">
        <v>182</v>
      </c>
      <c r="T18" s="49" t="s">
        <v>187</v>
      </c>
      <c r="U18" s="49"/>
      <c r="V18" s="49" t="s">
        <v>197</v>
      </c>
      <c r="W18" s="49" t="s">
        <v>214</v>
      </c>
      <c r="X18"/>
      <c r="Y18"/>
      <c r="Z18"/>
    </row>
    <row r="19" spans="1:26" ht="15.75" customHeight="1" x14ac:dyDescent="0.35">
      <c r="A19" s="104" t="s">
        <v>10</v>
      </c>
      <c r="B19" s="104"/>
      <c r="C19" s="94" t="s">
        <v>365</v>
      </c>
      <c r="D19" s="94"/>
      <c r="E19" s="104" t="s">
        <v>70</v>
      </c>
      <c r="F19" s="104"/>
      <c r="G19" s="160" t="s">
        <v>361</v>
      </c>
      <c r="H19" s="160"/>
      <c r="S19" s="49" t="s">
        <v>183</v>
      </c>
      <c r="T19" s="49" t="s">
        <v>190</v>
      </c>
      <c r="U19" s="49"/>
      <c r="V19" s="49" t="s">
        <v>198</v>
      </c>
      <c r="W19" s="49" t="s">
        <v>215</v>
      </c>
      <c r="X19"/>
      <c r="Y19"/>
      <c r="Z19"/>
    </row>
    <row r="20" spans="1:26" x14ac:dyDescent="0.35">
      <c r="A20" s="96" t="s">
        <v>12</v>
      </c>
      <c r="B20" s="96"/>
      <c r="C20" s="160" t="s">
        <v>367</v>
      </c>
      <c r="D20" s="160"/>
      <c r="E20" s="160" t="s">
        <v>11</v>
      </c>
      <c r="F20" s="160"/>
      <c r="G20" s="162" t="s">
        <v>192</v>
      </c>
      <c r="H20" s="162"/>
      <c r="S20" s="49" t="s">
        <v>184</v>
      </c>
      <c r="T20" s="49" t="s">
        <v>191</v>
      </c>
      <c r="U20" s="49"/>
      <c r="V20" s="49" t="s">
        <v>199</v>
      </c>
      <c r="W20" s="49" t="s">
        <v>216</v>
      </c>
      <c r="X20"/>
      <c r="Y20"/>
      <c r="Z20"/>
    </row>
    <row r="21" spans="1:26" x14ac:dyDescent="0.35">
      <c r="A21" s="96" t="s">
        <v>71</v>
      </c>
      <c r="B21" s="96"/>
      <c r="C21" s="160" t="s">
        <v>194</v>
      </c>
      <c r="D21" s="160"/>
      <c r="E21" s="160" t="s">
        <v>13</v>
      </c>
      <c r="F21" s="160"/>
      <c r="G21" s="160">
        <v>410210</v>
      </c>
      <c r="H21" s="160"/>
      <c r="S21" s="49"/>
      <c r="T21" s="49"/>
      <c r="U21" s="49"/>
      <c r="V21" s="49" t="s">
        <v>200</v>
      </c>
      <c r="W21" s="49" t="s">
        <v>217</v>
      </c>
      <c r="X21"/>
      <c r="Y21"/>
      <c r="Z21"/>
    </row>
    <row r="22" spans="1:26" ht="32.25" customHeight="1" x14ac:dyDescent="0.35">
      <c r="A22" s="96" t="s">
        <v>119</v>
      </c>
      <c r="B22" s="96"/>
      <c r="C22" s="160" t="s">
        <v>364</v>
      </c>
      <c r="D22" s="160"/>
      <c r="E22" s="104" t="s">
        <v>14</v>
      </c>
      <c r="F22" s="104"/>
      <c r="G22" s="160" t="s">
        <v>366</v>
      </c>
      <c r="H22" s="160"/>
      <c r="S22" s="49"/>
      <c r="T22" s="49"/>
      <c r="U22" s="49"/>
      <c r="V22" s="49" t="s">
        <v>201</v>
      </c>
      <c r="W22" s="49" t="s">
        <v>218</v>
      </c>
      <c r="X22"/>
      <c r="Y22"/>
      <c r="Z22"/>
    </row>
    <row r="23" spans="1:26" ht="15" customHeight="1" x14ac:dyDescent="0.35">
      <c r="A23" s="104" t="s">
        <v>73</v>
      </c>
      <c r="B23" s="104"/>
      <c r="C23" s="104"/>
      <c r="D23" s="104"/>
      <c r="E23" s="94" t="s">
        <v>15</v>
      </c>
      <c r="F23" s="94"/>
      <c r="G23" s="94"/>
      <c r="H23" s="94"/>
      <c r="S23" s="49"/>
      <c r="T23" s="49"/>
      <c r="U23" s="49"/>
      <c r="V23" s="49" t="s">
        <v>202</v>
      </c>
      <c r="W23" s="49" t="s">
        <v>219</v>
      </c>
      <c r="X23"/>
      <c r="Y23"/>
      <c r="Z23"/>
    </row>
    <row r="24" spans="1:26" ht="18.75" customHeight="1" x14ac:dyDescent="0.35">
      <c r="A24" s="104"/>
      <c r="B24" s="104"/>
      <c r="C24" s="104"/>
      <c r="D24" s="104"/>
      <c r="E24" s="94"/>
      <c r="F24" s="94"/>
      <c r="G24" s="94"/>
      <c r="H24" s="94"/>
      <c r="S24" s="49"/>
      <c r="T24" s="49"/>
      <c r="U24" s="49"/>
      <c r="V24" s="49" t="s">
        <v>203</v>
      </c>
      <c r="W24" s="49" t="s">
        <v>220</v>
      </c>
      <c r="X24"/>
      <c r="Y24"/>
      <c r="Z24"/>
    </row>
    <row r="25" spans="1:26" ht="15" customHeight="1" x14ac:dyDescent="0.35">
      <c r="A25" s="104" t="s">
        <v>16</v>
      </c>
      <c r="B25" s="104"/>
      <c r="C25" s="104"/>
      <c r="D25" s="104"/>
      <c r="E25" s="160" t="s">
        <v>17</v>
      </c>
      <c r="F25" s="160"/>
      <c r="G25" s="160"/>
      <c r="H25" s="160"/>
      <c r="S25" s="49"/>
      <c r="T25" s="49"/>
      <c r="U25" s="49"/>
      <c r="V25" s="49" t="s">
        <v>204</v>
      </c>
      <c r="W25" s="49" t="s">
        <v>221</v>
      </c>
      <c r="X25"/>
      <c r="Y25"/>
      <c r="Z25"/>
    </row>
    <row r="26" spans="1:26" ht="15" customHeight="1" x14ac:dyDescent="0.35">
      <c r="A26" s="96" t="s">
        <v>18</v>
      </c>
      <c r="B26" s="96"/>
      <c r="C26" s="96"/>
      <c r="D26" s="96"/>
      <c r="E26" s="160" t="str">
        <f>IF(AND(G20="Mumbai"),"Upper Class","Middle Class")</f>
        <v>Middle Class</v>
      </c>
      <c r="F26" s="160"/>
      <c r="G26" s="160"/>
      <c r="H26" s="160"/>
      <c r="S26" s="49"/>
      <c r="T26" s="49"/>
      <c r="U26" s="49"/>
      <c r="V26" s="49" t="s">
        <v>205</v>
      </c>
      <c r="W26" s="49" t="s">
        <v>222</v>
      </c>
      <c r="X26"/>
      <c r="Y26"/>
      <c r="Z26"/>
    </row>
    <row r="27" spans="1:26" x14ac:dyDescent="0.35">
      <c r="A27" s="96" t="s">
        <v>19</v>
      </c>
      <c r="B27" s="96"/>
      <c r="C27" s="96"/>
      <c r="D27" s="96"/>
      <c r="E27" s="160" t="s">
        <v>20</v>
      </c>
      <c r="F27" s="160"/>
      <c r="G27" s="160"/>
      <c r="H27" s="160"/>
      <c r="S27" s="49"/>
      <c r="T27" s="49"/>
      <c r="U27" s="49"/>
      <c r="V27" s="49" t="s">
        <v>206</v>
      </c>
      <c r="W27" s="49" t="s">
        <v>223</v>
      </c>
      <c r="X27"/>
      <c r="Y27"/>
      <c r="Z27"/>
    </row>
    <row r="28" spans="1:26" ht="15.75" customHeight="1" x14ac:dyDescent="0.35">
      <c r="A28" s="96" t="s">
        <v>21</v>
      </c>
      <c r="B28" s="96"/>
      <c r="C28" s="96"/>
      <c r="D28" s="96"/>
      <c r="E28" s="160" t="str">
        <f>IF(AND(G20="Mumbai"),"Developed","Developing")</f>
        <v>Developing</v>
      </c>
      <c r="F28" s="160"/>
      <c r="G28" s="160"/>
      <c r="H28" s="160"/>
    </row>
    <row r="29" spans="1:26" x14ac:dyDescent="0.35">
      <c r="A29" s="96" t="s">
        <v>22</v>
      </c>
      <c r="B29" s="96"/>
      <c r="C29" s="96"/>
      <c r="D29" s="96"/>
      <c r="E29" s="160" t="s">
        <v>23</v>
      </c>
      <c r="F29" s="160"/>
      <c r="G29" s="160"/>
      <c r="H29" s="160"/>
    </row>
    <row r="30" spans="1:26" ht="15.75" customHeight="1" x14ac:dyDescent="0.35">
      <c r="A30" s="96" t="s">
        <v>78</v>
      </c>
      <c r="B30" s="96"/>
      <c r="C30" s="96"/>
      <c r="D30" s="96"/>
      <c r="E30" s="160" t="s">
        <v>79</v>
      </c>
      <c r="F30" s="160"/>
      <c r="G30" s="160"/>
      <c r="H30" s="160"/>
    </row>
    <row r="31" spans="1:26" ht="15" customHeight="1" x14ac:dyDescent="0.35">
      <c r="A31" s="96" t="s">
        <v>30</v>
      </c>
      <c r="B31" s="96"/>
      <c r="C31" s="96"/>
      <c r="D31" s="96"/>
      <c r="E31" s="16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0"/>
      <c r="G31" s="160"/>
      <c r="H31" s="160"/>
    </row>
    <row r="32" spans="1:26" ht="15.75" customHeight="1" x14ac:dyDescent="0.35">
      <c r="A32" s="96" t="s">
        <v>90</v>
      </c>
      <c r="B32" s="96"/>
      <c r="C32" s="96"/>
      <c r="D32" s="96"/>
      <c r="E32" s="160" t="s">
        <v>31</v>
      </c>
      <c r="F32" s="160"/>
      <c r="G32" s="160"/>
      <c r="H32" s="160"/>
    </row>
    <row r="33" spans="1:19" s="19" customFormat="1" x14ac:dyDescent="0.35">
      <c r="A33" s="170" t="s">
        <v>91</v>
      </c>
      <c r="B33" s="170"/>
      <c r="C33" s="167" t="s">
        <v>171</v>
      </c>
      <c r="D33" s="168"/>
      <c r="E33" s="169"/>
      <c r="F33" s="167" t="s">
        <v>29</v>
      </c>
      <c r="G33" s="168"/>
      <c r="H33" s="169"/>
      <c r="S33" s="19" t="e">
        <f ca="1">OFFSET($S$13,1,MATCH($G20,$S$13:$W$13,0)-1,15,1)</f>
        <v>#VALUE!</v>
      </c>
    </row>
    <row r="34" spans="1:19" s="19" customFormat="1" x14ac:dyDescent="0.35">
      <c r="A34" s="163" t="s">
        <v>24</v>
      </c>
      <c r="B34" s="163" t="s">
        <v>28</v>
      </c>
      <c r="C34" s="164" t="s">
        <v>369</v>
      </c>
      <c r="D34" s="165"/>
      <c r="E34" s="166"/>
      <c r="F34" s="164" t="s">
        <v>365</v>
      </c>
      <c r="G34" s="165"/>
      <c r="H34" s="166"/>
    </row>
    <row r="35" spans="1:19" x14ac:dyDescent="0.35">
      <c r="A35" s="163" t="s">
        <v>25</v>
      </c>
      <c r="B35" s="163" t="s">
        <v>28</v>
      </c>
      <c r="C35" s="164" t="s">
        <v>371</v>
      </c>
      <c r="D35" s="165"/>
      <c r="E35" s="166"/>
      <c r="F35" s="164" t="s">
        <v>368</v>
      </c>
      <c r="G35" s="165"/>
      <c r="H35" s="166"/>
    </row>
    <row r="36" spans="1:19" s="19" customFormat="1" x14ac:dyDescent="0.35">
      <c r="A36" s="163" t="s">
        <v>27</v>
      </c>
      <c r="B36" s="163" t="s">
        <v>28</v>
      </c>
      <c r="C36" s="164" t="s">
        <v>371</v>
      </c>
      <c r="D36" s="165"/>
      <c r="E36" s="166"/>
      <c r="F36" s="164" t="s">
        <v>364</v>
      </c>
      <c r="G36" s="165"/>
      <c r="H36" s="166"/>
    </row>
    <row r="37" spans="1:19" x14ac:dyDescent="0.35">
      <c r="A37" s="163" t="s">
        <v>26</v>
      </c>
      <c r="B37" s="163" t="s">
        <v>28</v>
      </c>
      <c r="C37" s="164" t="s">
        <v>370</v>
      </c>
      <c r="D37" s="165"/>
      <c r="E37" s="166"/>
      <c r="F37" s="164" t="s">
        <v>365</v>
      </c>
      <c r="G37" s="165"/>
      <c r="H37" s="166"/>
      <c r="J37" s="18">
        <f>14200/1.5</f>
        <v>9466.6666666666661</v>
      </c>
    </row>
    <row r="38" spans="1:19" x14ac:dyDescent="0.35">
      <c r="A38" s="96" t="s">
        <v>278</v>
      </c>
      <c r="B38" s="96"/>
      <c r="C38" s="96"/>
      <c r="D38" s="96"/>
      <c r="E38" s="96"/>
      <c r="F38" s="96"/>
      <c r="G38" s="96"/>
      <c r="H38" s="96"/>
    </row>
    <row r="39" spans="1:19" ht="15.75" customHeight="1" x14ac:dyDescent="0.35">
      <c r="A39" s="96" t="s">
        <v>163</v>
      </c>
      <c r="B39" s="96"/>
      <c r="C39" s="152" t="s">
        <v>363</v>
      </c>
      <c r="D39" s="152"/>
      <c r="E39" s="152"/>
      <c r="F39" s="152"/>
      <c r="G39" s="152"/>
      <c r="H39" s="152"/>
    </row>
    <row r="40" spans="1:19" x14ac:dyDescent="0.35">
      <c r="A40" s="96" t="s">
        <v>159</v>
      </c>
      <c r="B40" s="96"/>
      <c r="C40" s="202" t="s">
        <v>362</v>
      </c>
      <c r="D40" s="160"/>
      <c r="E40" s="160"/>
      <c r="F40" s="160"/>
      <c r="G40" s="160"/>
      <c r="H40" s="160"/>
    </row>
    <row r="41" spans="1:19" x14ac:dyDescent="0.35">
      <c r="A41" s="152" t="s">
        <v>32</v>
      </c>
      <c r="B41" s="152"/>
      <c r="C41" s="152"/>
      <c r="D41" s="152"/>
      <c r="E41" s="152"/>
      <c r="F41" s="152"/>
      <c r="G41" s="152"/>
      <c r="H41" s="152"/>
    </row>
    <row r="42" spans="1:19" x14ac:dyDescent="0.35">
      <c r="A42" s="96" t="s">
        <v>33</v>
      </c>
      <c r="B42" s="96"/>
      <c r="C42" s="96"/>
      <c r="D42" s="96"/>
      <c r="E42" s="181">
        <v>2435.54</v>
      </c>
      <c r="F42" s="181"/>
      <c r="G42" s="181"/>
      <c r="H42" s="181"/>
    </row>
    <row r="43" spans="1:19" x14ac:dyDescent="0.35">
      <c r="A43" s="96" t="s">
        <v>34</v>
      </c>
      <c r="B43" s="96"/>
      <c r="C43" s="96"/>
      <c r="D43" s="96"/>
      <c r="E43" s="95">
        <f>3653.31/E42</f>
        <v>1.5</v>
      </c>
      <c r="F43" s="95"/>
      <c r="G43" s="95"/>
      <c r="H43" s="95"/>
    </row>
    <row r="44" spans="1:19" x14ac:dyDescent="0.35">
      <c r="A44" s="96" t="s">
        <v>35</v>
      </c>
      <c r="B44" s="96"/>
      <c r="C44" s="96"/>
      <c r="D44" s="96"/>
      <c r="E44" s="95">
        <f>E46/E42-E43</f>
        <v>4.0999203462065905</v>
      </c>
      <c r="F44" s="95"/>
      <c r="G44" s="95"/>
      <c r="H44" s="95"/>
    </row>
    <row r="45" spans="1:19" x14ac:dyDescent="0.35">
      <c r="A45" s="96" t="s">
        <v>36</v>
      </c>
      <c r="B45" s="96"/>
      <c r="C45" s="96"/>
      <c r="D45" s="96"/>
      <c r="E45" s="95">
        <f>E43+E44</f>
        <v>5.5999203462065905</v>
      </c>
      <c r="F45" s="95"/>
      <c r="G45" s="95"/>
      <c r="H45" s="95"/>
    </row>
    <row r="46" spans="1:19" x14ac:dyDescent="0.35">
      <c r="A46" s="96" t="s">
        <v>89</v>
      </c>
      <c r="B46" s="96"/>
      <c r="C46" s="96"/>
      <c r="D46" s="96"/>
      <c r="E46" s="172">
        <v>13638.83</v>
      </c>
      <c r="F46" s="172"/>
      <c r="G46" s="172"/>
      <c r="H46" s="172"/>
    </row>
    <row r="47" spans="1:19" x14ac:dyDescent="0.35">
      <c r="A47" s="94" t="s">
        <v>37</v>
      </c>
      <c r="B47" s="94"/>
      <c r="C47" s="94"/>
      <c r="D47" s="94"/>
      <c r="E47" s="94" t="s">
        <v>118</v>
      </c>
      <c r="F47" s="94"/>
      <c r="G47" s="94"/>
      <c r="H47" s="94"/>
    </row>
    <row r="48" spans="1:19" x14ac:dyDescent="0.35">
      <c r="A48" s="152" t="s">
        <v>38</v>
      </c>
      <c r="B48" s="152"/>
      <c r="C48" s="152"/>
      <c r="D48" s="152"/>
      <c r="E48" s="152"/>
      <c r="F48" s="152"/>
      <c r="G48" s="152"/>
      <c r="H48" s="152"/>
    </row>
    <row r="49" spans="1:24" ht="33.75" customHeight="1" x14ac:dyDescent="0.35">
      <c r="A49" s="99" t="s">
        <v>148</v>
      </c>
      <c r="B49" s="100"/>
      <c r="C49" s="178" t="s">
        <v>266</v>
      </c>
      <c r="D49" s="179"/>
      <c r="E49" s="179"/>
      <c r="F49" s="179"/>
      <c r="G49" s="179"/>
      <c r="H49" s="180"/>
      <c r="R49" t="s">
        <v>251</v>
      </c>
      <c r="S49" s="52" t="s">
        <v>170</v>
      </c>
      <c r="T49" s="52" t="s">
        <v>178</v>
      </c>
      <c r="U49" s="52" t="s">
        <v>192</v>
      </c>
      <c r="V49" s="52" t="s">
        <v>187</v>
      </c>
    </row>
    <row r="50" spans="1:24" ht="30" customHeight="1" x14ac:dyDescent="0.35">
      <c r="A50" s="99" t="s">
        <v>39</v>
      </c>
      <c r="B50" s="100"/>
      <c r="C50" s="99" t="s">
        <v>372</v>
      </c>
      <c r="D50" s="101"/>
      <c r="E50" s="100"/>
      <c r="F50" s="17" t="s">
        <v>40</v>
      </c>
      <c r="G50" s="128">
        <v>45385</v>
      </c>
      <c r="H50" s="129"/>
      <c r="R50"/>
      <c r="S50" s="52" t="s">
        <v>252</v>
      </c>
      <c r="T50" s="52" t="s">
        <v>257</v>
      </c>
      <c r="U50" s="52" t="s">
        <v>268</v>
      </c>
      <c r="V50" s="52" t="s">
        <v>273</v>
      </c>
    </row>
    <row r="51" spans="1:24" ht="35.25" customHeight="1" x14ac:dyDescent="0.35">
      <c r="A51" s="99" t="s">
        <v>41</v>
      </c>
      <c r="B51" s="100"/>
      <c r="C51" s="99" t="str">
        <f>C50</f>
        <v>CIDCO/BP-18445/TPO(NM &amp; K)/2023/12162</v>
      </c>
      <c r="D51" s="101"/>
      <c r="E51" s="100"/>
      <c r="F51" s="17" t="s">
        <v>40</v>
      </c>
      <c r="G51" s="128">
        <f>G50</f>
        <v>45385</v>
      </c>
      <c r="H51" s="129"/>
      <c r="R51"/>
      <c r="S51" s="52" t="s">
        <v>253</v>
      </c>
      <c r="T51" s="52" t="s">
        <v>258</v>
      </c>
      <c r="U51" s="52" t="s">
        <v>266</v>
      </c>
      <c r="V51" s="52" t="s">
        <v>274</v>
      </c>
    </row>
    <row r="52" spans="1:24" s="20" customFormat="1" ht="31.5" customHeight="1" x14ac:dyDescent="0.35">
      <c r="A52" s="186" t="s">
        <v>152</v>
      </c>
      <c r="B52" s="187"/>
      <c r="C52" s="99" t="str">
        <f>C51</f>
        <v>CIDCO/BP-18445/TPO(NM &amp; K)/2023/12162</v>
      </c>
      <c r="D52" s="101"/>
      <c r="E52" s="100"/>
      <c r="F52" s="17" t="s">
        <v>40</v>
      </c>
      <c r="G52" s="128">
        <f>G51</f>
        <v>45385</v>
      </c>
      <c r="H52" s="129"/>
      <c r="I52" s="19" t="str">
        <f ca="1">IF(G52&gt;EDATE(E3,-48),"NO REMARK","CC REMARK FOR CC")</f>
        <v>NO REMARK</v>
      </c>
      <c r="J52" s="80"/>
      <c r="R52"/>
      <c r="S52" s="52" t="s">
        <v>254</v>
      </c>
      <c r="T52" s="52" t="s">
        <v>259</v>
      </c>
      <c r="U52" s="52" t="s">
        <v>256</v>
      </c>
      <c r="V52" s="52" t="s">
        <v>275</v>
      </c>
    </row>
    <row r="53" spans="1:24" s="20" customFormat="1" ht="31.5" customHeight="1" x14ac:dyDescent="0.35">
      <c r="A53" s="188"/>
      <c r="B53" s="189"/>
      <c r="C53" s="99" t="s">
        <v>374</v>
      </c>
      <c r="D53" s="101"/>
      <c r="E53" s="101"/>
      <c r="F53" s="101"/>
      <c r="G53" s="101"/>
      <c r="H53" s="100"/>
      <c r="R53"/>
      <c r="S53" s="52" t="s">
        <v>255</v>
      </c>
      <c r="T53" s="52" t="s">
        <v>262</v>
      </c>
      <c r="U53" s="52" t="s">
        <v>269</v>
      </c>
      <c r="V53" s="73" t="s">
        <v>348</v>
      </c>
    </row>
    <row r="54" spans="1:24" s="20" customFormat="1" hidden="1" x14ac:dyDescent="0.35">
      <c r="A54" s="111" t="s">
        <v>279</v>
      </c>
      <c r="B54" s="112"/>
      <c r="C54" s="99" t="str">
        <f>C53</f>
        <v xml:space="preserve">Gr + 1st to 27th Floor
Residential Unit - 142 &amp; Commercial Unit - 21
</v>
      </c>
      <c r="D54" s="101"/>
      <c r="E54" s="100"/>
      <c r="F54" s="17" t="s">
        <v>40</v>
      </c>
      <c r="G54" s="128"/>
      <c r="H54" s="129"/>
      <c r="K54" s="81">
        <f>EDATE(G52,-48)</f>
        <v>43924</v>
      </c>
      <c r="L54" s="20" t="str">
        <f ca="1">IF(G52&gt;EDATE(E3,-48),"NO REMARK","CC REMARK FOR CC")</f>
        <v>NO REMARK</v>
      </c>
      <c r="R54"/>
      <c r="S54" s="52" t="s">
        <v>254</v>
      </c>
      <c r="T54" s="52" t="s">
        <v>259</v>
      </c>
      <c r="U54" s="52" t="s">
        <v>256</v>
      </c>
      <c r="V54" s="52" t="s">
        <v>275</v>
      </c>
    </row>
    <row r="55" spans="1:24" s="20" customFormat="1" ht="32.25" hidden="1" customHeight="1" x14ac:dyDescent="0.35">
      <c r="A55" s="113"/>
      <c r="B55" s="114"/>
      <c r="C55" s="208"/>
      <c r="D55" s="209"/>
      <c r="E55" s="209"/>
      <c r="F55" s="209"/>
      <c r="G55" s="209"/>
      <c r="H55" s="210"/>
      <c r="R55"/>
      <c r="S55" s="52" t="s">
        <v>256</v>
      </c>
      <c r="T55" s="52" t="s">
        <v>260</v>
      </c>
      <c r="U55" s="52" t="s">
        <v>270</v>
      </c>
      <c r="V55" s="74"/>
      <c r="W55" s="18"/>
      <c r="X55" s="18"/>
    </row>
    <row r="56" spans="1:24" s="20" customFormat="1" ht="34.5" hidden="1" customHeight="1" x14ac:dyDescent="0.35">
      <c r="A56" s="111" t="s">
        <v>280</v>
      </c>
      <c r="B56" s="112"/>
      <c r="C56" s="99">
        <f>C55</f>
        <v>0</v>
      </c>
      <c r="D56" s="101"/>
      <c r="E56" s="100"/>
      <c r="F56" s="17" t="s">
        <v>40</v>
      </c>
      <c r="G56" s="128">
        <f>G55</f>
        <v>0</v>
      </c>
      <c r="H56" s="129"/>
      <c r="R56"/>
      <c r="S56" s="74"/>
      <c r="T56" s="52" t="s">
        <v>261</v>
      </c>
      <c r="U56" s="52" t="s">
        <v>271</v>
      </c>
      <c r="V56" s="74"/>
      <c r="W56" s="18"/>
      <c r="X56" s="18"/>
    </row>
    <row r="57" spans="1:24" s="20" customFormat="1" ht="23.25" hidden="1" customHeight="1" x14ac:dyDescent="0.35">
      <c r="A57" s="113"/>
      <c r="B57" s="114"/>
      <c r="C57" s="99"/>
      <c r="D57" s="101"/>
      <c r="E57" s="101"/>
      <c r="F57" s="101"/>
      <c r="G57" s="101"/>
      <c r="H57" s="100"/>
      <c r="R57"/>
      <c r="S57" s="74"/>
      <c r="T57" s="52" t="s">
        <v>263</v>
      </c>
      <c r="U57" s="52" t="s">
        <v>272</v>
      </c>
      <c r="V57" s="74"/>
      <c r="W57" s="18"/>
      <c r="X57" s="18"/>
    </row>
    <row r="58" spans="1:24" s="20" customFormat="1" ht="15.75" customHeight="1" x14ac:dyDescent="0.35">
      <c r="A58" s="182" t="s">
        <v>351</v>
      </c>
      <c r="B58" s="183"/>
      <c r="C58" s="99" t="s">
        <v>400</v>
      </c>
      <c r="D58" s="101"/>
      <c r="E58" s="100"/>
      <c r="F58" s="17" t="s">
        <v>40</v>
      </c>
      <c r="G58" s="128">
        <v>44979</v>
      </c>
      <c r="H58" s="129"/>
      <c r="R58"/>
      <c r="S58" s="74"/>
      <c r="T58" s="52" t="s">
        <v>264</v>
      </c>
      <c r="U58" s="74" t="s">
        <v>294</v>
      </c>
      <c r="V58" s="74"/>
      <c r="W58" s="18"/>
      <c r="X58" s="18"/>
    </row>
    <row r="59" spans="1:24" s="20" customFormat="1" ht="33.75" customHeight="1" x14ac:dyDescent="0.35">
      <c r="A59" s="184"/>
      <c r="B59" s="185"/>
      <c r="C59" s="104" t="s">
        <v>401</v>
      </c>
      <c r="D59" s="104"/>
      <c r="E59" s="104"/>
      <c r="F59" s="17" t="s">
        <v>352</v>
      </c>
      <c r="G59" s="128">
        <v>47900</v>
      </c>
      <c r="H59" s="129"/>
      <c r="R59"/>
      <c r="S59" s="74"/>
      <c r="T59" s="52" t="s">
        <v>265</v>
      </c>
      <c r="U59" s="74"/>
      <c r="V59" s="74"/>
      <c r="W59" s="18"/>
      <c r="X59" s="18"/>
    </row>
    <row r="60" spans="1:24" x14ac:dyDescent="0.35">
      <c r="A60" s="121" t="s">
        <v>42</v>
      </c>
      <c r="B60" s="122"/>
      <c r="C60" s="121" t="s">
        <v>103</v>
      </c>
      <c r="D60" s="123"/>
      <c r="E60" s="122"/>
      <c r="F60" s="40" t="s">
        <v>40</v>
      </c>
      <c r="G60" s="126" t="s">
        <v>28</v>
      </c>
      <c r="H60" s="127"/>
      <c r="R60"/>
      <c r="S60" s="74"/>
      <c r="T60" s="52" t="s">
        <v>267</v>
      </c>
      <c r="U60" s="74"/>
      <c r="V60" s="74"/>
    </row>
    <row r="61" spans="1:24" x14ac:dyDescent="0.35">
      <c r="A61" s="154" t="s">
        <v>44</v>
      </c>
      <c r="B61" s="154"/>
      <c r="C61" s="154"/>
      <c r="D61" s="154"/>
      <c r="E61" s="154"/>
      <c r="F61" s="154"/>
      <c r="G61" s="154"/>
      <c r="H61" s="154"/>
      <c r="S61" s="74"/>
      <c r="T61" s="52" t="s">
        <v>276</v>
      </c>
      <c r="U61" s="74"/>
      <c r="V61" s="74"/>
    </row>
    <row r="62" spans="1:24" x14ac:dyDescent="0.35">
      <c r="A62" s="104" t="s">
        <v>88</v>
      </c>
      <c r="B62" s="104"/>
      <c r="C62" s="104"/>
      <c r="D62" s="96">
        <f>E46</f>
        <v>13638.83</v>
      </c>
      <c r="E62" s="96"/>
      <c r="F62" s="96"/>
      <c r="G62" s="96"/>
      <c r="H62" s="96"/>
      <c r="R62"/>
    </row>
    <row r="63" spans="1:24" x14ac:dyDescent="0.35">
      <c r="A63" s="160" t="s">
        <v>45</v>
      </c>
      <c r="B63" s="94"/>
      <c r="C63" s="94"/>
      <c r="D63" s="94" t="s">
        <v>392</v>
      </c>
      <c r="E63" s="94"/>
      <c r="F63" s="94"/>
      <c r="G63" s="94"/>
      <c r="H63" s="94"/>
      <c r="I63" s="21"/>
      <c r="R63"/>
    </row>
    <row r="64" spans="1:24" x14ac:dyDescent="0.35">
      <c r="A64" s="175" t="s">
        <v>46</v>
      </c>
      <c r="B64" s="176"/>
      <c r="C64" s="177"/>
      <c r="D64" s="173" t="s">
        <v>393</v>
      </c>
      <c r="E64" s="174"/>
      <c r="F64" s="174"/>
      <c r="G64" s="174"/>
      <c r="H64" s="174"/>
      <c r="R64"/>
    </row>
    <row r="65" spans="1:19" x14ac:dyDescent="0.35">
      <c r="A65" s="175" t="s">
        <v>86</v>
      </c>
      <c r="B65" s="176"/>
      <c r="C65" s="176"/>
      <c r="D65" s="160" t="s">
        <v>373</v>
      </c>
      <c r="E65" s="94"/>
      <c r="F65" s="94"/>
      <c r="G65" s="94"/>
      <c r="H65" s="94"/>
      <c r="R65"/>
    </row>
    <row r="66" spans="1:19" ht="15.75" customHeight="1" x14ac:dyDescent="0.35">
      <c r="A66" s="96" t="s">
        <v>43</v>
      </c>
      <c r="B66" s="96"/>
      <c r="C66" s="96"/>
      <c r="D66" s="160" t="s">
        <v>375</v>
      </c>
      <c r="E66" s="160"/>
      <c r="F66" s="160"/>
      <c r="G66" s="160"/>
      <c r="H66" s="160"/>
      <c r="J66" s="22"/>
      <c r="K66" s="21"/>
      <c r="N66" s="21"/>
      <c r="S66"/>
    </row>
    <row r="67" spans="1:19" ht="15.75" customHeight="1" x14ac:dyDescent="0.35">
      <c r="A67" s="96" t="s">
        <v>84</v>
      </c>
      <c r="B67" s="96"/>
      <c r="C67" s="96"/>
      <c r="D67" s="171" t="str">
        <f>(IF(G60="NA","60 Years After Completion",IF(G60&lt;&gt;"NA",""&amp;60-ROUNDDOWN((E3-G60)/360,0)&amp;" Years"," ")))</f>
        <v>60 Years After Completion</v>
      </c>
      <c r="E67" s="171"/>
      <c r="F67" s="171"/>
      <c r="G67" s="171"/>
      <c r="H67" s="171"/>
      <c r="N67" s="21"/>
      <c r="S67"/>
    </row>
    <row r="68" spans="1:19" ht="15.75" customHeight="1" x14ac:dyDescent="0.35">
      <c r="A68" s="96" t="s">
        <v>85</v>
      </c>
      <c r="B68" s="96"/>
      <c r="C68" s="96"/>
      <c r="D68" s="104" t="s">
        <v>23</v>
      </c>
      <c r="E68" s="104"/>
      <c r="F68" s="104"/>
      <c r="G68" s="104"/>
      <c r="H68" s="104"/>
      <c r="J68" s="23"/>
      <c r="K68" s="23"/>
      <c r="S68"/>
    </row>
    <row r="69" spans="1:19" ht="62.25" customHeight="1" x14ac:dyDescent="0.35">
      <c r="A69" s="94" t="s">
        <v>377</v>
      </c>
      <c r="B69" s="94"/>
      <c r="C69" s="94"/>
      <c r="D69" s="160" t="s">
        <v>378</v>
      </c>
      <c r="E69" s="160"/>
      <c r="F69" s="160"/>
      <c r="G69" s="160"/>
      <c r="H69" s="160"/>
      <c r="I69" s="84" t="s">
        <v>376</v>
      </c>
      <c r="S69"/>
    </row>
    <row r="70" spans="1:19" x14ac:dyDescent="0.35">
      <c r="A70" s="104" t="s">
        <v>145</v>
      </c>
      <c r="B70" s="104"/>
      <c r="C70" s="104"/>
      <c r="D70" s="104" t="s">
        <v>28</v>
      </c>
      <c r="E70" s="104"/>
      <c r="F70" s="104"/>
      <c r="G70" s="104"/>
      <c r="H70" s="104"/>
      <c r="I70" s="24"/>
      <c r="J70" s="24"/>
      <c r="K70" s="24"/>
      <c r="L70" s="24"/>
      <c r="M70" s="24"/>
      <c r="N70" s="24"/>
    </row>
    <row r="71" spans="1:19" ht="15.75" customHeight="1" x14ac:dyDescent="0.35">
      <c r="A71" s="240" t="s">
        <v>83</v>
      </c>
      <c r="B71" s="240"/>
      <c r="C71" s="240"/>
      <c r="D71" s="105" t="str">
        <f ca="1">(IF(G77&gt;95%,"Nothing",IF(G77&gt;0%,"Cement, Aggregate, Steel, etc",IF(G77=0%,"Work not yet Started"))))</f>
        <v>Cement, Aggregate, Steel, etc</v>
      </c>
      <c r="E71" s="105"/>
      <c r="F71" s="105"/>
      <c r="G71" s="105"/>
      <c r="H71" s="105"/>
      <c r="J71" s="23"/>
      <c r="S71"/>
    </row>
    <row r="72" spans="1:19" ht="33.75" customHeight="1" thickBot="1" x14ac:dyDescent="0.4">
      <c r="A72" s="239" t="s">
        <v>116</v>
      </c>
      <c r="B72" s="239"/>
      <c r="C72" s="239"/>
      <c r="D72" s="105" t="str">
        <f ca="1">(IF(D71="Nothing","Yes",IF(D71="Cement, Aggregate, Steel, etc","Under Construction",IF(D71="Work not yet Started","Work not yet Started"))))</f>
        <v>Under Construction</v>
      </c>
      <c r="E72" s="105"/>
      <c r="F72" s="105" t="str">
        <f ca="1">(IF(D71="Nothing","Yes",IF(D71="Cement, Aggregate, Steel, etc","Under Construction",IF(D71="Work not yet Started","Work not yet Started"))))</f>
        <v>Under Construction</v>
      </c>
      <c r="G72" s="105"/>
      <c r="H72" s="105"/>
      <c r="S72"/>
    </row>
    <row r="73" spans="1:19" ht="15.75" customHeight="1" x14ac:dyDescent="0.35">
      <c r="A73" s="232" t="s">
        <v>137</v>
      </c>
      <c r="B73" s="233"/>
      <c r="C73" s="234" t="str">
        <f>D65</f>
        <v>Gr + 1st to 27th Floor</v>
      </c>
      <c r="D73" s="235"/>
      <c r="E73" s="235"/>
      <c r="F73" s="235"/>
      <c r="G73" s="235"/>
      <c r="H73" s="236"/>
      <c r="I73" s="42" t="str">
        <f ca="1">IF(D86=100%,"All work Completed. Possession granted to the Building.",IF(D85=100%,"All work Completed, Waiting for OC",I74&amp;""&amp;I75&amp;""&amp;J74&amp;""&amp;J73&amp;" "&amp;J75))</f>
        <v>Excavation, Plinth Completed, RCC upto 19 Slab, Brickwork upto 14 Floor, Internal Plaster upto 11 Floor, External Plaster upto 3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19 Slab, Brickwork upto 14 Floor, Internal Plaster upto 11 Floor, External Plaster upto 3 Floor</v>
      </c>
      <c r="S73"/>
    </row>
    <row r="74" spans="1:19" x14ac:dyDescent="0.35">
      <c r="A74" s="15" t="s">
        <v>139</v>
      </c>
      <c r="B74" s="46">
        <f>IF(AND(ISNUMBER(SEARCH("1B",C73))),1,IF(AND(ISNUMBER(SEARCH("2B",C73))),2,IF(AND(ISNUMBER(SEARCH("3B",C73))),3,IF(AND(ISNUMBER(SEARCH("4B",C73))),4,IF(ISNUMBER(SEARCH("5B",C73)),5,0)))))</f>
        <v>0</v>
      </c>
      <c r="C74" s="46" t="s">
        <v>69</v>
      </c>
      <c r="D74" s="46">
        <v>1</v>
      </c>
      <c r="E74" s="46" t="s">
        <v>68</v>
      </c>
      <c r="F74" s="46">
        <v>0</v>
      </c>
      <c r="G74" s="46" t="s">
        <v>77</v>
      </c>
      <c r="H74" s="16">
        <f ca="1">--TRIM(RIGHT(SUBSTITUTE(LEFT(C73,_xlfn.AGGREGATE(16,6,FIND({0,1,2,3,4,5,6,7,8,9},C73,ROW(INDIRECT("1:"&amp;LEN(C73)))),1))," ",REPT(" ",LEN(C73))),LEN(C73)))</f>
        <v>27</v>
      </c>
      <c r="I74" s="44" t="str">
        <f ca="1">IF(D77=100%,"Excavation","")&amp;IF(D78=100%,", Plinth","")&amp;IF(D79=100%,", RCC Slab","")&amp;IF(D80=100%,", Brickwork","")&amp;IF(D81=100%,", Internal Plaster","")&amp;IF(D82=100%,", External Plaster","")&amp;IF(D83=100%,", Flooring","")&amp;IF(D84=100%,", Painting","")&amp;IF(D85=100%,", Building common Amenities","")</f>
        <v>Excavation, Plinth</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5" customHeight="1" x14ac:dyDescent="0.35">
      <c r="A75" s="231" t="s">
        <v>87</v>
      </c>
      <c r="B75" s="158"/>
      <c r="C75" s="237" t="str">
        <f ca="1">I73</f>
        <v>Excavation, Plinth Completed, RCC upto 19 Slab, Brickwork upto 14 Floor, Internal Plaster upto 11 Floor, External Plaster upto 3 Floor Completed</v>
      </c>
      <c r="D75" s="237"/>
      <c r="E75" s="237"/>
      <c r="F75" s="237"/>
      <c r="G75" s="237"/>
      <c r="H75" s="238"/>
      <c r="I75" s="44" t="str">
        <f ca="1">IF(I74&lt;&gt;""," Completed","")</f>
        <v xml:space="preserve"> Completed</v>
      </c>
      <c r="J75" s="45" t="str">
        <f ca="1">IF(J73&lt;&gt;"","Completed","")</f>
        <v>Completed</v>
      </c>
      <c r="S75"/>
    </row>
    <row r="76" spans="1:19" ht="15.75" customHeight="1" x14ac:dyDescent="0.35">
      <c r="A76" s="97" t="s">
        <v>47</v>
      </c>
      <c r="B76" s="98"/>
      <c r="C76" s="85" t="s">
        <v>136</v>
      </c>
      <c r="D76" s="85" t="s">
        <v>80</v>
      </c>
      <c r="E76" s="98" t="s">
        <v>82</v>
      </c>
      <c r="F76" s="98"/>
      <c r="G76" s="98" t="s">
        <v>81</v>
      </c>
      <c r="H76" s="106"/>
      <c r="I76" s="13" t="s">
        <v>138</v>
      </c>
      <c r="J76" s="25">
        <f ca="1">H74*25%</f>
        <v>6.75</v>
      </c>
      <c r="S76"/>
    </row>
    <row r="77" spans="1:19" x14ac:dyDescent="0.35">
      <c r="A77" s="97" t="s">
        <v>125</v>
      </c>
      <c r="B77" s="98"/>
      <c r="C77" s="85">
        <f ca="1">J78</f>
        <v>27</v>
      </c>
      <c r="D77" s="86">
        <f ca="1">((100/H74)*C77)/100</f>
        <v>1</v>
      </c>
      <c r="E77" s="211">
        <f ca="1">(((C78/H74*10)+(40/(D74+F74+H74)*C79)+(7.5/(H74)*C80)+(7.5/(H74)*C81)+(10/H74*C82)+(10/H74*C83)+(5/H74*C84)+(5/H74*C85)+(5/H74*C86))/100)</f>
        <v>0.45198412698412693</v>
      </c>
      <c r="F77" s="212"/>
      <c r="G77" s="211">
        <f ca="1">((((C77/H74)*20)+((C78/H74)*25)+(30/(H74+F74+D74)*C79)+(5/H74*C80)+(5/H74*C81)+(5/H74*C82)+(5/H74*C83)+(0/H74*C84)+(0/H74*C85)+(5/H74*C86))/100)</f>
        <v>0.70542328042328051</v>
      </c>
      <c r="H77" s="217"/>
      <c r="I77" s="13" t="s">
        <v>98</v>
      </c>
      <c r="J77" s="26">
        <f ca="1">H74*50%</f>
        <v>13.5</v>
      </c>
    </row>
    <row r="78" spans="1:19" x14ac:dyDescent="0.35">
      <c r="A78" s="97" t="s">
        <v>48</v>
      </c>
      <c r="B78" s="98"/>
      <c r="C78" s="85">
        <f ca="1">J86</f>
        <v>27</v>
      </c>
      <c r="D78" s="86">
        <f ca="1">((100/H74)*C78)/100</f>
        <v>1</v>
      </c>
      <c r="E78" s="213"/>
      <c r="F78" s="214"/>
      <c r="G78" s="213"/>
      <c r="H78" s="218"/>
      <c r="I78" s="13" t="s">
        <v>99</v>
      </c>
      <c r="J78" s="26">
        <f ca="1">H74</f>
        <v>27</v>
      </c>
      <c r="S78"/>
    </row>
    <row r="79" spans="1:19" ht="15.75" customHeight="1" x14ac:dyDescent="0.35">
      <c r="A79" s="97" t="s">
        <v>126</v>
      </c>
      <c r="B79" s="98"/>
      <c r="C79" s="85">
        <v>19</v>
      </c>
      <c r="D79" s="86">
        <f ca="1">((100/(D74+F74+H74))*C79)/100</f>
        <v>0.6785714285714286</v>
      </c>
      <c r="E79" s="213"/>
      <c r="F79" s="214"/>
      <c r="G79" s="213"/>
      <c r="H79" s="218"/>
      <c r="I79" s="13" t="s">
        <v>100</v>
      </c>
      <c r="J79" s="27">
        <f ca="1">(IF(B74&gt;1,(H74/(B74+2)),H74/4))</f>
        <v>6.75</v>
      </c>
      <c r="S79"/>
    </row>
    <row r="80" spans="1:19" ht="15.75" customHeight="1" x14ac:dyDescent="0.35">
      <c r="A80" s="97" t="s">
        <v>133</v>
      </c>
      <c r="B80" s="98" t="s">
        <v>127</v>
      </c>
      <c r="C80" s="85">
        <v>14</v>
      </c>
      <c r="D80" s="86">
        <f ca="1">((100/H74)*C80)/100</f>
        <v>0.5185185185185186</v>
      </c>
      <c r="E80" s="213"/>
      <c r="F80" s="214"/>
      <c r="G80" s="213"/>
      <c r="H80" s="218"/>
      <c r="I80" s="13" t="s">
        <v>101</v>
      </c>
      <c r="J80" s="27">
        <f ca="1">(IF(B74&gt;1,(H74/(B74+2)+J79),H74/4+J79))</f>
        <v>13.5</v>
      </c>
    </row>
    <row r="81" spans="1:22" ht="15.75" customHeight="1" x14ac:dyDescent="0.35">
      <c r="A81" s="97" t="s">
        <v>134</v>
      </c>
      <c r="B81" s="98" t="s">
        <v>127</v>
      </c>
      <c r="C81" s="85">
        <v>11</v>
      </c>
      <c r="D81" s="86">
        <f ca="1">((100/H74)*C81)/100</f>
        <v>0.40740740740740738</v>
      </c>
      <c r="E81" s="213"/>
      <c r="F81" s="214"/>
      <c r="G81" s="213"/>
      <c r="H81" s="218"/>
      <c r="I81" s="13" t="s">
        <v>143</v>
      </c>
      <c r="J81" s="27">
        <f>(IF(B74&gt;1,(H74/(B74+2)+J80),0))</f>
        <v>0</v>
      </c>
    </row>
    <row r="82" spans="1:22" ht="15" customHeight="1" x14ac:dyDescent="0.35">
      <c r="A82" s="97" t="s">
        <v>132</v>
      </c>
      <c r="B82" s="98" t="s">
        <v>129</v>
      </c>
      <c r="C82" s="85">
        <v>3</v>
      </c>
      <c r="D82" s="86">
        <f ca="1">((100/(H74))*C82)/100</f>
        <v>0.1111111111111111</v>
      </c>
      <c r="E82" s="213"/>
      <c r="F82" s="214"/>
      <c r="G82" s="213"/>
      <c r="H82" s="218"/>
      <c r="I82" s="13" t="s">
        <v>140</v>
      </c>
      <c r="J82" s="27">
        <f>(IF(B74&gt;2,(H74/(B74+2)+J81),0))</f>
        <v>0</v>
      </c>
    </row>
    <row r="83" spans="1:22" ht="15.75" customHeight="1" x14ac:dyDescent="0.35">
      <c r="A83" s="97" t="s">
        <v>128</v>
      </c>
      <c r="B83" s="98" t="s">
        <v>128</v>
      </c>
      <c r="C83" s="85">
        <v>0</v>
      </c>
      <c r="D83" s="86">
        <f ca="1">((100/H74)*C83)/100</f>
        <v>0</v>
      </c>
      <c r="E83" s="213"/>
      <c r="F83" s="214"/>
      <c r="G83" s="213"/>
      <c r="H83" s="218"/>
      <c r="I83" s="13" t="s">
        <v>141</v>
      </c>
      <c r="J83" s="28">
        <f>(IF(B74&gt;3,(H74/(B74+2)+J82),0))</f>
        <v>0</v>
      </c>
    </row>
    <row r="84" spans="1:22" ht="15.75" customHeight="1" x14ac:dyDescent="0.35">
      <c r="A84" s="97" t="s">
        <v>135</v>
      </c>
      <c r="B84" s="98"/>
      <c r="C84" s="85">
        <v>0</v>
      </c>
      <c r="D84" s="86">
        <f ca="1">((100/H74)*C84)/100</f>
        <v>0</v>
      </c>
      <c r="E84" s="213"/>
      <c r="F84" s="214"/>
      <c r="G84" s="213"/>
      <c r="H84" s="218"/>
      <c r="I84" s="13" t="s">
        <v>142</v>
      </c>
      <c r="J84" s="27">
        <f>(IF(B74&gt;4,(H74/(B74+2)+J83),0))</f>
        <v>0</v>
      </c>
    </row>
    <row r="85" spans="1:22" ht="15.75" customHeight="1" x14ac:dyDescent="0.35">
      <c r="A85" s="97" t="s">
        <v>130</v>
      </c>
      <c r="B85" s="98" t="s">
        <v>130</v>
      </c>
      <c r="C85" s="85">
        <v>0</v>
      </c>
      <c r="D85" s="86">
        <f ca="1">((100/(H74))*C85)/100</f>
        <v>0</v>
      </c>
      <c r="E85" s="213"/>
      <c r="F85" s="214"/>
      <c r="G85" s="213"/>
      <c r="H85" s="218"/>
      <c r="I85" s="13" t="s">
        <v>144</v>
      </c>
      <c r="J85" s="27">
        <f ca="1">(IF(B74=1,(H74/(B74+3)+J80),IF(B74=0,(H74/4+J80),IF(B74&gt;1,0))))</f>
        <v>20.25</v>
      </c>
    </row>
    <row r="86" spans="1:22" ht="16" thickBot="1" x14ac:dyDescent="0.4">
      <c r="A86" s="107" t="s">
        <v>131</v>
      </c>
      <c r="B86" s="108"/>
      <c r="C86" s="87">
        <v>0</v>
      </c>
      <c r="D86" s="88">
        <f ca="1">((100/(H74))*C86)/100</f>
        <v>0</v>
      </c>
      <c r="E86" s="215"/>
      <c r="F86" s="216"/>
      <c r="G86" s="215"/>
      <c r="H86" s="219"/>
      <c r="I86" s="14" t="s">
        <v>102</v>
      </c>
      <c r="J86" s="29">
        <f ca="1">(IF(B74&gt;1.5,(H74/(B74+2)+J80+MAX(0,J81-J80)+MAX(0,J82-J81)+MAX(0,J83-J82)+MAX(0,J84-J83)+MAX(0,J85-J84)),IF(B74=1,(H74/(B74+3)+J85),IF(B74=0,H74/4+J85))))</f>
        <v>27</v>
      </c>
    </row>
    <row r="87" spans="1:22" x14ac:dyDescent="0.35">
      <c r="A87" s="199" t="s">
        <v>154</v>
      </c>
      <c r="B87" s="199"/>
      <c r="C87" s="199"/>
      <c r="D87" s="199"/>
      <c r="E87" s="199"/>
      <c r="F87" s="115" t="s">
        <v>158</v>
      </c>
      <c r="G87" s="115"/>
      <c r="H87" s="115"/>
      <c r="R87" t="s">
        <v>251</v>
      </c>
      <c r="S87" t="s">
        <v>170</v>
      </c>
      <c r="T87" t="s">
        <v>178</v>
      </c>
      <c r="U87" t="s">
        <v>192</v>
      </c>
      <c r="V87" t="s">
        <v>187</v>
      </c>
    </row>
    <row r="88" spans="1:22" x14ac:dyDescent="0.35">
      <c r="A88" s="94" t="s">
        <v>156</v>
      </c>
      <c r="B88" s="94"/>
      <c r="C88" s="94"/>
      <c r="D88" s="94"/>
      <c r="E88" s="94"/>
      <c r="F88" s="116">
        <v>11000</v>
      </c>
      <c r="G88" s="116"/>
      <c r="H88" s="116"/>
      <c r="R88"/>
      <c r="S88">
        <v>800000</v>
      </c>
      <c r="T88">
        <v>150000</v>
      </c>
      <c r="U88">
        <v>100000</v>
      </c>
      <c r="V88">
        <v>100000</v>
      </c>
    </row>
    <row r="89" spans="1:22" x14ac:dyDescent="0.35">
      <c r="A89" s="94" t="s">
        <v>155</v>
      </c>
      <c r="B89" s="94"/>
      <c r="C89" s="94"/>
      <c r="D89" s="94"/>
      <c r="E89" s="94"/>
      <c r="F89" s="116">
        <v>20000</v>
      </c>
      <c r="G89" s="116"/>
      <c r="H89" s="116"/>
      <c r="I89" s="18">
        <f>14200/1.5</f>
        <v>9466.6666666666661</v>
      </c>
      <c r="R89"/>
      <c r="S89">
        <v>900000</v>
      </c>
      <c r="T89">
        <v>200000</v>
      </c>
      <c r="U89">
        <v>150000</v>
      </c>
      <c r="V89">
        <v>150000</v>
      </c>
    </row>
    <row r="90" spans="1:22" hidden="1" x14ac:dyDescent="0.35">
      <c r="A90" s="94" t="s">
        <v>157</v>
      </c>
      <c r="B90" s="94"/>
      <c r="C90" s="94"/>
      <c r="D90" s="94"/>
      <c r="E90" s="94"/>
      <c r="F90" s="116"/>
      <c r="G90" s="116"/>
      <c r="H90" s="116"/>
      <c r="R90"/>
      <c r="S90">
        <v>1000000</v>
      </c>
      <c r="T90">
        <v>250000</v>
      </c>
      <c r="U90">
        <v>200000</v>
      </c>
      <c r="V90">
        <v>200000</v>
      </c>
    </row>
    <row r="91" spans="1:22" s="30" customFormat="1" hidden="1" x14ac:dyDescent="0.35">
      <c r="A91" s="94" t="s">
        <v>173</v>
      </c>
      <c r="B91" s="94"/>
      <c r="C91" s="94"/>
      <c r="D91" s="94"/>
      <c r="E91" s="94"/>
      <c r="F91" s="116"/>
      <c r="G91" s="116"/>
      <c r="H91" s="116"/>
      <c r="R91"/>
      <c r="S91">
        <v>1100000</v>
      </c>
      <c r="T91">
        <v>300000</v>
      </c>
      <c r="U91">
        <v>250000</v>
      </c>
      <c r="V91" s="20">
        <v>250000</v>
      </c>
    </row>
    <row r="92" spans="1:22" s="30" customFormat="1" hidden="1" x14ac:dyDescent="0.35">
      <c r="A92" s="94" t="s">
        <v>92</v>
      </c>
      <c r="B92" s="94"/>
      <c r="C92" s="94"/>
      <c r="D92" s="94"/>
      <c r="E92" s="94"/>
      <c r="F92" s="116"/>
      <c r="G92" s="116"/>
      <c r="H92" s="116"/>
      <c r="R92"/>
      <c r="S92">
        <v>1200000</v>
      </c>
      <c r="T92">
        <v>350000</v>
      </c>
      <c r="U92">
        <v>300000</v>
      </c>
      <c r="V92">
        <v>300000</v>
      </c>
    </row>
    <row r="93" spans="1:22" s="30" customFormat="1" hidden="1" x14ac:dyDescent="0.35">
      <c r="A93" s="94" t="s">
        <v>93</v>
      </c>
      <c r="B93" s="94"/>
      <c r="C93" s="94"/>
      <c r="D93" s="94"/>
      <c r="E93" s="94"/>
      <c r="F93" s="116"/>
      <c r="G93" s="116"/>
      <c r="H93" s="116"/>
      <c r="R93"/>
      <c r="S93">
        <v>1300000</v>
      </c>
      <c r="T93">
        <v>400000</v>
      </c>
      <c r="U93">
        <v>350000</v>
      </c>
      <c r="V93" s="20">
        <v>400000</v>
      </c>
    </row>
    <row r="94" spans="1:22" s="30" customFormat="1" hidden="1" x14ac:dyDescent="0.35">
      <c r="A94" s="94" t="s">
        <v>94</v>
      </c>
      <c r="B94" s="94"/>
      <c r="C94" s="94"/>
      <c r="D94" s="94"/>
      <c r="E94" s="94"/>
      <c r="F94" s="116"/>
      <c r="G94" s="116"/>
      <c r="H94" s="116"/>
      <c r="R94"/>
      <c r="S94">
        <v>1400000</v>
      </c>
      <c r="T94">
        <v>500000</v>
      </c>
      <c r="U94">
        <v>400000</v>
      </c>
      <c r="V94"/>
    </row>
    <row r="95" spans="1:22" s="30" customFormat="1" hidden="1" x14ac:dyDescent="0.35">
      <c r="A95" s="96" t="s">
        <v>95</v>
      </c>
      <c r="B95" s="96"/>
      <c r="C95" s="96"/>
      <c r="D95" s="96"/>
      <c r="E95" s="96"/>
      <c r="F95" s="116"/>
      <c r="G95" s="116"/>
      <c r="H95" s="116"/>
      <c r="R95"/>
      <c r="S95">
        <v>1500000</v>
      </c>
      <c r="T95">
        <v>600000</v>
      </c>
      <c r="U95">
        <v>500000</v>
      </c>
      <c r="V95" s="20"/>
    </row>
    <row r="96" spans="1:22" s="30" customFormat="1" hidden="1" x14ac:dyDescent="0.35">
      <c r="A96" s="96" t="s">
        <v>96</v>
      </c>
      <c r="B96" s="96"/>
      <c r="C96" s="96"/>
      <c r="D96" s="96"/>
      <c r="E96" s="96"/>
      <c r="F96" s="116"/>
      <c r="G96" s="116"/>
      <c r="H96" s="116"/>
      <c r="R96"/>
      <c r="S96">
        <v>1600000</v>
      </c>
      <c r="T96">
        <v>700000</v>
      </c>
      <c r="U96">
        <v>600000</v>
      </c>
      <c r="V96"/>
    </row>
    <row r="97" spans="1:22" s="30" customFormat="1" hidden="1" x14ac:dyDescent="0.35">
      <c r="A97" s="96" t="s">
        <v>97</v>
      </c>
      <c r="B97" s="96"/>
      <c r="C97" s="96"/>
      <c r="D97" s="96"/>
      <c r="E97" s="96"/>
      <c r="F97" s="116"/>
      <c r="G97" s="116"/>
      <c r="H97" s="116"/>
      <c r="R97"/>
      <c r="S97">
        <v>1700000</v>
      </c>
      <c r="T97">
        <v>800000</v>
      </c>
      <c r="U97"/>
      <c r="V97" s="20"/>
    </row>
    <row r="98" spans="1:22" x14ac:dyDescent="0.35">
      <c r="A98" s="96" t="s">
        <v>49</v>
      </c>
      <c r="B98" s="96"/>
      <c r="C98" s="96"/>
      <c r="D98" s="96"/>
      <c r="E98" s="96"/>
      <c r="F98" s="116">
        <v>500000</v>
      </c>
      <c r="G98" s="116"/>
      <c r="H98" s="116"/>
      <c r="R98"/>
      <c r="S98">
        <v>1800000</v>
      </c>
      <c r="T98">
        <v>900000</v>
      </c>
      <c r="U98"/>
    </row>
    <row r="99" spans="1:22" s="31" customFormat="1" x14ac:dyDescent="0.35">
      <c r="A99" s="152" t="s">
        <v>50</v>
      </c>
      <c r="B99" s="152"/>
      <c r="C99" s="152"/>
      <c r="D99" s="152"/>
      <c r="E99" s="152"/>
      <c r="F99" s="116">
        <f>F88*0.8</f>
        <v>8800</v>
      </c>
      <c r="G99" s="116"/>
      <c r="H99" s="116"/>
      <c r="R99" s="18"/>
      <c r="S99" s="18"/>
      <c r="T99">
        <v>1000000</v>
      </c>
      <c r="U99"/>
      <c r="V99" s="18"/>
    </row>
    <row r="100" spans="1:22" s="32" customFormat="1" ht="15.75" customHeight="1" x14ac:dyDescent="0.35">
      <c r="A100" s="151" t="s">
        <v>72</v>
      </c>
      <c r="B100" s="151"/>
      <c r="C100" s="151"/>
      <c r="D100" s="151"/>
      <c r="E100" s="151"/>
      <c r="F100" s="151"/>
      <c r="G100" s="151"/>
      <c r="H100" s="151"/>
      <c r="R100"/>
      <c r="S100" s="18"/>
      <c r="T100"/>
      <c r="U100"/>
      <c r="V100" s="18"/>
    </row>
    <row r="101" spans="1:22" s="32" customFormat="1" ht="15.75" customHeight="1" x14ac:dyDescent="0.35">
      <c r="A101" s="120" t="s">
        <v>51</v>
      </c>
      <c r="B101" s="120"/>
      <c r="C101" s="125" t="s">
        <v>75</v>
      </c>
      <c r="D101" s="125"/>
      <c r="E101" s="124" t="s">
        <v>52</v>
      </c>
      <c r="F101" s="124"/>
      <c r="G101" s="120" t="s">
        <v>53</v>
      </c>
      <c r="H101" s="120"/>
      <c r="R101"/>
      <c r="S101" s="18"/>
      <c r="T101"/>
      <c r="U101" s="18"/>
      <c r="V101" s="18"/>
    </row>
    <row r="102" spans="1:22" s="32" customFormat="1" x14ac:dyDescent="0.35">
      <c r="A102" s="153" t="s">
        <v>380</v>
      </c>
      <c r="B102" s="153"/>
      <c r="C102" s="191">
        <f>COUNT(F114:F134)</f>
        <v>21</v>
      </c>
      <c r="D102" s="205"/>
      <c r="E102" s="133">
        <f>SUM(F114:F134)</f>
        <v>6014.3849999999993</v>
      </c>
      <c r="F102" s="134"/>
      <c r="G102" s="133">
        <f>SUM(H114:H134)</f>
        <v>9021.5774999999994</v>
      </c>
      <c r="H102" s="134"/>
      <c r="R102"/>
      <c r="S102" s="18"/>
      <c r="T102"/>
      <c r="U102" s="18"/>
      <c r="V102" s="18"/>
    </row>
    <row r="103" spans="1:22" s="32" customFormat="1" x14ac:dyDescent="0.35">
      <c r="A103" s="151" t="s">
        <v>147</v>
      </c>
      <c r="B103" s="151"/>
      <c r="C103" s="224">
        <f t="shared" ref="C103:G103" si="0">SUM(C102)</f>
        <v>21</v>
      </c>
      <c r="D103" s="125"/>
      <c r="E103" s="225">
        <f t="shared" si="0"/>
        <v>6014.3849999999993</v>
      </c>
      <c r="F103" s="124"/>
      <c r="G103" s="120">
        <f t="shared" si="0"/>
        <v>9021.5774999999994</v>
      </c>
      <c r="H103" s="120"/>
      <c r="R103"/>
      <c r="S103" s="18"/>
      <c r="T103"/>
      <c r="U103" s="18"/>
      <c r="V103" s="18"/>
    </row>
    <row r="104" spans="1:22" s="32" customFormat="1" x14ac:dyDescent="0.35">
      <c r="A104" s="151" t="s">
        <v>67</v>
      </c>
      <c r="B104" s="151"/>
      <c r="C104" s="151"/>
      <c r="D104" s="151"/>
      <c r="E104" s="151"/>
      <c r="F104" s="151"/>
      <c r="G104" s="151"/>
      <c r="H104" s="151"/>
      <c r="T104"/>
    </row>
    <row r="105" spans="1:22" s="32" customFormat="1" ht="15.75" customHeight="1" x14ac:dyDescent="0.35">
      <c r="A105" s="120" t="s">
        <v>51</v>
      </c>
      <c r="B105" s="120"/>
      <c r="C105" s="125" t="s">
        <v>75</v>
      </c>
      <c r="D105" s="125"/>
      <c r="E105" s="124" t="s">
        <v>52</v>
      </c>
      <c r="F105" s="124"/>
      <c r="G105" s="120" t="s">
        <v>53</v>
      </c>
      <c r="H105" s="120"/>
      <c r="T105"/>
    </row>
    <row r="106" spans="1:22" s="32" customFormat="1" x14ac:dyDescent="0.35">
      <c r="A106" s="153" t="s">
        <v>66</v>
      </c>
      <c r="B106" s="153"/>
      <c r="C106" s="191">
        <f>COUNT(F140:F143)+COUNT(F146:F151)*18+COUNT(F155:F159)*6</f>
        <v>142</v>
      </c>
      <c r="D106" s="191"/>
      <c r="E106" s="133">
        <f>SUM(F140:F143)+SUM(F146:F151)*18+SUM(F155:F159)*6</f>
        <v>95681.734200000006</v>
      </c>
      <c r="F106" s="133"/>
      <c r="G106" s="133">
        <f>SUM(H140:H143)+SUM(H146:H151)*18+SUM(H155:H159)*6</f>
        <v>143855.61255000002</v>
      </c>
      <c r="H106" s="133"/>
      <c r="T106"/>
    </row>
    <row r="107" spans="1:22" s="32" customFormat="1" ht="16" thickBot="1" x14ac:dyDescent="0.4">
      <c r="A107" s="220" t="s">
        <v>147</v>
      </c>
      <c r="B107" s="220"/>
      <c r="C107" s="135">
        <f t="shared" ref="C107:G107" si="1">SUM(C106)</f>
        <v>142</v>
      </c>
      <c r="D107" s="136"/>
      <c r="E107" s="221">
        <f t="shared" si="1"/>
        <v>95681.734200000006</v>
      </c>
      <c r="F107" s="222"/>
      <c r="G107" s="223">
        <f t="shared" si="1"/>
        <v>143855.61255000002</v>
      </c>
      <c r="H107" s="223"/>
      <c r="T107"/>
    </row>
    <row r="108" spans="1:22" s="32" customFormat="1" ht="16" thickBot="1" x14ac:dyDescent="0.4">
      <c r="A108" s="197" t="s">
        <v>164</v>
      </c>
      <c r="B108" s="198"/>
      <c r="C108" s="155">
        <f>C103+C107</f>
        <v>163</v>
      </c>
      <c r="D108" s="155"/>
      <c r="E108" s="226">
        <f>E103+E107</f>
        <v>101696.1192</v>
      </c>
      <c r="F108" s="226"/>
      <c r="G108" s="206">
        <f>G103+G107</f>
        <v>152877.19005000003</v>
      </c>
      <c r="H108" s="207"/>
      <c r="T108"/>
    </row>
    <row r="109" spans="1:22" s="31" customFormat="1" x14ac:dyDescent="0.35">
      <c r="A109" s="228" t="s">
        <v>54</v>
      </c>
      <c r="B109" s="228"/>
      <c r="C109" s="228"/>
      <c r="D109" s="228"/>
      <c r="E109" s="228"/>
      <c r="F109" s="228"/>
      <c r="G109" s="228"/>
      <c r="H109" s="228"/>
      <c r="T109" s="32"/>
    </row>
    <row r="110" spans="1:22" x14ac:dyDescent="0.35">
      <c r="A110" s="119" t="s">
        <v>172</v>
      </c>
      <c r="B110" s="119"/>
      <c r="C110" s="119"/>
      <c r="D110" s="119"/>
      <c r="E110" s="119"/>
      <c r="F110" s="119"/>
      <c r="G110" s="119"/>
      <c r="H110" s="119"/>
      <c r="T110" s="32"/>
    </row>
    <row r="111" spans="1:22" ht="47.25" customHeight="1" x14ac:dyDescent="0.35">
      <c r="A111" s="203" t="s">
        <v>117</v>
      </c>
      <c r="B111" s="131" t="s">
        <v>174</v>
      </c>
      <c r="C111" s="203" t="s">
        <v>55</v>
      </c>
      <c r="D111" s="131" t="s">
        <v>230</v>
      </c>
      <c r="E111" s="195" t="s">
        <v>153</v>
      </c>
      <c r="F111" s="203" t="s">
        <v>56</v>
      </c>
      <c r="G111" s="200" t="s">
        <v>57</v>
      </c>
      <c r="H111" s="90" t="s">
        <v>146</v>
      </c>
      <c r="T111" s="32"/>
    </row>
    <row r="112" spans="1:22" s="34" customFormat="1" x14ac:dyDescent="0.35">
      <c r="A112" s="204"/>
      <c r="B112" s="132"/>
      <c r="C112" s="204"/>
      <c r="D112" s="132"/>
      <c r="E112" s="196"/>
      <c r="F112" s="204"/>
      <c r="G112" s="201"/>
      <c r="H112" s="89">
        <v>0.5</v>
      </c>
      <c r="I112" s="91">
        <v>10.763999999999999</v>
      </c>
      <c r="T112" s="32"/>
    </row>
    <row r="113" spans="1:20" s="34" customFormat="1" x14ac:dyDescent="0.35">
      <c r="A113" s="192" t="s">
        <v>379</v>
      </c>
      <c r="B113" s="193"/>
      <c r="C113" s="193"/>
      <c r="D113" s="193"/>
      <c r="E113" s="193"/>
      <c r="F113" s="193"/>
      <c r="G113" s="193"/>
      <c r="H113" s="194"/>
      <c r="J113" s="33"/>
      <c r="T113" s="32"/>
    </row>
    <row r="114" spans="1:20" s="34" customFormat="1" ht="15.75" customHeight="1" x14ac:dyDescent="0.35">
      <c r="A114" s="109">
        <v>1</v>
      </c>
      <c r="B114" s="110"/>
      <c r="C114" s="39" t="s">
        <v>380</v>
      </c>
      <c r="D114" s="91">
        <f>(44.55)*10.764</f>
        <v>479.53619999999995</v>
      </c>
      <c r="E114" s="39">
        <v>0</v>
      </c>
      <c r="F114" s="56">
        <f t="shared" ref="F114:F134" si="2">D114+(IF(E114&lt;201,E114,IF(E114&lt;301,E114/2,E114/3)))</f>
        <v>479.53619999999995</v>
      </c>
      <c r="G114" s="57">
        <v>0</v>
      </c>
      <c r="H114" s="56">
        <f t="shared" ref="H114:H134" si="3">(F114+(IF(G114&lt;101,G114,IF(G114&lt;201,G114/2,IF(G114&lt;=301,G114/3,G114/4)))))*(($H$112)+1)</f>
        <v>719.3042999999999</v>
      </c>
      <c r="I114" s="33"/>
      <c r="L114" s="190"/>
      <c r="M114" s="190"/>
      <c r="N114" s="33"/>
      <c r="T114" s="32"/>
    </row>
    <row r="115" spans="1:20" s="34" customFormat="1" ht="15.75" customHeight="1" x14ac:dyDescent="0.35">
      <c r="A115" s="109">
        <f>A114+1</f>
        <v>2</v>
      </c>
      <c r="B115" s="110"/>
      <c r="C115" s="83" t="s">
        <v>380</v>
      </c>
      <c r="D115" s="91">
        <f>(16.05)*10.764</f>
        <v>172.76220000000001</v>
      </c>
      <c r="E115" s="39">
        <v>0</v>
      </c>
      <c r="F115" s="56">
        <f t="shared" si="2"/>
        <v>172.76220000000001</v>
      </c>
      <c r="G115" s="50">
        <v>0</v>
      </c>
      <c r="H115" s="56">
        <f t="shared" si="3"/>
        <v>259.14330000000001</v>
      </c>
      <c r="I115" s="33">
        <f>2.055*7.81</f>
        <v>16.04955</v>
      </c>
      <c r="L115" s="190"/>
      <c r="M115" s="190"/>
      <c r="N115" s="33"/>
      <c r="T115" s="31"/>
    </row>
    <row r="116" spans="1:20" s="34" customFormat="1" ht="15.75" customHeight="1" x14ac:dyDescent="0.35">
      <c r="A116" s="109">
        <f>A115+1</f>
        <v>3</v>
      </c>
      <c r="B116" s="110"/>
      <c r="C116" s="83" t="s">
        <v>380</v>
      </c>
      <c r="D116" s="91">
        <f>(18.9)*10.764</f>
        <v>203.43959999999998</v>
      </c>
      <c r="E116" s="39">
        <v>0</v>
      </c>
      <c r="F116" s="56">
        <f t="shared" si="2"/>
        <v>203.43959999999998</v>
      </c>
      <c r="G116" s="50">
        <v>0</v>
      </c>
      <c r="H116" s="56">
        <f t="shared" si="3"/>
        <v>305.15940000000001</v>
      </c>
      <c r="I116" s="33"/>
      <c r="L116" s="190"/>
      <c r="M116" s="190"/>
      <c r="N116" s="33"/>
      <c r="T116" s="18"/>
    </row>
    <row r="117" spans="1:20" s="34" customFormat="1" ht="15.75" customHeight="1" x14ac:dyDescent="0.35">
      <c r="A117" s="109">
        <f>A116+1</f>
        <v>4</v>
      </c>
      <c r="B117" s="110"/>
      <c r="C117" s="83" t="s">
        <v>380</v>
      </c>
      <c r="D117" s="91">
        <f>(18.901)*10.764</f>
        <v>203.45036399999998</v>
      </c>
      <c r="E117" s="39">
        <v>0</v>
      </c>
      <c r="F117" s="56">
        <f t="shared" si="2"/>
        <v>203.45036399999998</v>
      </c>
      <c r="G117" s="50">
        <v>0</v>
      </c>
      <c r="H117" s="56">
        <f t="shared" si="3"/>
        <v>305.17554599999994</v>
      </c>
      <c r="I117" s="33"/>
      <c r="L117" s="190"/>
      <c r="M117" s="190"/>
      <c r="N117" s="33"/>
      <c r="T117" s="18"/>
    </row>
    <row r="118" spans="1:20" s="34" customFormat="1" x14ac:dyDescent="0.35">
      <c r="A118" s="109">
        <v>5</v>
      </c>
      <c r="B118" s="110"/>
      <c r="C118" s="83" t="s">
        <v>380</v>
      </c>
      <c r="D118" s="91">
        <f>(23.548)*10.764</f>
        <v>253.47067199999998</v>
      </c>
      <c r="E118" s="83">
        <v>0</v>
      </c>
      <c r="F118" s="83">
        <f t="shared" si="2"/>
        <v>253.47067199999998</v>
      </c>
      <c r="G118" s="57">
        <v>0</v>
      </c>
      <c r="H118" s="83">
        <f t="shared" si="3"/>
        <v>380.206008</v>
      </c>
      <c r="I118" s="33"/>
      <c r="N118" s="33"/>
    </row>
    <row r="119" spans="1:20" x14ac:dyDescent="0.35">
      <c r="A119" s="109">
        <f t="shared" ref="A119:A124" si="4">A118+1</f>
        <v>6</v>
      </c>
      <c r="B119" s="110"/>
      <c r="C119" s="83" t="s">
        <v>380</v>
      </c>
      <c r="D119" s="91">
        <f>(23.548)*10.764</f>
        <v>253.47067199999998</v>
      </c>
      <c r="E119" s="83">
        <v>0</v>
      </c>
      <c r="F119" s="83">
        <f t="shared" si="2"/>
        <v>253.47067199999998</v>
      </c>
      <c r="G119" s="83">
        <v>0</v>
      </c>
      <c r="H119" s="83">
        <f t="shared" si="3"/>
        <v>380.206008</v>
      </c>
      <c r="I119" s="33"/>
      <c r="T119" s="34"/>
    </row>
    <row r="120" spans="1:20" s="34" customFormat="1" x14ac:dyDescent="0.35">
      <c r="A120" s="109">
        <f t="shared" si="4"/>
        <v>7</v>
      </c>
      <c r="B120" s="110"/>
      <c r="C120" s="83" t="s">
        <v>380</v>
      </c>
      <c r="D120" s="91">
        <f>(18.901)*10.764</f>
        <v>203.45036399999998</v>
      </c>
      <c r="E120" s="83">
        <v>0</v>
      </c>
      <c r="F120" s="83">
        <f t="shared" si="2"/>
        <v>203.45036399999998</v>
      </c>
      <c r="G120" s="83">
        <v>0</v>
      </c>
      <c r="H120" s="83">
        <f t="shared" si="3"/>
        <v>305.17554599999994</v>
      </c>
      <c r="I120" s="33"/>
    </row>
    <row r="121" spans="1:20" s="34" customFormat="1" x14ac:dyDescent="0.35">
      <c r="A121" s="109">
        <f t="shared" si="4"/>
        <v>8</v>
      </c>
      <c r="B121" s="110"/>
      <c r="C121" s="83" t="s">
        <v>380</v>
      </c>
      <c r="D121" s="91">
        <f>(18.901)*10.764</f>
        <v>203.45036399999998</v>
      </c>
      <c r="E121" s="83">
        <v>0</v>
      </c>
      <c r="F121" s="83">
        <f t="shared" si="2"/>
        <v>203.45036399999998</v>
      </c>
      <c r="G121" s="83">
        <v>0</v>
      </c>
      <c r="H121" s="83">
        <f t="shared" si="3"/>
        <v>305.17554599999994</v>
      </c>
      <c r="J121" s="33"/>
    </row>
    <row r="122" spans="1:20" s="34" customFormat="1" ht="15.75" customHeight="1" x14ac:dyDescent="0.35">
      <c r="A122" s="109">
        <f t="shared" si="4"/>
        <v>9</v>
      </c>
      <c r="B122" s="110"/>
      <c r="C122" s="83" t="s">
        <v>380</v>
      </c>
      <c r="D122" s="91">
        <f>(33.272)*10.764</f>
        <v>358.13980799999996</v>
      </c>
      <c r="E122" s="83">
        <v>0</v>
      </c>
      <c r="F122" s="83">
        <f t="shared" si="2"/>
        <v>358.13980799999996</v>
      </c>
      <c r="G122" s="83">
        <v>0</v>
      </c>
      <c r="H122" s="83">
        <f t="shared" si="3"/>
        <v>537.20971199999997</v>
      </c>
      <c r="I122" s="33"/>
      <c r="L122" s="190"/>
      <c r="M122" s="190"/>
      <c r="N122" s="33"/>
    </row>
    <row r="123" spans="1:20" s="34" customFormat="1" ht="15.75" customHeight="1" x14ac:dyDescent="0.35">
      <c r="A123" s="109">
        <f t="shared" si="4"/>
        <v>10</v>
      </c>
      <c r="B123" s="110"/>
      <c r="C123" s="83" t="s">
        <v>380</v>
      </c>
      <c r="D123" s="91">
        <f>(18.901)*10.764</f>
        <v>203.45036399999998</v>
      </c>
      <c r="E123" s="83">
        <v>0</v>
      </c>
      <c r="F123" s="83">
        <f t="shared" si="2"/>
        <v>203.45036399999998</v>
      </c>
      <c r="G123" s="83">
        <v>0</v>
      </c>
      <c r="H123" s="83">
        <f t="shared" si="3"/>
        <v>305.17554599999994</v>
      </c>
      <c r="I123" s="33"/>
      <c r="L123" s="190"/>
      <c r="M123" s="190"/>
      <c r="N123" s="33"/>
    </row>
    <row r="124" spans="1:20" s="34" customFormat="1" ht="15.75" customHeight="1" x14ac:dyDescent="0.35">
      <c r="A124" s="109">
        <f t="shared" si="4"/>
        <v>11</v>
      </c>
      <c r="B124" s="110"/>
      <c r="C124" s="83" t="s">
        <v>380</v>
      </c>
      <c r="D124" s="91">
        <f>(18.901)*10.764</f>
        <v>203.45036399999998</v>
      </c>
      <c r="E124" s="83">
        <v>0</v>
      </c>
      <c r="F124" s="83">
        <f t="shared" si="2"/>
        <v>203.45036399999998</v>
      </c>
      <c r="G124" s="83">
        <v>0</v>
      </c>
      <c r="H124" s="83">
        <f t="shared" si="3"/>
        <v>305.17554599999994</v>
      </c>
      <c r="I124" s="33"/>
      <c r="L124" s="190"/>
      <c r="M124" s="190"/>
      <c r="N124" s="33"/>
    </row>
    <row r="125" spans="1:20" s="34" customFormat="1" ht="15.75" customHeight="1" x14ac:dyDescent="0.35">
      <c r="A125" s="109">
        <v>12</v>
      </c>
      <c r="B125" s="110"/>
      <c r="C125" s="83" t="s">
        <v>380</v>
      </c>
      <c r="D125" s="91">
        <f>(23.548)*10.764</f>
        <v>253.47067199999998</v>
      </c>
      <c r="E125" s="83">
        <v>0</v>
      </c>
      <c r="F125" s="83">
        <f t="shared" si="2"/>
        <v>253.47067199999998</v>
      </c>
      <c r="G125" s="57">
        <v>0</v>
      </c>
      <c r="H125" s="83">
        <f t="shared" si="3"/>
        <v>380.206008</v>
      </c>
      <c r="I125" s="33"/>
      <c r="L125" s="190"/>
      <c r="M125" s="190"/>
      <c r="N125" s="33"/>
      <c r="T125" s="18"/>
    </row>
    <row r="126" spans="1:20" s="34" customFormat="1" x14ac:dyDescent="0.35">
      <c r="A126" s="109">
        <f>A125+1</f>
        <v>13</v>
      </c>
      <c r="B126" s="110"/>
      <c r="C126" s="83" t="s">
        <v>380</v>
      </c>
      <c r="D126" s="91">
        <f>(25.891)*10.764</f>
        <v>278.69072399999999</v>
      </c>
      <c r="E126" s="83">
        <v>0</v>
      </c>
      <c r="F126" s="83">
        <f t="shared" si="2"/>
        <v>278.69072399999999</v>
      </c>
      <c r="G126" s="83">
        <v>0</v>
      </c>
      <c r="H126" s="83">
        <f t="shared" si="3"/>
        <v>418.03608599999995</v>
      </c>
      <c r="I126" s="33"/>
      <c r="L126" s="190"/>
      <c r="M126" s="190"/>
    </row>
    <row r="127" spans="1:20" s="34" customFormat="1" x14ac:dyDescent="0.35">
      <c r="A127" s="109">
        <f>A126+1</f>
        <v>14</v>
      </c>
      <c r="B127" s="110"/>
      <c r="C127" s="83" t="s">
        <v>380</v>
      </c>
      <c r="D127" s="91">
        <f>(21.478)*10.764</f>
        <v>231.18919199999999</v>
      </c>
      <c r="E127" s="83">
        <v>0</v>
      </c>
      <c r="F127" s="83">
        <f t="shared" si="2"/>
        <v>231.18919199999999</v>
      </c>
      <c r="G127" s="83">
        <v>0</v>
      </c>
      <c r="H127" s="83">
        <f t="shared" si="3"/>
        <v>346.78378799999996</v>
      </c>
      <c r="I127" s="33"/>
      <c r="N127" s="33"/>
    </row>
    <row r="128" spans="1:20" s="34" customFormat="1" x14ac:dyDescent="0.35">
      <c r="A128" s="109">
        <f>A127+1</f>
        <v>15</v>
      </c>
      <c r="B128" s="110"/>
      <c r="C128" s="83" t="s">
        <v>380</v>
      </c>
      <c r="D128" s="91">
        <f>(42.619)*10.764</f>
        <v>458.75091599999996</v>
      </c>
      <c r="E128" s="83">
        <v>0</v>
      </c>
      <c r="F128" s="83">
        <f t="shared" si="2"/>
        <v>458.75091599999996</v>
      </c>
      <c r="G128" s="83">
        <v>0</v>
      </c>
      <c r="H128" s="83">
        <f t="shared" si="3"/>
        <v>688.12637399999994</v>
      </c>
      <c r="I128" s="33"/>
      <c r="N128" s="33"/>
    </row>
    <row r="129" spans="1:20" s="34" customFormat="1" x14ac:dyDescent="0.35">
      <c r="A129" s="109">
        <v>16</v>
      </c>
      <c r="B129" s="110"/>
      <c r="C129" s="83" t="s">
        <v>380</v>
      </c>
      <c r="D129" s="91">
        <f>(31.162)*10.764</f>
        <v>335.42776799999996</v>
      </c>
      <c r="E129" s="83">
        <v>0</v>
      </c>
      <c r="F129" s="83">
        <f t="shared" si="2"/>
        <v>335.42776799999996</v>
      </c>
      <c r="G129" s="57">
        <v>0</v>
      </c>
      <c r="H129" s="83">
        <f t="shared" si="3"/>
        <v>503.14165199999991</v>
      </c>
      <c r="I129" s="33"/>
      <c r="N129" s="33"/>
    </row>
    <row r="130" spans="1:20" s="34" customFormat="1" x14ac:dyDescent="0.35">
      <c r="A130" s="109">
        <f>A129+1</f>
        <v>17</v>
      </c>
      <c r="B130" s="110"/>
      <c r="C130" s="83" t="s">
        <v>380</v>
      </c>
      <c r="D130" s="91">
        <f>(17.484)*10.764</f>
        <v>188.197776</v>
      </c>
      <c r="E130" s="83">
        <v>0</v>
      </c>
      <c r="F130" s="83">
        <f t="shared" si="2"/>
        <v>188.197776</v>
      </c>
      <c r="G130" s="83">
        <v>0</v>
      </c>
      <c r="H130" s="83">
        <f t="shared" si="3"/>
        <v>282.29666400000002</v>
      </c>
      <c r="I130" s="33"/>
      <c r="N130" s="33"/>
    </row>
    <row r="131" spans="1:20" s="34" customFormat="1" x14ac:dyDescent="0.35">
      <c r="A131" s="109">
        <f>A130+1</f>
        <v>18</v>
      </c>
      <c r="B131" s="110"/>
      <c r="C131" s="83" t="s">
        <v>380</v>
      </c>
      <c r="D131" s="91">
        <f>(34.036)*10.764</f>
        <v>366.36350399999998</v>
      </c>
      <c r="E131" s="83">
        <v>0</v>
      </c>
      <c r="F131" s="83">
        <f t="shared" si="2"/>
        <v>366.36350399999998</v>
      </c>
      <c r="G131" s="83">
        <v>0</v>
      </c>
      <c r="H131" s="83">
        <f t="shared" si="3"/>
        <v>549.54525599999999</v>
      </c>
      <c r="I131" s="33"/>
      <c r="N131" s="33"/>
    </row>
    <row r="132" spans="1:20" s="34" customFormat="1" ht="15.75" customHeight="1" x14ac:dyDescent="0.35">
      <c r="A132" s="109">
        <f>A131+1</f>
        <v>19</v>
      </c>
      <c r="B132" s="110"/>
      <c r="C132" s="83" t="s">
        <v>380</v>
      </c>
      <c r="D132" s="91">
        <f>(28.839)*10.764</f>
        <v>310.42299599999996</v>
      </c>
      <c r="E132" s="83">
        <v>0</v>
      </c>
      <c r="F132" s="83">
        <f t="shared" si="2"/>
        <v>310.42299599999996</v>
      </c>
      <c r="G132" s="83">
        <v>0</v>
      </c>
      <c r="H132" s="83">
        <f t="shared" si="3"/>
        <v>465.6344939999999</v>
      </c>
      <c r="I132" s="33"/>
    </row>
    <row r="133" spans="1:20" s="34" customFormat="1" ht="15.75" customHeight="1" x14ac:dyDescent="0.35">
      <c r="A133" s="109">
        <v>20</v>
      </c>
      <c r="B133" s="110"/>
      <c r="C133" s="83" t="s">
        <v>380</v>
      </c>
      <c r="D133" s="91">
        <f>(36.56)*10.764</f>
        <v>393.53183999999999</v>
      </c>
      <c r="E133" s="83">
        <v>0</v>
      </c>
      <c r="F133" s="83">
        <f t="shared" si="2"/>
        <v>393.53183999999999</v>
      </c>
      <c r="G133" s="57">
        <v>0</v>
      </c>
      <c r="H133" s="83">
        <f t="shared" si="3"/>
        <v>590.29775999999993</v>
      </c>
      <c r="I133" s="33"/>
    </row>
    <row r="134" spans="1:20" s="34" customFormat="1" ht="15.75" customHeight="1" x14ac:dyDescent="0.35">
      <c r="A134" s="109">
        <f>A133+1</f>
        <v>21</v>
      </c>
      <c r="B134" s="110"/>
      <c r="C134" s="83" t="s">
        <v>380</v>
      </c>
      <c r="D134" s="91">
        <f>(42.76)*10.764</f>
        <v>460.26863999999995</v>
      </c>
      <c r="E134" s="83">
        <v>0</v>
      </c>
      <c r="F134" s="83">
        <f t="shared" si="2"/>
        <v>460.26863999999995</v>
      </c>
      <c r="G134" s="83">
        <v>0</v>
      </c>
      <c r="H134" s="83">
        <f t="shared" si="3"/>
        <v>690.40295999999989</v>
      </c>
      <c r="I134" s="33"/>
    </row>
    <row r="135" spans="1:20" s="34" customFormat="1" x14ac:dyDescent="0.35">
      <c r="A135" s="109"/>
      <c r="B135" s="227"/>
      <c r="C135" s="227"/>
      <c r="D135" s="227"/>
      <c r="E135" s="227"/>
      <c r="F135" s="227"/>
      <c r="G135" s="227"/>
      <c r="H135" s="110"/>
      <c r="I135" s="33"/>
    </row>
    <row r="136" spans="1:20" s="34" customFormat="1" ht="35.25" customHeight="1" x14ac:dyDescent="0.35">
      <c r="A136" s="229" t="s">
        <v>381</v>
      </c>
      <c r="B136" s="131" t="s">
        <v>175</v>
      </c>
      <c r="C136" s="131" t="s">
        <v>55</v>
      </c>
      <c r="D136" s="131" t="s">
        <v>230</v>
      </c>
      <c r="E136" s="131" t="s">
        <v>387</v>
      </c>
      <c r="F136" s="203" t="s">
        <v>56</v>
      </c>
      <c r="G136" s="200" t="s">
        <v>57</v>
      </c>
      <c r="H136" s="62" t="s">
        <v>146</v>
      </c>
      <c r="I136" s="33"/>
    </row>
    <row r="137" spans="1:20" s="34" customFormat="1" ht="15.75" customHeight="1" x14ac:dyDescent="0.35">
      <c r="A137" s="230"/>
      <c r="B137" s="132"/>
      <c r="C137" s="132"/>
      <c r="D137" s="132"/>
      <c r="E137" s="132"/>
      <c r="F137" s="204"/>
      <c r="G137" s="201"/>
      <c r="H137" s="89">
        <v>0.5</v>
      </c>
      <c r="I137" s="33"/>
    </row>
    <row r="138" spans="1:20" s="34" customFormat="1" ht="31.5" customHeight="1" x14ac:dyDescent="0.35">
      <c r="A138" s="137" t="s">
        <v>395</v>
      </c>
      <c r="B138" s="138"/>
      <c r="C138" s="138"/>
      <c r="D138" s="138"/>
      <c r="E138" s="138"/>
      <c r="F138" s="138"/>
      <c r="G138" s="138"/>
      <c r="H138" s="139"/>
      <c r="I138" s="33"/>
    </row>
    <row r="139" spans="1:20" s="34" customFormat="1" ht="15.75" customHeight="1" x14ac:dyDescent="0.35">
      <c r="A139" s="109">
        <v>1</v>
      </c>
      <c r="B139" s="110"/>
      <c r="C139" s="109" t="s">
        <v>382</v>
      </c>
      <c r="D139" s="227"/>
      <c r="E139" s="227"/>
      <c r="F139" s="227"/>
      <c r="G139" s="110"/>
      <c r="H139" s="50" t="s">
        <v>383</v>
      </c>
      <c r="I139" s="33"/>
    </row>
    <row r="140" spans="1:20" s="34" customFormat="1" ht="15.75" customHeight="1" x14ac:dyDescent="0.35">
      <c r="A140" s="109">
        <f>A139+1</f>
        <v>2</v>
      </c>
      <c r="B140" s="110"/>
      <c r="C140" s="39" t="s">
        <v>385</v>
      </c>
      <c r="D140" s="91">
        <f>(56.1)*10.764</f>
        <v>603.86040000000003</v>
      </c>
      <c r="E140" s="91">
        <f>(3.71)*10.764</f>
        <v>39.934439999999995</v>
      </c>
      <c r="F140" s="50">
        <f>D140+E140</f>
        <v>643.79484000000002</v>
      </c>
      <c r="G140" s="91">
        <f>(3.05*1.6+2.3*1.2+3.13*1+2.125*4.2)*10.764</f>
        <v>211.99697999999998</v>
      </c>
      <c r="H140" s="50">
        <f>F140*(($H$137)+1)+(IF(G140&lt;101,G140,IF(G140&lt;201,G140/2,IF(G140&lt;=301,G140/3,G140/4))))</f>
        <v>1036.3579199999999</v>
      </c>
      <c r="I140" s="33">
        <f>3.05*4.7+3.19*0.83+2.125*3.05+2.75*3.35+3.65*3.19+2.125*1.235*2+1.2*0.9+2.6*0.9</f>
        <v>52.988699999999994</v>
      </c>
      <c r="J140" s="34">
        <f>3.05*1.2</f>
        <v>3.6599999999999997</v>
      </c>
    </row>
    <row r="141" spans="1:20" s="32" customFormat="1" x14ac:dyDescent="0.35">
      <c r="A141" s="109">
        <f>A140+1</f>
        <v>3</v>
      </c>
      <c r="B141" s="110"/>
      <c r="C141" s="83" t="s">
        <v>385</v>
      </c>
      <c r="D141" s="91">
        <f>(56.1)*10.764</f>
        <v>603.86040000000003</v>
      </c>
      <c r="E141" s="91">
        <f>(3.71)*10.764</f>
        <v>39.934439999999995</v>
      </c>
      <c r="F141" s="50">
        <f>D141+E141</f>
        <v>643.79484000000002</v>
      </c>
      <c r="G141" s="91">
        <f>(3.05*1.6+2.3*1.2+3.13*1+2.125*4.2)*10.764</f>
        <v>211.99697999999998</v>
      </c>
      <c r="H141" s="50">
        <f>F141*(($H$137)+1)+(IF(G141&lt;101,G141,IF(G141&lt;201,G141/2,IF(G141&lt;=301,G141/3,G141/4))))</f>
        <v>1036.3579199999999</v>
      </c>
      <c r="T141" s="34"/>
    </row>
    <row r="142" spans="1:20" s="32" customFormat="1" x14ac:dyDescent="0.35">
      <c r="A142" s="109">
        <f>A141+1</f>
        <v>4</v>
      </c>
      <c r="B142" s="110"/>
      <c r="C142" s="83" t="s">
        <v>385</v>
      </c>
      <c r="D142" s="91">
        <f>(56.1)*10.764</f>
        <v>603.86040000000003</v>
      </c>
      <c r="E142" s="91">
        <f>(3.71)*10.764</f>
        <v>39.934439999999995</v>
      </c>
      <c r="F142" s="50">
        <f>D142+E142</f>
        <v>643.79484000000002</v>
      </c>
      <c r="G142" s="91">
        <f>(3.05*1.6+2.3*1.2+3.13*1+2.125*4.2)*10.764</f>
        <v>211.99697999999998</v>
      </c>
      <c r="H142" s="50">
        <f>F142*(($H$137)+1)+(IF(G142&lt;101,G142,IF(G142&lt;201,G142/2,IF(G142&lt;=301,G142/3,G142/4))))</f>
        <v>1036.3579199999999</v>
      </c>
      <c r="T142" s="34"/>
    </row>
    <row r="143" spans="1:20" s="32" customFormat="1" x14ac:dyDescent="0.35">
      <c r="A143" s="109">
        <f>A142+1</f>
        <v>5</v>
      </c>
      <c r="B143" s="110"/>
      <c r="C143" s="83" t="s">
        <v>386</v>
      </c>
      <c r="D143" s="91">
        <f>(74.79)*10.764</f>
        <v>805.03956000000005</v>
      </c>
      <c r="E143" s="91">
        <f>(4.07)*10.764</f>
        <v>43.809480000000001</v>
      </c>
      <c r="F143" s="83">
        <f>D143+E143</f>
        <v>848.84904000000006</v>
      </c>
      <c r="G143" s="91">
        <f>(3.35*1.6+3.1*1.2+(3.4+2.2)/2*1.2+0.5*2.2*5+(8.6+9)/2*3+1.4*0.45)*10.764</f>
        <v>484.05708000000004</v>
      </c>
      <c r="H143" s="83">
        <f>F143*(($H$137)+1)+(IF(G143&lt;101,G143,IF(G143&lt;201,G143/2,IF(G143&lt;=301,G143/3,G143/4))))</f>
        <v>1394.2878300000002</v>
      </c>
      <c r="T143" s="34"/>
    </row>
    <row r="144" spans="1:20" s="32" customFormat="1" x14ac:dyDescent="0.35">
      <c r="A144" s="109">
        <f>A143+1</f>
        <v>6</v>
      </c>
      <c r="B144" s="110"/>
      <c r="C144" s="109" t="s">
        <v>384</v>
      </c>
      <c r="D144" s="227"/>
      <c r="E144" s="227"/>
      <c r="F144" s="227"/>
      <c r="G144" s="110"/>
      <c r="H144" s="83" t="s">
        <v>383</v>
      </c>
      <c r="T144" s="34"/>
    </row>
    <row r="145" spans="1:20" s="32" customFormat="1" ht="32.25" customHeight="1" x14ac:dyDescent="0.35">
      <c r="A145" s="103" t="s">
        <v>394</v>
      </c>
      <c r="B145" s="103"/>
      <c r="C145" s="103"/>
      <c r="D145" s="103"/>
      <c r="E145" s="103"/>
      <c r="F145" s="103"/>
      <c r="G145" s="103"/>
      <c r="H145" s="103"/>
      <c r="K145" s="32">
        <v>11</v>
      </c>
      <c r="T145" s="34"/>
    </row>
    <row r="146" spans="1:20" s="32" customFormat="1" x14ac:dyDescent="0.35">
      <c r="A146" s="109">
        <v>1</v>
      </c>
      <c r="B146" s="110"/>
      <c r="C146" s="83" t="s">
        <v>385</v>
      </c>
      <c r="D146" s="91">
        <f>(53.16)*10.764</f>
        <v>572.2142399999999</v>
      </c>
      <c r="E146" s="91">
        <f>(3.62)*10.764</f>
        <v>38.965679999999999</v>
      </c>
      <c r="F146" s="50">
        <f t="shared" ref="F146:F151" si="5">D146+E146</f>
        <v>611.17991999999992</v>
      </c>
      <c r="G146" s="50">
        <v>0</v>
      </c>
      <c r="H146" s="50">
        <f t="shared" ref="H146:H151" si="6">F146*(($H$137)+1)+(IF(G146&lt;101,G146,IF(G146&lt;201,G146/2,IF(G146&lt;=301,G146/3,G146/4))))</f>
        <v>916.76987999999983</v>
      </c>
      <c r="I146" s="32">
        <f>3.05*1.2</f>
        <v>3.6599999999999997</v>
      </c>
      <c r="J146" s="32">
        <f>10000000/Report!H146</f>
        <v>10907.862723413211</v>
      </c>
      <c r="K146" s="32">
        <f>K$145*H146</f>
        <v>10084.468679999998</v>
      </c>
      <c r="T146" s="34"/>
    </row>
    <row r="147" spans="1:20" s="32" customFormat="1" x14ac:dyDescent="0.35">
      <c r="A147" s="109">
        <f>A146+1</f>
        <v>2</v>
      </c>
      <c r="B147" s="110"/>
      <c r="C147" s="83" t="s">
        <v>385</v>
      </c>
      <c r="D147" s="91">
        <f>(56.1)*10.764</f>
        <v>603.86040000000003</v>
      </c>
      <c r="E147" s="91">
        <f>(3.71)*10.764</f>
        <v>39.934439999999995</v>
      </c>
      <c r="F147" s="50">
        <f t="shared" si="5"/>
        <v>643.79484000000002</v>
      </c>
      <c r="G147" s="50">
        <v>0</v>
      </c>
      <c r="H147" s="50">
        <f t="shared" si="6"/>
        <v>965.69226000000003</v>
      </c>
      <c r="K147" s="32">
        <f t="shared" ref="K147:K160" si="7">K$145*H147</f>
        <v>10622.61486</v>
      </c>
    </row>
    <row r="148" spans="1:20" s="32" customFormat="1" x14ac:dyDescent="0.35">
      <c r="A148" s="109">
        <f>A147+1</f>
        <v>3</v>
      </c>
      <c r="B148" s="110"/>
      <c r="C148" s="83" t="s">
        <v>385</v>
      </c>
      <c r="D148" s="91">
        <f>(56.1)*10.764</f>
        <v>603.86040000000003</v>
      </c>
      <c r="E148" s="91">
        <f>(3.71)*10.764</f>
        <v>39.934439999999995</v>
      </c>
      <c r="F148" s="50">
        <f t="shared" si="5"/>
        <v>643.79484000000002</v>
      </c>
      <c r="G148" s="50">
        <v>0</v>
      </c>
      <c r="H148" s="50">
        <f t="shared" si="6"/>
        <v>965.69226000000003</v>
      </c>
      <c r="K148" s="32">
        <f t="shared" si="7"/>
        <v>10622.61486</v>
      </c>
    </row>
    <row r="149" spans="1:20" s="32" customFormat="1" x14ac:dyDescent="0.35">
      <c r="A149" s="109">
        <f>A148+1</f>
        <v>4</v>
      </c>
      <c r="B149" s="110"/>
      <c r="C149" s="83" t="s">
        <v>385</v>
      </c>
      <c r="D149" s="91">
        <f>(56.1)*10.764</f>
        <v>603.86040000000003</v>
      </c>
      <c r="E149" s="91">
        <f>(3.71)*10.764</f>
        <v>39.934439999999995</v>
      </c>
      <c r="F149" s="50">
        <f t="shared" si="5"/>
        <v>643.79484000000002</v>
      </c>
      <c r="G149" s="50">
        <v>0</v>
      </c>
      <c r="H149" s="50">
        <f t="shared" si="6"/>
        <v>965.69226000000003</v>
      </c>
      <c r="K149" s="32">
        <f t="shared" si="7"/>
        <v>10622.61486</v>
      </c>
    </row>
    <row r="150" spans="1:20" s="32" customFormat="1" x14ac:dyDescent="0.35">
      <c r="A150" s="109">
        <f>A149+1</f>
        <v>5</v>
      </c>
      <c r="B150" s="110"/>
      <c r="C150" s="83" t="s">
        <v>386</v>
      </c>
      <c r="D150" s="91">
        <f>(74.79)*10.764</f>
        <v>805.03956000000005</v>
      </c>
      <c r="E150" s="91">
        <f>(4.07)*10.764</f>
        <v>43.809480000000001</v>
      </c>
      <c r="F150" s="50">
        <f t="shared" si="5"/>
        <v>848.84904000000006</v>
      </c>
      <c r="G150" s="50">
        <v>0</v>
      </c>
      <c r="H150" s="50">
        <f t="shared" si="6"/>
        <v>1273.2735600000001</v>
      </c>
      <c r="J150" s="32">
        <f>13800000/H150</f>
        <v>10838.205106528718</v>
      </c>
      <c r="K150" s="32">
        <f t="shared" si="7"/>
        <v>14006.009160000001</v>
      </c>
    </row>
    <row r="151" spans="1:20" s="32" customFormat="1" x14ac:dyDescent="0.35">
      <c r="A151" s="109">
        <f>A150+1</f>
        <v>6</v>
      </c>
      <c r="B151" s="110"/>
      <c r="C151" s="83" t="s">
        <v>385</v>
      </c>
      <c r="D151" s="91">
        <f>(55.05)*10.764</f>
        <v>592.55819999999994</v>
      </c>
      <c r="E151" s="91">
        <f>(3.69)*10.764</f>
        <v>39.719159999999995</v>
      </c>
      <c r="F151" s="83">
        <f t="shared" si="5"/>
        <v>632.27735999999993</v>
      </c>
      <c r="G151" s="83">
        <v>0</v>
      </c>
      <c r="H151" s="83">
        <f t="shared" si="6"/>
        <v>948.41603999999984</v>
      </c>
      <c r="K151" s="32">
        <f t="shared" si="7"/>
        <v>10432.576439999999</v>
      </c>
    </row>
    <row r="152" spans="1:20" s="32" customFormat="1" x14ac:dyDescent="0.35">
      <c r="A152" s="103" t="s">
        <v>390</v>
      </c>
      <c r="B152" s="103"/>
      <c r="C152" s="103"/>
      <c r="D152" s="103"/>
      <c r="E152" s="103"/>
      <c r="F152" s="103"/>
      <c r="G152" s="103"/>
      <c r="H152" s="103"/>
      <c r="K152" s="32">
        <f t="shared" si="7"/>
        <v>0</v>
      </c>
    </row>
    <row r="153" spans="1:20" s="32" customFormat="1" x14ac:dyDescent="0.35">
      <c r="A153" s="103" t="s">
        <v>388</v>
      </c>
      <c r="B153" s="103"/>
      <c r="C153" s="103"/>
      <c r="D153" s="103"/>
      <c r="E153" s="103"/>
      <c r="F153" s="103"/>
      <c r="G153" s="103"/>
      <c r="H153" s="103"/>
      <c r="K153" s="32">
        <f t="shared" si="7"/>
        <v>0</v>
      </c>
    </row>
    <row r="154" spans="1:20" s="32" customFormat="1" x14ac:dyDescent="0.35">
      <c r="A154" s="109">
        <v>1</v>
      </c>
      <c r="B154" s="110"/>
      <c r="C154" s="109" t="s">
        <v>389</v>
      </c>
      <c r="D154" s="227"/>
      <c r="E154" s="227"/>
      <c r="F154" s="227"/>
      <c r="G154" s="110"/>
      <c r="H154" s="83" t="s">
        <v>383</v>
      </c>
      <c r="K154" s="32" t="e">
        <f t="shared" si="7"/>
        <v>#VALUE!</v>
      </c>
    </row>
    <row r="155" spans="1:20" s="32" customFormat="1" x14ac:dyDescent="0.35">
      <c r="A155" s="109">
        <f>A154+1</f>
        <v>2</v>
      </c>
      <c r="B155" s="110"/>
      <c r="C155" s="83" t="s">
        <v>385</v>
      </c>
      <c r="D155" s="91">
        <f>(56.1)*10.764</f>
        <v>603.86040000000003</v>
      </c>
      <c r="E155" s="91">
        <f>(3.71)*10.764</f>
        <v>39.934439999999995</v>
      </c>
      <c r="F155" s="83">
        <f>D155+E155</f>
        <v>643.79484000000002</v>
      </c>
      <c r="G155" s="83">
        <v>0</v>
      </c>
      <c r="H155" s="83">
        <f>F155*(($H$137)+1)+(IF(G155&lt;101,G155,IF(G155&lt;201,G155/2,IF(G155&lt;=301,G155/3,G155/4))))</f>
        <v>965.69226000000003</v>
      </c>
      <c r="I155" s="32">
        <f>11600000/H155</f>
        <v>12012.108287996427</v>
      </c>
      <c r="K155" s="32">
        <f t="shared" si="7"/>
        <v>10622.61486</v>
      </c>
    </row>
    <row r="156" spans="1:20" s="32" customFormat="1" x14ac:dyDescent="0.35">
      <c r="A156" s="109">
        <f>A155+1</f>
        <v>3</v>
      </c>
      <c r="B156" s="110"/>
      <c r="C156" s="83" t="s">
        <v>385</v>
      </c>
      <c r="D156" s="91">
        <f>(56.1)*10.764</f>
        <v>603.86040000000003</v>
      </c>
      <c r="E156" s="91">
        <f>(3.71)*10.764</f>
        <v>39.934439999999995</v>
      </c>
      <c r="F156" s="83">
        <f>D156+E156</f>
        <v>643.79484000000002</v>
      </c>
      <c r="G156" s="83">
        <v>0</v>
      </c>
      <c r="H156" s="83">
        <f>F156*(($H$137)+1)+(IF(G156&lt;101,G156,IF(G156&lt;201,G156/2,IF(G156&lt;=301,G156/3,G156/4))))</f>
        <v>965.69226000000003</v>
      </c>
      <c r="K156" s="32">
        <f t="shared" si="7"/>
        <v>10622.61486</v>
      </c>
    </row>
    <row r="157" spans="1:20" x14ac:dyDescent="0.35">
      <c r="A157" s="109">
        <f>A156+1</f>
        <v>4</v>
      </c>
      <c r="B157" s="110"/>
      <c r="C157" s="83" t="s">
        <v>385</v>
      </c>
      <c r="D157" s="91">
        <f>(56.1)*10.764</f>
        <v>603.86040000000003</v>
      </c>
      <c r="E157" s="91">
        <f>(3.71)*10.764</f>
        <v>39.934439999999995</v>
      </c>
      <c r="F157" s="83">
        <f>D157+E157</f>
        <v>643.79484000000002</v>
      </c>
      <c r="G157" s="83">
        <v>0</v>
      </c>
      <c r="H157" s="83">
        <f>F157*(($H$137)+1)+(IF(G157&lt;101,G157,IF(G157&lt;201,G157/2,IF(G157&lt;=301,G157/3,G157/4))))</f>
        <v>965.69226000000003</v>
      </c>
      <c r="K157" s="32">
        <f t="shared" si="7"/>
        <v>10622.61486</v>
      </c>
      <c r="T157" s="32"/>
    </row>
    <row r="158" spans="1:20" ht="15.75" customHeight="1" x14ac:dyDescent="0.35">
      <c r="A158" s="109">
        <f>A157+1</f>
        <v>5</v>
      </c>
      <c r="B158" s="110"/>
      <c r="C158" s="83" t="s">
        <v>386</v>
      </c>
      <c r="D158" s="91">
        <f>(74.79)*10.764</f>
        <v>805.03956000000005</v>
      </c>
      <c r="E158" s="91">
        <f>(4.07)*10.764</f>
        <v>43.809480000000001</v>
      </c>
      <c r="F158" s="83">
        <f>D158+E158</f>
        <v>848.84904000000006</v>
      </c>
      <c r="G158" s="83">
        <v>0</v>
      </c>
      <c r="H158" s="83">
        <f>F158*(($H$137)+1)+(IF(G158&lt;101,G158,IF(G158&lt;201,G158/2,IF(G158&lt;=301,G158/3,G158/4))))</f>
        <v>1273.2735600000001</v>
      </c>
      <c r="I158" s="18">
        <f>16000000/H158</f>
        <v>12566.034906120252</v>
      </c>
      <c r="K158" s="32">
        <f t="shared" si="7"/>
        <v>14006.009160000001</v>
      </c>
      <c r="T158" s="32"/>
    </row>
    <row r="159" spans="1:20" ht="15.75" customHeight="1" x14ac:dyDescent="0.35">
      <c r="A159" s="109">
        <f>A158+1</f>
        <v>6</v>
      </c>
      <c r="B159" s="110"/>
      <c r="C159" s="83" t="s">
        <v>385</v>
      </c>
      <c r="D159" s="91">
        <f>(55.05)*10.764</f>
        <v>592.55819999999994</v>
      </c>
      <c r="E159" s="91">
        <f>(3.69)*10.764</f>
        <v>39.719159999999995</v>
      </c>
      <c r="F159" s="83">
        <f>D159+E159</f>
        <v>632.27735999999993</v>
      </c>
      <c r="G159" s="83">
        <v>0</v>
      </c>
      <c r="H159" s="83">
        <f>F159*(($H$137)+1)+(IF(G159&lt;101,G159,IF(G159&lt;201,G159/2,IF(G159&lt;=301,G159/3,G159/4))))</f>
        <v>948.41603999999984</v>
      </c>
      <c r="I159" s="18">
        <f>9800000/H159</f>
        <v>10333.01798649462</v>
      </c>
      <c r="K159" s="32">
        <f t="shared" si="7"/>
        <v>10432.576439999999</v>
      </c>
      <c r="T159" s="32"/>
    </row>
    <row r="160" spans="1:20" ht="15.75" customHeight="1" x14ac:dyDescent="0.35">
      <c r="A160" s="249" t="s">
        <v>396</v>
      </c>
      <c r="B160" s="249"/>
      <c r="C160" s="249"/>
      <c r="D160" s="249"/>
      <c r="E160" s="249"/>
      <c r="F160" s="249"/>
      <c r="G160" s="249"/>
      <c r="H160" s="249"/>
      <c r="K160" s="32">
        <f t="shared" si="7"/>
        <v>0</v>
      </c>
      <c r="T160" s="32"/>
    </row>
    <row r="161" spans="1:15" x14ac:dyDescent="0.35">
      <c r="A161" s="102" t="s">
        <v>65</v>
      </c>
      <c r="B161" s="102"/>
      <c r="C161" s="102"/>
      <c r="D161" s="102"/>
      <c r="E161" s="102"/>
      <c r="F161" s="102"/>
      <c r="G161" s="102"/>
      <c r="H161" s="102"/>
    </row>
    <row r="162" spans="1:15" ht="15" customHeight="1" x14ac:dyDescent="0.35">
      <c r="A162" s="93" t="s">
        <v>150</v>
      </c>
      <c r="B162" s="250" t="s">
        <v>404</v>
      </c>
      <c r="C162" s="250"/>
      <c r="D162" s="250"/>
      <c r="E162" s="250"/>
      <c r="F162" s="250"/>
      <c r="G162" s="250"/>
      <c r="H162" s="250"/>
    </row>
    <row r="163" spans="1:15" x14ac:dyDescent="0.35">
      <c r="A163" s="93" t="s">
        <v>150</v>
      </c>
      <c r="B163" s="250" t="str">
        <f>(IF(H136="Saleable area Loading :","We have considered Saleable area of Flats as per our Calculation.","We considered Saleable area of Flat as per Builder area Sheet."))</f>
        <v>We have considered Saleable area of Flats as per our Calculation.</v>
      </c>
      <c r="C163" s="250"/>
      <c r="D163" s="250"/>
      <c r="E163" s="250"/>
      <c r="F163" s="250"/>
      <c r="G163" s="250"/>
      <c r="H163" s="250"/>
    </row>
    <row r="164" spans="1:15" x14ac:dyDescent="0.35">
      <c r="A164" s="93" t="s">
        <v>150</v>
      </c>
      <c r="B164" s="250" t="str">
        <f>(IF(H111="Saleable area Loading :","We have considered Saleable area of Commercial as per our Calculation.","We considered Saleable area of Commercial as per Builder area Sheet."))</f>
        <v>We have considered Saleable area of Commercial as per our Calculation.</v>
      </c>
      <c r="C164" s="250"/>
      <c r="D164" s="250"/>
      <c r="E164" s="250"/>
      <c r="F164" s="250"/>
      <c r="G164" s="250"/>
      <c r="H164" s="250"/>
    </row>
    <row r="165" spans="1:15" x14ac:dyDescent="0.35">
      <c r="A165" s="93" t="s">
        <v>150</v>
      </c>
      <c r="B165" s="251" t="s">
        <v>120</v>
      </c>
      <c r="C165" s="251"/>
      <c r="D165" s="251"/>
      <c r="E165" s="251"/>
      <c r="F165" s="251"/>
      <c r="G165" s="251"/>
      <c r="H165" s="251"/>
    </row>
    <row r="166" spans="1:15" x14ac:dyDescent="0.35">
      <c r="A166" s="93" t="s">
        <v>150</v>
      </c>
      <c r="B166" s="250" t="s">
        <v>391</v>
      </c>
      <c r="C166" s="250"/>
      <c r="D166" s="250"/>
      <c r="E166" s="250"/>
      <c r="F166" s="250"/>
      <c r="G166" s="250"/>
      <c r="H166" s="250"/>
    </row>
    <row r="167" spans="1:15" x14ac:dyDescent="0.35">
      <c r="A167" s="93" t="s">
        <v>150</v>
      </c>
      <c r="B167" s="251" t="s">
        <v>149</v>
      </c>
      <c r="C167" s="251"/>
      <c r="D167" s="251"/>
      <c r="E167" s="251"/>
      <c r="F167" s="251"/>
      <c r="G167" s="251"/>
      <c r="H167" s="251"/>
    </row>
    <row r="168" spans="1:15" x14ac:dyDescent="0.35">
      <c r="A168" s="93" t="s">
        <v>150</v>
      </c>
      <c r="B168" s="251" t="s">
        <v>121</v>
      </c>
      <c r="C168" s="251"/>
      <c r="D168" s="251"/>
      <c r="E168" s="251"/>
      <c r="F168" s="251"/>
      <c r="G168" s="251"/>
      <c r="H168" s="251"/>
    </row>
    <row r="169" spans="1:15" ht="35.25" customHeight="1" x14ac:dyDescent="0.35">
      <c r="A169" s="41" t="s">
        <v>150</v>
      </c>
      <c r="B169" s="140" t="s">
        <v>151</v>
      </c>
      <c r="C169" s="141"/>
      <c r="D169" s="141"/>
      <c r="E169" s="141"/>
      <c r="F169" s="141"/>
      <c r="G169" s="141"/>
      <c r="H169" s="142"/>
    </row>
    <row r="170" spans="1:15" x14ac:dyDescent="0.35">
      <c r="A170" s="41" t="s">
        <v>150</v>
      </c>
      <c r="B170" s="146" t="s">
        <v>122</v>
      </c>
      <c r="C170" s="147"/>
      <c r="D170" s="147"/>
      <c r="E170" s="147"/>
      <c r="F170" s="147"/>
      <c r="G170" s="147"/>
      <c r="H170" s="148"/>
    </row>
    <row r="171" spans="1:15" hidden="1" x14ac:dyDescent="0.35">
      <c r="A171" s="47" t="s">
        <v>150</v>
      </c>
      <c r="B171" s="143" t="s">
        <v>176</v>
      </c>
      <c r="C171" s="144"/>
      <c r="D171" s="144"/>
      <c r="E171" s="144"/>
      <c r="F171" s="144"/>
      <c r="G171" s="144"/>
      <c r="H171" s="145"/>
    </row>
    <row r="172" spans="1:15" x14ac:dyDescent="0.35">
      <c r="A172" s="92" t="s">
        <v>150</v>
      </c>
      <c r="B172" s="241" t="s">
        <v>398</v>
      </c>
      <c r="C172" s="242"/>
      <c r="D172" s="242"/>
      <c r="E172" s="242"/>
      <c r="F172" s="242"/>
      <c r="G172" s="242"/>
      <c r="H172" s="243"/>
      <c r="I172" s="18" t="s">
        <v>402</v>
      </c>
    </row>
    <row r="173" spans="1:15" hidden="1" x14ac:dyDescent="0.35">
      <c r="A173" s="78" t="s">
        <v>150</v>
      </c>
      <c r="B173" s="143" t="s">
        <v>349</v>
      </c>
      <c r="C173" s="144"/>
      <c r="D173" s="144"/>
      <c r="E173" s="144"/>
      <c r="F173" s="144"/>
      <c r="G173" s="144"/>
      <c r="H173" s="145"/>
    </row>
    <row r="174" spans="1:15" hidden="1" x14ac:dyDescent="0.35">
      <c r="A174" s="78" t="s">
        <v>150</v>
      </c>
      <c r="B174" s="143" t="str">
        <f ca="1">IF(G52&gt;EDATE(E3,-48),"NO REMARK FOR CC","REMARK FOR CC")</f>
        <v>NO REMARK FOR CC</v>
      </c>
      <c r="C174" s="144"/>
      <c r="D174" s="144"/>
      <c r="E174" s="144"/>
      <c r="F174" s="144"/>
      <c r="G174" s="144"/>
      <c r="H174" s="145"/>
    </row>
    <row r="175" spans="1:15" hidden="1" x14ac:dyDescent="0.35">
      <c r="A175" s="79" t="s">
        <v>150</v>
      </c>
      <c r="B175" s="143" t="s">
        <v>350</v>
      </c>
      <c r="C175" s="144"/>
      <c r="D175" s="144"/>
      <c r="E175" s="144"/>
      <c r="F175" s="144"/>
      <c r="G175" s="144"/>
      <c r="H175" s="145"/>
    </row>
    <row r="176" spans="1:15" x14ac:dyDescent="0.35">
      <c r="A176" s="154" t="s">
        <v>58</v>
      </c>
      <c r="B176" s="154"/>
      <c r="C176" s="154"/>
      <c r="D176" s="154"/>
      <c r="E176" s="154"/>
      <c r="F176" s="154"/>
      <c r="G176" s="154"/>
      <c r="H176" s="154"/>
      <c r="I176" s="241" t="s">
        <v>399</v>
      </c>
      <c r="J176" s="242"/>
      <c r="K176" s="242"/>
      <c r="L176" s="242"/>
      <c r="M176" s="242"/>
      <c r="N176" s="242"/>
      <c r="O176" s="243"/>
    </row>
    <row r="177" spans="1:8" x14ac:dyDescent="0.35">
      <c r="A177" s="96" t="s">
        <v>59</v>
      </c>
      <c r="B177" s="96"/>
      <c r="C177" s="96"/>
      <c r="D177" s="96"/>
      <c r="E177" s="96"/>
      <c r="F177" s="96"/>
      <c r="G177" s="96"/>
      <c r="H177" s="96"/>
    </row>
    <row r="178" spans="1:8" x14ac:dyDescent="0.35">
      <c r="A178" s="130" t="s">
        <v>60</v>
      </c>
      <c r="B178" s="130"/>
      <c r="C178" s="130"/>
      <c r="D178" s="130"/>
      <c r="E178" s="130"/>
      <c r="F178" s="130"/>
      <c r="G178" s="130"/>
      <c r="H178" s="130"/>
    </row>
    <row r="179" spans="1:8" x14ac:dyDescent="0.35">
      <c r="A179" s="96" t="s">
        <v>61</v>
      </c>
      <c r="B179" s="96"/>
      <c r="C179" s="96"/>
      <c r="D179" s="96"/>
      <c r="E179" s="96"/>
      <c r="F179" s="96"/>
      <c r="G179" s="96"/>
      <c r="H179" s="96"/>
    </row>
    <row r="180" spans="1:8" x14ac:dyDescent="0.35">
      <c r="A180" s="96" t="s">
        <v>62</v>
      </c>
      <c r="B180" s="96"/>
      <c r="C180" s="96"/>
      <c r="D180" s="96"/>
      <c r="E180" s="96"/>
      <c r="F180" s="96"/>
      <c r="G180" s="96"/>
      <c r="H180" s="96"/>
    </row>
    <row r="181" spans="1:8" x14ac:dyDescent="0.35">
      <c r="A181" s="96" t="s">
        <v>123</v>
      </c>
      <c r="B181" s="96"/>
      <c r="C181" s="96"/>
      <c r="D181" s="96"/>
      <c r="E181" s="96"/>
      <c r="F181" s="96"/>
      <c r="G181" s="96"/>
      <c r="H181" s="96"/>
    </row>
    <row r="182" spans="1:8" x14ac:dyDescent="0.35">
      <c r="A182" s="104" t="s">
        <v>124</v>
      </c>
      <c r="B182" s="104"/>
      <c r="C182" s="104"/>
      <c r="D182" s="104"/>
      <c r="E182" s="104"/>
      <c r="F182" s="104"/>
      <c r="G182" s="104"/>
      <c r="H182" s="104"/>
    </row>
    <row r="183" spans="1:8" x14ac:dyDescent="0.35">
      <c r="A183" s="150" t="s">
        <v>74</v>
      </c>
      <c r="B183" s="150"/>
      <c r="C183" s="150" t="s">
        <v>403</v>
      </c>
      <c r="D183" s="150"/>
      <c r="E183" s="150" t="s">
        <v>104</v>
      </c>
      <c r="F183" s="150"/>
      <c r="G183" s="150" t="s">
        <v>406</v>
      </c>
      <c r="H183" s="150"/>
    </row>
    <row r="184" spans="1:8" x14ac:dyDescent="0.35">
      <c r="A184" s="149" t="s">
        <v>76</v>
      </c>
      <c r="B184" s="149"/>
      <c r="C184" s="149"/>
      <c r="D184" s="149"/>
      <c r="E184" s="149"/>
      <c r="F184" s="149"/>
      <c r="G184" s="149"/>
      <c r="H184" s="149"/>
    </row>
    <row r="185" spans="1:8" x14ac:dyDescent="0.35">
      <c r="A185" s="149"/>
      <c r="B185" s="149"/>
      <c r="C185" s="149"/>
      <c r="D185" s="149"/>
      <c r="E185" s="149"/>
      <c r="F185" s="149"/>
      <c r="G185" s="149"/>
      <c r="H185" s="149"/>
    </row>
    <row r="186" spans="1:8" x14ac:dyDescent="0.35">
      <c r="A186" s="149"/>
      <c r="B186" s="149"/>
      <c r="C186" s="149"/>
      <c r="D186" s="149"/>
      <c r="E186" s="149"/>
      <c r="F186" s="149"/>
      <c r="G186" s="149"/>
      <c r="H186" s="149"/>
    </row>
    <row r="187" spans="1:8" x14ac:dyDescent="0.35">
      <c r="A187" s="149"/>
      <c r="B187" s="149"/>
      <c r="C187" s="149"/>
      <c r="D187" s="149"/>
      <c r="E187" s="149"/>
      <c r="F187" s="149"/>
      <c r="G187" s="149"/>
      <c r="H187" s="149"/>
    </row>
    <row r="188" spans="1:8" x14ac:dyDescent="0.35">
      <c r="A188" s="35" t="s">
        <v>63</v>
      </c>
      <c r="B188" s="36"/>
      <c r="C188" s="36"/>
      <c r="D188" s="35" t="str">
        <f>E9</f>
        <v>Tharwani Palladian</v>
      </c>
      <c r="F188" s="36"/>
      <c r="G188" s="36"/>
      <c r="H188" s="36"/>
    </row>
    <row r="189" spans="1:8" x14ac:dyDescent="0.35">
      <c r="A189" s="36"/>
      <c r="B189" s="36"/>
      <c r="C189" s="36"/>
      <c r="D189" s="36"/>
      <c r="E189" s="36"/>
      <c r="F189" s="36"/>
      <c r="G189" s="36"/>
      <c r="H189" s="36"/>
    </row>
    <row r="190" spans="1:8" x14ac:dyDescent="0.35">
      <c r="A190" s="36"/>
      <c r="B190" s="36"/>
      <c r="C190" s="36"/>
      <c r="D190" s="36"/>
      <c r="E190" s="36"/>
      <c r="F190" s="36"/>
      <c r="G190" s="36"/>
      <c r="H190" s="36"/>
    </row>
    <row r="231" spans="1:1" x14ac:dyDescent="0.35">
      <c r="A231" s="38" t="s">
        <v>161</v>
      </c>
    </row>
    <row r="273" spans="1:1" x14ac:dyDescent="0.35">
      <c r="A273" s="38" t="s">
        <v>64</v>
      </c>
    </row>
  </sheetData>
  <mergeCells count="332">
    <mergeCell ref="I176:O176"/>
    <mergeCell ref="B172:H172"/>
    <mergeCell ref="A160:H160"/>
    <mergeCell ref="A143:B143"/>
    <mergeCell ref="A144:B144"/>
    <mergeCell ref="C139:G139"/>
    <mergeCell ref="C144:G144"/>
    <mergeCell ref="A151:B151"/>
    <mergeCell ref="A159:B159"/>
    <mergeCell ref="C154:G154"/>
    <mergeCell ref="A152:H152"/>
    <mergeCell ref="A139:B139"/>
    <mergeCell ref="B175:H175"/>
    <mergeCell ref="B170:H170"/>
    <mergeCell ref="B168:H168"/>
    <mergeCell ref="B171:H171"/>
    <mergeCell ref="B169:H169"/>
    <mergeCell ref="B173:H173"/>
    <mergeCell ref="A76:B76"/>
    <mergeCell ref="A75:B75"/>
    <mergeCell ref="A73:B73"/>
    <mergeCell ref="C73:H73"/>
    <mergeCell ref="A68:C68"/>
    <mergeCell ref="D68:H68"/>
    <mergeCell ref="C75:H75"/>
    <mergeCell ref="A69:C69"/>
    <mergeCell ref="D69:H69"/>
    <mergeCell ref="A72:C72"/>
    <mergeCell ref="D72:H72"/>
    <mergeCell ref="A71:C71"/>
    <mergeCell ref="C111:C112"/>
    <mergeCell ref="B136:B137"/>
    <mergeCell ref="B164:H164"/>
    <mergeCell ref="A79:B79"/>
    <mergeCell ref="E77:F86"/>
    <mergeCell ref="G77:H86"/>
    <mergeCell ref="A92:E92"/>
    <mergeCell ref="A107:B107"/>
    <mergeCell ref="E107:F107"/>
    <mergeCell ref="A97:E97"/>
    <mergeCell ref="G107:H107"/>
    <mergeCell ref="A103:B103"/>
    <mergeCell ref="C103:D103"/>
    <mergeCell ref="E103:F103"/>
    <mergeCell ref="G103:H103"/>
    <mergeCell ref="E108:F108"/>
    <mergeCell ref="A158:B158"/>
    <mergeCell ref="A142:B142"/>
    <mergeCell ref="A117:B117"/>
    <mergeCell ref="A116:B116"/>
    <mergeCell ref="A135:H135"/>
    <mergeCell ref="A109:H109"/>
    <mergeCell ref="A136:A137"/>
    <mergeCell ref="F136:F137"/>
    <mergeCell ref="L126:M126"/>
    <mergeCell ref="A150:B150"/>
    <mergeCell ref="A147:B147"/>
    <mergeCell ref="A148:B148"/>
    <mergeCell ref="A40:B40"/>
    <mergeCell ref="C40:H40"/>
    <mergeCell ref="F111:F112"/>
    <mergeCell ref="C102:D102"/>
    <mergeCell ref="E102:F102"/>
    <mergeCell ref="B111:B112"/>
    <mergeCell ref="A111:A112"/>
    <mergeCell ref="C136:C137"/>
    <mergeCell ref="G136:G137"/>
    <mergeCell ref="L125:M125"/>
    <mergeCell ref="L122:M122"/>
    <mergeCell ref="A140:B140"/>
    <mergeCell ref="G108:H108"/>
    <mergeCell ref="L123:M123"/>
    <mergeCell ref="A141:B141"/>
    <mergeCell ref="L124:M124"/>
    <mergeCell ref="C55:H55"/>
    <mergeCell ref="L117:M117"/>
    <mergeCell ref="L116:M116"/>
    <mergeCell ref="L115:M115"/>
    <mergeCell ref="L114:M114"/>
    <mergeCell ref="A84:B84"/>
    <mergeCell ref="C106:D106"/>
    <mergeCell ref="E106:F106"/>
    <mergeCell ref="G106:H106"/>
    <mergeCell ref="A88:E88"/>
    <mergeCell ref="A113:H113"/>
    <mergeCell ref="E111:E112"/>
    <mergeCell ref="F89:H89"/>
    <mergeCell ref="A89:E89"/>
    <mergeCell ref="D111:D112"/>
    <mergeCell ref="A114:B114"/>
    <mergeCell ref="A108:B108"/>
    <mergeCell ref="A90:E90"/>
    <mergeCell ref="A87:E87"/>
    <mergeCell ref="F91:H91"/>
    <mergeCell ref="A91:E91"/>
    <mergeCell ref="G111:G112"/>
    <mergeCell ref="A93:E93"/>
    <mergeCell ref="F93:H93"/>
    <mergeCell ref="A95:E95"/>
    <mergeCell ref="F90:H90"/>
    <mergeCell ref="A94:E94"/>
    <mergeCell ref="E105:F105"/>
    <mergeCell ref="A38:H3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46:D46"/>
    <mergeCell ref="A47:D47"/>
    <mergeCell ref="D67:H67"/>
    <mergeCell ref="A44:D44"/>
    <mergeCell ref="E44:H44"/>
    <mergeCell ref="E45:H45"/>
    <mergeCell ref="E46:H46"/>
    <mergeCell ref="E47:H47"/>
    <mergeCell ref="C57:H57"/>
    <mergeCell ref="A48:H48"/>
    <mergeCell ref="D64:H64"/>
    <mergeCell ref="A64:C64"/>
    <mergeCell ref="A45:D45"/>
    <mergeCell ref="A49:B49"/>
    <mergeCell ref="C49:H49"/>
    <mergeCell ref="A65:C65"/>
    <mergeCell ref="D65:H65"/>
    <mergeCell ref="G52:H52"/>
    <mergeCell ref="A61:H61"/>
    <mergeCell ref="A62:C62"/>
    <mergeCell ref="C53:H5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84:H187"/>
    <mergeCell ref="A183:B183"/>
    <mergeCell ref="E183:F183"/>
    <mergeCell ref="C183:D183"/>
    <mergeCell ref="G183:H183"/>
    <mergeCell ref="A100:H100"/>
    <mergeCell ref="A98:E98"/>
    <mergeCell ref="F98:H98"/>
    <mergeCell ref="A99:E99"/>
    <mergeCell ref="F99:H99"/>
    <mergeCell ref="A145:H145"/>
    <mergeCell ref="A106:B106"/>
    <mergeCell ref="A156:B156"/>
    <mergeCell ref="A102:B102"/>
    <mergeCell ref="A179:H179"/>
    <mergeCell ref="A104:H104"/>
    <mergeCell ref="A182:H182"/>
    <mergeCell ref="A180:H180"/>
    <mergeCell ref="A176:H176"/>
    <mergeCell ref="G105:H105"/>
    <mergeCell ref="B167:H167"/>
    <mergeCell ref="A149:B149"/>
    <mergeCell ref="C108:D108"/>
    <mergeCell ref="A154:B154"/>
    <mergeCell ref="A131:B131"/>
    <mergeCell ref="A118:B118"/>
    <mergeCell ref="A119:B119"/>
    <mergeCell ref="A120:B120"/>
    <mergeCell ref="A121:B121"/>
    <mergeCell ref="A122:B122"/>
    <mergeCell ref="A123:B123"/>
    <mergeCell ref="A124:B124"/>
    <mergeCell ref="A125:B125"/>
    <mergeCell ref="A181:H181"/>
    <mergeCell ref="A178:H178"/>
    <mergeCell ref="A146:B146"/>
    <mergeCell ref="A105:B105"/>
    <mergeCell ref="D136:D137"/>
    <mergeCell ref="E136:E137"/>
    <mergeCell ref="F88:H88"/>
    <mergeCell ref="G102:H102"/>
    <mergeCell ref="F94:H94"/>
    <mergeCell ref="C101:D101"/>
    <mergeCell ref="C107:D107"/>
    <mergeCell ref="A138:H138"/>
    <mergeCell ref="A157:B157"/>
    <mergeCell ref="B166:H166"/>
    <mergeCell ref="A177:H177"/>
    <mergeCell ref="B174:H174"/>
    <mergeCell ref="B162:H162"/>
    <mergeCell ref="B163:H163"/>
    <mergeCell ref="B165:H165"/>
    <mergeCell ref="A126:B126"/>
    <mergeCell ref="A127:B127"/>
    <mergeCell ref="A128:B128"/>
    <mergeCell ref="A129:B129"/>
    <mergeCell ref="A130:B130"/>
    <mergeCell ref="I15:P15"/>
    <mergeCell ref="F97:H97"/>
    <mergeCell ref="F95:H95"/>
    <mergeCell ref="A155:B155"/>
    <mergeCell ref="A110:H110"/>
    <mergeCell ref="G101:H101"/>
    <mergeCell ref="A96:E96"/>
    <mergeCell ref="A115:B115"/>
    <mergeCell ref="A60:B60"/>
    <mergeCell ref="C60:E60"/>
    <mergeCell ref="D62:H62"/>
    <mergeCell ref="F96:H96"/>
    <mergeCell ref="E101:F101"/>
    <mergeCell ref="A101:B101"/>
    <mergeCell ref="C105:D105"/>
    <mergeCell ref="D70:H70"/>
    <mergeCell ref="D63:H63"/>
    <mergeCell ref="G60:H60"/>
    <mergeCell ref="A54:B55"/>
    <mergeCell ref="C59:E59"/>
    <mergeCell ref="G54:H54"/>
    <mergeCell ref="G59:H59"/>
    <mergeCell ref="A132:B132"/>
    <mergeCell ref="A133:B133"/>
    <mergeCell ref="I11:L11"/>
    <mergeCell ref="E43:H43"/>
    <mergeCell ref="A43:D43"/>
    <mergeCell ref="A82:B82"/>
    <mergeCell ref="A50:B50"/>
    <mergeCell ref="C52:E52"/>
    <mergeCell ref="A161:H161"/>
    <mergeCell ref="A153:H153"/>
    <mergeCell ref="A70:C70"/>
    <mergeCell ref="D71:H71"/>
    <mergeCell ref="A77:B77"/>
    <mergeCell ref="G76:H76"/>
    <mergeCell ref="A85:B85"/>
    <mergeCell ref="A86:B86"/>
    <mergeCell ref="A81:B81"/>
    <mergeCell ref="A80:B80"/>
    <mergeCell ref="A134:B134"/>
    <mergeCell ref="A56:B57"/>
    <mergeCell ref="C56:E56"/>
    <mergeCell ref="A78:B78"/>
    <mergeCell ref="E76:F76"/>
    <mergeCell ref="A83:B83"/>
    <mergeCell ref="F87:H87"/>
    <mergeCell ref="F92:H9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1:E112">
      <formula1>"Attached Loft area,Attached Otla area,Attached Mezzanine area"</formula1>
    </dataValidation>
    <dataValidation type="list" allowBlank="1" showInputMessage="1" showErrorMessage="1" sqref="G183:H183">
      <formula1>"Kunal Kadam,Pranita Mhatre,Shruti Fule,Pooja Kawale,Gaurav Panchal,Shruti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1:B112">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6:E137">
      <formula1>"Fungible area,Balcony + Chajja Area,Chajja Area,Cornice Area,AP Area,WS Area"</formula1>
    </dataValidation>
    <dataValidation type="list" allowBlank="1" showInputMessage="1" showErrorMessage="1" sqref="H112 H13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1 H136">
      <formula1>"Saleable area Loading :,Builder Saleable Area"</formula1>
    </dataValidation>
    <dataValidation type="list" allowBlank="1" showInputMessage="1" showErrorMessage="1" sqref="D111:D112 D136:D137">
      <formula1>"Carpet area,RERA Carpet area"</formula1>
    </dataValidation>
  </dataValidations>
  <hyperlinks>
    <hyperlink ref="C40" r:id="rId1"/>
    <hyperlink ref="I69"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2" max="7" man="1"/>
    <brk id="187" max="7" man="1"/>
    <brk id="230" max="7" man="1"/>
    <brk id="272"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4" zoomScale="85" zoomScaleNormal="85" workbookViewId="0">
      <selection activeCell="F20" sqref="F20"/>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4" t="s">
        <v>105</v>
      </c>
      <c r="C3" s="244"/>
      <c r="D3" s="244"/>
      <c r="E3" s="244"/>
      <c r="F3" s="244"/>
      <c r="G3" s="244"/>
      <c r="H3" s="244"/>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11</v>
      </c>
      <c r="D4" s="49" t="s">
        <v>177</v>
      </c>
      <c r="E4" s="49" t="s">
        <v>187</v>
      </c>
      <c r="F4" s="49" t="s">
        <v>170</v>
      </c>
      <c r="G4" s="49" t="s">
        <v>192</v>
      </c>
      <c r="H4" s="49" t="s">
        <v>210</v>
      </c>
      <c r="J4" t="s">
        <v>192</v>
      </c>
      <c r="K4" t="s">
        <v>208</v>
      </c>
    </row>
    <row r="5" spans="2:11" x14ac:dyDescent="0.35">
      <c r="B5" s="48"/>
      <c r="C5" s="48"/>
      <c r="D5" s="49" t="s">
        <v>178</v>
      </c>
      <c r="E5" s="49" t="s">
        <v>185</v>
      </c>
      <c r="F5" s="49" t="s">
        <v>207</v>
      </c>
      <c r="G5" s="49" t="s">
        <v>193</v>
      </c>
      <c r="H5" s="49" t="s">
        <v>211</v>
      </c>
    </row>
    <row r="6" spans="2:11" x14ac:dyDescent="0.35">
      <c r="B6" s="48"/>
      <c r="C6" s="48"/>
      <c r="D6" s="49" t="s">
        <v>179</v>
      </c>
      <c r="E6" s="49" t="s">
        <v>186</v>
      </c>
      <c r="F6" s="49" t="s">
        <v>208</v>
      </c>
      <c r="G6" s="49" t="s">
        <v>194</v>
      </c>
      <c r="H6" s="49" t="s">
        <v>224</v>
      </c>
    </row>
    <row r="7" spans="2:11" x14ac:dyDescent="0.35">
      <c r="B7" s="48"/>
      <c r="C7" s="48"/>
      <c r="D7" s="49" t="s">
        <v>180</v>
      </c>
      <c r="E7" s="49" t="s">
        <v>188</v>
      </c>
      <c r="F7" s="49" t="s">
        <v>209</v>
      </c>
      <c r="G7" s="49" t="s">
        <v>195</v>
      </c>
      <c r="H7" s="49" t="s">
        <v>212</v>
      </c>
    </row>
    <row r="8" spans="2:11" x14ac:dyDescent="0.35">
      <c r="B8" s="48"/>
      <c r="C8" s="48"/>
      <c r="D8" s="49" t="s">
        <v>181</v>
      </c>
      <c r="E8" s="49" t="s">
        <v>189</v>
      </c>
      <c r="F8" s="49"/>
      <c r="G8" s="49" t="s">
        <v>196</v>
      </c>
      <c r="H8" s="49" t="s">
        <v>213</v>
      </c>
    </row>
    <row r="9" spans="2:11" x14ac:dyDescent="0.35">
      <c r="B9" s="48"/>
      <c r="C9" s="48"/>
      <c r="D9" s="49" t="s">
        <v>182</v>
      </c>
      <c r="E9" s="49" t="s">
        <v>187</v>
      </c>
      <c r="F9" s="49"/>
      <c r="G9" s="49" t="s">
        <v>197</v>
      </c>
      <c r="H9" s="49" t="s">
        <v>214</v>
      </c>
    </row>
    <row r="10" spans="2:11" x14ac:dyDescent="0.35">
      <c r="B10" s="48"/>
      <c r="C10" s="48"/>
      <c r="D10" s="49" t="s">
        <v>183</v>
      </c>
      <c r="E10" s="49" t="s">
        <v>190</v>
      </c>
      <c r="F10" s="49"/>
      <c r="G10" s="49" t="s">
        <v>198</v>
      </c>
      <c r="H10" s="49" t="s">
        <v>215</v>
      </c>
    </row>
    <row r="11" spans="2:11" x14ac:dyDescent="0.35">
      <c r="B11" s="48"/>
      <c r="C11" s="48"/>
      <c r="D11" s="49" t="s">
        <v>184</v>
      </c>
      <c r="E11" s="49" t="s">
        <v>191</v>
      </c>
      <c r="F11" s="49"/>
      <c r="G11" s="49" t="s">
        <v>199</v>
      </c>
      <c r="H11" s="49" t="s">
        <v>216</v>
      </c>
    </row>
    <row r="12" spans="2:11" x14ac:dyDescent="0.35">
      <c r="B12" s="48"/>
      <c r="C12" s="48"/>
      <c r="D12" s="49"/>
      <c r="E12" s="49"/>
      <c r="F12" s="49"/>
      <c r="G12" s="49" t="s">
        <v>200</v>
      </c>
      <c r="H12" s="49" t="s">
        <v>217</v>
      </c>
    </row>
    <row r="13" spans="2:11" x14ac:dyDescent="0.35">
      <c r="B13" s="48"/>
      <c r="C13" s="48"/>
      <c r="D13" s="49"/>
      <c r="E13" s="49"/>
      <c r="F13" s="49"/>
      <c r="G13" s="49" t="s">
        <v>201</v>
      </c>
      <c r="H13" s="49" t="s">
        <v>218</v>
      </c>
    </row>
    <row r="14" spans="2:11" x14ac:dyDescent="0.35">
      <c r="B14" s="48"/>
      <c r="C14" s="48"/>
      <c r="D14" s="49"/>
      <c r="E14" s="49"/>
      <c r="F14" s="49"/>
      <c r="G14" s="49" t="s">
        <v>202</v>
      </c>
      <c r="H14" s="49" t="s">
        <v>219</v>
      </c>
    </row>
    <row r="15" spans="2:11" x14ac:dyDescent="0.35">
      <c r="B15" s="48"/>
      <c r="C15" s="48"/>
      <c r="D15" s="49"/>
      <c r="E15" s="49"/>
      <c r="F15" s="49"/>
      <c r="G15" s="49" t="s">
        <v>203</v>
      </c>
      <c r="H15" s="49" t="s">
        <v>220</v>
      </c>
    </row>
    <row r="16" spans="2:11" x14ac:dyDescent="0.35">
      <c r="B16" s="48"/>
      <c r="C16" s="48"/>
      <c r="D16" s="49"/>
      <c r="E16" s="49"/>
      <c r="F16" s="49"/>
      <c r="G16" s="49" t="s">
        <v>204</v>
      </c>
      <c r="H16" s="49" t="s">
        <v>221</v>
      </c>
    </row>
    <row r="17" spans="2:8" x14ac:dyDescent="0.35">
      <c r="B17" s="48"/>
      <c r="C17" s="48"/>
      <c r="D17" s="49"/>
      <c r="E17" s="49"/>
      <c r="F17" s="49"/>
      <c r="G17" s="49" t="s">
        <v>205</v>
      </c>
      <c r="H17" s="49" t="s">
        <v>222</v>
      </c>
    </row>
    <row r="18" spans="2:8" x14ac:dyDescent="0.35">
      <c r="B18" s="48"/>
      <c r="C18" s="48"/>
      <c r="D18" s="49"/>
      <c r="E18" s="49"/>
      <c r="F18" s="49"/>
      <c r="G18" s="49" t="s">
        <v>206</v>
      </c>
      <c r="H18" s="49" t="s">
        <v>223</v>
      </c>
    </row>
    <row r="24" spans="2:8" x14ac:dyDescent="0.35">
      <c r="C24" t="s">
        <v>167</v>
      </c>
    </row>
    <row r="25" spans="2:8" x14ac:dyDescent="0.35">
      <c r="C25" t="s">
        <v>225</v>
      </c>
    </row>
    <row r="26" spans="2:8" x14ac:dyDescent="0.35">
      <c r="C26" t="s">
        <v>226</v>
      </c>
    </row>
    <row r="27" spans="2:8" x14ac:dyDescent="0.35">
      <c r="C27" t="s">
        <v>227</v>
      </c>
    </row>
    <row r="28" spans="2:8" x14ac:dyDescent="0.35">
      <c r="C28" t="s">
        <v>228</v>
      </c>
    </row>
    <row r="29" spans="2:8" x14ac:dyDescent="0.35">
      <c r="C29" t="s">
        <v>229</v>
      </c>
    </row>
    <row r="30" spans="2:8" x14ac:dyDescent="0.35">
      <c r="C30" t="s">
        <v>167</v>
      </c>
    </row>
    <row r="33" spans="3:11" x14ac:dyDescent="0.35">
      <c r="J33">
        <v>1</v>
      </c>
      <c r="K33">
        <v>2</v>
      </c>
    </row>
    <row r="34" spans="3:11" x14ac:dyDescent="0.35">
      <c r="C34" s="51" t="s">
        <v>234</v>
      </c>
      <c r="D34" s="49" t="s">
        <v>232</v>
      </c>
      <c r="E34" s="49" t="s">
        <v>237</v>
      </c>
      <c r="F34" s="49" t="s">
        <v>235</v>
      </c>
      <c r="G34" s="49" t="s">
        <v>236</v>
      </c>
      <c r="H34" s="49" t="s">
        <v>238</v>
      </c>
      <c r="J34" t="s">
        <v>192</v>
      </c>
      <c r="K34" t="s">
        <v>208</v>
      </c>
    </row>
    <row r="35" spans="3:11" x14ac:dyDescent="0.35">
      <c r="C35" s="48" t="s">
        <v>233</v>
      </c>
      <c r="D35" s="49" t="s">
        <v>168</v>
      </c>
      <c r="E35" s="49" t="s">
        <v>242</v>
      </c>
      <c r="F35" s="49" t="s">
        <v>244</v>
      </c>
      <c r="G35" s="49" t="s">
        <v>246</v>
      </c>
      <c r="H35" s="49"/>
    </row>
    <row r="36" spans="3:11" x14ac:dyDescent="0.35">
      <c r="C36" s="48"/>
      <c r="D36" s="49" t="s">
        <v>239</v>
      </c>
      <c r="E36" s="49" t="s">
        <v>243</v>
      </c>
      <c r="F36" s="49" t="s">
        <v>245</v>
      </c>
      <c r="G36" s="49" t="s">
        <v>247</v>
      </c>
      <c r="H36" s="49"/>
    </row>
    <row r="37" spans="3:11" x14ac:dyDescent="0.35">
      <c r="C37" s="48"/>
      <c r="D37" s="49" t="s">
        <v>240</v>
      </c>
      <c r="E37" s="49"/>
      <c r="F37" s="49"/>
      <c r="G37" s="49" t="s">
        <v>248</v>
      </c>
      <c r="H37" s="49"/>
    </row>
    <row r="38" spans="3:11" x14ac:dyDescent="0.35">
      <c r="C38" s="48"/>
      <c r="D38" s="49" t="s">
        <v>241</v>
      </c>
      <c r="E38" s="49"/>
      <c r="F38" s="49"/>
      <c r="G38" s="49" t="s">
        <v>248</v>
      </c>
      <c r="H38" s="49"/>
    </row>
    <row r="39" spans="3:11" x14ac:dyDescent="0.35">
      <c r="C39" s="48"/>
      <c r="D39" s="49"/>
      <c r="E39" s="49"/>
      <c r="F39" s="49"/>
      <c r="G39" s="49" t="s">
        <v>249</v>
      </c>
      <c r="H39" s="49"/>
    </row>
    <row r="40" spans="3:11" x14ac:dyDescent="0.35">
      <c r="C40" s="48"/>
      <c r="D40" s="49"/>
      <c r="E40" s="49"/>
      <c r="F40" s="49"/>
      <c r="G40" s="49" t="s">
        <v>250</v>
      </c>
      <c r="H40" s="49"/>
    </row>
    <row r="41" spans="3:11" x14ac:dyDescent="0.35">
      <c r="C41" s="48"/>
      <c r="D41" s="49"/>
      <c r="E41" s="49"/>
      <c r="F41" s="49"/>
      <c r="G41" s="49"/>
      <c r="H41" s="49"/>
    </row>
    <row r="43" spans="3:11" x14ac:dyDescent="0.35">
      <c r="C43" t="s">
        <v>251</v>
      </c>
    </row>
    <row r="44" spans="3:11" x14ac:dyDescent="0.35">
      <c r="C44" t="s">
        <v>170</v>
      </c>
      <c r="D44" t="s">
        <v>252</v>
      </c>
    </row>
    <row r="45" spans="3:11" x14ac:dyDescent="0.35">
      <c r="D45" t="s">
        <v>253</v>
      </c>
    </row>
    <row r="46" spans="3:11" x14ac:dyDescent="0.35">
      <c r="D46" t="s">
        <v>254</v>
      </c>
    </row>
    <row r="47" spans="3:11" x14ac:dyDescent="0.35">
      <c r="D47" t="s">
        <v>255</v>
      </c>
    </row>
    <row r="48" spans="3:11" x14ac:dyDescent="0.35">
      <c r="D48" t="s">
        <v>256</v>
      </c>
    </row>
    <row r="49" spans="3:4" x14ac:dyDescent="0.35">
      <c r="C49" t="s">
        <v>177</v>
      </c>
      <c r="D49" t="s">
        <v>257</v>
      </c>
    </row>
    <row r="50" spans="3:4" x14ac:dyDescent="0.35">
      <c r="D50" t="s">
        <v>258</v>
      </c>
    </row>
    <row r="51" spans="3:4" x14ac:dyDescent="0.35">
      <c r="D51" t="s">
        <v>259</v>
      </c>
    </row>
    <row r="52" spans="3:4" x14ac:dyDescent="0.35">
      <c r="D52" t="s">
        <v>262</v>
      </c>
    </row>
    <row r="53" spans="3:4" x14ac:dyDescent="0.35">
      <c r="D53" t="s">
        <v>260</v>
      </c>
    </row>
    <row r="54" spans="3:4" x14ac:dyDescent="0.35">
      <c r="D54" t="s">
        <v>261</v>
      </c>
    </row>
    <row r="55" spans="3:4" x14ac:dyDescent="0.35">
      <c r="D55" t="s">
        <v>263</v>
      </c>
    </row>
    <row r="56" spans="3:4" x14ac:dyDescent="0.35">
      <c r="D56" t="s">
        <v>264</v>
      </c>
    </row>
    <row r="57" spans="3:4" x14ac:dyDescent="0.35">
      <c r="D57" t="s">
        <v>265</v>
      </c>
    </row>
    <row r="58" spans="3:4" x14ac:dyDescent="0.35">
      <c r="D58" t="s">
        <v>267</v>
      </c>
    </row>
    <row r="59" spans="3:4" x14ac:dyDescent="0.35">
      <c r="D59" t="s">
        <v>276</v>
      </c>
    </row>
    <row r="60" spans="3:4" x14ac:dyDescent="0.35">
      <c r="C60" t="s">
        <v>192</v>
      </c>
      <c r="D60" t="s">
        <v>268</v>
      </c>
    </row>
    <row r="61" spans="3:4" x14ac:dyDescent="0.35">
      <c r="D61" t="s">
        <v>266</v>
      </c>
    </row>
    <row r="62" spans="3:4" x14ac:dyDescent="0.35">
      <c r="D62" t="s">
        <v>256</v>
      </c>
    </row>
    <row r="63" spans="3:4" x14ac:dyDescent="0.35">
      <c r="D63" t="s">
        <v>269</v>
      </c>
    </row>
    <row r="64" spans="3:4" x14ac:dyDescent="0.35">
      <c r="D64" t="s">
        <v>270</v>
      </c>
    </row>
    <row r="65" spans="3:4" x14ac:dyDescent="0.35">
      <c r="D65" t="s">
        <v>271</v>
      </c>
    </row>
    <row r="66" spans="3:4" x14ac:dyDescent="0.35">
      <c r="D66" t="s">
        <v>272</v>
      </c>
    </row>
    <row r="67" spans="3:4" x14ac:dyDescent="0.35">
      <c r="C67" t="s">
        <v>187</v>
      </c>
      <c r="D67" t="s">
        <v>273</v>
      </c>
    </row>
    <row r="68" spans="3:4" x14ac:dyDescent="0.35">
      <c r="D68" t="s">
        <v>274</v>
      </c>
    </row>
    <row r="69" spans="3:4" x14ac:dyDescent="0.3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2">
        <v>1</v>
      </c>
      <c r="C2" s="55" t="s">
        <v>281</v>
      </c>
    </row>
    <row r="3" spans="2:3" x14ac:dyDescent="0.35">
      <c r="B3" s="52">
        <v>2</v>
      </c>
      <c r="C3" s="53" t="s">
        <v>282</v>
      </c>
    </row>
    <row r="4" spans="2:3" x14ac:dyDescent="0.35">
      <c r="B4" s="52">
        <v>3</v>
      </c>
      <c r="C4" s="54" t="s">
        <v>283</v>
      </c>
    </row>
    <row r="5" spans="2:3" x14ac:dyDescent="0.35">
      <c r="B5" s="52">
        <v>4</v>
      </c>
      <c r="C5" s="53" t="s">
        <v>284</v>
      </c>
    </row>
    <row r="6" spans="2:3" x14ac:dyDescent="0.35">
      <c r="B6" s="52">
        <v>5</v>
      </c>
      <c r="C6" s="54" t="s">
        <v>285</v>
      </c>
    </row>
    <row r="7" spans="2:3" ht="29" x14ac:dyDescent="0.35">
      <c r="B7" s="52">
        <v>6</v>
      </c>
      <c r="C7" s="53" t="s">
        <v>286</v>
      </c>
    </row>
    <row r="8" spans="2:3" ht="72.5" x14ac:dyDescent="0.35">
      <c r="B8" s="52">
        <v>7</v>
      </c>
      <c r="C8" s="53" t="s">
        <v>287</v>
      </c>
    </row>
    <row r="9" spans="2:3" x14ac:dyDescent="0.35">
      <c r="B9" s="52">
        <v>8</v>
      </c>
      <c r="C9" s="54" t="s">
        <v>288</v>
      </c>
    </row>
    <row r="10" spans="2:3" x14ac:dyDescent="0.35">
      <c r="B10" s="52">
        <v>9</v>
      </c>
      <c r="C10" s="54" t="s">
        <v>289</v>
      </c>
    </row>
    <row r="11" spans="2:3" x14ac:dyDescent="0.35">
      <c r="B11" s="52">
        <v>10</v>
      </c>
      <c r="C11" s="54" t="s">
        <v>290</v>
      </c>
    </row>
    <row r="12" spans="2:3" x14ac:dyDescent="0.35">
      <c r="B12" s="52">
        <v>11</v>
      </c>
      <c r="C12" s="54" t="s">
        <v>291</v>
      </c>
    </row>
    <row r="13" spans="2:3" x14ac:dyDescent="0.35">
      <c r="B13" s="52">
        <v>12</v>
      </c>
      <c r="C13" s="54" t="s">
        <v>292</v>
      </c>
    </row>
    <row r="14" spans="2:3" x14ac:dyDescent="0.35">
      <c r="B14" s="52">
        <v>13</v>
      </c>
      <c r="C14" s="54" t="s">
        <v>293</v>
      </c>
    </row>
    <row r="15" spans="2:3" x14ac:dyDescent="0.35">
      <c r="B15" s="52">
        <v>14</v>
      </c>
      <c r="C15" s="54" t="s">
        <v>283</v>
      </c>
    </row>
    <row r="16" spans="2:3" x14ac:dyDescent="0.35">
      <c r="B16" s="52">
        <v>15</v>
      </c>
      <c r="C16" s="54" t="s">
        <v>295</v>
      </c>
    </row>
    <row r="17" spans="2:3" x14ac:dyDescent="0.35">
      <c r="B17" s="76">
        <v>16</v>
      </c>
      <c r="C17" s="60" t="s">
        <v>296</v>
      </c>
    </row>
    <row r="18" spans="2:3" x14ac:dyDescent="0.35">
      <c r="B18" s="59">
        <v>17</v>
      </c>
      <c r="C18" s="60" t="s">
        <v>297</v>
      </c>
    </row>
    <row r="19" spans="2:3" x14ac:dyDescent="0.35">
      <c r="B19" s="58">
        <v>18</v>
      </c>
      <c r="C19" s="52" t="s">
        <v>298</v>
      </c>
    </row>
    <row r="20" spans="2:3" x14ac:dyDescent="0.35">
      <c r="B20" s="59">
        <v>19</v>
      </c>
      <c r="C20" s="52" t="s">
        <v>334</v>
      </c>
    </row>
    <row r="21" spans="2:3" x14ac:dyDescent="0.35">
      <c r="B21" s="61">
        <v>20</v>
      </c>
      <c r="C21" s="52" t="s">
        <v>299</v>
      </c>
    </row>
    <row r="22" spans="2:3" x14ac:dyDescent="0.35">
      <c r="B22" s="59">
        <v>21</v>
      </c>
      <c r="C22" s="52" t="s">
        <v>298</v>
      </c>
    </row>
    <row r="23" spans="2:3" s="70" customFormat="1" ht="29.25" customHeight="1" x14ac:dyDescent="0.35">
      <c r="B23" s="69">
        <v>22</v>
      </c>
      <c r="C23" s="55" t="s">
        <v>326</v>
      </c>
    </row>
    <row r="24" spans="2:3" s="70" customFormat="1" ht="30.75" customHeight="1" x14ac:dyDescent="0.35">
      <c r="B24" s="71">
        <v>23</v>
      </c>
      <c r="C24" s="55" t="s">
        <v>327</v>
      </c>
    </row>
    <row r="25" spans="2:3" x14ac:dyDescent="0.35">
      <c r="B25" s="61">
        <v>24</v>
      </c>
      <c r="C25" s="52" t="s">
        <v>330</v>
      </c>
    </row>
    <row r="26" spans="2:3" x14ac:dyDescent="0.35">
      <c r="B26" s="59">
        <v>25</v>
      </c>
      <c r="C26" s="52" t="s">
        <v>328</v>
      </c>
    </row>
    <row r="27" spans="2:3" x14ac:dyDescent="0.35">
      <c r="B27" s="71">
        <v>26</v>
      </c>
      <c r="C27" s="61" t="s">
        <v>329</v>
      </c>
    </row>
    <row r="28" spans="2:3" x14ac:dyDescent="0.35">
      <c r="B28" s="72">
        <v>27</v>
      </c>
      <c r="C28" s="52" t="s">
        <v>331</v>
      </c>
    </row>
    <row r="29" spans="2:3" ht="43.5" x14ac:dyDescent="0.35">
      <c r="B29" s="75">
        <v>28</v>
      </c>
      <c r="C29" s="53" t="s">
        <v>332</v>
      </c>
    </row>
    <row r="30" spans="2:3" x14ac:dyDescent="0.35">
      <c r="B30" s="71">
        <v>29</v>
      </c>
      <c r="C30" s="52" t="s">
        <v>333</v>
      </c>
    </row>
    <row r="31" spans="2:3" ht="29" x14ac:dyDescent="0.35">
      <c r="B31" s="77">
        <v>30</v>
      </c>
      <c r="C31" s="53" t="s">
        <v>335</v>
      </c>
    </row>
    <row r="32" spans="2:3" x14ac:dyDescent="0.35">
      <c r="B32" s="71">
        <v>31</v>
      </c>
      <c r="C32" s="52" t="s">
        <v>336</v>
      </c>
    </row>
    <row r="33" spans="2:3" x14ac:dyDescent="0.35">
      <c r="B33" s="71">
        <v>32</v>
      </c>
      <c r="C33" s="52" t="s">
        <v>337</v>
      </c>
    </row>
    <row r="34" spans="2:3" ht="36.75" customHeight="1" x14ac:dyDescent="0.35">
      <c r="B34" s="77">
        <v>33</v>
      </c>
      <c r="C34" s="60" t="s">
        <v>338</v>
      </c>
    </row>
    <row r="35" spans="2:3" x14ac:dyDescent="0.35">
      <c r="B35" s="82">
        <v>34</v>
      </c>
      <c r="C35" s="52" t="s">
        <v>347</v>
      </c>
    </row>
    <row r="36" spans="2:3" ht="58" x14ac:dyDescent="0.35">
      <c r="B36" s="69">
        <v>35</v>
      </c>
      <c r="C36" s="53" t="s">
        <v>350</v>
      </c>
    </row>
    <row r="37" spans="2:3" x14ac:dyDescent="0.35">
      <c r="B37" s="52"/>
      <c r="C37" s="52"/>
    </row>
    <row r="38" spans="2:3" x14ac:dyDescent="0.35">
      <c r="B38" s="52"/>
      <c r="C38" s="52"/>
    </row>
    <row r="39" spans="2:3" x14ac:dyDescent="0.35">
      <c r="B39" s="52"/>
      <c r="C39" s="52"/>
    </row>
    <row r="40" spans="2:3" x14ac:dyDescent="0.35">
      <c r="B40" s="52"/>
      <c r="C40" s="52"/>
    </row>
    <row r="41" spans="2:3" x14ac:dyDescent="0.35">
      <c r="B41" s="52"/>
      <c r="C41" s="52"/>
    </row>
    <row r="42" spans="2:3" x14ac:dyDescent="0.35">
      <c r="B42" s="52"/>
      <c r="C42" s="52"/>
    </row>
    <row r="43" spans="2:3" x14ac:dyDescent="0.35">
      <c r="B43" s="52"/>
      <c r="C43" s="52"/>
    </row>
    <row r="44" spans="2:3" x14ac:dyDescent="0.35">
      <c r="B44" s="52"/>
      <c r="C44" s="52"/>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8"/>
    <col min="2" max="2" width="12.26953125" style="48" customWidth="1"/>
    <col min="3" max="16384" width="9.1796875" style="48"/>
  </cols>
  <sheetData>
    <row r="2" spans="1:12" x14ac:dyDescent="0.35">
      <c r="B2" s="63" t="s">
        <v>300</v>
      </c>
      <c r="C2" s="245"/>
      <c r="D2" s="245"/>
    </row>
    <row r="3" spans="1:12" x14ac:dyDescent="0.35">
      <c r="D3" s="64"/>
      <c r="E3" s="64"/>
      <c r="F3" s="64"/>
      <c r="G3" s="64"/>
      <c r="H3" s="64"/>
      <c r="I3" s="64"/>
    </row>
    <row r="4" spans="1:12" x14ac:dyDescent="0.35">
      <c r="A4" s="63" t="s">
        <v>66</v>
      </c>
      <c r="B4" s="65" t="s">
        <v>301</v>
      </c>
      <c r="C4" s="246" t="s">
        <v>302</v>
      </c>
      <c r="D4" s="246"/>
      <c r="E4" s="246"/>
      <c r="F4" s="65"/>
      <c r="G4" s="247" t="s">
        <v>303</v>
      </c>
      <c r="H4" s="247"/>
      <c r="I4" s="247"/>
      <c r="J4" s="248" t="s">
        <v>304</v>
      </c>
      <c r="K4" s="248"/>
      <c r="L4" s="248"/>
    </row>
    <row r="5" spans="1:12" x14ac:dyDescent="0.35">
      <c r="A5" s="63"/>
      <c r="B5" s="65"/>
      <c r="C5" s="65" t="s">
        <v>305</v>
      </c>
      <c r="D5" s="65" t="s">
        <v>306</v>
      </c>
      <c r="E5" s="65" t="s">
        <v>307</v>
      </c>
      <c r="F5" s="65"/>
      <c r="G5" s="65" t="s">
        <v>305</v>
      </c>
      <c r="H5" s="65" t="s">
        <v>306</v>
      </c>
      <c r="I5" s="65" t="s">
        <v>307</v>
      </c>
      <c r="J5" s="65" t="s">
        <v>305</v>
      </c>
      <c r="K5" s="65" t="s">
        <v>306</v>
      </c>
      <c r="L5" s="65" t="s">
        <v>307</v>
      </c>
    </row>
    <row r="6" spans="1:12" x14ac:dyDescent="0.35">
      <c r="B6" s="49" t="s">
        <v>308</v>
      </c>
      <c r="C6" s="49"/>
      <c r="D6" s="49"/>
      <c r="E6" s="49">
        <f>C6*D6</f>
        <v>0</v>
      </c>
      <c r="F6" s="49" t="s">
        <v>325</v>
      </c>
      <c r="G6" s="49"/>
      <c r="H6" s="49"/>
      <c r="I6" s="49">
        <f>G6*H6</f>
        <v>0</v>
      </c>
      <c r="J6" s="49"/>
      <c r="K6" s="49"/>
      <c r="L6" s="49">
        <f>J6*K6</f>
        <v>0</v>
      </c>
    </row>
    <row r="7" spans="1:12" x14ac:dyDescent="0.35">
      <c r="B7" s="49"/>
      <c r="C7" s="49"/>
      <c r="D7" s="49"/>
      <c r="E7" s="49">
        <f t="shared" ref="E7:E41" si="0">C7*D7</f>
        <v>0</v>
      </c>
      <c r="F7" s="49" t="s">
        <v>325</v>
      </c>
      <c r="G7" s="49"/>
      <c r="H7" s="49"/>
      <c r="I7" s="49">
        <f t="shared" ref="I7:I35" si="1">G7*H7</f>
        <v>0</v>
      </c>
      <c r="J7" s="49"/>
      <c r="K7" s="49"/>
      <c r="L7" s="49">
        <f t="shared" ref="L7:L35" si="2">J7*K7</f>
        <v>0</v>
      </c>
    </row>
    <row r="8" spans="1:12" x14ac:dyDescent="0.35">
      <c r="B8" s="49"/>
      <c r="C8" s="49"/>
      <c r="D8" s="49"/>
      <c r="E8" s="49">
        <f t="shared" si="0"/>
        <v>0</v>
      </c>
      <c r="F8" s="49"/>
      <c r="G8" s="49"/>
      <c r="H8" s="49"/>
      <c r="I8" s="49">
        <f t="shared" si="1"/>
        <v>0</v>
      </c>
      <c r="J8" s="49"/>
      <c r="K8" s="49"/>
      <c r="L8" s="49">
        <f t="shared" si="2"/>
        <v>0</v>
      </c>
    </row>
    <row r="9" spans="1:12" x14ac:dyDescent="0.35">
      <c r="B9" s="49"/>
      <c r="C9" s="49"/>
      <c r="D9" s="49"/>
      <c r="E9" s="49">
        <f t="shared" si="0"/>
        <v>0</v>
      </c>
      <c r="F9" s="49" t="s">
        <v>309</v>
      </c>
      <c r="G9" s="49"/>
      <c r="H9" s="49"/>
      <c r="I9" s="49">
        <f t="shared" si="1"/>
        <v>0</v>
      </c>
      <c r="J9" s="49"/>
      <c r="K9" s="49"/>
      <c r="L9" s="49">
        <f t="shared" si="2"/>
        <v>0</v>
      </c>
    </row>
    <row r="10" spans="1:12" x14ac:dyDescent="0.35">
      <c r="B10" s="49" t="s">
        <v>310</v>
      </c>
      <c r="C10" s="49"/>
      <c r="D10" s="49"/>
      <c r="E10" s="49">
        <f t="shared" si="0"/>
        <v>0</v>
      </c>
      <c r="F10" s="49" t="s">
        <v>309</v>
      </c>
      <c r="G10" s="49"/>
      <c r="H10" s="49"/>
      <c r="I10" s="49">
        <f t="shared" si="1"/>
        <v>0</v>
      </c>
      <c r="J10" s="49"/>
      <c r="K10" s="49"/>
      <c r="L10" s="49">
        <f t="shared" si="2"/>
        <v>0</v>
      </c>
    </row>
    <row r="11" spans="1:12" x14ac:dyDescent="0.35">
      <c r="B11" s="49"/>
      <c r="C11" s="49"/>
      <c r="D11" s="49"/>
      <c r="E11" s="49">
        <f t="shared" si="0"/>
        <v>0</v>
      </c>
      <c r="F11" s="49" t="s">
        <v>311</v>
      </c>
      <c r="G11" s="49"/>
      <c r="H11" s="49"/>
      <c r="I11" s="49">
        <f t="shared" si="1"/>
        <v>0</v>
      </c>
      <c r="J11" s="49"/>
      <c r="K11" s="49"/>
      <c r="L11" s="49">
        <f t="shared" si="2"/>
        <v>0</v>
      </c>
    </row>
    <row r="12" spans="1:12" x14ac:dyDescent="0.35">
      <c r="B12" s="49"/>
      <c r="C12" s="49"/>
      <c r="D12" s="49"/>
      <c r="E12" s="49">
        <f t="shared" si="0"/>
        <v>0</v>
      </c>
      <c r="F12" s="49"/>
      <c r="G12" s="49"/>
      <c r="H12" s="49"/>
      <c r="I12" s="49">
        <f t="shared" si="1"/>
        <v>0</v>
      </c>
      <c r="J12" s="49"/>
      <c r="K12" s="49"/>
      <c r="L12" s="49">
        <f t="shared" si="2"/>
        <v>0</v>
      </c>
    </row>
    <row r="13" spans="1:12" x14ac:dyDescent="0.35">
      <c r="B13" s="49"/>
      <c r="C13" s="49"/>
      <c r="D13" s="49"/>
      <c r="E13" s="49">
        <f t="shared" si="0"/>
        <v>0</v>
      </c>
      <c r="F13" s="49"/>
      <c r="G13" s="49"/>
      <c r="H13" s="49"/>
      <c r="I13" s="49">
        <f t="shared" si="1"/>
        <v>0</v>
      </c>
      <c r="J13" s="49"/>
      <c r="K13" s="49"/>
      <c r="L13" s="49">
        <f t="shared" si="2"/>
        <v>0</v>
      </c>
    </row>
    <row r="14" spans="1:12" x14ac:dyDescent="0.35">
      <c r="B14" s="49" t="s">
        <v>312</v>
      </c>
      <c r="C14" s="49"/>
      <c r="D14" s="49"/>
      <c r="E14" s="49">
        <f t="shared" si="0"/>
        <v>0</v>
      </c>
      <c r="F14" s="49" t="s">
        <v>309</v>
      </c>
      <c r="G14" s="49"/>
      <c r="H14" s="49"/>
      <c r="I14" s="49">
        <f t="shared" si="1"/>
        <v>0</v>
      </c>
      <c r="J14" s="49"/>
      <c r="K14" s="49"/>
      <c r="L14" s="49">
        <f t="shared" si="2"/>
        <v>0</v>
      </c>
    </row>
    <row r="15" spans="1:12" x14ac:dyDescent="0.35">
      <c r="B15" s="49"/>
      <c r="C15" s="49"/>
      <c r="D15" s="49"/>
      <c r="E15" s="49">
        <f t="shared" si="0"/>
        <v>0</v>
      </c>
      <c r="F15" s="49" t="s">
        <v>311</v>
      </c>
      <c r="G15" s="49"/>
      <c r="H15" s="49"/>
      <c r="I15" s="49">
        <f t="shared" si="1"/>
        <v>0</v>
      </c>
      <c r="J15" s="49"/>
      <c r="K15" s="49"/>
      <c r="L15" s="49">
        <f t="shared" si="2"/>
        <v>0</v>
      </c>
    </row>
    <row r="16" spans="1:12" x14ac:dyDescent="0.35">
      <c r="B16" s="49"/>
      <c r="C16" s="49"/>
      <c r="D16" s="49"/>
      <c r="E16" s="49">
        <f t="shared" si="0"/>
        <v>0</v>
      </c>
      <c r="F16" s="49"/>
      <c r="G16" s="49"/>
      <c r="H16" s="49"/>
      <c r="I16" s="49">
        <f t="shared" si="1"/>
        <v>0</v>
      </c>
      <c r="J16" s="49"/>
      <c r="K16" s="49"/>
      <c r="L16" s="49">
        <f t="shared" si="2"/>
        <v>0</v>
      </c>
    </row>
    <row r="17" spans="2:12" x14ac:dyDescent="0.35">
      <c r="B17" s="49"/>
      <c r="C17" s="49"/>
      <c r="D17" s="49"/>
      <c r="E17" s="49">
        <f t="shared" si="0"/>
        <v>0</v>
      </c>
      <c r="F17" s="49"/>
      <c r="G17" s="49"/>
      <c r="H17" s="49"/>
      <c r="I17" s="49">
        <f t="shared" si="1"/>
        <v>0</v>
      </c>
      <c r="J17" s="49"/>
      <c r="K17" s="49"/>
      <c r="L17" s="49">
        <f t="shared" si="2"/>
        <v>0</v>
      </c>
    </row>
    <row r="18" spans="2:12" x14ac:dyDescent="0.35">
      <c r="B18" s="49" t="s">
        <v>313</v>
      </c>
      <c r="C18" s="49"/>
      <c r="D18" s="49"/>
      <c r="E18" s="49">
        <f t="shared" si="0"/>
        <v>0</v>
      </c>
      <c r="F18" s="49" t="s">
        <v>309</v>
      </c>
      <c r="G18" s="49"/>
      <c r="H18" s="49"/>
      <c r="I18" s="49">
        <f t="shared" si="1"/>
        <v>0</v>
      </c>
      <c r="J18" s="49"/>
      <c r="K18" s="49"/>
      <c r="L18" s="49">
        <f t="shared" si="2"/>
        <v>0</v>
      </c>
    </row>
    <row r="19" spans="2:12" x14ac:dyDescent="0.35">
      <c r="B19" s="49"/>
      <c r="C19" s="49"/>
      <c r="D19" s="49"/>
      <c r="E19" s="49">
        <f t="shared" si="0"/>
        <v>0</v>
      </c>
      <c r="F19" s="49" t="s">
        <v>311</v>
      </c>
      <c r="G19" s="49"/>
      <c r="H19" s="49"/>
      <c r="I19" s="49">
        <f t="shared" si="1"/>
        <v>0</v>
      </c>
      <c r="J19" s="49"/>
      <c r="K19" s="49"/>
      <c r="L19" s="49">
        <f t="shared" si="2"/>
        <v>0</v>
      </c>
    </row>
    <row r="20" spans="2:12" x14ac:dyDescent="0.35">
      <c r="B20" s="49"/>
      <c r="C20" s="49"/>
      <c r="D20" s="49"/>
      <c r="E20" s="49">
        <f t="shared" si="0"/>
        <v>0</v>
      </c>
      <c r="F20" s="49"/>
      <c r="G20" s="49"/>
      <c r="H20" s="49"/>
      <c r="I20" s="49">
        <f t="shared" si="1"/>
        <v>0</v>
      </c>
      <c r="J20" s="49"/>
      <c r="K20" s="49"/>
      <c r="L20" s="49">
        <f t="shared" si="2"/>
        <v>0</v>
      </c>
    </row>
    <row r="21" spans="2:12" x14ac:dyDescent="0.35">
      <c r="B21" s="49" t="s">
        <v>314</v>
      </c>
      <c r="C21" s="49"/>
      <c r="D21" s="49"/>
      <c r="E21" s="49">
        <f t="shared" si="0"/>
        <v>0</v>
      </c>
      <c r="F21" s="49" t="s">
        <v>309</v>
      </c>
      <c r="G21" s="49"/>
      <c r="H21" s="49"/>
      <c r="I21" s="49">
        <f t="shared" si="1"/>
        <v>0</v>
      </c>
      <c r="J21" s="49"/>
      <c r="K21" s="49"/>
      <c r="L21" s="49">
        <f t="shared" si="2"/>
        <v>0</v>
      </c>
    </row>
    <row r="22" spans="2:12" x14ac:dyDescent="0.35">
      <c r="B22" s="49"/>
      <c r="C22" s="49"/>
      <c r="D22" s="49"/>
      <c r="E22" s="49">
        <f t="shared" si="0"/>
        <v>0</v>
      </c>
      <c r="F22" s="49" t="s">
        <v>311</v>
      </c>
      <c r="G22" s="49"/>
      <c r="H22" s="49"/>
      <c r="I22" s="49">
        <f t="shared" si="1"/>
        <v>0</v>
      </c>
      <c r="J22" s="49"/>
      <c r="K22" s="49"/>
      <c r="L22" s="49">
        <f t="shared" si="2"/>
        <v>0</v>
      </c>
    </row>
    <row r="23" spans="2:12" x14ac:dyDescent="0.35">
      <c r="B23" s="49"/>
      <c r="C23" s="49"/>
      <c r="D23" s="49"/>
      <c r="E23" s="49">
        <f t="shared" si="0"/>
        <v>0</v>
      </c>
      <c r="F23" s="49"/>
      <c r="G23" s="49"/>
      <c r="H23" s="49"/>
      <c r="I23" s="49">
        <f t="shared" si="1"/>
        <v>0</v>
      </c>
      <c r="J23" s="49"/>
      <c r="K23" s="49"/>
      <c r="L23" s="49">
        <f t="shared" si="2"/>
        <v>0</v>
      </c>
    </row>
    <row r="24" spans="2:12" x14ac:dyDescent="0.35">
      <c r="B24" s="49" t="s">
        <v>315</v>
      </c>
      <c r="C24" s="49"/>
      <c r="D24" s="49"/>
      <c r="E24" s="49">
        <f t="shared" si="0"/>
        <v>0</v>
      </c>
      <c r="F24" s="49" t="s">
        <v>316</v>
      </c>
      <c r="G24" s="49"/>
      <c r="H24" s="49"/>
      <c r="I24" s="49">
        <f t="shared" si="1"/>
        <v>0</v>
      </c>
      <c r="J24" s="49"/>
      <c r="K24" s="49"/>
      <c r="L24" s="49">
        <f t="shared" si="2"/>
        <v>0</v>
      </c>
    </row>
    <row r="25" spans="2:12" x14ac:dyDescent="0.35">
      <c r="B25" s="49"/>
      <c r="C25" s="49"/>
      <c r="D25" s="49"/>
      <c r="E25" s="49">
        <f>C25*D25</f>
        <v>0</v>
      </c>
      <c r="F25" s="49" t="s">
        <v>316</v>
      </c>
      <c r="G25" s="49"/>
      <c r="H25" s="49"/>
      <c r="I25" s="49">
        <f>G25*H25</f>
        <v>0</v>
      </c>
      <c r="J25" s="49"/>
      <c r="K25" s="49"/>
      <c r="L25" s="49">
        <f>J25*K25</f>
        <v>0</v>
      </c>
    </row>
    <row r="26" spans="2:12" x14ac:dyDescent="0.35">
      <c r="B26" s="49"/>
      <c r="C26" s="49"/>
      <c r="D26" s="49"/>
      <c r="E26" s="49">
        <f>C26*D26</f>
        <v>0</v>
      </c>
      <c r="F26" s="49" t="s">
        <v>316</v>
      </c>
      <c r="G26" s="49"/>
      <c r="H26" s="49"/>
      <c r="I26" s="49">
        <f>G26*H26</f>
        <v>0</v>
      </c>
      <c r="J26" s="49"/>
      <c r="K26" s="49"/>
      <c r="L26" s="49">
        <f>J26*K26</f>
        <v>0</v>
      </c>
    </row>
    <row r="27" spans="2:12" x14ac:dyDescent="0.35">
      <c r="B27" s="49"/>
      <c r="C27" s="49"/>
      <c r="D27" s="49"/>
      <c r="E27" s="49">
        <f>C27*D27</f>
        <v>0</v>
      </c>
      <c r="F27" s="49" t="s">
        <v>316</v>
      </c>
      <c r="G27" s="49"/>
      <c r="H27" s="49"/>
      <c r="I27" s="49">
        <f>G27*H27</f>
        <v>0</v>
      </c>
      <c r="J27" s="49"/>
      <c r="K27" s="49"/>
      <c r="L27" s="49">
        <f>J27*K27</f>
        <v>0</v>
      </c>
    </row>
    <row r="28" spans="2:12" x14ac:dyDescent="0.35">
      <c r="B28" s="49" t="s">
        <v>317</v>
      </c>
      <c r="C28" s="49"/>
      <c r="D28" s="49"/>
      <c r="E28" s="49">
        <f t="shared" si="0"/>
        <v>0</v>
      </c>
      <c r="F28" s="49" t="s">
        <v>316</v>
      </c>
      <c r="G28" s="49"/>
      <c r="H28" s="49"/>
      <c r="I28" s="49">
        <f t="shared" si="1"/>
        <v>0</v>
      </c>
      <c r="J28" s="49"/>
      <c r="K28" s="49"/>
      <c r="L28" s="49">
        <f t="shared" si="2"/>
        <v>0</v>
      </c>
    </row>
    <row r="29" spans="2:12" x14ac:dyDescent="0.35">
      <c r="B29" s="49" t="s">
        <v>318</v>
      </c>
      <c r="C29" s="49"/>
      <c r="D29" s="49"/>
      <c r="E29" s="49">
        <f t="shared" si="0"/>
        <v>0</v>
      </c>
      <c r="F29" s="49" t="s">
        <v>316</v>
      </c>
      <c r="G29" s="49"/>
      <c r="H29" s="49"/>
      <c r="I29" s="49">
        <f t="shared" si="1"/>
        <v>0</v>
      </c>
      <c r="J29" s="49"/>
      <c r="K29" s="49"/>
      <c r="L29" s="49">
        <f t="shared" si="2"/>
        <v>0</v>
      </c>
    </row>
    <row r="30" spans="2:12" x14ac:dyDescent="0.35">
      <c r="B30" s="49" t="s">
        <v>322</v>
      </c>
      <c r="C30" s="49"/>
      <c r="D30" s="49"/>
      <c r="E30" s="49">
        <f t="shared" si="0"/>
        <v>0</v>
      </c>
      <c r="F30" s="49"/>
      <c r="G30" s="49"/>
      <c r="H30" s="49"/>
      <c r="I30" s="49">
        <f t="shared" si="1"/>
        <v>0</v>
      </c>
      <c r="J30" s="49"/>
      <c r="K30" s="49"/>
      <c r="L30" s="49">
        <f t="shared" si="2"/>
        <v>0</v>
      </c>
    </row>
    <row r="31" spans="2:12" x14ac:dyDescent="0.35">
      <c r="B31" s="49"/>
      <c r="C31" s="49"/>
      <c r="D31" s="49"/>
      <c r="E31" s="49">
        <f>C31*D31</f>
        <v>0</v>
      </c>
      <c r="F31" s="49"/>
      <c r="G31" s="49"/>
      <c r="H31" s="49"/>
      <c r="I31" s="49">
        <f>G31*H31</f>
        <v>0</v>
      </c>
      <c r="J31" s="49"/>
      <c r="K31" s="49"/>
      <c r="L31" s="49">
        <f>J31*K31</f>
        <v>0</v>
      </c>
    </row>
    <row r="32" spans="2:12" x14ac:dyDescent="0.35">
      <c r="B32" s="49"/>
      <c r="C32" s="49"/>
      <c r="D32" s="49"/>
      <c r="E32" s="49">
        <f>C32*D32</f>
        <v>0</v>
      </c>
      <c r="F32" s="49"/>
      <c r="G32" s="49"/>
      <c r="H32" s="49"/>
      <c r="I32" s="49">
        <f>G32*H32</f>
        <v>0</v>
      </c>
      <c r="J32" s="49"/>
      <c r="K32" s="49"/>
      <c r="L32" s="49">
        <f>J32*K32</f>
        <v>0</v>
      </c>
    </row>
    <row r="33" spans="2:12" x14ac:dyDescent="0.35">
      <c r="B33" s="49" t="s">
        <v>319</v>
      </c>
      <c r="C33" s="49"/>
      <c r="D33" s="49"/>
      <c r="E33" s="49">
        <f t="shared" si="0"/>
        <v>0</v>
      </c>
      <c r="F33" s="49"/>
      <c r="G33" s="49"/>
      <c r="H33" s="49"/>
      <c r="I33" s="49">
        <f t="shared" si="1"/>
        <v>0</v>
      </c>
      <c r="J33" s="49"/>
      <c r="K33" s="49"/>
      <c r="L33" s="49">
        <f t="shared" si="2"/>
        <v>0</v>
      </c>
    </row>
    <row r="34" spans="2:12" x14ac:dyDescent="0.35">
      <c r="B34" s="49" t="s">
        <v>323</v>
      </c>
      <c r="C34" s="49"/>
      <c r="D34" s="49"/>
      <c r="E34" s="49">
        <f t="shared" si="0"/>
        <v>0</v>
      </c>
      <c r="F34" s="49"/>
      <c r="G34" s="49"/>
      <c r="H34" s="49"/>
      <c r="I34" s="49">
        <f t="shared" si="1"/>
        <v>0</v>
      </c>
      <c r="J34" s="49"/>
      <c r="K34" s="49"/>
      <c r="L34" s="49">
        <f t="shared" si="2"/>
        <v>0</v>
      </c>
    </row>
    <row r="35" spans="2:12" x14ac:dyDescent="0.35">
      <c r="B35" s="49" t="s">
        <v>320</v>
      </c>
      <c r="C35" s="49"/>
      <c r="D35" s="49"/>
      <c r="E35" s="49">
        <f t="shared" si="0"/>
        <v>0</v>
      </c>
      <c r="F35" s="49"/>
      <c r="G35" s="49"/>
      <c r="H35" s="49"/>
      <c r="I35" s="49">
        <f t="shared" si="1"/>
        <v>0</v>
      </c>
      <c r="J35" s="49"/>
      <c r="K35" s="49"/>
      <c r="L35" s="49">
        <f t="shared" si="2"/>
        <v>0</v>
      </c>
    </row>
    <row r="36" spans="2:12" x14ac:dyDescent="0.35">
      <c r="B36" s="49" t="s">
        <v>321</v>
      </c>
      <c r="C36" s="49"/>
      <c r="D36" s="49"/>
      <c r="E36" s="49">
        <f t="shared" si="0"/>
        <v>0</v>
      </c>
      <c r="F36" s="49"/>
      <c r="G36" s="49"/>
      <c r="H36" s="49"/>
      <c r="I36" s="49">
        <f t="shared" ref="I36:I41" si="3">G36*H36</f>
        <v>0</v>
      </c>
      <c r="J36" s="49"/>
      <c r="K36" s="49"/>
      <c r="L36" s="49">
        <f t="shared" ref="L36:L41" si="4">J36*K36</f>
        <v>0</v>
      </c>
    </row>
    <row r="37" spans="2:12" x14ac:dyDescent="0.35">
      <c r="B37" s="49"/>
      <c r="C37" s="49"/>
      <c r="D37" s="49"/>
      <c r="E37" s="49">
        <f>C37*D37</f>
        <v>0</v>
      </c>
      <c r="F37" s="49"/>
      <c r="G37" s="49"/>
      <c r="H37" s="49"/>
      <c r="I37" s="49">
        <f t="shared" si="3"/>
        <v>0</v>
      </c>
      <c r="J37" s="49"/>
      <c r="K37" s="49"/>
      <c r="L37" s="49">
        <f t="shared" si="4"/>
        <v>0</v>
      </c>
    </row>
    <row r="38" spans="2:12" x14ac:dyDescent="0.35">
      <c r="B38" s="49" t="s">
        <v>324</v>
      </c>
      <c r="C38" s="49"/>
      <c r="D38" s="49"/>
      <c r="E38" s="49">
        <f>C38*D38</f>
        <v>0</v>
      </c>
      <c r="F38" s="49"/>
      <c r="G38" s="49"/>
      <c r="H38" s="49"/>
      <c r="I38" s="49">
        <f t="shared" si="3"/>
        <v>0</v>
      </c>
      <c r="J38" s="49"/>
      <c r="K38" s="49"/>
      <c r="L38" s="49">
        <f t="shared" si="4"/>
        <v>0</v>
      </c>
    </row>
    <row r="39" spans="2:12" x14ac:dyDescent="0.35">
      <c r="B39" s="49"/>
      <c r="C39" s="49"/>
      <c r="D39" s="49"/>
      <c r="E39" s="49">
        <f t="shared" si="0"/>
        <v>0</v>
      </c>
      <c r="F39" s="49"/>
      <c r="G39" s="49"/>
      <c r="H39" s="49"/>
      <c r="I39" s="49">
        <f t="shared" si="3"/>
        <v>0</v>
      </c>
      <c r="J39" s="49"/>
      <c r="K39" s="49"/>
      <c r="L39" s="49">
        <f t="shared" si="4"/>
        <v>0</v>
      </c>
    </row>
    <row r="40" spans="2:12" x14ac:dyDescent="0.35">
      <c r="B40" s="49"/>
      <c r="C40" s="49"/>
      <c r="D40" s="49"/>
      <c r="E40" s="49">
        <f t="shared" si="0"/>
        <v>0</v>
      </c>
      <c r="F40" s="49"/>
      <c r="G40" s="49"/>
      <c r="H40" s="49"/>
      <c r="I40" s="49">
        <f t="shared" si="3"/>
        <v>0</v>
      </c>
      <c r="J40" s="49"/>
      <c r="K40" s="49"/>
      <c r="L40" s="49">
        <f t="shared" si="4"/>
        <v>0</v>
      </c>
    </row>
    <row r="41" spans="2:12" x14ac:dyDescent="0.35">
      <c r="B41" s="49"/>
      <c r="C41" s="49"/>
      <c r="D41" s="49"/>
      <c r="E41" s="49">
        <f t="shared" si="0"/>
        <v>0</v>
      </c>
      <c r="F41" s="49"/>
      <c r="G41" s="49"/>
      <c r="H41" s="49"/>
      <c r="I41" s="49">
        <f t="shared" si="3"/>
        <v>0</v>
      </c>
      <c r="J41" s="49"/>
      <c r="K41" s="49"/>
      <c r="L41" s="49">
        <f t="shared" si="4"/>
        <v>0</v>
      </c>
    </row>
    <row r="42" spans="2:12" x14ac:dyDescent="0.35">
      <c r="B42" s="49" t="s">
        <v>147</v>
      </c>
      <c r="C42" s="49"/>
      <c r="D42" s="49">
        <f>E42*10.764</f>
        <v>0</v>
      </c>
      <c r="E42" s="68">
        <f>SUM(E6:E41)</f>
        <v>0</v>
      </c>
      <c r="F42" s="49"/>
      <c r="G42" s="49"/>
      <c r="H42" s="49">
        <f>I42*10.764</f>
        <v>0</v>
      </c>
      <c r="I42" s="67">
        <f>SUM(I6:I41)</f>
        <v>0</v>
      </c>
      <c r="J42" s="49"/>
      <c r="K42" s="49">
        <f>L42*10.764</f>
        <v>0</v>
      </c>
      <c r="L42" s="66">
        <f>SUM(L6:L41)</f>
        <v>0</v>
      </c>
    </row>
    <row r="44" spans="2:12" x14ac:dyDescent="0.3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2025-06-11T06:29:16Z</cp:lastPrinted>
  <dcterms:created xsi:type="dcterms:W3CDTF">2019-07-16T09:29:46Z</dcterms:created>
  <dcterms:modified xsi:type="dcterms:W3CDTF">2025-09-19T07:32:31Z</dcterms:modified>
</cp:coreProperties>
</file>