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855" tabRatio="860"/>
  </bookViews>
  <sheets>
    <sheet name="Sheet1" sheetId="1" r:id="rId1"/>
    <sheet name="VALUATION" sheetId="18" r:id="rId2"/>
    <sheet name="Note" sheetId="14" r:id="rId3"/>
    <sheet name="1%" sheetId="15" r:id="rId4"/>
    <sheet name="2%" sheetId="16" r:id="rId5"/>
    <sheet name="3%" sheetId="17" r:id="rId6"/>
    <sheet name="Wing A" sheetId="11" r:id="rId7"/>
    <sheet name="Wing B" sheetId="12" r:id="rId8"/>
    <sheet name="Wing C" sheetId="13" r:id="rId9"/>
  </sheets>
  <definedNames>
    <definedName name="_xlnm.Print_Area" localSheetId="0">Sheet1!$A$1:$J$776</definedName>
  </definedNames>
  <calcPr calcId="152511"/>
</workbook>
</file>

<file path=xl/calcChain.xml><?xml version="1.0" encoding="utf-8"?>
<calcChain xmlns="http://schemas.openxmlformats.org/spreadsheetml/2006/main">
  <c r="D52" i="1" l="1"/>
  <c r="A542" i="1"/>
  <c r="C61" i="1"/>
  <c r="N95" i="1" l="1"/>
  <c r="C93" i="1"/>
  <c r="D506" i="1" l="1"/>
  <c r="D362" i="1"/>
  <c r="D353" i="1"/>
  <c r="D324" i="1"/>
  <c r="D315" i="1"/>
  <c r="D306" i="1"/>
  <c r="D296" i="1"/>
  <c r="D287" i="1"/>
  <c r="D300" i="1"/>
  <c r="D291" i="1"/>
  <c r="D282" i="1"/>
  <c r="D297" i="1"/>
  <c r="D288" i="1"/>
  <c r="D279" i="1"/>
  <c r="M275" i="1"/>
  <c r="D522" i="1" l="1"/>
  <c r="G522" i="1" s="1"/>
  <c r="D523" i="1"/>
  <c r="G523" i="1" s="1"/>
  <c r="D521" i="1"/>
  <c r="G521" i="1" s="1"/>
  <c r="D520" i="1"/>
  <c r="G520" i="1" s="1"/>
  <c r="D519" i="1"/>
  <c r="G519" i="1" s="1"/>
  <c r="D518" i="1"/>
  <c r="G518" i="1" s="1"/>
  <c r="I517" i="1"/>
  <c r="D517" i="1"/>
  <c r="G517" i="1" s="1"/>
  <c r="D514" i="1"/>
  <c r="G514" i="1" s="1"/>
  <c r="D515" i="1"/>
  <c r="G515" i="1" s="1"/>
  <c r="D513" i="1"/>
  <c r="G513" i="1" s="1"/>
  <c r="D512" i="1"/>
  <c r="G512" i="1" s="1"/>
  <c r="D510" i="1"/>
  <c r="G510" i="1" s="1"/>
  <c r="I509" i="1"/>
  <c r="D509" i="1"/>
  <c r="G509" i="1" s="1"/>
  <c r="G506" i="1"/>
  <c r="D507" i="1"/>
  <c r="G507" i="1" s="1"/>
  <c r="D505" i="1"/>
  <c r="G505" i="1" s="1"/>
  <c r="D504" i="1"/>
  <c r="G504" i="1" s="1"/>
  <c r="D503" i="1"/>
  <c r="G503" i="1" s="1"/>
  <c r="D502" i="1"/>
  <c r="G502" i="1" s="1"/>
  <c r="I501" i="1"/>
  <c r="D501" i="1"/>
  <c r="G501" i="1" s="1"/>
  <c r="D498" i="1"/>
  <c r="G498" i="1" s="1"/>
  <c r="D499" i="1"/>
  <c r="G499" i="1" s="1"/>
  <c r="D497" i="1"/>
  <c r="G497" i="1" s="1"/>
  <c r="D496" i="1"/>
  <c r="G496" i="1" s="1"/>
  <c r="D495" i="1"/>
  <c r="G495" i="1" s="1"/>
  <c r="D494" i="1"/>
  <c r="G494" i="1" s="1"/>
  <c r="I493" i="1"/>
  <c r="D493" i="1"/>
  <c r="G493" i="1" s="1"/>
  <c r="D490" i="1"/>
  <c r="G490" i="1" s="1"/>
  <c r="D491" i="1"/>
  <c r="G491" i="1" s="1"/>
  <c r="D489" i="1"/>
  <c r="G489" i="1" s="1"/>
  <c r="D488" i="1"/>
  <c r="G488" i="1" s="1"/>
  <c r="D487" i="1"/>
  <c r="G487" i="1" s="1"/>
  <c r="D486" i="1"/>
  <c r="G486" i="1" s="1"/>
  <c r="I485" i="1"/>
  <c r="D485" i="1"/>
  <c r="G485" i="1" s="1"/>
  <c r="D482" i="1"/>
  <c r="G482" i="1" s="1"/>
  <c r="D483" i="1"/>
  <c r="G483" i="1" s="1"/>
  <c r="D481" i="1"/>
  <c r="G481" i="1" s="1"/>
  <c r="D480" i="1"/>
  <c r="G480" i="1" s="1"/>
  <c r="D479" i="1"/>
  <c r="G479" i="1" s="1"/>
  <c r="D478" i="1"/>
  <c r="G478" i="1" s="1"/>
  <c r="I477" i="1"/>
  <c r="D477" i="1"/>
  <c r="G477" i="1" s="1"/>
  <c r="D474" i="1"/>
  <c r="G474" i="1" s="1"/>
  <c r="D475" i="1"/>
  <c r="G475" i="1" s="1"/>
  <c r="D473" i="1"/>
  <c r="G473" i="1" s="1"/>
  <c r="D472" i="1"/>
  <c r="G472" i="1" s="1"/>
  <c r="D471" i="1"/>
  <c r="G471" i="1" s="1"/>
  <c r="D470" i="1"/>
  <c r="G470" i="1" s="1"/>
  <c r="I469" i="1"/>
  <c r="D469" i="1"/>
  <c r="G469" i="1" s="1"/>
  <c r="D466" i="1"/>
  <c r="G466" i="1" s="1"/>
  <c r="D467" i="1"/>
  <c r="G467" i="1" s="1"/>
  <c r="D465" i="1"/>
  <c r="G465" i="1" s="1"/>
  <c r="D464" i="1"/>
  <c r="G464" i="1" s="1"/>
  <c r="D463" i="1"/>
  <c r="G463" i="1" s="1"/>
  <c r="D462" i="1"/>
  <c r="G462" i="1" s="1"/>
  <c r="I461" i="1"/>
  <c r="D461" i="1"/>
  <c r="G461" i="1" s="1"/>
  <c r="D458" i="1"/>
  <c r="D457" i="1"/>
  <c r="D454" i="1"/>
  <c r="D453" i="1"/>
  <c r="D450" i="1"/>
  <c r="D451" i="1"/>
  <c r="D449" i="1"/>
  <c r="D448" i="1"/>
  <c r="D447" i="1"/>
  <c r="D446" i="1"/>
  <c r="D445" i="1"/>
  <c r="D442" i="1"/>
  <c r="D441" i="1"/>
  <c r="D443" i="1"/>
  <c r="D440" i="1"/>
  <c r="D439" i="1"/>
  <c r="D438" i="1"/>
  <c r="D437" i="1"/>
  <c r="D436" i="1"/>
  <c r="D433" i="1"/>
  <c r="D432" i="1"/>
  <c r="D434" i="1"/>
  <c r="D431" i="1"/>
  <c r="D430" i="1"/>
  <c r="D429" i="1"/>
  <c r="D428" i="1"/>
  <c r="D427" i="1"/>
  <c r="D424" i="1"/>
  <c r="D423" i="1"/>
  <c r="D425" i="1"/>
  <c r="D422" i="1"/>
  <c r="D421" i="1"/>
  <c r="D420" i="1"/>
  <c r="D419" i="1"/>
  <c r="D418" i="1"/>
  <c r="D416" i="1"/>
  <c r="D415" i="1"/>
  <c r="D414" i="1"/>
  <c r="D413" i="1"/>
  <c r="D412" i="1"/>
  <c r="D409" i="1"/>
  <c r="D406" i="1"/>
  <c r="D405" i="1"/>
  <c r="D407" i="1"/>
  <c r="D404" i="1"/>
  <c r="D403" i="1"/>
  <c r="D402" i="1"/>
  <c r="D401" i="1"/>
  <c r="D400" i="1"/>
  <c r="D397" i="1"/>
  <c r="D396" i="1"/>
  <c r="D398" i="1"/>
  <c r="D395" i="1"/>
  <c r="D392" i="1"/>
  <c r="D391" i="1"/>
  <c r="D388" i="1"/>
  <c r="D387" i="1"/>
  <c r="D389" i="1"/>
  <c r="D386" i="1"/>
  <c r="D385" i="1"/>
  <c r="D384" i="1"/>
  <c r="D383" i="1"/>
  <c r="D382" i="1"/>
  <c r="D380" i="1"/>
  <c r="D379" i="1"/>
  <c r="D378" i="1"/>
  <c r="D377" i="1"/>
  <c r="D376" i="1"/>
  <c r="D373" i="1"/>
  <c r="D371" i="1"/>
  <c r="G371" i="1" s="1"/>
  <c r="D369" i="1"/>
  <c r="G369" i="1" s="1"/>
  <c r="D368" i="1"/>
  <c r="G368" i="1" s="1"/>
  <c r="D367" i="1"/>
  <c r="G367" i="1" s="1"/>
  <c r="D366" i="1"/>
  <c r="G366" i="1" s="1"/>
  <c r="I365" i="1"/>
  <c r="D365" i="1"/>
  <c r="G365" i="1" s="1"/>
  <c r="G362" i="1"/>
  <c r="D363" i="1"/>
  <c r="G363" i="1" s="1"/>
  <c r="D361" i="1"/>
  <c r="G361" i="1" s="1"/>
  <c r="D360" i="1"/>
  <c r="G360" i="1" s="1"/>
  <c r="D359" i="1"/>
  <c r="G359" i="1" s="1"/>
  <c r="D358" i="1"/>
  <c r="G358" i="1" s="1"/>
  <c r="I357" i="1"/>
  <c r="D357" i="1"/>
  <c r="G357" i="1" s="1"/>
  <c r="D355" i="1"/>
  <c r="D354" i="1"/>
  <c r="D352" i="1"/>
  <c r="D351" i="1"/>
  <c r="D350" i="1"/>
  <c r="D349" i="1"/>
  <c r="D348" i="1"/>
  <c r="D346" i="1"/>
  <c r="D345" i="1"/>
  <c r="D344" i="1"/>
  <c r="D343" i="1"/>
  <c r="D336" i="1"/>
  <c r="D335" i="1"/>
  <c r="D334" i="1"/>
  <c r="D327" i="1"/>
  <c r="D326" i="1"/>
  <c r="D325" i="1"/>
  <c r="D318" i="1"/>
  <c r="D317" i="1"/>
  <c r="D316" i="1"/>
  <c r="D314" i="1"/>
  <c r="D313" i="1"/>
  <c r="D312" i="1"/>
  <c r="D311" i="1"/>
  <c r="D308" i="1"/>
  <c r="D307" i="1"/>
  <c r="D305" i="1"/>
  <c r="D299" i="1"/>
  <c r="D298" i="1"/>
  <c r="D295" i="1"/>
  <c r="D294" i="1"/>
  <c r="D293" i="1"/>
  <c r="D290" i="1"/>
  <c r="D289" i="1"/>
  <c r="D285" i="1"/>
  <c r="D284" i="1"/>
  <c r="D281" i="1"/>
  <c r="D280" i="1"/>
  <c r="D275" i="1"/>
  <c r="C45" i="1"/>
  <c r="C94" i="1" l="1"/>
  <c r="O94" i="1"/>
  <c r="A526" i="1" l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L49" i="1"/>
  <c r="N80" i="1" l="1"/>
  <c r="C65" i="1"/>
  <c r="C126" i="1" l="1"/>
  <c r="C125" i="1"/>
  <c r="E126" i="1"/>
  <c r="E125" i="1"/>
  <c r="H126" i="1"/>
  <c r="H125" i="1"/>
  <c r="L232" i="1" l="1"/>
  <c r="L233" i="1"/>
  <c r="L234" i="1"/>
  <c r="L235" i="1"/>
  <c r="L236" i="1"/>
  <c r="L231" i="1"/>
  <c r="L48" i="1" l="1"/>
  <c r="O52" i="1"/>
  <c r="L54" i="1"/>
  <c r="N54" i="1"/>
  <c r="D459" i="1" l="1"/>
  <c r="G459" i="1" s="1"/>
  <c r="G458" i="1"/>
  <c r="G457" i="1"/>
  <c r="G454" i="1"/>
  <c r="G453" i="1"/>
  <c r="G451" i="1"/>
  <c r="G450" i="1"/>
  <c r="G449" i="1"/>
  <c r="G448" i="1"/>
  <c r="G447" i="1"/>
  <c r="G446" i="1"/>
  <c r="G445" i="1"/>
  <c r="G443" i="1"/>
  <c r="G442" i="1"/>
  <c r="G441" i="1"/>
  <c r="G440" i="1"/>
  <c r="G439" i="1"/>
  <c r="G438" i="1"/>
  <c r="G437" i="1"/>
  <c r="G436" i="1"/>
  <c r="G434" i="1"/>
  <c r="G433" i="1"/>
  <c r="G432" i="1"/>
  <c r="G431" i="1"/>
  <c r="G430" i="1"/>
  <c r="G429" i="1"/>
  <c r="G428" i="1"/>
  <c r="G427" i="1"/>
  <c r="G425" i="1"/>
  <c r="G424" i="1"/>
  <c r="G423" i="1"/>
  <c r="G422" i="1"/>
  <c r="G421" i="1"/>
  <c r="G420" i="1"/>
  <c r="G419" i="1"/>
  <c r="G418" i="1"/>
  <c r="G416" i="1"/>
  <c r="G415" i="1"/>
  <c r="G414" i="1"/>
  <c r="G413" i="1"/>
  <c r="G412" i="1"/>
  <c r="D411" i="1"/>
  <c r="G411" i="1" s="1"/>
  <c r="D410" i="1"/>
  <c r="G410" i="1" s="1"/>
  <c r="G409" i="1"/>
  <c r="G407" i="1"/>
  <c r="G406" i="1"/>
  <c r="G405" i="1"/>
  <c r="G404" i="1"/>
  <c r="G403" i="1"/>
  <c r="G402" i="1"/>
  <c r="G401" i="1"/>
  <c r="G400" i="1"/>
  <c r="G398" i="1"/>
  <c r="G397" i="1"/>
  <c r="G396" i="1"/>
  <c r="G395" i="1"/>
  <c r="G392" i="1"/>
  <c r="G391" i="1"/>
  <c r="G389" i="1"/>
  <c r="G388" i="1"/>
  <c r="G387" i="1"/>
  <c r="G386" i="1"/>
  <c r="G385" i="1"/>
  <c r="G384" i="1"/>
  <c r="G383" i="1"/>
  <c r="G382" i="1"/>
  <c r="G380" i="1"/>
  <c r="G379" i="1"/>
  <c r="G378" i="1"/>
  <c r="G377" i="1"/>
  <c r="G376" i="1"/>
  <c r="D375" i="1"/>
  <c r="G375" i="1" s="1"/>
  <c r="D374" i="1"/>
  <c r="G374" i="1" s="1"/>
  <c r="G373" i="1"/>
  <c r="G355" i="1"/>
  <c r="G354" i="1"/>
  <c r="G353" i="1"/>
  <c r="G352" i="1"/>
  <c r="G351" i="1"/>
  <c r="G350" i="1"/>
  <c r="G349" i="1"/>
  <c r="G348" i="1"/>
  <c r="G346" i="1"/>
  <c r="G345" i="1"/>
  <c r="G344" i="1"/>
  <c r="G343" i="1"/>
  <c r="D340" i="1"/>
  <c r="G340" i="1" s="1"/>
  <c r="D339" i="1"/>
  <c r="G339" i="1" s="1"/>
  <c r="D337" i="1"/>
  <c r="G337" i="1" s="1"/>
  <c r="G336" i="1"/>
  <c r="G335" i="1"/>
  <c r="G334" i="1"/>
  <c r="D333" i="1"/>
  <c r="G333" i="1" s="1"/>
  <c r="D332" i="1"/>
  <c r="G332" i="1" s="1"/>
  <c r="D331" i="1"/>
  <c r="G331" i="1" s="1"/>
  <c r="D330" i="1"/>
  <c r="G330" i="1" s="1"/>
  <c r="G327" i="1"/>
  <c r="G326" i="1"/>
  <c r="G325" i="1"/>
  <c r="G324" i="1"/>
  <c r="D321" i="1"/>
  <c r="G321" i="1" s="1"/>
  <c r="D320" i="1"/>
  <c r="G320" i="1" s="1"/>
  <c r="G318" i="1"/>
  <c r="G317" i="1"/>
  <c r="G316" i="1"/>
  <c r="G315" i="1"/>
  <c r="G314" i="1"/>
  <c r="G313" i="1"/>
  <c r="G312" i="1"/>
  <c r="G311" i="1"/>
  <c r="D309" i="1"/>
  <c r="G309" i="1" s="1"/>
  <c r="G308" i="1"/>
  <c r="G307" i="1"/>
  <c r="G306" i="1"/>
  <c r="G305" i="1"/>
  <c r="D304" i="1"/>
  <c r="G304" i="1" s="1"/>
  <c r="D303" i="1"/>
  <c r="G303" i="1" s="1"/>
  <c r="D302" i="1"/>
  <c r="G302" i="1" s="1"/>
  <c r="G300" i="1"/>
  <c r="G299" i="1"/>
  <c r="G298" i="1"/>
  <c r="G297" i="1"/>
  <c r="G296" i="1"/>
  <c r="G295" i="1"/>
  <c r="G294" i="1"/>
  <c r="G293" i="1"/>
  <c r="G291" i="1"/>
  <c r="G290" i="1"/>
  <c r="G289" i="1"/>
  <c r="G288" i="1"/>
  <c r="G287" i="1"/>
  <c r="D286" i="1"/>
  <c r="G286" i="1" s="1"/>
  <c r="G285" i="1"/>
  <c r="G284" i="1"/>
  <c r="G282" i="1"/>
  <c r="G281" i="1"/>
  <c r="G280" i="1"/>
  <c r="G279" i="1"/>
  <c r="D276" i="1"/>
  <c r="G276" i="1" l="1"/>
  <c r="C127" i="1"/>
  <c r="C128" i="1" s="1"/>
  <c r="E127" i="1"/>
  <c r="E128" i="1" s="1"/>
  <c r="G275" i="1"/>
  <c r="H127" i="1" s="1"/>
  <c r="H128" i="1" s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G8" i="13"/>
  <c r="N7" i="13"/>
  <c r="K7" i="13"/>
  <c r="G7" i="13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F11" i="12"/>
  <c r="M10" i="12"/>
  <c r="J10" i="12"/>
  <c r="F10" i="12"/>
  <c r="M9" i="12"/>
  <c r="J9" i="12"/>
  <c r="F9" i="12"/>
  <c r="M8" i="12"/>
  <c r="J8" i="12"/>
  <c r="F8" i="12"/>
  <c r="M7" i="12"/>
  <c r="J7" i="12"/>
  <c r="F7" i="12"/>
  <c r="M33" i="11"/>
  <c r="J33" i="11"/>
  <c r="F33" i="11"/>
  <c r="M32" i="11"/>
  <c r="J32" i="11"/>
  <c r="F32" i="11"/>
  <c r="M31" i="11"/>
  <c r="J31" i="11"/>
  <c r="F31" i="11"/>
  <c r="M30" i="11"/>
  <c r="J30" i="11"/>
  <c r="F30" i="11"/>
  <c r="M29" i="11"/>
  <c r="J29" i="11"/>
  <c r="F29" i="11"/>
  <c r="M28" i="11"/>
  <c r="J28" i="11"/>
  <c r="F28" i="11"/>
  <c r="M27" i="11"/>
  <c r="J27" i="11"/>
  <c r="F27" i="11"/>
  <c r="M26" i="11"/>
  <c r="J26" i="11"/>
  <c r="F26" i="11"/>
  <c r="M25" i="11"/>
  <c r="J25" i="11"/>
  <c r="F25" i="11"/>
  <c r="M24" i="11"/>
  <c r="J24" i="11"/>
  <c r="F24" i="11"/>
  <c r="M23" i="11"/>
  <c r="J23" i="11"/>
  <c r="F23" i="11"/>
  <c r="M22" i="11"/>
  <c r="J22" i="11"/>
  <c r="F22" i="11"/>
  <c r="M21" i="11"/>
  <c r="J21" i="11"/>
  <c r="F21" i="11"/>
  <c r="M20" i="11"/>
  <c r="J20" i="11"/>
  <c r="F20" i="11"/>
  <c r="M19" i="11"/>
  <c r="J19" i="11"/>
  <c r="F19" i="11"/>
  <c r="M18" i="11"/>
  <c r="J18" i="11"/>
  <c r="F18" i="11"/>
  <c r="M17" i="11"/>
  <c r="J17" i="11"/>
  <c r="F17" i="11"/>
  <c r="M16" i="11"/>
  <c r="J16" i="11"/>
  <c r="F16" i="11"/>
  <c r="M15" i="11"/>
  <c r="J15" i="11"/>
  <c r="F15" i="11"/>
  <c r="M14" i="11"/>
  <c r="J14" i="11"/>
  <c r="F14" i="11"/>
  <c r="M13" i="11"/>
  <c r="J13" i="11"/>
  <c r="F13" i="11"/>
  <c r="M12" i="11"/>
  <c r="J12" i="11"/>
  <c r="F12" i="11"/>
  <c r="M11" i="11"/>
  <c r="J11" i="11"/>
  <c r="F11" i="11"/>
  <c r="M10" i="11"/>
  <c r="J10" i="11"/>
  <c r="F10" i="11"/>
  <c r="M9" i="11"/>
  <c r="J9" i="11"/>
  <c r="F9" i="11"/>
  <c r="M8" i="11"/>
  <c r="J8" i="11"/>
  <c r="F8" i="11"/>
  <c r="M7" i="11"/>
  <c r="J7" i="11"/>
  <c r="F7" i="11"/>
  <c r="M6" i="11"/>
  <c r="J6" i="11"/>
  <c r="F6" i="11"/>
  <c r="G40" i="17"/>
  <c r="C39" i="17" s="1"/>
  <c r="G39" i="17"/>
  <c r="B39" i="17" s="1"/>
  <c r="C36" i="17"/>
  <c r="B12" i="17"/>
  <c r="M40" i="17" s="1"/>
  <c r="C45" i="17" s="1"/>
  <c r="B11" i="17"/>
  <c r="L40" i="17" s="1"/>
  <c r="C44" i="17" s="1"/>
  <c r="B10" i="17"/>
  <c r="K39" i="17" s="1"/>
  <c r="B43" i="17" s="1"/>
  <c r="B9" i="17"/>
  <c r="J39" i="17" s="1"/>
  <c r="B42" i="17" s="1"/>
  <c r="B8" i="17"/>
  <c r="I40" i="17" s="1"/>
  <c r="C41" i="17" s="1"/>
  <c r="B7" i="17"/>
  <c r="H40" i="17" s="1"/>
  <c r="C40" i="17" s="1"/>
  <c r="D6" i="17"/>
  <c r="G39" i="16"/>
  <c r="B39" i="16" s="1"/>
  <c r="C36" i="16"/>
  <c r="B12" i="16"/>
  <c r="M40" i="16" s="1"/>
  <c r="C45" i="16" s="1"/>
  <c r="B11" i="16"/>
  <c r="L40" i="16" s="1"/>
  <c r="C44" i="16" s="1"/>
  <c r="B10" i="16"/>
  <c r="K39" i="16" s="1"/>
  <c r="B43" i="16" s="1"/>
  <c r="B9" i="16"/>
  <c r="J39" i="16" s="1"/>
  <c r="B42" i="16" s="1"/>
  <c r="B8" i="16"/>
  <c r="I40" i="16" s="1"/>
  <c r="C41" i="16" s="1"/>
  <c r="C7" i="16"/>
  <c r="B7" i="16"/>
  <c r="D6" i="16"/>
  <c r="G39" i="15"/>
  <c r="G40" i="15" s="1"/>
  <c r="C39" i="15" s="1"/>
  <c r="C36" i="15"/>
  <c r="B12" i="15"/>
  <c r="M40" i="15" s="1"/>
  <c r="C45" i="15" s="1"/>
  <c r="B11" i="15"/>
  <c r="D11" i="15" s="1"/>
  <c r="B10" i="15"/>
  <c r="K40" i="15" s="1"/>
  <c r="C43" i="15" s="1"/>
  <c r="C9" i="15"/>
  <c r="B9" i="15"/>
  <c r="J40" i="15" s="1"/>
  <c r="C42" i="15" s="1"/>
  <c r="B8" i="15"/>
  <c r="I40" i="15" s="1"/>
  <c r="C41" i="15" s="1"/>
  <c r="C7" i="15"/>
  <c r="B7" i="15"/>
  <c r="H39" i="15" s="1"/>
  <c r="B40" i="15" s="1"/>
  <c r="D6" i="15"/>
  <c r="G11" i="18"/>
  <c r="G10" i="18"/>
  <c r="F9" i="18"/>
  <c r="G9" i="18" s="1"/>
  <c r="F8" i="18"/>
  <c r="G8" i="18" s="1"/>
  <c r="F7" i="18"/>
  <c r="G7" i="18" s="1"/>
  <c r="F6" i="18"/>
  <c r="G6" i="18" s="1"/>
  <c r="F5" i="18"/>
  <c r="G5" i="18" s="1"/>
  <c r="I453" i="1"/>
  <c r="I445" i="1"/>
  <c r="I436" i="1"/>
  <c r="I427" i="1"/>
  <c r="I418" i="1"/>
  <c r="I409" i="1"/>
  <c r="I400" i="1"/>
  <c r="I391" i="1"/>
  <c r="I382" i="1"/>
  <c r="I373" i="1"/>
  <c r="I348" i="1"/>
  <c r="I339" i="1"/>
  <c r="I330" i="1"/>
  <c r="I320" i="1"/>
  <c r="I311" i="1"/>
  <c r="I302" i="1"/>
  <c r="L298" i="1"/>
  <c r="L296" i="1"/>
  <c r="L294" i="1"/>
  <c r="I293" i="1"/>
  <c r="I284" i="1"/>
  <c r="L281" i="1"/>
  <c r="L275" i="1"/>
  <c r="I275" i="1"/>
  <c r="L152" i="1"/>
  <c r="L151" i="1"/>
  <c r="L150" i="1"/>
  <c r="L149" i="1"/>
  <c r="L148" i="1"/>
  <c r="L147" i="1"/>
  <c r="O146" i="1"/>
  <c r="P146" i="1" s="1"/>
  <c r="L146" i="1"/>
  <c r="L138" i="1"/>
  <c r="G122" i="1"/>
  <c r="L99" i="1"/>
  <c r="L98" i="1"/>
  <c r="L97" i="1"/>
  <c r="L96" i="1"/>
  <c r="L85" i="1"/>
  <c r="L84" i="1"/>
  <c r="L83" i="1"/>
  <c r="L82" i="1"/>
  <c r="O80" i="1"/>
  <c r="L71" i="1"/>
  <c r="L70" i="1"/>
  <c r="L69" i="1"/>
  <c r="L68" i="1"/>
  <c r="M65" i="1"/>
  <c r="C67" i="1"/>
  <c r="F3" i="1"/>
  <c r="I60" i="1"/>
  <c r="I88" i="1"/>
  <c r="I74" i="1"/>
  <c r="H39" i="17" l="1"/>
  <c r="B40" i="17" s="1"/>
  <c r="D7" i="17"/>
  <c r="H39" i="16"/>
  <c r="B40" i="16" s="1"/>
  <c r="D10" i="15"/>
  <c r="J34" i="11"/>
  <c r="I34" i="11" s="1"/>
  <c r="D7" i="16"/>
  <c r="D8" i="15"/>
  <c r="B39" i="15"/>
  <c r="G40" i="16"/>
  <c r="C39" i="16" s="1"/>
  <c r="J40" i="17"/>
  <c r="C42" i="17" s="1"/>
  <c r="C14" i="17" s="1"/>
  <c r="J40" i="16"/>
  <c r="C42" i="16" s="1"/>
  <c r="L39" i="15"/>
  <c r="B44" i="15" s="1"/>
  <c r="H40" i="16"/>
  <c r="C40" i="16" s="1"/>
  <c r="D11" i="16"/>
  <c r="D11" i="17"/>
  <c r="F34" i="11"/>
  <c r="E34" i="11" s="1"/>
  <c r="J35" i="12"/>
  <c r="I35" i="12" s="1"/>
  <c r="I39" i="15"/>
  <c r="B41" i="15" s="1"/>
  <c r="K35" i="13"/>
  <c r="J35" i="13" s="1"/>
  <c r="M39" i="15"/>
  <c r="B45" i="15" s="1"/>
  <c r="M34" i="11"/>
  <c r="L34" i="11" s="1"/>
  <c r="N35" i="13"/>
  <c r="M35" i="13" s="1"/>
  <c r="H40" i="15"/>
  <c r="C40" i="15" s="1"/>
  <c r="F35" i="12"/>
  <c r="E35" i="12" s="1"/>
  <c r="D12" i="15"/>
  <c r="L40" i="15"/>
  <c r="C44" i="15" s="1"/>
  <c r="D9" i="16"/>
  <c r="L39" i="16"/>
  <c r="B44" i="16" s="1"/>
  <c r="D9" i="17"/>
  <c r="L39" i="17"/>
  <c r="B44" i="17" s="1"/>
  <c r="M35" i="12"/>
  <c r="L35" i="12" s="1"/>
  <c r="G35" i="13"/>
  <c r="F35" i="13" s="1"/>
  <c r="C79" i="1"/>
  <c r="D79" i="1" s="1"/>
  <c r="D80" i="1"/>
  <c r="L64" i="1"/>
  <c r="C63" i="1" s="1"/>
  <c r="L62" i="1"/>
  <c r="D72" i="1"/>
  <c r="D70" i="1"/>
  <c r="D68" i="1"/>
  <c r="L65" i="1"/>
  <c r="L66" i="1" s="1"/>
  <c r="D71" i="1"/>
  <c r="D67" i="1"/>
  <c r="D66" i="1"/>
  <c r="D65" i="1"/>
  <c r="D69" i="1"/>
  <c r="L63" i="1"/>
  <c r="D86" i="1"/>
  <c r="D84" i="1"/>
  <c r="L78" i="1"/>
  <c r="C77" i="1" s="1"/>
  <c r="D77" i="1" s="1"/>
  <c r="L76" i="1"/>
  <c r="L79" i="1"/>
  <c r="L80" i="1" s="1"/>
  <c r="L81" i="1" s="1"/>
  <c r="L77" i="1"/>
  <c r="D85" i="1"/>
  <c r="D83" i="1"/>
  <c r="D100" i="1"/>
  <c r="D98" i="1"/>
  <c r="L93" i="1"/>
  <c r="L94" i="1" s="1"/>
  <c r="D93" i="1"/>
  <c r="D95" i="1"/>
  <c r="L90" i="1"/>
  <c r="D99" i="1"/>
  <c r="D97" i="1"/>
  <c r="D94" i="1"/>
  <c r="L91" i="1"/>
  <c r="L92" i="1"/>
  <c r="C91" i="1" s="1"/>
  <c r="D91" i="1" s="1"/>
  <c r="F36" i="11"/>
  <c r="G12" i="18"/>
  <c r="K40" i="16"/>
  <c r="C43" i="16" s="1"/>
  <c r="K40" i="17"/>
  <c r="C43" i="17" s="1"/>
  <c r="D7" i="15"/>
  <c r="J39" i="15"/>
  <c r="B42" i="15" s="1"/>
  <c r="D8" i="16"/>
  <c r="D10" i="16"/>
  <c r="D12" i="16"/>
  <c r="I39" i="16"/>
  <c r="B41" i="16" s="1"/>
  <c r="M39" i="16"/>
  <c r="B45" i="16" s="1"/>
  <c r="D8" i="17"/>
  <c r="D10" i="17"/>
  <c r="D12" i="17"/>
  <c r="I39" i="17"/>
  <c r="B41" i="17" s="1"/>
  <c r="M39" i="17"/>
  <c r="B45" i="17" s="1"/>
  <c r="D96" i="1"/>
  <c r="D9" i="15"/>
  <c r="K39" i="15"/>
  <c r="B43" i="15" s="1"/>
  <c r="C14" i="15" l="1"/>
  <c r="B14" i="16"/>
  <c r="B14" i="15"/>
  <c r="B14" i="17"/>
  <c r="C14" i="16"/>
  <c r="D82" i="1"/>
  <c r="D81" i="1"/>
  <c r="L86" i="1"/>
  <c r="C78" i="1" s="1"/>
  <c r="F77" i="1" s="1"/>
  <c r="K73" i="1" s="1"/>
  <c r="C75" i="1" s="1"/>
  <c r="L67" i="1"/>
  <c r="L72" i="1" s="1"/>
  <c r="C64" i="1" s="1"/>
  <c r="L95" i="1"/>
  <c r="L100" i="1" s="1"/>
  <c r="C92" i="1" s="1"/>
  <c r="D63" i="1"/>
  <c r="D78" i="1" l="1"/>
  <c r="H77" i="1"/>
  <c r="F91" i="1"/>
  <c r="K87" i="1" s="1"/>
  <c r="C89" i="1" s="1"/>
  <c r="D92" i="1"/>
  <c r="H91" i="1"/>
  <c r="F63" i="1"/>
  <c r="K59" i="1" s="1"/>
  <c r="D64" i="1"/>
  <c r="H63" i="1"/>
</calcChain>
</file>

<file path=xl/sharedStrings.xml><?xml version="1.0" encoding="utf-8"?>
<sst xmlns="http://schemas.openxmlformats.org/spreadsheetml/2006/main" count="1374" uniqueCount="359">
  <si>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</si>
  <si>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</si>
  <si>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</si>
  <si>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</si>
  <si>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</si>
  <si>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</si>
  <si>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</si>
  <si>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</si>
  <si>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</si>
  <si>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</si>
  <si>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</si>
  <si>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</si>
  <si>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</si>
  <si>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</si>
  <si>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</si>
  <si>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</si>
  <si>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</si>
  <si>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</si>
  <si>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</si>
  <si>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</si>
  <si>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</si>
  <si>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</si>
  <si>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</si>
  <si>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</si>
  <si>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</si>
  <si>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</si>
  <si>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</si>
  <si>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</si>
  <si>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</si>
  <si>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Description</t>
  </si>
  <si>
    <t>Attached Terrace area</t>
  </si>
  <si>
    <t>PLC Y/N</t>
  </si>
  <si>
    <t>Flat No.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</si>
  <si>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</si>
  <si>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</si>
  <si>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</si>
  <si>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</si>
  <si>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</si>
  <si>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</si>
  <si>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</si>
  <si>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</si>
  <si>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</si>
  <si>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 xml:space="preserve">Latitude &amp; Longitude </t>
  </si>
  <si>
    <t>Flooring</t>
  </si>
  <si>
    <t>Finishing</t>
  </si>
  <si>
    <t xml:space="preserve">Valuation Report </t>
  </si>
  <si>
    <t xml:space="preserve">Details of Flats in Building   </t>
  </si>
  <si>
    <t>Yes</t>
  </si>
  <si>
    <t>Expiry date: One year from date of issue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</si>
  <si>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</si>
  <si>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</si>
  <si>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</si>
  <si>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</si>
  <si>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</si>
  <si>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</si>
  <si>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Expiry date: NA</t>
  </si>
  <si>
    <t>Projected life of the structure: 60 Years After Completion</t>
  </si>
  <si>
    <t>Wheather the construction is as per approved Building plan : Under Construction</t>
  </si>
  <si>
    <t xml:space="preserve">4)  The saleable area is as per Our Calculation.  </t>
  </si>
  <si>
    <t>Does the boundaries at site match, as mentioned in the Docoumentation: NA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</si>
  <si>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</si>
  <si>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</si>
  <si>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</si>
  <si>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</si>
  <si>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</si>
  <si>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</si>
  <si>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</si>
  <si>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</si>
  <si>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</si>
  <si>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</si>
  <si>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</si>
  <si>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>Expected Completion</t>
  </si>
  <si>
    <t>Approved no of Floors</t>
  </si>
  <si>
    <t xml:space="preserve">Commencement date of construction </t>
  </si>
  <si>
    <t>Society formation charges</t>
  </si>
  <si>
    <t>Carpet area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</si>
  <si>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</si>
  <si>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</si>
  <si>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</si>
  <si>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</si>
  <si>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</si>
  <si>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</si>
  <si>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</si>
  <si>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</si>
  <si>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</si>
  <si>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</si>
  <si>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</si>
  <si>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</si>
  <si>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</si>
  <si>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</si>
  <si>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</si>
  <si>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</si>
  <si>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</si>
  <si>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</si>
  <si>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</si>
  <si>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</si>
  <si>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</si>
  <si>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</si>
  <si>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</si>
  <si>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</si>
  <si>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</si>
  <si>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</si>
  <si>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 xml:space="preserve">O. Certificate No.: </t>
  </si>
  <si>
    <t xml:space="preserve">Date of approval: </t>
  </si>
  <si>
    <t>Name / no of the Building</t>
  </si>
  <si>
    <t>Does property have Electricity / Water / Drainage Connection</t>
  </si>
  <si>
    <t>Distressed valuation of the Property</t>
  </si>
  <si>
    <t>Building details Floor Wise</t>
  </si>
  <si>
    <t>Floor</t>
  </si>
  <si>
    <t>M/s.Glider Buildcon Realtors PVT.LTD</t>
  </si>
  <si>
    <t>Saatrasta</t>
  </si>
  <si>
    <t>G.B. Satkal Marg and Kamlakant Singh Marg</t>
  </si>
  <si>
    <t>Mahalaxmi</t>
  </si>
  <si>
    <t>400 011</t>
  </si>
  <si>
    <t>Mahalaxmi Machi Market</t>
  </si>
  <si>
    <t xml:space="preserve"> All available at 1 to 3 km.</t>
  </si>
  <si>
    <t xml:space="preserve"> Developed</t>
  </si>
  <si>
    <t>Omkar Construction</t>
  </si>
  <si>
    <t>Dhobi Ghat</t>
  </si>
  <si>
    <t>Kasturbha Tower</t>
  </si>
  <si>
    <t>Minerva Tower</t>
  </si>
  <si>
    <t>Type of Structure : RCC</t>
  </si>
  <si>
    <t>SRA/ENG/3809/GS/ML/AP</t>
  </si>
  <si>
    <t>Material laying at Site: : Cement &amp; Steel etc.</t>
  </si>
  <si>
    <t xml:space="preserve">Approved usage of the Property: Residential 
(Restrictive Covenants in regard to Land Use, if any)                                                                                                                                                </t>
  </si>
  <si>
    <t>Mumbai.</t>
  </si>
  <si>
    <t>Mr.Ashley Dabreo - 9820373468</t>
  </si>
  <si>
    <t>Approved Plans, CC &amp; IOA</t>
  </si>
  <si>
    <t>Axis Sanpada</t>
  </si>
  <si>
    <t>Recommended rate of the flat Per Sq. Ft. ( on Saleable Area)</t>
  </si>
  <si>
    <t>800000/-</t>
  </si>
  <si>
    <t>Accessibility to the Project from the City:
(Proximity to civic amenities like school, hospital, market)</t>
  </si>
  <si>
    <t>C.S.No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</si>
  <si>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</si>
  <si>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</si>
  <si>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</si>
  <si>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</si>
  <si>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</si>
  <si>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</si>
  <si>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</si>
  <si>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</si>
  <si>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</si>
  <si>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</si>
  <si>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</si>
  <si>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</si>
  <si>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>South Tower - Tower 1 = P51900015854
Central Tower ­ Tower 2 = P51900016482
North Tower - Tower 3 = P51900021057</t>
  </si>
  <si>
    <t>03 Buildings</t>
  </si>
  <si>
    <t>1(pt)., 2(Pt) &amp; 3(pt).</t>
  </si>
  <si>
    <t>Basement</t>
  </si>
  <si>
    <t>Podium</t>
  </si>
  <si>
    <t>Ground</t>
  </si>
  <si>
    <t>Upper Floor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</si>
  <si>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</si>
  <si>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</si>
  <si>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</si>
  <si>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</si>
  <si>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</si>
  <si>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</si>
  <si>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</si>
  <si>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</si>
  <si>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</si>
  <si>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</si>
  <si>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</si>
  <si>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Mumbai - G + 35</t>
  </si>
  <si>
    <t>1000000/-</t>
  </si>
  <si>
    <t>Thane - G + 7</t>
  </si>
  <si>
    <t>Thane - G + 15</t>
  </si>
  <si>
    <t>400000/-</t>
  </si>
  <si>
    <t>Excavation in process</t>
  </si>
  <si>
    <t>Thane - G + 25</t>
  </si>
  <si>
    <t>600000/-</t>
  </si>
  <si>
    <t>Excavation Completed</t>
  </si>
  <si>
    <t>Footing in Process</t>
  </si>
  <si>
    <t>Footing Completed</t>
  </si>
  <si>
    <t>Plinth in process</t>
  </si>
  <si>
    <t>Plinth completed</t>
  </si>
  <si>
    <t xml:space="preserve">total floor </t>
  </si>
  <si>
    <t>Legal Charges</t>
  </si>
  <si>
    <t>Electric &amp; Water connection</t>
  </si>
  <si>
    <t>Charges toward MGL connection</t>
  </si>
  <si>
    <t>25,000/-</t>
  </si>
  <si>
    <t>Share Amount</t>
  </si>
  <si>
    <t>Saleable area</t>
  </si>
  <si>
    <r>
      <t xml:space="preserve">Proposed Amenities : </t>
    </r>
    <r>
      <rPr>
        <sz val="11"/>
        <rFont val="Times New Roman"/>
        <family val="1"/>
      </rPr>
      <t>1.Yoga Deck 2.Jogging Track 3.Kids Play Area 4.Swimming Pool 5.Tennis 6.Gymnasium 7.Club house 8.BBQ Area 9.Gardens 10.Amphitheater</t>
    </r>
  </si>
  <si>
    <t>07/02/2020.</t>
  </si>
  <si>
    <t>26/06/2020.</t>
  </si>
  <si>
    <t>25/09/2020.</t>
  </si>
  <si>
    <t>Asmita</t>
  </si>
  <si>
    <t>701 Costsheet</t>
  </si>
  <si>
    <t>Index II = Flat No. 1702, 17th Floor, North Tower-Tower 3</t>
  </si>
  <si>
    <t>Index II = Flat No. 2004, 20th Floor, North Tower-Tower 3</t>
  </si>
  <si>
    <t>Club House Membership Fee</t>
  </si>
  <si>
    <t>Infrastructure Charges</t>
  </si>
  <si>
    <t>Visit by Karan = south tower - 11 slab (podium 9 + 1 1,2 nd floor 
complete ,
14th slab work in progress .
North Tower - Foundation 30% work complete. 
central towers - 4 slab complete (Podium 4)
site person -Suryakant -9920464802</t>
  </si>
  <si>
    <t>PHOTOGRAPHS OF PROPERTY : Piramal Mahalaxmi</t>
  </si>
  <si>
    <t>Proposed no of Floors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</si>
  <si>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</si>
  <si>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</si>
  <si>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</si>
  <si>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</si>
  <si>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</si>
  <si>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</si>
  <si>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</si>
  <si>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3BHK</t>
  </si>
  <si>
    <t>99 Acres</t>
  </si>
  <si>
    <t>Average</t>
  </si>
  <si>
    <t xml:space="preserve">Valuation Adopted </t>
  </si>
  <si>
    <t xml:space="preserve">Piramal Mahalaxmi </t>
  </si>
  <si>
    <t>2BHK</t>
  </si>
  <si>
    <t>4BHK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</si>
  <si>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</si>
  <si>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</si>
  <si>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</si>
  <si>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</si>
  <si>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</si>
  <si>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</si>
  <si>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</si>
  <si>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</si>
  <si>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</si>
  <si>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</si>
  <si>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</si>
  <si>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</si>
  <si>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</si>
  <si>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</si>
  <si>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</si>
  <si>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</si>
  <si>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</si>
  <si>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</si>
  <si>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</si>
  <si>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</si>
  <si>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</si>
  <si>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</si>
  <si>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</si>
  <si>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</si>
  <si>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g</t>
  </si>
  <si>
    <t xml:space="preserve">Estinated advance maintenance charges (for 24 months) </t>
  </si>
  <si>
    <t>Corpus fund</t>
  </si>
  <si>
    <t>Architect Letter </t>
  </si>
  <si>
    <t>48th Floor</t>
  </si>
  <si>
    <t>Location Link</t>
  </si>
  <si>
    <t>https://goo.gl/maps/T81L6Gw7Lhz8swUSA</t>
  </si>
  <si>
    <t>40100 to 41600</t>
  </si>
  <si>
    <t>Sanket</t>
  </si>
  <si>
    <t>Cost sheet</t>
  </si>
  <si>
    <t>RERA Name &amp; No.</t>
  </si>
  <si>
    <t>,72.8245193</t>
  </si>
  <si>
    <t>Piramal Mahalaxmi, C.S.No.1(pt), 2(Pt) &amp; 3(pt) of Lower Parel Division in South ward at G.B. Satkal Marg and Kamlakant Singh Marg, Dhobighat, Saatrasta, Mumbai 400011</t>
  </si>
  <si>
    <t>1st &amp; 8th Floor (Part Refuge Area)</t>
  </si>
  <si>
    <t>16th, 23rd &amp; 30th Floor</t>
  </si>
  <si>
    <t>2nd &amp; 9th Floor</t>
  </si>
  <si>
    <t>3rd to 7th &amp; 10th Floor</t>
  </si>
  <si>
    <t>15th, 22nd &amp; 29th Floor (Part Refuge Area)</t>
  </si>
  <si>
    <t>36th &amp; 43rd Floor (Part Refuge Area)</t>
  </si>
  <si>
    <t>49th Floor</t>
  </si>
  <si>
    <t>50th Floor (Part Refuge Area)</t>
  </si>
  <si>
    <t>51st Floor</t>
  </si>
  <si>
    <t>52nd Floor</t>
  </si>
  <si>
    <t>53rd Floor</t>
  </si>
  <si>
    <t>54th Floor</t>
  </si>
  <si>
    <t>55th Floor</t>
  </si>
  <si>
    <t>56th Floor</t>
  </si>
  <si>
    <t>57th Floor (Part Refuge Area)</t>
  </si>
  <si>
    <t>58th Floor</t>
  </si>
  <si>
    <t>59th Floor</t>
  </si>
  <si>
    <t>60th Floor</t>
  </si>
  <si>
    <t>61st Floor</t>
  </si>
  <si>
    <t>62nd Floor</t>
  </si>
  <si>
    <t>63rd Floor</t>
  </si>
  <si>
    <t>64th Floor (Part Refuge Area)</t>
  </si>
  <si>
    <t>Refuge Area</t>
  </si>
  <si>
    <t>65th &amp; 66th Floor</t>
  </si>
  <si>
    <t xml:space="preserve">Date of Commencement of Construction </t>
  </si>
  <si>
    <t xml:space="preserve">Building plan approval No
Tower No. 3 
(For 1st to 66th Floor)    </t>
  </si>
  <si>
    <t xml:space="preserve">Date of Commencement of Construction 
</t>
  </si>
  <si>
    <t>Ground Floor For Parking</t>
  </si>
  <si>
    <t>Contact Details ( Name &amp; Contact No.)</t>
  </si>
  <si>
    <t>Tower 1 as per rera</t>
  </si>
  <si>
    <t>tower 2 RERA</t>
  </si>
  <si>
    <t>11th to 14th, 17th to 21st, 24th to 28th, 31st &amp; 32nd Floor</t>
  </si>
  <si>
    <t>36th &amp; 43rd Floor</t>
  </si>
  <si>
    <t>18.982417,72.826361</t>
  </si>
  <si>
    <t>Office No. 1031, Wing J, Akshar Business Park, Plot No. 03 Sector 25, Near APMC Market, Vashi, Navi Mumbai, Maharashtra 400703 TEL: 022-46090378/79/80
E mail : vsjcapf@gmail.com. Web site : www.vsjadon.com</t>
  </si>
  <si>
    <t>Piramal Mahalaxmi (South Tower 1, Central Tower 2 &amp; North Tower 3)</t>
  </si>
  <si>
    <t>South Tower 1 
Central Tower 2
North Tower 3</t>
  </si>
  <si>
    <t>550 m from Mahalaxmi Railway Station</t>
  </si>
  <si>
    <t>Higher Class</t>
  </si>
  <si>
    <t>Lower Ground-1 &amp; Lower Ground-2 For Parking</t>
  </si>
  <si>
    <t>Gr. + 1st to 9th + 9A Podium Floor For Parking</t>
  </si>
  <si>
    <t>1st &amp; 8th Floor</t>
  </si>
  <si>
    <t>N</t>
  </si>
  <si>
    <t>2nd to 7th, 9th &amp; 10th Floor</t>
  </si>
  <si>
    <t>11th to 14th, 16th to 21st, 23rd to 28th &amp; 30 to 31st Floor</t>
  </si>
  <si>
    <t>15th, 22nd &amp; 29th Floor</t>
  </si>
  <si>
    <t>31st-A Floor for service Floor</t>
  </si>
  <si>
    <t>32nd to 35th, 37th to 42nd &amp; 44th to 47th Floor</t>
  </si>
  <si>
    <t>48th, 49th, 51st, 52nd Floor</t>
  </si>
  <si>
    <t>50th Floor</t>
  </si>
  <si>
    <t>32nd to 35th, 37th to 42nd Floor</t>
  </si>
  <si>
    <t>36th Floor</t>
  </si>
  <si>
    <t>South Tower 1</t>
  </si>
  <si>
    <t>Sale Building No.1</t>
  </si>
  <si>
    <t>Central Tower 2</t>
  </si>
  <si>
    <t>Lower Ground 1 &amp; Lower Ground 2 For Parking</t>
  </si>
  <si>
    <t>32nd A Service Floor</t>
  </si>
  <si>
    <t xml:space="preserve">SRA/ENG/3809/GS/ML/AP
</t>
  </si>
  <si>
    <t>Valid Up to: Sale Building No.1
Tower-1 (South) = 2B+ Gr.+1st to 9th + 9A Podium+1st to 56th Floor
Tower-2 (Central)  =2B + Gr.+1st to 9th + 9A Podium Floor</t>
  </si>
  <si>
    <t xml:space="preserve">SRA/ENG/3809/GS/ML/AP
Valid Up to: Sale Building No.1 
Tower 3 (North) = 1st to 66th Floor
</t>
  </si>
  <si>
    <t>Residential Area Details :</t>
  </si>
  <si>
    <t>Building &amp; Wing</t>
  </si>
  <si>
    <t>No. of Units</t>
  </si>
  <si>
    <t>Total Carpet Area</t>
  </si>
  <si>
    <t>Total Saleable Area</t>
  </si>
  <si>
    <t>South Tower</t>
  </si>
  <si>
    <t>Central Tower</t>
  </si>
  <si>
    <t>North Tower</t>
  </si>
  <si>
    <t xml:space="preserve">Approved no of units residential
</t>
  </si>
  <si>
    <t>41600 to 45000</t>
  </si>
  <si>
    <t>nilesh</t>
  </si>
  <si>
    <t>Tower 1(South) = 2B + Gr.+1st to 9th + 9A Podium+1st to 49th Floor</t>
  </si>
  <si>
    <t>Google Map :</t>
  </si>
  <si>
    <t>Remark No 12 :  Site Observation</t>
  </si>
  <si>
    <t>Remark No 12 :  Architects Letter of Tower 1 (South)</t>
  </si>
  <si>
    <t>Remark No 12 :  Architects Letter of Tower 2 (Central)</t>
  </si>
  <si>
    <t>Tower 2 (Central) = 2B + Gr.+1st to 9th + 9A Podium+1st to 50th Floor</t>
  </si>
  <si>
    <t>Remarks:</t>
  </si>
  <si>
    <t>We considered saleable area as per our calculation.</t>
  </si>
  <si>
    <t>We considered Carpet area as per approved Plan.</t>
  </si>
  <si>
    <t>Car parking is subjected to authentic documentation.</t>
  </si>
  <si>
    <t>We have considered rate by verifying it from market inquire.</t>
  </si>
  <si>
    <t>Recommended Rates/Other Charges of the Property have been revised on 16/12/2023.</t>
  </si>
  <si>
    <t>We have considered Other charges from cost sheet.</t>
  </si>
  <si>
    <t>We update revised approved plans of all towers (on 03/03/2020)</t>
  </si>
  <si>
    <t>We have considered construction percent as per proposed no of floor.</t>
  </si>
  <si>
    <t>We have updated 1st to 66th approved floor plans &amp; CC of Tower no. 3 - North (On 14/12/2023)</t>
  </si>
  <si>
    <t>We have updated revised plans of Tower no. 3 - North Tower Floor No. 48 (on 13/04/2023).</t>
  </si>
  <si>
    <t>As per provided approved plans For Tower 1 (South) floors approved upto 2B + Gr.+1st to 9th + 9A Podium+1st to 56th Floor. However, according to the architect's letter and a site inspection, Tower 1 (South) is currently constructed upto 2B + Gr.+1st to 9th + 9A Podium+1st to 49th Floor. Therefore we have changed construction details as per it. 
Architecture Report and detail site observation pic attached below.</t>
  </si>
  <si>
    <t>We have change proposed structure of Tower 2 (Central) according to architect letter &amp; revised approved CC. Architecture Report attached below.</t>
  </si>
  <si>
    <t>We have updated revised approved CC from RERA site on 04/09/2024.</t>
  </si>
  <si>
    <r>
      <t xml:space="preserve">SRA/ENG/3809/GS/ML/AP
This C.C is further extended for :
</t>
    </r>
    <r>
      <rPr>
        <b/>
        <sz val="11"/>
        <color theme="1"/>
        <rFont val="Times New Roman"/>
        <family val="1"/>
      </rPr>
      <t>I)</t>
    </r>
    <r>
      <rPr>
        <sz val="11"/>
        <color theme="1"/>
        <rFont val="Times New Roman"/>
        <family val="1"/>
      </rPr>
      <t xml:space="preserve"> Full C.C for Tower 1 (South) upto 49th floors height 204.10 mtrs plus LMR and OHT having total height 213 40 mtrs.
</t>
    </r>
    <r>
      <rPr>
        <b/>
        <sz val="11"/>
        <color theme="1"/>
        <rFont val="Times New Roman"/>
        <family val="1"/>
      </rPr>
      <t>II)</t>
    </r>
    <r>
      <rPr>
        <sz val="11"/>
        <color theme="1"/>
        <rFont val="Times New Roman"/>
        <family val="1"/>
      </rPr>
      <t xml:space="preserve"> Full CC for Tower 2 (Central) upto 50th floors having height 207.55 mtrs. plus LMR and OHT having total height 215.76mtrs.
</t>
    </r>
    <r>
      <rPr>
        <b/>
        <sz val="11"/>
        <color theme="1"/>
        <rFont val="Times New Roman"/>
        <family val="1"/>
      </rPr>
      <t>III)</t>
    </r>
    <r>
      <rPr>
        <sz val="11"/>
        <color theme="1"/>
        <rFont val="Times New Roman"/>
        <family val="1"/>
      </rPr>
      <t xml:space="preserve"> Further CC for Brick work to Tower 3 (north) upto 51st floor and re-endorsed the RCC frame structure CC only from 52nd to 66th floor having height 258.60 mtrs. plus LMR &amp; OHT having total height 267mtrs. of sale building no. 1 as per amended plan under no. SRA/3809/GS/ML/AP dtd. 23/02/2024.</t>
    </r>
  </si>
  <si>
    <t>Building plan approval No
Tower No. 1 &amp; 2</t>
  </si>
  <si>
    <t>33th to 35th, 37th to 42nd &amp; 45th Floor</t>
  </si>
  <si>
    <t>44th Floor</t>
  </si>
  <si>
    <t>46th Floor</t>
  </si>
  <si>
    <t>47th Floor</t>
  </si>
  <si>
    <t>4.5BHK</t>
  </si>
  <si>
    <t>We have updated latest approved floor plans from 1st to 66th floor for North tower no.3 (On 26/12/2024).</t>
  </si>
  <si>
    <t>Tower-1 = 2B + Gr.+1st to 9th + 9A Podium+1st to 49th Floor
Tower-2 = 2B + Gr.+1st to 9th + 9A Podium+1st to 50th Floor
Tower-3 = 2B + Gr.+ P1 to P9 + 1st to 32nd + 32nd-A (Service Floor) + 33th to 67th Floor</t>
  </si>
  <si>
    <t>Tower-1 = 2B + Gr.+1st to 9th + 9A Podium+1st to 56th Floor
Tower-2 = 2B + Gr.+1st to 9th + 9A Podium+1st to 42nd Floor
Tower-3 = 2B + Gr.+ P1 to P9 + 1st to 32nd + 32nd-A (Service Floor) + 33th to 67th Floor</t>
  </si>
  <si>
    <t>Tower 3(North) = 2B + Gr/St + P1 to P9 + 1st to 32nd + 32nd-A (Service Floor) + 33th to 67th Floor</t>
  </si>
  <si>
    <t>Please provide revised approved layout plan, floor plan &amp; CC For Tower 1 &amp; 2.</t>
  </si>
  <si>
    <t>5BHK Duplex With 47th Floor</t>
  </si>
  <si>
    <t>5BHK Duplex with 46th Floor</t>
  </si>
  <si>
    <t>We have received latest approved floor plans of dtd. 23/02/2024 (i.e. 1st to 66th floors) for North Tower No.3
Please provide latest layout &amp; approved floor plans of dtd. 23/02/2024 (i.e 2B + Ground Floor + P1 to P9 Floor ) for North Tower no.3.</t>
  </si>
  <si>
    <t>North Tower 3</t>
  </si>
  <si>
    <t>Tower 1 - Completed
Tower 2 - 30/06/2026
Tower 3 - 30/12/2026</t>
  </si>
  <si>
    <t>South Tower 1 - All Work completed. OC Recived.
Central Tower 2  &amp; North Tower 3 - Construction work is in process at the time of visit. Internal photograph was not allowed.</t>
  </si>
  <si>
    <t>We have referred OC for Tower 1 from RERA site. (On 10/09/2025)</t>
  </si>
  <si>
    <t>Part O. Certificate No.:
Valid Upto :</t>
  </si>
  <si>
    <t>SRA/ENG/3809/GS/ML/AP
Tower 1 (South Tower)  = 2B + Part 1st to 8th Podium + Part 9th &amp; 9A For Amenity + 1st to 49th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</si>
</sst>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color indexed="63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6" fillId="0" borderId="0"/>
    <xf numFmtId="0" fontId="16" fillId="0" borderId="0"/>
    <xf numFmtId="9" fontId="5" fillId="0" borderId="0" applyFont="0" applyFill="0" applyBorder="0" applyAlignment="0" applyProtection="0"/>
    <xf numFmtId="0" fontId="16" fillId="0" borderId="0"/>
    <xf numFmtId="0" fontId="27" fillId="0" borderId="0" applyNumberFormat="0" applyFill="0" applyBorder="0" applyAlignment="0" applyProtection="0"/>
  </cellStyleXfs>
  <cellXfs count="338">
    <xf numFmtId="0" fontId="0" fillId="0" borderId="0" xfId="0"/>
    <xf numFmtId="0" fontId="2" fillId="0" borderId="0" xfId="2"/>
    <xf numFmtId="0" fontId="4" fillId="2" borderId="2" xfId="0" applyFont="1" applyFill="1" applyBorder="1" applyAlignment="1">
      <alignment vertical="top"/>
    </xf>
    <xf numFmtId="1" fontId="7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17" fillId="0" borderId="2" xfId="0" applyFont="1" applyBorder="1"/>
    <xf numFmtId="0" fontId="0" fillId="0" borderId="3" xfId="0" applyBorder="1" applyAlignment="1"/>
    <xf numFmtId="0" fontId="0" fillId="3" borderId="2" xfId="0" applyFill="1" applyBorder="1"/>
    <xf numFmtId="0" fontId="17" fillId="0" borderId="2" xfId="0" applyFont="1" applyBorder="1" applyAlignment="1">
      <alignment horizontal="center"/>
    </xf>
    <xf numFmtId="1" fontId="11" fillId="0" borderId="2" xfId="0" applyNumberFormat="1" applyFont="1" applyFill="1" applyBorder="1" applyAlignment="1">
      <alignment horizontal="center" vertical="top" wrapText="1"/>
    </xf>
    <xf numFmtId="0" fontId="19" fillId="0" borderId="0" xfId="0" applyFont="1"/>
    <xf numFmtId="0" fontId="20" fillId="2" borderId="1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0" fontId="21" fillId="0" borderId="2" xfId="0" applyFont="1" applyBorder="1"/>
    <xf numFmtId="0" fontId="21" fillId="0" borderId="0" xfId="0" applyFont="1"/>
    <xf numFmtId="0" fontId="21" fillId="3" borderId="2" xfId="0" applyFont="1" applyFill="1" applyBorder="1"/>
    <xf numFmtId="0" fontId="21" fillId="0" borderId="2" xfId="0" applyFont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9" fontId="21" fillId="0" borderId="0" xfId="6" applyFont="1" applyBorder="1"/>
    <xf numFmtId="0" fontId="21" fillId="0" borderId="0" xfId="0" applyFont="1" applyBorder="1"/>
    <xf numFmtId="0" fontId="22" fillId="0" borderId="2" xfId="0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0" xfId="0" applyFont="1" applyAlignment="1">
      <alignment wrapText="1"/>
    </xf>
    <xf numFmtId="9" fontId="22" fillId="0" borderId="2" xfId="6" applyFont="1" applyBorder="1"/>
    <xf numFmtId="0" fontId="21" fillId="0" borderId="0" xfId="0" applyFont="1" applyFill="1" applyBorder="1"/>
    <xf numFmtId="9" fontId="21" fillId="0" borderId="0" xfId="0" applyNumberFormat="1" applyFont="1"/>
    <xf numFmtId="0" fontId="23" fillId="0" borderId="2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6" xfId="0" applyFont="1" applyBorder="1"/>
    <xf numFmtId="0" fontId="21" fillId="0" borderId="2" xfId="0" applyFont="1" applyBorder="1" applyAlignment="1">
      <alignment wrapText="1"/>
    </xf>
    <xf numFmtId="0" fontId="21" fillId="0" borderId="2" xfId="0" applyFont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/>
    <xf numFmtId="0" fontId="21" fillId="0" borderId="2" xfId="0" applyFont="1" applyBorder="1" applyAlignment="1">
      <alignment horizontal="center"/>
    </xf>
    <xf numFmtId="0" fontId="1" fillId="0" borderId="0" xfId="3" applyFont="1"/>
    <xf numFmtId="0" fontId="1" fillId="0" borderId="0" xfId="3"/>
    <xf numFmtId="0" fontId="16" fillId="0" borderId="0" xfId="5"/>
    <xf numFmtId="0" fontId="17" fillId="0" borderId="2" xfId="5" applyFont="1" applyBorder="1" applyAlignment="1">
      <alignment horizontal="center" vertical="top" wrapText="1"/>
    </xf>
    <xf numFmtId="0" fontId="16" fillId="0" borderId="2" xfId="5" applyBorder="1" applyAlignment="1">
      <alignment horizontal="center" vertical="center"/>
    </xf>
    <xf numFmtId="1" fontId="16" fillId="0" borderId="2" xfId="5" applyNumberFormat="1" applyBorder="1" applyAlignment="1">
      <alignment horizontal="center" vertical="center"/>
    </xf>
    <xf numFmtId="165" fontId="16" fillId="0" borderId="2" xfId="1" applyNumberFormat="1" applyFont="1" applyBorder="1" applyAlignment="1">
      <alignment horizontal="right" vertical="center"/>
    </xf>
    <xf numFmtId="0" fontId="17" fillId="0" borderId="2" xfId="5" applyFont="1" applyBorder="1" applyAlignment="1">
      <alignment horizontal="center" vertical="center"/>
    </xf>
    <xf numFmtId="1" fontId="18" fillId="0" borderId="2" xfId="5" applyNumberFormat="1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24" fillId="0" borderId="0" xfId="3" applyFont="1"/>
    <xf numFmtId="0" fontId="16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center" vertical="center"/>
    </xf>
    <xf numFmtId="0" fontId="25" fillId="0" borderId="19" xfId="7" applyFont="1" applyFill="1" applyBorder="1" applyProtection="1">
      <protection hidden="1"/>
    </xf>
    <xf numFmtId="0" fontId="25" fillId="0" borderId="20" xfId="7" applyFont="1" applyBorder="1" applyProtection="1">
      <protection hidden="1"/>
    </xf>
    <xf numFmtId="0" fontId="13" fillId="0" borderId="21" xfId="7" applyFont="1" applyFill="1" applyBorder="1" applyAlignment="1" applyProtection="1">
      <alignment horizontal="center" vertical="top"/>
      <protection locked="0"/>
    </xf>
    <xf numFmtId="0" fontId="13" fillId="0" borderId="2" xfId="7" applyFont="1" applyFill="1" applyBorder="1" applyAlignment="1" applyProtection="1">
      <alignment horizontal="center" vertical="top"/>
      <protection locked="0"/>
    </xf>
    <xf numFmtId="0" fontId="25" fillId="0" borderId="0" xfId="7" applyFont="1" applyFill="1" applyBorder="1" applyProtection="1">
      <protection hidden="1"/>
    </xf>
    <xf numFmtId="0" fontId="25" fillId="0" borderId="23" xfId="7" applyFont="1" applyBorder="1" applyProtection="1">
      <protection hidden="1"/>
    </xf>
    <xf numFmtId="0" fontId="21" fillId="0" borderId="0" xfId="0" applyFont="1" applyFill="1" applyBorder="1" applyProtection="1">
      <protection hidden="1"/>
    </xf>
    <xf numFmtId="0" fontId="25" fillId="0" borderId="23" xfId="7" applyFont="1" applyBorder="1"/>
    <xf numFmtId="0" fontId="21" fillId="0" borderId="23" xfId="0" applyNumberFormat="1" applyFont="1" applyBorder="1" applyProtection="1">
      <protection hidden="1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0" fontId="21" fillId="0" borderId="32" xfId="0" applyFont="1" applyFill="1" applyBorder="1" applyProtection="1">
      <protection hidden="1"/>
    </xf>
    <xf numFmtId="1" fontId="0" fillId="0" borderId="33" xfId="0" applyNumberFormat="1" applyBorder="1"/>
    <xf numFmtId="0" fontId="13" fillId="0" borderId="2" xfId="7" applyFont="1" applyBorder="1" applyAlignment="1" applyProtection="1">
      <alignment horizontal="center" vertical="top" wrapText="1"/>
      <protection locked="0"/>
    </xf>
    <xf numFmtId="0" fontId="13" fillId="0" borderId="2" xfId="7" applyFont="1" applyBorder="1" applyAlignment="1" applyProtection="1">
      <alignment horizontal="center" wrapText="1"/>
      <protection locked="0"/>
    </xf>
    <xf numFmtId="1" fontId="13" fillId="0" borderId="2" xfId="7" applyNumberFormat="1" applyFont="1" applyBorder="1" applyAlignment="1" applyProtection="1">
      <alignment horizontal="center" wrapText="1"/>
      <protection locked="0"/>
    </xf>
    <xf numFmtId="0" fontId="13" fillId="0" borderId="28" xfId="7" applyFont="1" applyBorder="1" applyAlignment="1" applyProtection="1">
      <alignment horizontal="center" wrapText="1"/>
      <protection locked="0"/>
    </xf>
    <xf numFmtId="0" fontId="26" fillId="0" borderId="0" xfId="0" applyFont="1"/>
    <xf numFmtId="0" fontId="18" fillId="0" borderId="0" xfId="0" applyFont="1"/>
    <xf numFmtId="2" fontId="19" fillId="0" borderId="0" xfId="0" applyNumberFormat="1" applyFont="1"/>
    <xf numFmtId="0" fontId="0" fillId="3" borderId="0" xfId="0" applyFill="1"/>
    <xf numFmtId="14" fontId="0" fillId="3" borderId="0" xfId="0" applyNumberFormat="1" applyFill="1"/>
    <xf numFmtId="0" fontId="0" fillId="0" borderId="0" xfId="0" applyAlignment="1">
      <alignment wrapText="1"/>
    </xf>
    <xf numFmtId="1" fontId="0" fillId="0" borderId="0" xfId="0" applyNumberFormat="1"/>
    <xf numFmtId="1" fontId="0" fillId="0" borderId="2" xfId="0" applyNumberForma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shrinkToFit="1"/>
    </xf>
    <xf numFmtId="0" fontId="1" fillId="0" borderId="0" xfId="2" applyFont="1"/>
    <xf numFmtId="0" fontId="28" fillId="0" borderId="0" xfId="2" applyFont="1"/>
    <xf numFmtId="0" fontId="17" fillId="0" borderId="0" xfId="0" applyFont="1"/>
    <xf numFmtId="0" fontId="8" fillId="0" borderId="2" xfId="2" applyFont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top"/>
    </xf>
    <xf numFmtId="1" fontId="13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7" applyFont="1" applyBorder="1" applyAlignment="1" applyProtection="1">
      <alignment horizontal="center" vertical="top" wrapText="1"/>
      <protection locked="0"/>
    </xf>
    <xf numFmtId="0" fontId="13" fillId="0" borderId="2" xfId="7" applyFont="1" applyFill="1" applyBorder="1" applyAlignment="1" applyProtection="1">
      <alignment horizontal="center" vertical="top"/>
      <protection locked="0"/>
    </xf>
    <xf numFmtId="0" fontId="13" fillId="0" borderId="21" xfId="7" applyFont="1" applyFill="1" applyBorder="1" applyAlignment="1" applyProtection="1">
      <alignment horizontal="center" vertical="top"/>
      <protection locked="0"/>
    </xf>
    <xf numFmtId="0" fontId="8" fillId="0" borderId="2" xfId="2" applyFont="1" applyBorder="1" applyAlignment="1">
      <alignment horizontal="left" vertical="top" wrapText="1"/>
    </xf>
    <xf numFmtId="0" fontId="8" fillId="5" borderId="2" xfId="2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shrinkToFit="1"/>
    </xf>
    <xf numFmtId="1" fontId="13" fillId="0" borderId="2" xfId="0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 indent="1"/>
    </xf>
    <xf numFmtId="1" fontId="25" fillId="0" borderId="2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vertical="top"/>
    </xf>
    <xf numFmtId="14" fontId="4" fillId="6" borderId="1" xfId="0" applyNumberFormat="1" applyFont="1" applyFill="1" applyBorder="1" applyAlignment="1">
      <alignment horizontal="left" vertical="top"/>
    </xf>
    <xf numFmtId="14" fontId="4" fillId="6" borderId="4" xfId="0" applyNumberFormat="1" applyFont="1" applyFill="1" applyBorder="1" applyAlignment="1">
      <alignment horizontal="left" vertical="top"/>
    </xf>
    <xf numFmtId="14" fontId="4" fillId="6" borderId="5" xfId="0" applyNumberFormat="1" applyFont="1" applyFill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 wrapText="1"/>
    </xf>
    <xf numFmtId="0" fontId="20" fillId="2" borderId="4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left" vertical="top"/>
    </xf>
    <xf numFmtId="14" fontId="4" fillId="2" borderId="4" xfId="0" applyNumberFormat="1" applyFont="1" applyFill="1" applyBorder="1" applyAlignment="1">
      <alignment horizontal="left" vertical="top"/>
    </xf>
    <xf numFmtId="14" fontId="4" fillId="2" borderId="5" xfId="0" applyNumberFormat="1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/>
    </xf>
    <xf numFmtId="0" fontId="20" fillId="0" borderId="4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left" vertical="top"/>
    </xf>
    <xf numFmtId="3" fontId="20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8" fillId="0" borderId="1" xfId="2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15" fillId="0" borderId="0" xfId="0" applyFont="1" applyFill="1" applyBorder="1" applyAlignment="1">
      <alignment horizontal="left" vertical="top" wrapText="1" indent="1"/>
    </xf>
    <xf numFmtId="0" fontId="14" fillId="0" borderId="0" xfId="0" applyFont="1" applyFill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2" fillId="6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5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13" fillId="0" borderId="2" xfId="7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20" fillId="0" borderId="2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9" fontId="13" fillId="2" borderId="1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2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28" xfId="7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13" fillId="0" borderId="21" xfId="7" applyFont="1" applyFill="1" applyBorder="1" applyAlignment="1" applyProtection="1">
      <alignment horizontal="center" vertical="top"/>
      <protection locked="0"/>
    </xf>
    <xf numFmtId="0" fontId="13" fillId="0" borderId="2" xfId="7" applyFont="1" applyFill="1" applyBorder="1" applyAlignment="1" applyProtection="1">
      <alignment horizontal="center" vertical="top"/>
      <protection locked="0"/>
    </xf>
    <xf numFmtId="0" fontId="13" fillId="0" borderId="21" xfId="7" applyFont="1" applyFill="1" applyBorder="1" applyAlignment="1" applyProtection="1">
      <alignment horizontal="center" vertical="top" wrapText="1"/>
      <protection locked="0"/>
    </xf>
    <xf numFmtId="0" fontId="13" fillId="0" borderId="2" xfId="7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/>
    </xf>
    <xf numFmtId="0" fontId="23" fillId="0" borderId="4" xfId="0" applyFont="1" applyFill="1" applyBorder="1" applyAlignment="1">
      <alignment horizontal="left" vertical="top"/>
    </xf>
    <xf numFmtId="0" fontId="23" fillId="0" borderId="5" xfId="0" applyFont="1" applyFill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left" vertical="top"/>
    </xf>
    <xf numFmtId="0" fontId="20" fillId="2" borderId="5" xfId="0" applyFont="1" applyFill="1" applyBorder="1" applyAlignment="1">
      <alignment horizontal="left" vertical="top"/>
    </xf>
    <xf numFmtId="9" fontId="13" fillId="2" borderId="29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30" xfId="7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27" fillId="0" borderId="1" xfId="8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0" fillId="0" borderId="5" xfId="0" applyFont="1" applyBorder="1" applyAlignment="1">
      <alignment horizontal="left"/>
    </xf>
    <xf numFmtId="0" fontId="9" fillId="0" borderId="2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14" fontId="20" fillId="0" borderId="1" xfId="0" applyNumberFormat="1" applyFont="1" applyFill="1" applyBorder="1" applyAlignment="1">
      <alignment horizontal="left" vertical="top" wrapText="1"/>
    </xf>
    <xf numFmtId="9" fontId="13" fillId="2" borderId="7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26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10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0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23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31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32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33" xfId="7" applyNumberFormat="1" applyFont="1" applyFill="1" applyBorder="1" applyAlignment="1" applyProtection="1">
      <alignment horizontal="center" vertical="center" wrapText="1"/>
      <protection hidden="1"/>
    </xf>
    <xf numFmtId="0" fontId="13" fillId="0" borderId="27" xfId="7" applyFont="1" applyFill="1" applyBorder="1" applyAlignment="1" applyProtection="1">
      <alignment horizontal="center" vertical="top" wrapText="1"/>
      <protection locked="0"/>
    </xf>
    <xf numFmtId="0" fontId="13" fillId="0" borderId="28" xfId="7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12" fillId="0" borderId="2" xfId="7" applyFont="1" applyFill="1" applyBorder="1" applyAlignment="1" applyProtection="1">
      <alignment horizontal="left" vertical="top" wrapText="1"/>
      <protection locked="0"/>
    </xf>
    <xf numFmtId="0" fontId="12" fillId="0" borderId="2" xfId="7" applyFont="1" applyBorder="1" applyAlignment="1" applyProtection="1">
      <alignment horizontal="left" vertical="top"/>
      <protection locked="0"/>
    </xf>
    <xf numFmtId="0" fontId="13" fillId="0" borderId="24" xfId="7" applyFont="1" applyBorder="1" applyAlignment="1" applyProtection="1">
      <alignment horizontal="center" vertical="top" wrapText="1"/>
      <protection locked="0"/>
    </xf>
    <xf numFmtId="0" fontId="13" fillId="0" borderId="5" xfId="7" applyFont="1" applyBorder="1" applyAlignment="1" applyProtection="1">
      <alignment horizontal="center" vertical="top" wrapText="1"/>
      <protection locked="0"/>
    </xf>
    <xf numFmtId="0" fontId="13" fillId="0" borderId="25" xfId="7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12" fillId="0" borderId="14" xfId="7" applyFont="1" applyFill="1" applyBorder="1" applyAlignment="1" applyProtection="1">
      <alignment horizontal="center" vertical="top" wrapText="1"/>
      <protection locked="0"/>
    </xf>
    <xf numFmtId="0" fontId="12" fillId="0" borderId="15" xfId="7" applyFont="1" applyFill="1" applyBorder="1" applyAlignment="1" applyProtection="1">
      <alignment horizontal="center" vertical="top" wrapText="1"/>
      <protection locked="0"/>
    </xf>
    <xf numFmtId="0" fontId="12" fillId="0" borderId="16" xfId="7" applyFont="1" applyFill="1" applyBorder="1" applyAlignment="1" applyProtection="1">
      <alignment horizontal="left" vertical="top" wrapText="1"/>
      <protection locked="0"/>
    </xf>
    <xf numFmtId="0" fontId="12" fillId="0" borderId="17" xfId="7" applyFont="1" applyFill="1" applyBorder="1" applyAlignment="1" applyProtection="1">
      <alignment horizontal="left" vertical="top" wrapText="1"/>
      <protection locked="0"/>
    </xf>
    <xf numFmtId="0" fontId="12" fillId="0" borderId="18" xfId="7" applyFont="1" applyFill="1" applyBorder="1" applyAlignment="1" applyProtection="1">
      <alignment horizontal="left" vertical="top" wrapText="1"/>
      <protection locked="0"/>
    </xf>
    <xf numFmtId="0" fontId="13" fillId="0" borderId="1" xfId="7" applyFont="1" applyFill="1" applyBorder="1" applyAlignment="1" applyProtection="1">
      <alignment horizontal="center" vertical="top"/>
      <protection locked="0"/>
    </xf>
    <xf numFmtId="0" fontId="13" fillId="0" borderId="5" xfId="7" applyFont="1" applyFill="1" applyBorder="1" applyAlignment="1" applyProtection="1">
      <alignment horizontal="center" vertical="top"/>
      <protection locked="0"/>
    </xf>
    <xf numFmtId="0" fontId="13" fillId="0" borderId="22" xfId="7" applyFont="1" applyFill="1" applyBorder="1" applyAlignment="1" applyProtection="1">
      <alignment horizontal="center" vertical="top"/>
      <protection locked="0"/>
    </xf>
    <xf numFmtId="0" fontId="12" fillId="0" borderId="21" xfId="7" applyFont="1" applyBorder="1" applyAlignment="1" applyProtection="1">
      <alignment horizontal="left" vertical="top"/>
      <protection locked="0"/>
    </xf>
    <xf numFmtId="0" fontId="12" fillId="0" borderId="1" xfId="7" applyFont="1" applyFill="1" applyBorder="1" applyAlignment="1" applyProtection="1">
      <alignment horizontal="left" vertical="top" wrapText="1"/>
      <protection locked="0"/>
    </xf>
    <xf numFmtId="0" fontId="12" fillId="0" borderId="4" xfId="7" applyFont="1" applyFill="1" applyBorder="1" applyAlignment="1" applyProtection="1">
      <alignment horizontal="left" vertical="top" wrapText="1"/>
      <protection locked="0"/>
    </xf>
    <xf numFmtId="0" fontId="12" fillId="0" borderId="22" xfId="7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1" fontId="13" fillId="0" borderId="2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top"/>
    </xf>
    <xf numFmtId="0" fontId="23" fillId="0" borderId="4" xfId="0" applyFont="1" applyFill="1" applyBorder="1" applyAlignment="1">
      <alignment horizontal="center" vertical="top"/>
    </xf>
    <xf numFmtId="0" fontId="23" fillId="0" borderId="5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1" fontId="9" fillId="0" borderId="2" xfId="0" applyNumberFormat="1" applyFont="1" applyFill="1" applyBorder="1" applyAlignment="1">
      <alignment horizontal="center" vertical="top"/>
    </xf>
    <xf numFmtId="1" fontId="8" fillId="0" borderId="2" xfId="0" applyNumberFormat="1" applyFont="1" applyFill="1" applyBorder="1" applyAlignment="1">
      <alignment horizontal="center" vertical="top"/>
    </xf>
    <xf numFmtId="1" fontId="8" fillId="2" borderId="2" xfId="0" applyNumberFormat="1" applyFont="1" applyFill="1" applyBorder="1" applyAlignment="1">
      <alignment horizontal="center" vertical="top"/>
    </xf>
    <xf numFmtId="0" fontId="8" fillId="4" borderId="2" xfId="2" applyFont="1" applyFill="1" applyBorder="1" applyAlignment="1">
      <alignment horizontal="left" vertical="top" wrapText="1"/>
    </xf>
    <xf numFmtId="0" fontId="17" fillId="0" borderId="2" xfId="5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3" fillId="0" borderId="6" xfId="7" applyFont="1" applyFill="1" applyBorder="1" applyAlignment="1" applyProtection="1">
      <alignment horizontal="center" vertical="top" wrapText="1"/>
      <protection locked="0"/>
    </xf>
    <xf numFmtId="0" fontId="13" fillId="0" borderId="6" xfId="7" applyFont="1" applyBorder="1" applyAlignment="1" applyProtection="1">
      <alignment horizontal="center" wrapText="1"/>
      <protection locked="0"/>
    </xf>
    <xf numFmtId="9" fontId="13" fillId="2" borderId="6" xfId="7" applyNumberFormat="1" applyFont="1" applyFill="1" applyBorder="1" applyAlignment="1" applyProtection="1">
      <alignment horizontal="center" vertical="center" wrapText="1"/>
      <protection hidden="1"/>
    </xf>
    <xf numFmtId="0" fontId="12" fillId="0" borderId="34" xfId="7" applyFont="1" applyFill="1" applyBorder="1" applyAlignment="1" applyProtection="1">
      <alignment horizontal="center" vertical="top" wrapText="1"/>
      <protection locked="0"/>
    </xf>
    <xf numFmtId="0" fontId="12" fillId="0" borderId="35" xfId="7" applyFont="1" applyFill="1" applyBorder="1" applyAlignment="1" applyProtection="1">
      <alignment horizontal="center" vertical="top" wrapText="1"/>
      <protection locked="0"/>
    </xf>
    <xf numFmtId="0" fontId="12" fillId="0" borderId="35" xfId="7" applyFont="1" applyFill="1" applyBorder="1" applyAlignment="1" applyProtection="1">
      <alignment horizontal="left" vertical="top" wrapText="1"/>
      <protection locked="0"/>
    </xf>
    <xf numFmtId="0" fontId="12" fillId="0" borderId="36" xfId="7" applyFont="1" applyFill="1" applyBorder="1" applyAlignment="1" applyProtection="1">
      <alignment horizontal="left" vertical="top" wrapText="1"/>
      <protection locked="0"/>
    </xf>
    <xf numFmtId="0" fontId="13" fillId="0" borderId="25" xfId="7" applyFont="1" applyFill="1" applyBorder="1" applyAlignment="1" applyProtection="1">
      <alignment horizontal="center" vertical="top"/>
      <protection locked="0"/>
    </xf>
    <xf numFmtId="0" fontId="12" fillId="0" borderId="25" xfId="7" applyFont="1" applyFill="1" applyBorder="1" applyAlignment="1" applyProtection="1">
      <alignment horizontal="left" vertical="top" wrapText="1"/>
      <protection locked="0"/>
    </xf>
    <xf numFmtId="0" fontId="13" fillId="0" borderId="21" xfId="7" applyFont="1" applyBorder="1" applyAlignment="1" applyProtection="1">
      <alignment horizontal="center" vertical="top" wrapText="1"/>
      <protection locked="0"/>
    </xf>
    <xf numFmtId="9" fontId="13" fillId="2" borderId="25" xfId="7" applyNumberFormat="1" applyFont="1" applyFill="1" applyBorder="1" applyAlignment="1" applyProtection="1">
      <alignment horizontal="center" vertical="center" wrapText="1"/>
      <protection hidden="1"/>
    </xf>
    <xf numFmtId="9" fontId="13" fillId="2" borderId="37" xfId="7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3" fillId="4" borderId="4" xfId="0" applyFont="1" applyFill="1" applyBorder="1" applyAlignment="1">
      <alignment horizontal="left" vertical="top" wrapText="1"/>
    </xf>
    <xf numFmtId="0" fontId="23" fillId="4" borderId="5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14" fontId="3" fillId="4" borderId="1" xfId="0" applyNumberFormat="1" applyFont="1" applyFill="1" applyBorder="1" applyAlignment="1">
      <alignment horizontal="left" vertical="top"/>
    </xf>
    <xf numFmtId="14" fontId="3" fillId="4" borderId="4" xfId="0" applyNumberFormat="1" applyFont="1" applyFill="1" applyBorder="1" applyAlignment="1">
      <alignment horizontal="left" vertical="top"/>
    </xf>
    <xf numFmtId="14" fontId="3" fillId="4" borderId="5" xfId="0" applyNumberFormat="1" applyFont="1" applyFill="1" applyBorder="1" applyAlignment="1">
      <alignment horizontal="left" vertical="top"/>
    </xf>
  </cellXfs>
  <cellStyles count="9">
    <cellStyle name="Comma 2" xfId="1"/>
    <cellStyle name="Excel Built-in Normal" xfId="2"/>
    <cellStyle name="Excel Built-in Normal 2" xfId="3"/>
    <cellStyle name="Hyperlink" xfId="8" builtinId="8"/>
    <cellStyle name="Normal" xfId="0" builtinId="0"/>
    <cellStyle name="Normal 2" xfId="4"/>
    <cellStyle name="Normal 3" xfId="7"/>
    <cellStyle name="Normal 4" xfId="5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5" Type="http://schemas.openxmlformats.org/officeDocument/2006/relationships/image" Target="../media/image34.jpeg"/><Relationship Id="rId4" Type="http://schemas.openxmlformats.org/officeDocument/2006/relationships/image" Target="../media/image3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593336</xdr:colOff>
      <xdr:row>351</xdr:row>
      <xdr:rowOff>0</xdr:rowOff>
    </xdr:from>
    <xdr:to>
      <xdr:col>19</xdr:col>
      <xdr:colOff>155690</xdr:colOff>
      <xdr:row>352</xdr:row>
      <xdr:rowOff>178832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10430063" y="74667341"/>
          <a:ext cx="1380763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South Tower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166190</xdr:colOff>
      <xdr:row>352</xdr:row>
      <xdr:rowOff>89442</xdr:rowOff>
    </xdr:from>
    <xdr:to>
      <xdr:col>15</xdr:col>
      <xdr:colOff>535522</xdr:colOff>
      <xdr:row>376</xdr:row>
      <xdr:rowOff>72073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 rot="18845596">
          <a:off x="8828131" y="75515933"/>
          <a:ext cx="150663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Central Tower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178222</xdr:colOff>
      <xdr:row>351</xdr:row>
      <xdr:rowOff>64943</xdr:rowOff>
    </xdr:from>
    <xdr:to>
      <xdr:col>18</xdr:col>
      <xdr:colOff>472580</xdr:colOff>
      <xdr:row>353</xdr:row>
      <xdr:rowOff>53275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10188997" y="74445668"/>
          <a:ext cx="1513558" cy="3883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Central Tower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514349</xdr:colOff>
      <xdr:row>372</xdr:row>
      <xdr:rowOff>99621</xdr:rowOff>
    </xdr:from>
    <xdr:to>
      <xdr:col>18</xdr:col>
      <xdr:colOff>278890</xdr:colOff>
      <xdr:row>379</xdr:row>
      <xdr:rowOff>148487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 rot="18362455">
          <a:off x="10597274" y="76017921"/>
          <a:ext cx="1449041" cy="37414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FF00"/>
              </a:solidFill>
            </a:rPr>
            <a:t>North Tower</a:t>
          </a:r>
          <a:endParaRPr lang="en-IN" b="1">
            <a:solidFill>
              <a:srgbClr val="FFFF00"/>
            </a:solidFill>
          </a:endParaRPr>
        </a:p>
      </xdr:txBody>
    </xdr:sp>
    <xdr:clientData/>
  </xdr:twoCellAnchor>
  <xdr:twoCellAnchor>
    <xdr:from>
      <xdr:col>15</xdr:col>
      <xdr:colOff>422876</xdr:colOff>
      <xdr:row>379</xdr:row>
      <xdr:rowOff>178832</xdr:rowOff>
    </xdr:from>
    <xdr:to>
      <xdr:col>16</xdr:col>
      <xdr:colOff>560854</xdr:colOff>
      <xdr:row>381</xdr:row>
      <xdr:rowOff>167164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9826649" y="76110400"/>
          <a:ext cx="744114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South</a:t>
          </a:r>
        </a:p>
      </xdr:txBody>
    </xdr:sp>
    <xdr:clientData/>
  </xdr:twoCellAnchor>
  <xdr:twoCellAnchor>
    <xdr:from>
      <xdr:col>14</xdr:col>
      <xdr:colOff>280258</xdr:colOff>
      <xdr:row>392</xdr:row>
      <xdr:rowOff>142546</xdr:rowOff>
    </xdr:from>
    <xdr:to>
      <xdr:col>15</xdr:col>
      <xdr:colOff>422876</xdr:colOff>
      <xdr:row>394</xdr:row>
      <xdr:rowOff>130878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8956667" y="78550614"/>
          <a:ext cx="869982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Central</a:t>
          </a:r>
        </a:p>
      </xdr:txBody>
    </xdr:sp>
    <xdr:clientData/>
  </xdr:twoCellAnchor>
  <xdr:twoCellAnchor>
    <xdr:from>
      <xdr:col>19</xdr:col>
      <xdr:colOff>218489</xdr:colOff>
      <xdr:row>379</xdr:row>
      <xdr:rowOff>178832</xdr:rowOff>
    </xdr:from>
    <xdr:to>
      <xdr:col>20</xdr:col>
      <xdr:colOff>358069</xdr:colOff>
      <xdr:row>381</xdr:row>
      <xdr:rowOff>167164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12046807" y="76110400"/>
          <a:ext cx="745717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North</a:t>
          </a:r>
        </a:p>
      </xdr:txBody>
    </xdr:sp>
    <xdr:clientData/>
  </xdr:twoCellAnchor>
  <xdr:twoCellAnchor editAs="oneCell">
    <xdr:from>
      <xdr:col>1</xdr:col>
      <xdr:colOff>76613</xdr:colOff>
      <xdr:row>750</xdr:row>
      <xdr:rowOff>124034</xdr:rowOff>
    </xdr:from>
    <xdr:to>
      <xdr:col>8</xdr:col>
      <xdr:colOff>250313</xdr:colOff>
      <xdr:row>770</xdr:row>
      <xdr:rowOff>13905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6396" y="142576621"/>
          <a:ext cx="4853374" cy="3699871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303263</xdr:colOff>
      <xdr:row>736</xdr:row>
      <xdr:rowOff>52595</xdr:rowOff>
    </xdr:from>
    <xdr:to>
      <xdr:col>7</xdr:col>
      <xdr:colOff>574724</xdr:colOff>
      <xdr:row>750</xdr:row>
      <xdr:rowOff>2315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3046" y="139838182"/>
          <a:ext cx="4313374" cy="261672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132521</xdr:colOff>
      <xdr:row>691</xdr:row>
      <xdr:rowOff>41412</xdr:rowOff>
    </xdr:from>
    <xdr:to>
      <xdr:col>8</xdr:col>
      <xdr:colOff>314738</xdr:colOff>
      <xdr:row>724</xdr:row>
      <xdr:rowOff>107673</xdr:rowOff>
    </xdr:to>
    <xdr:grpSp>
      <xdr:nvGrpSpPr>
        <xdr:cNvPr id="93" name="Group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GrpSpPr/>
      </xdr:nvGrpSpPr>
      <xdr:grpSpPr>
        <a:xfrm>
          <a:off x="713546" y="144068937"/>
          <a:ext cx="4868517" cy="6352761"/>
          <a:chOff x="1740479" y="4364967"/>
          <a:chExt cx="3600000" cy="4433978"/>
        </a:xfrm>
      </xdr:grpSpPr>
      <xdr:pic>
        <xdr:nvPicPr>
          <xdr:cNvPr id="94" name="Picture 93">
            <a:extLst>
              <a:ext uri="{FF2B5EF4-FFF2-40B4-BE49-F238E27FC236}">
                <a16:creationId xmlns:a16="http://schemas.microsoft.com/office/drawing/2014/main" xmlns="" id="{00000000-0008-0000-0000-00005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740479" y="4364967"/>
            <a:ext cx="3600000" cy="443397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95" name="Straight Arrow Connector 94">
            <a:extLst>
              <a:ext uri="{FF2B5EF4-FFF2-40B4-BE49-F238E27FC236}">
                <a16:creationId xmlns:a16="http://schemas.microsoft.com/office/drawing/2014/main" xmlns="" id="{00000000-0008-0000-0000-00005F000000}"/>
              </a:ext>
            </a:extLst>
          </xdr:cNvPr>
          <xdr:cNvCxnSpPr/>
        </xdr:nvCxnSpPr>
        <xdr:spPr>
          <a:xfrm>
            <a:off x="4273902" y="7880538"/>
            <a:ext cx="119510" cy="2418"/>
          </a:xfrm>
          <a:prstGeom prst="straightConnector1">
            <a:avLst/>
          </a:prstGeom>
          <a:ln w="31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6" name="TextBox 17">
            <a:extLst>
              <a:ext uri="{FF2B5EF4-FFF2-40B4-BE49-F238E27FC236}">
                <a16:creationId xmlns:a16="http://schemas.microsoft.com/office/drawing/2014/main" xmlns="" id="{00000000-0008-0000-0000-000060000000}"/>
              </a:ext>
            </a:extLst>
          </xdr:cNvPr>
          <xdr:cNvSpPr txBox="1"/>
        </xdr:nvSpPr>
        <xdr:spPr>
          <a:xfrm>
            <a:off x="3799509" y="7768571"/>
            <a:ext cx="551548" cy="1955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1</a:t>
            </a:r>
            <a:r>
              <a:rPr lang="en-US" sz="1200" b="1" baseline="30000">
                <a:solidFill>
                  <a:srgbClr val="FFFF00"/>
                </a:solidFill>
              </a:rPr>
              <a:t>ST</a:t>
            </a:r>
            <a:r>
              <a:rPr lang="en-US" sz="1200" b="1">
                <a:solidFill>
                  <a:srgbClr val="FFFF00"/>
                </a:solidFill>
              </a:rPr>
              <a:t> Floor</a:t>
            </a:r>
            <a:endParaRPr lang="en-IN" sz="1200" b="1">
              <a:solidFill>
                <a:srgbClr val="FFFF00"/>
              </a:solidFill>
            </a:endParaRPr>
          </a:p>
        </xdr:txBody>
      </xdr:sp>
      <xdr:cxnSp macro="">
        <xdr:nvCxnSpPr>
          <xdr:cNvPr id="97" name="Straight Arrow Connector 96">
            <a:extLst>
              <a:ext uri="{FF2B5EF4-FFF2-40B4-BE49-F238E27FC236}">
                <a16:creationId xmlns:a16="http://schemas.microsoft.com/office/drawing/2014/main" xmlns="" id="{00000000-0008-0000-0000-000061000000}"/>
              </a:ext>
            </a:extLst>
          </xdr:cNvPr>
          <xdr:cNvCxnSpPr/>
        </xdr:nvCxnSpPr>
        <xdr:spPr>
          <a:xfrm>
            <a:off x="4156227" y="6380589"/>
            <a:ext cx="155355" cy="0"/>
          </a:xfrm>
          <a:prstGeom prst="straightConnector1">
            <a:avLst/>
          </a:prstGeom>
          <a:ln w="31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8" name="TextBox 25">
            <a:extLst>
              <a:ext uri="{FF2B5EF4-FFF2-40B4-BE49-F238E27FC236}">
                <a16:creationId xmlns:a16="http://schemas.microsoft.com/office/drawing/2014/main" xmlns="" id="{00000000-0008-0000-0000-000062000000}"/>
              </a:ext>
            </a:extLst>
          </xdr:cNvPr>
          <xdr:cNvSpPr txBox="1"/>
        </xdr:nvSpPr>
        <xdr:spPr>
          <a:xfrm>
            <a:off x="3585985" y="6277080"/>
            <a:ext cx="80010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20</a:t>
            </a:r>
            <a:r>
              <a:rPr lang="en-US" sz="1200" b="1" baseline="30000">
                <a:solidFill>
                  <a:srgbClr val="FFFF00"/>
                </a:solidFill>
              </a:rPr>
              <a:t>th</a:t>
            </a:r>
            <a:r>
              <a:rPr lang="en-US" sz="1200" b="1">
                <a:solidFill>
                  <a:srgbClr val="FFFF00"/>
                </a:solidFill>
              </a:rPr>
              <a:t> Floor</a:t>
            </a:r>
            <a:endParaRPr lang="en-IN" sz="1200" b="1">
              <a:solidFill>
                <a:srgbClr val="FFFF00"/>
              </a:solidFill>
            </a:endParaRPr>
          </a:p>
        </xdr:txBody>
      </xdr:sp>
      <xdr:cxnSp macro="">
        <xdr:nvCxnSpPr>
          <xdr:cNvPr id="99" name="Straight Arrow Connector 98">
            <a:extLst>
              <a:ext uri="{FF2B5EF4-FFF2-40B4-BE49-F238E27FC236}">
                <a16:creationId xmlns:a16="http://schemas.microsoft.com/office/drawing/2014/main" xmlns="" id="{00000000-0008-0000-0000-000063000000}"/>
              </a:ext>
            </a:extLst>
          </xdr:cNvPr>
          <xdr:cNvCxnSpPr/>
        </xdr:nvCxnSpPr>
        <xdr:spPr>
          <a:xfrm>
            <a:off x="4248150" y="7105650"/>
            <a:ext cx="126864" cy="2"/>
          </a:xfrm>
          <a:prstGeom prst="straightConnector1">
            <a:avLst/>
          </a:prstGeom>
          <a:ln w="31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0" name="TextBox 27">
            <a:extLst>
              <a:ext uri="{FF2B5EF4-FFF2-40B4-BE49-F238E27FC236}">
                <a16:creationId xmlns:a16="http://schemas.microsoft.com/office/drawing/2014/main" xmlns="" id="{00000000-0008-0000-0000-000064000000}"/>
              </a:ext>
            </a:extLst>
          </xdr:cNvPr>
          <xdr:cNvSpPr txBox="1"/>
        </xdr:nvSpPr>
        <xdr:spPr>
          <a:xfrm>
            <a:off x="3706923" y="7009138"/>
            <a:ext cx="791455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10</a:t>
            </a:r>
            <a:r>
              <a:rPr lang="en-US" sz="1200" b="1" baseline="30000">
                <a:solidFill>
                  <a:srgbClr val="FFFF00"/>
                </a:solidFill>
              </a:rPr>
              <a:t>th</a:t>
            </a:r>
            <a:r>
              <a:rPr lang="en-US" sz="1200" b="1">
                <a:solidFill>
                  <a:srgbClr val="FFFF00"/>
                </a:solidFill>
              </a:rPr>
              <a:t> Floor</a:t>
            </a:r>
            <a:endParaRPr lang="en-IN" sz="1200" b="1">
              <a:solidFill>
                <a:srgbClr val="FFFF00"/>
              </a:solidFill>
            </a:endParaRPr>
          </a:p>
        </xdr:txBody>
      </xdr:sp>
      <xdr:cxnSp macro="">
        <xdr:nvCxnSpPr>
          <xdr:cNvPr id="101" name="Straight Arrow Connector 100">
            <a:extLst>
              <a:ext uri="{FF2B5EF4-FFF2-40B4-BE49-F238E27FC236}">
                <a16:creationId xmlns:a16="http://schemas.microsoft.com/office/drawing/2014/main" xmlns="" id="{00000000-0008-0000-0000-000065000000}"/>
              </a:ext>
            </a:extLst>
          </xdr:cNvPr>
          <xdr:cNvCxnSpPr/>
        </xdr:nvCxnSpPr>
        <xdr:spPr>
          <a:xfrm>
            <a:off x="4113590" y="5745048"/>
            <a:ext cx="155355" cy="0"/>
          </a:xfrm>
          <a:prstGeom prst="straightConnector1">
            <a:avLst/>
          </a:prstGeom>
          <a:ln w="31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2" name="TextBox 46">
            <a:extLst>
              <a:ext uri="{FF2B5EF4-FFF2-40B4-BE49-F238E27FC236}">
                <a16:creationId xmlns:a16="http://schemas.microsoft.com/office/drawing/2014/main" xmlns="" id="{00000000-0008-0000-0000-000066000000}"/>
              </a:ext>
            </a:extLst>
          </xdr:cNvPr>
          <xdr:cNvSpPr txBox="1"/>
        </xdr:nvSpPr>
        <xdr:spPr>
          <a:xfrm>
            <a:off x="3550760" y="5645038"/>
            <a:ext cx="80010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30</a:t>
            </a:r>
            <a:r>
              <a:rPr lang="en-US" sz="1200" b="1" baseline="30000">
                <a:solidFill>
                  <a:srgbClr val="FFFF00"/>
                </a:solidFill>
              </a:rPr>
              <a:t>th</a:t>
            </a:r>
            <a:r>
              <a:rPr lang="en-US" sz="1200" b="1">
                <a:solidFill>
                  <a:srgbClr val="FFFF00"/>
                </a:solidFill>
              </a:rPr>
              <a:t> Floor</a:t>
            </a:r>
            <a:endParaRPr lang="en-IN" sz="1200" b="1">
              <a:solidFill>
                <a:srgbClr val="FFFF00"/>
              </a:solidFill>
            </a:endParaRPr>
          </a:p>
        </xdr:txBody>
      </xdr:sp>
      <xdr:cxnSp macro="">
        <xdr:nvCxnSpPr>
          <xdr:cNvPr id="103" name="Straight Arrow Connector 102">
            <a:extLst>
              <a:ext uri="{FF2B5EF4-FFF2-40B4-BE49-F238E27FC236}">
                <a16:creationId xmlns:a16="http://schemas.microsoft.com/office/drawing/2014/main" xmlns="" id="{00000000-0008-0000-0000-000067000000}"/>
              </a:ext>
            </a:extLst>
          </xdr:cNvPr>
          <xdr:cNvCxnSpPr/>
        </xdr:nvCxnSpPr>
        <xdr:spPr>
          <a:xfrm>
            <a:off x="4145492" y="5200791"/>
            <a:ext cx="155355" cy="0"/>
          </a:xfrm>
          <a:prstGeom prst="straightConnector1">
            <a:avLst/>
          </a:prstGeom>
          <a:ln w="31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4" name="TextBox 48">
            <a:extLst>
              <a:ext uri="{FF2B5EF4-FFF2-40B4-BE49-F238E27FC236}">
                <a16:creationId xmlns:a16="http://schemas.microsoft.com/office/drawing/2014/main" xmlns="" id="{00000000-0008-0000-0000-000068000000}"/>
              </a:ext>
            </a:extLst>
          </xdr:cNvPr>
          <xdr:cNvSpPr txBox="1"/>
        </xdr:nvSpPr>
        <xdr:spPr>
          <a:xfrm>
            <a:off x="3571543" y="5104280"/>
            <a:ext cx="80010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FF00"/>
                </a:solidFill>
              </a:rPr>
              <a:t>40</a:t>
            </a:r>
            <a:r>
              <a:rPr lang="en-US" sz="1200" b="1" baseline="30000">
                <a:solidFill>
                  <a:srgbClr val="FFFF00"/>
                </a:solidFill>
              </a:rPr>
              <a:t>th</a:t>
            </a:r>
            <a:r>
              <a:rPr lang="en-US" sz="1200" b="1">
                <a:solidFill>
                  <a:srgbClr val="FFFF00"/>
                </a:solidFill>
              </a:rPr>
              <a:t> Floor</a:t>
            </a:r>
            <a:endParaRPr lang="en-IN" sz="1200" b="1">
              <a:solidFill>
                <a:srgbClr val="FFFF00"/>
              </a:solidFill>
            </a:endParaRPr>
          </a:p>
        </xdr:txBody>
      </xdr:sp>
      <xdr:cxnSp macro="">
        <xdr:nvCxnSpPr>
          <xdr:cNvPr id="105" name="Straight Arrow Connector 104">
            <a:extLst>
              <a:ext uri="{FF2B5EF4-FFF2-40B4-BE49-F238E27FC236}">
                <a16:creationId xmlns:a16="http://schemas.microsoft.com/office/drawing/2014/main" xmlns="" id="{00000000-0008-0000-0000-000069000000}"/>
              </a:ext>
            </a:extLst>
          </xdr:cNvPr>
          <xdr:cNvCxnSpPr/>
        </xdr:nvCxnSpPr>
        <xdr:spPr>
          <a:xfrm>
            <a:off x="4113590" y="4758020"/>
            <a:ext cx="155355" cy="0"/>
          </a:xfrm>
          <a:prstGeom prst="straightConnector1">
            <a:avLst/>
          </a:prstGeom>
          <a:ln w="31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6" name="TextBox 50">
            <a:extLst>
              <a:ext uri="{FF2B5EF4-FFF2-40B4-BE49-F238E27FC236}">
                <a16:creationId xmlns:a16="http://schemas.microsoft.com/office/drawing/2014/main" xmlns="" id="{00000000-0008-0000-0000-00006A000000}"/>
              </a:ext>
            </a:extLst>
          </xdr:cNvPr>
          <xdr:cNvSpPr txBox="1"/>
        </xdr:nvSpPr>
        <xdr:spPr>
          <a:xfrm>
            <a:off x="3569291" y="4658010"/>
            <a:ext cx="80010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</a:rPr>
              <a:t>49</a:t>
            </a:r>
            <a:r>
              <a:rPr lang="en-US" sz="1200" b="1" baseline="30000">
                <a:solidFill>
                  <a:srgbClr val="FF0000"/>
                </a:solidFill>
              </a:rPr>
              <a:t>th</a:t>
            </a:r>
            <a:r>
              <a:rPr lang="en-US" sz="1200" b="1">
                <a:solidFill>
                  <a:srgbClr val="FF0000"/>
                </a:solidFill>
              </a:rPr>
              <a:t> Floor</a:t>
            </a:r>
            <a:endParaRPr lang="en-IN" sz="12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1</xdr:col>
      <xdr:colOff>717176</xdr:colOff>
      <xdr:row>645</xdr:row>
      <xdr:rowOff>22412</xdr:rowOff>
    </xdr:from>
    <xdr:to>
      <xdr:col>7</xdr:col>
      <xdr:colOff>260647</xdr:colOff>
      <xdr:row>668</xdr:row>
      <xdr:rowOff>1245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9882" y="121326088"/>
          <a:ext cx="3600000" cy="43603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717176</xdr:colOff>
      <xdr:row>669</xdr:row>
      <xdr:rowOff>7802</xdr:rowOff>
    </xdr:from>
    <xdr:to>
      <xdr:col>7</xdr:col>
      <xdr:colOff>260647</xdr:colOff>
      <xdr:row>688</xdr:row>
      <xdr:rowOff>113635</xdr:rowOff>
    </xdr:to>
    <xdr:grpSp>
      <xdr:nvGrpSpPr>
        <xdr:cNvPr id="108" name="Group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GrpSpPr/>
      </xdr:nvGrpSpPr>
      <xdr:grpSpPr>
        <a:xfrm>
          <a:off x="1298201" y="139844327"/>
          <a:ext cx="3591596" cy="3725333"/>
          <a:chOff x="2176141" y="4914900"/>
          <a:chExt cx="3600000" cy="3725333"/>
        </a:xfrm>
      </xdr:grpSpPr>
      <xdr:pic>
        <xdr:nvPicPr>
          <xdr:cNvPr id="109" name="Picture 108">
            <a:extLst>
              <a:ext uri="{FF2B5EF4-FFF2-40B4-BE49-F238E27FC236}">
                <a16:creationId xmlns:a16="http://schemas.microsoft.com/office/drawing/2014/main" xmlns="" id="{00000000-0008-0000-0000-00006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176141" y="4914900"/>
            <a:ext cx="3600000" cy="372533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0" name="Rectangle 109">
            <a:extLst>
              <a:ext uri="{FF2B5EF4-FFF2-40B4-BE49-F238E27FC236}">
                <a16:creationId xmlns:a16="http://schemas.microsoft.com/office/drawing/2014/main" xmlns="" id="{00000000-0008-0000-0000-00006E000000}"/>
              </a:ext>
            </a:extLst>
          </xdr:cNvPr>
          <xdr:cNvSpPr/>
        </xdr:nvSpPr>
        <xdr:spPr>
          <a:xfrm>
            <a:off x="2771704" y="5381050"/>
            <a:ext cx="2524196" cy="613349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>
    <xdr:from>
      <xdr:col>11</xdr:col>
      <xdr:colOff>685801</xdr:colOff>
      <xdr:row>552</xdr:row>
      <xdr:rowOff>9526</xdr:rowOff>
    </xdr:from>
    <xdr:to>
      <xdr:col>17</xdr:col>
      <xdr:colOff>129459</xdr:colOff>
      <xdr:row>580</xdr:row>
      <xdr:rowOff>66675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7200901" y="117557551"/>
          <a:ext cx="3920408" cy="5391149"/>
          <a:chOff x="171451" y="111242476"/>
          <a:chExt cx="3920408" cy="5391149"/>
        </a:xfrm>
      </xdr:grpSpPr>
      <xdr:pic>
        <xdr:nvPicPr>
          <xdr:cNvPr id="55" name="Picture 54" descr="https://vsjcllp.vsjadon.com/upload/insp-190374-925.jpg">
            <a:extLst>
              <a:ext uri="{FF2B5EF4-FFF2-40B4-BE49-F238E27FC236}">
                <a16:creationId xmlns:a16="http://schemas.microsoft.com/office/drawing/2014/main" xmlns="" id="{00000000-0008-0000-0000-000037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71451" y="111242476"/>
            <a:ext cx="3920408" cy="53911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7" name="Group 56">
            <a:extLst>
              <a:ext uri="{FF2B5EF4-FFF2-40B4-BE49-F238E27FC236}">
                <a16:creationId xmlns:a16="http://schemas.microsoft.com/office/drawing/2014/main" xmlns="" id="{00000000-0008-0000-0000-000039000000}"/>
              </a:ext>
            </a:extLst>
          </xdr:cNvPr>
          <xdr:cNvGrpSpPr/>
        </xdr:nvGrpSpPr>
        <xdr:grpSpPr>
          <a:xfrm>
            <a:off x="3028950" y="111575850"/>
            <a:ext cx="781050" cy="674743"/>
            <a:chOff x="5244012" y="3873591"/>
            <a:chExt cx="781050" cy="674743"/>
          </a:xfrm>
        </xdr:grpSpPr>
        <xdr:sp macro="" textlink="">
          <xdr:nvSpPr>
            <xdr:cNvPr id="58" name="TextBox 35">
              <a:extLst>
                <a:ext uri="{FF2B5EF4-FFF2-40B4-BE49-F238E27FC236}">
                  <a16:creationId xmlns:a16="http://schemas.microsoft.com/office/drawing/2014/main" xmlns="" id="{00000000-0008-0000-0000-00003A000000}"/>
                </a:ext>
              </a:extLst>
            </xdr:cNvPr>
            <xdr:cNvSpPr txBox="1"/>
          </xdr:nvSpPr>
          <xdr:spPr>
            <a:xfrm>
              <a:off x="5244012" y="3873591"/>
              <a:ext cx="781050" cy="276999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Tower</a:t>
              </a:r>
              <a:r>
                <a:rPr lang="en-US" sz="12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1</a:t>
              </a:r>
              <a:endParaRPr lang="en-IN" sz="12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59" name="Straight Arrow Connector 58">
              <a:extLst>
                <a:ext uri="{FF2B5EF4-FFF2-40B4-BE49-F238E27FC236}">
                  <a16:creationId xmlns:a16="http://schemas.microsoft.com/office/drawing/2014/main" xmlns="" id="{00000000-0008-0000-0000-00003B000000}"/>
                </a:ext>
              </a:extLst>
            </xdr:cNvPr>
            <xdr:cNvCxnSpPr/>
          </xdr:nvCxnSpPr>
          <xdr:spPr>
            <a:xfrm flipH="1">
              <a:off x="5303943" y="4136994"/>
              <a:ext cx="386442" cy="411340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2" name="Group 61">
            <a:extLst>
              <a:ext uri="{FF2B5EF4-FFF2-40B4-BE49-F238E27FC236}">
                <a16:creationId xmlns:a16="http://schemas.microsoft.com/office/drawing/2014/main" xmlns="" id="{00000000-0008-0000-0000-00003E000000}"/>
              </a:ext>
            </a:extLst>
          </xdr:cNvPr>
          <xdr:cNvGrpSpPr/>
        </xdr:nvGrpSpPr>
        <xdr:grpSpPr>
          <a:xfrm>
            <a:off x="1619250" y="111385350"/>
            <a:ext cx="781050" cy="657225"/>
            <a:chOff x="5244012" y="3873591"/>
            <a:chExt cx="781050" cy="657225"/>
          </a:xfrm>
        </xdr:grpSpPr>
        <xdr:sp macro="" textlink="">
          <xdr:nvSpPr>
            <xdr:cNvPr id="63" name="TextBox 35">
              <a:extLst>
                <a:ext uri="{FF2B5EF4-FFF2-40B4-BE49-F238E27FC236}">
                  <a16:creationId xmlns:a16="http://schemas.microsoft.com/office/drawing/2014/main" xmlns="" id="{00000000-0008-0000-0000-00003F000000}"/>
                </a:ext>
              </a:extLst>
            </xdr:cNvPr>
            <xdr:cNvSpPr txBox="1"/>
          </xdr:nvSpPr>
          <xdr:spPr>
            <a:xfrm>
              <a:off x="5244012" y="3873591"/>
              <a:ext cx="781050" cy="276999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Tower</a:t>
              </a:r>
              <a:r>
                <a:rPr lang="en-US" sz="12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2</a:t>
              </a:r>
              <a:endParaRPr lang="en-IN" sz="12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64" name="Straight Arrow Connector 63">
              <a:extLst>
                <a:ext uri="{FF2B5EF4-FFF2-40B4-BE49-F238E27FC236}">
                  <a16:creationId xmlns:a16="http://schemas.microsoft.com/office/drawing/2014/main" xmlns="" id="{00000000-0008-0000-0000-000040000000}"/>
                </a:ext>
              </a:extLst>
            </xdr:cNvPr>
            <xdr:cNvCxnSpPr/>
          </xdr:nvCxnSpPr>
          <xdr:spPr>
            <a:xfrm>
              <a:off x="5558337" y="4197441"/>
              <a:ext cx="76200" cy="333375"/>
            </a:xfrm>
            <a:prstGeom prst="straightConnector1">
              <a:avLst/>
            </a:prstGeom>
            <a:ln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</xdr:col>
      <xdr:colOff>323850</xdr:colOff>
      <xdr:row>614</xdr:row>
      <xdr:rowOff>142875</xdr:rowOff>
    </xdr:from>
    <xdr:to>
      <xdr:col>7</xdr:col>
      <xdr:colOff>555117</xdr:colOff>
      <xdr:row>623</xdr:row>
      <xdr:rowOff>19431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875" y="125863350"/>
          <a:ext cx="4279392" cy="15910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506730</xdr:colOff>
      <xdr:row>624</xdr:row>
      <xdr:rowOff>11811</xdr:rowOff>
    </xdr:from>
    <xdr:to>
      <xdr:col>7</xdr:col>
      <xdr:colOff>372237</xdr:colOff>
      <xdr:row>642</xdr:row>
      <xdr:rowOff>2667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7755" y="127637286"/>
          <a:ext cx="3913632" cy="34198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228600</xdr:colOff>
      <xdr:row>599</xdr:row>
      <xdr:rowOff>0</xdr:rowOff>
    </xdr:from>
    <xdr:to>
      <xdr:col>8</xdr:col>
      <xdr:colOff>77724</xdr:colOff>
      <xdr:row>614</xdr:row>
      <xdr:rowOff>28575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9625" y="122862975"/>
          <a:ext cx="4535424" cy="28860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368302</xdr:colOff>
      <xdr:row>44</xdr:row>
      <xdr:rowOff>31750</xdr:rowOff>
    </xdr:from>
    <xdr:to>
      <xdr:col>14</xdr:col>
      <xdr:colOff>594989</xdr:colOff>
      <xdr:row>47</xdr:row>
      <xdr:rowOff>74750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88202" y="10591800"/>
          <a:ext cx="2652387" cy="14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16</xdr:col>
      <xdr:colOff>593336</xdr:colOff>
      <xdr:row>360</xdr:row>
      <xdr:rowOff>0</xdr:rowOff>
    </xdr:from>
    <xdr:to>
      <xdr:col>19</xdr:col>
      <xdr:colOff>155690</xdr:colOff>
      <xdr:row>361</xdr:row>
      <xdr:rowOff>178832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/>
      </xdr:nvSpPr>
      <xdr:spPr>
        <a:xfrm>
          <a:off x="11407386" y="75920600"/>
          <a:ext cx="1391154" cy="3756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South Tower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178222</xdr:colOff>
      <xdr:row>360</xdr:row>
      <xdr:rowOff>64943</xdr:rowOff>
    </xdr:from>
    <xdr:to>
      <xdr:col>18</xdr:col>
      <xdr:colOff>472580</xdr:colOff>
      <xdr:row>362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/>
      </xdr:nvSpPr>
      <xdr:spPr>
        <a:xfrm>
          <a:off x="10992272" y="75985543"/>
          <a:ext cx="1513558" cy="3820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Central Tower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593336</xdr:colOff>
      <xdr:row>368</xdr:row>
      <xdr:rowOff>0</xdr:rowOff>
    </xdr:from>
    <xdr:to>
      <xdr:col>19</xdr:col>
      <xdr:colOff>155690</xdr:colOff>
      <xdr:row>369</xdr:row>
      <xdr:rowOff>178832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/>
      </xdr:nvSpPr>
      <xdr:spPr>
        <a:xfrm>
          <a:off x="11407386" y="77673200"/>
          <a:ext cx="1391154" cy="37568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South Tower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178222</xdr:colOff>
      <xdr:row>368</xdr:row>
      <xdr:rowOff>64943</xdr:rowOff>
    </xdr:from>
    <xdr:to>
      <xdr:col>18</xdr:col>
      <xdr:colOff>472580</xdr:colOff>
      <xdr:row>370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/>
      </xdr:nvSpPr>
      <xdr:spPr>
        <a:xfrm>
          <a:off x="10992272" y="77738143"/>
          <a:ext cx="1513558" cy="3287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Central Tower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736600</xdr:colOff>
      <xdr:row>544</xdr:row>
      <xdr:rowOff>50800</xdr:rowOff>
    </xdr:from>
    <xdr:to>
      <xdr:col>15</xdr:col>
      <xdr:colOff>584102</xdr:colOff>
      <xdr:row>545</xdr:row>
      <xdr:rowOff>140864</xdr:rowOff>
    </xdr:to>
    <xdr:sp macro="" textlink="">
      <xdr:nvSpPr>
        <xdr:cNvPr id="73" name="TextBox 35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9982200" y="113182400"/>
          <a:ext cx="806352" cy="267864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Tower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2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76200</xdr:colOff>
      <xdr:row>545</xdr:row>
      <xdr:rowOff>140864</xdr:rowOff>
    </xdr:from>
    <xdr:to>
      <xdr:col>15</xdr:col>
      <xdr:colOff>180926</xdr:colOff>
      <xdr:row>547</xdr:row>
      <xdr:rowOff>99369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CxnSpPr>
          <a:stCxn id="73" idx="2"/>
        </xdr:cNvCxnSpPr>
      </xdr:nvCxnSpPr>
      <xdr:spPr>
        <a:xfrm flipH="1">
          <a:off x="10280650" y="113450264"/>
          <a:ext cx="104726" cy="31410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542</xdr:row>
      <xdr:rowOff>0</xdr:rowOff>
    </xdr:from>
    <xdr:to>
      <xdr:col>13</xdr:col>
      <xdr:colOff>806352</xdr:colOff>
      <xdr:row>543</xdr:row>
      <xdr:rowOff>90064</xdr:rowOff>
    </xdr:to>
    <xdr:sp macro="" textlink="">
      <xdr:nvSpPr>
        <xdr:cNvPr id="75" name="TextBox 35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8420100" y="112776000"/>
          <a:ext cx="806352" cy="267864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Tower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3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403176</xdr:colOff>
      <xdr:row>543</xdr:row>
      <xdr:rowOff>90064</xdr:rowOff>
    </xdr:from>
    <xdr:to>
      <xdr:col>13</xdr:col>
      <xdr:colOff>691732</xdr:colOff>
      <xdr:row>545</xdr:row>
      <xdr:rowOff>120650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CxnSpPr>
          <a:stCxn id="75" idx="2"/>
        </xdr:cNvCxnSpPr>
      </xdr:nvCxnSpPr>
      <xdr:spPr>
        <a:xfrm>
          <a:off x="8823276" y="113043864"/>
          <a:ext cx="288556" cy="38618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177800</xdr:colOff>
      <xdr:row>554</xdr:row>
      <xdr:rowOff>38100</xdr:rowOff>
    </xdr:from>
    <xdr:to>
      <xdr:col>19</xdr:col>
      <xdr:colOff>330928</xdr:colOff>
      <xdr:row>584</xdr:row>
      <xdr:rowOff>117517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6454775" y="117967125"/>
          <a:ext cx="6087203" cy="5794417"/>
          <a:chOff x="82550" y="115011200"/>
          <a:chExt cx="6369778" cy="5603917"/>
        </a:xfrm>
      </xdr:grpSpPr>
      <xdr:pic>
        <xdr:nvPicPr>
          <xdr:cNvPr id="80" name="Picture 79">
            <a:extLst>
              <a:ext uri="{FF2B5EF4-FFF2-40B4-BE49-F238E27FC236}">
                <a16:creationId xmlns:a16="http://schemas.microsoft.com/office/drawing/2014/main" xmlns="" id="{00000000-0008-0000-0000-00005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2464" y="11787911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>
            <a:extLst>
              <a:ext uri="{FF2B5EF4-FFF2-40B4-BE49-F238E27FC236}">
                <a16:creationId xmlns:a16="http://schemas.microsoft.com/office/drawing/2014/main" xmlns="" id="{00000000-0008-0000-00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50" y="11787911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>
            <a:extLst>
              <a:ext uri="{FF2B5EF4-FFF2-40B4-BE49-F238E27FC236}">
                <a16:creationId xmlns:a16="http://schemas.microsoft.com/office/drawing/2014/main" xmlns="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2465" y="115011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>
            <a:extLst>
              <a:ext uri="{FF2B5EF4-FFF2-40B4-BE49-F238E27FC236}">
                <a16:creationId xmlns:a16="http://schemas.microsoft.com/office/drawing/2014/main" xmlns="" id="{00000000-0008-0000-0000-00005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42508" y="115011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>
            <a:extLst>
              <a:ext uri="{FF2B5EF4-FFF2-40B4-BE49-F238E27FC236}">
                <a16:creationId xmlns:a16="http://schemas.microsoft.com/office/drawing/2014/main" xmlns="" id="{00000000-0008-0000-0000-00005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42507" y="11787911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5" name="Picture 84">
            <a:extLst>
              <a:ext uri="{FF2B5EF4-FFF2-40B4-BE49-F238E27FC236}">
                <a16:creationId xmlns:a16="http://schemas.microsoft.com/office/drawing/2014/main" xmlns="" id="{00000000-0008-0000-0000-00005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551" y="115011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9" name="TextBox 35">
            <a:extLst>
              <a:ext uri="{FF2B5EF4-FFF2-40B4-BE49-F238E27FC236}">
                <a16:creationId xmlns:a16="http://schemas.microsoft.com/office/drawing/2014/main" xmlns="" id="{00000000-0008-0000-0000-000059000000}"/>
              </a:ext>
            </a:extLst>
          </xdr:cNvPr>
          <xdr:cNvSpPr txBox="1"/>
        </xdr:nvSpPr>
        <xdr:spPr>
          <a:xfrm>
            <a:off x="4580265" y="115157250"/>
            <a:ext cx="806352" cy="267864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3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90" name="Straight Arrow Connector 89">
            <a:extLst>
              <a:ext uri="{FF2B5EF4-FFF2-40B4-BE49-F238E27FC236}">
                <a16:creationId xmlns:a16="http://schemas.microsoft.com/office/drawing/2014/main" xmlns="" id="{00000000-0008-0000-0000-00005A000000}"/>
              </a:ext>
            </a:extLst>
          </xdr:cNvPr>
          <xdr:cNvCxnSpPr>
            <a:stCxn id="89" idx="2"/>
          </xdr:cNvCxnSpPr>
        </xdr:nvCxnSpPr>
        <xdr:spPr>
          <a:xfrm>
            <a:off x="4983441" y="115425114"/>
            <a:ext cx="288556" cy="386186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1" name="TextBox 35">
            <a:extLst>
              <a:ext uri="{FF2B5EF4-FFF2-40B4-BE49-F238E27FC236}">
                <a16:creationId xmlns:a16="http://schemas.microsoft.com/office/drawing/2014/main" xmlns="" id="{00000000-0008-0000-0000-00005B000000}"/>
              </a:ext>
            </a:extLst>
          </xdr:cNvPr>
          <xdr:cNvSpPr txBox="1"/>
        </xdr:nvSpPr>
        <xdr:spPr>
          <a:xfrm>
            <a:off x="2928308" y="115398550"/>
            <a:ext cx="806352" cy="267864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92" name="Straight Arrow Connector 91">
            <a:extLst>
              <a:ext uri="{FF2B5EF4-FFF2-40B4-BE49-F238E27FC236}">
                <a16:creationId xmlns:a16="http://schemas.microsoft.com/office/drawing/2014/main" xmlns="" id="{00000000-0008-0000-0000-00005C000000}"/>
              </a:ext>
            </a:extLst>
          </xdr:cNvPr>
          <xdr:cNvCxnSpPr>
            <a:stCxn id="91" idx="2"/>
          </xdr:cNvCxnSpPr>
        </xdr:nvCxnSpPr>
        <xdr:spPr>
          <a:xfrm flipH="1">
            <a:off x="3226758" y="115666414"/>
            <a:ext cx="104726" cy="31410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1" name="TextBox 35">
            <a:extLst>
              <a:ext uri="{FF2B5EF4-FFF2-40B4-BE49-F238E27FC236}">
                <a16:creationId xmlns:a16="http://schemas.microsoft.com/office/drawing/2014/main" xmlns="" id="{00000000-0008-0000-0000-00006F000000}"/>
              </a:ext>
            </a:extLst>
          </xdr:cNvPr>
          <xdr:cNvSpPr txBox="1"/>
        </xdr:nvSpPr>
        <xdr:spPr>
          <a:xfrm>
            <a:off x="1244601" y="115341400"/>
            <a:ext cx="806352" cy="267864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12" name="Straight Arrow Connector 111">
            <a:extLst>
              <a:ext uri="{FF2B5EF4-FFF2-40B4-BE49-F238E27FC236}">
                <a16:creationId xmlns:a16="http://schemas.microsoft.com/office/drawing/2014/main" xmlns="" id="{00000000-0008-0000-0000-000070000000}"/>
              </a:ext>
            </a:extLst>
          </xdr:cNvPr>
          <xdr:cNvCxnSpPr>
            <a:stCxn id="111" idx="2"/>
          </xdr:cNvCxnSpPr>
        </xdr:nvCxnSpPr>
        <xdr:spPr>
          <a:xfrm flipH="1">
            <a:off x="1543051" y="115609264"/>
            <a:ext cx="104726" cy="31410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11</xdr:col>
      <xdr:colOff>123826</xdr:colOff>
      <xdr:row>48</xdr:row>
      <xdr:rowOff>1514475</xdr:rowOff>
    </xdr:from>
    <xdr:to>
      <xdr:col>14</xdr:col>
      <xdr:colOff>644435</xdr:colOff>
      <xdr:row>52</xdr:row>
      <xdr:rowOff>127275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6D92078-17CC-4EF1-BE7E-779D6F354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38926" y="14068425"/>
          <a:ext cx="2863759" cy="28800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554</xdr:row>
      <xdr:rowOff>123825</xdr:rowOff>
    </xdr:from>
    <xdr:to>
      <xdr:col>9</xdr:col>
      <xdr:colOff>148281</xdr:colOff>
      <xdr:row>593</xdr:row>
      <xdr:rowOff>89007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C84FCDF9-19C1-4168-9B83-711590C7CAF1}"/>
            </a:ext>
          </a:extLst>
        </xdr:cNvPr>
        <xdr:cNvGrpSpPr/>
      </xdr:nvGrpSpPr>
      <xdr:grpSpPr>
        <a:xfrm>
          <a:off x="304800" y="118052850"/>
          <a:ext cx="5853756" cy="7394682"/>
          <a:chOff x="304800" y="118033800"/>
          <a:chExt cx="5853756" cy="7394682"/>
        </a:xfrm>
      </xdr:grpSpPr>
      <xdr:grpSp>
        <xdr:nvGrpSpPr>
          <xdr:cNvPr id="65" name="Group 64">
            <a:extLst>
              <a:ext uri="{FF2B5EF4-FFF2-40B4-BE49-F238E27FC236}">
                <a16:creationId xmlns:a16="http://schemas.microsoft.com/office/drawing/2014/main" xmlns="" id="{6A40E775-8625-4736-842B-98A8476D3CD3}"/>
              </a:ext>
            </a:extLst>
          </xdr:cNvPr>
          <xdr:cNvGrpSpPr/>
        </xdr:nvGrpSpPr>
        <xdr:grpSpPr>
          <a:xfrm>
            <a:off x="304800" y="118033800"/>
            <a:ext cx="5731792" cy="7394682"/>
            <a:chOff x="283577" y="304799"/>
            <a:chExt cx="5731792" cy="7394682"/>
          </a:xfrm>
        </xdr:grpSpPr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xmlns="" id="{C9DA4B6C-5210-4E60-A762-DF2DB19AA3E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3577" y="304799"/>
              <a:ext cx="3600000" cy="5227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7" name="Picture 66">
              <a:extLst>
                <a:ext uri="{FF2B5EF4-FFF2-40B4-BE49-F238E27FC236}">
                  <a16:creationId xmlns:a16="http://schemas.microsoft.com/office/drawing/2014/main" xmlns="" id="{95ECC0C4-0331-4803-B8B8-FA65B88808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27338" y="30480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8" name="Picture 67">
              <a:extLst>
                <a:ext uri="{FF2B5EF4-FFF2-40B4-BE49-F238E27FC236}">
                  <a16:creationId xmlns:a16="http://schemas.microsoft.com/office/drawing/2014/main" xmlns="" id="{EE546CF2-D0A0-4A91-8487-A998A92E54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27338" y="301214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9" name="Picture 68">
              <a:extLst>
                <a:ext uri="{FF2B5EF4-FFF2-40B4-BE49-F238E27FC236}">
                  <a16:creationId xmlns:a16="http://schemas.microsoft.com/office/drawing/2014/main" xmlns="" id="{06F6DDFD-A018-4B44-BF9A-FDB014C54C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95584" y="5719481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xmlns="" id="{259D1B0D-E32F-413B-A55A-911B63E400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37311" y="5719481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1" name="Picture 70">
              <a:extLst>
                <a:ext uri="{FF2B5EF4-FFF2-40B4-BE49-F238E27FC236}">
                  <a16:creationId xmlns:a16="http://schemas.microsoft.com/office/drawing/2014/main" xmlns="" id="{563AB504-C5D4-406C-B494-B013F81C27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79038" y="5719481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72" name="TextBox 35">
            <a:extLst>
              <a:ext uri="{FF2B5EF4-FFF2-40B4-BE49-F238E27FC236}">
                <a16:creationId xmlns:a16="http://schemas.microsoft.com/office/drawing/2014/main" xmlns="" id="{933B35CC-51B0-4C70-B799-6564B60986E0}"/>
              </a:ext>
            </a:extLst>
          </xdr:cNvPr>
          <xdr:cNvSpPr txBox="1"/>
        </xdr:nvSpPr>
        <xdr:spPr>
          <a:xfrm>
            <a:off x="2501900" y="119433975"/>
            <a:ext cx="770581" cy="27697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86" name="Straight Arrow Connector 85">
            <a:extLst>
              <a:ext uri="{FF2B5EF4-FFF2-40B4-BE49-F238E27FC236}">
                <a16:creationId xmlns:a16="http://schemas.microsoft.com/office/drawing/2014/main" xmlns="" id="{2E18064B-CE90-4AEB-9810-51503273D7F6}"/>
              </a:ext>
            </a:extLst>
          </xdr:cNvPr>
          <xdr:cNvCxnSpPr>
            <a:stCxn id="72" idx="2"/>
          </xdr:cNvCxnSpPr>
        </xdr:nvCxnSpPr>
        <xdr:spPr>
          <a:xfrm flipH="1">
            <a:off x="2787111" y="119710945"/>
            <a:ext cx="100080" cy="324783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7" name="TextBox 35">
            <a:extLst>
              <a:ext uri="{FF2B5EF4-FFF2-40B4-BE49-F238E27FC236}">
                <a16:creationId xmlns:a16="http://schemas.microsoft.com/office/drawing/2014/main" xmlns="" id="{B7270DE7-3D49-4C66-861D-A865464D8333}"/>
              </a:ext>
            </a:extLst>
          </xdr:cNvPr>
          <xdr:cNvSpPr txBox="1"/>
        </xdr:nvSpPr>
        <xdr:spPr>
          <a:xfrm>
            <a:off x="1939925" y="119014875"/>
            <a:ext cx="770581" cy="27697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88" name="Straight Arrow Connector 87">
            <a:extLst>
              <a:ext uri="{FF2B5EF4-FFF2-40B4-BE49-F238E27FC236}">
                <a16:creationId xmlns:a16="http://schemas.microsoft.com/office/drawing/2014/main" xmlns="" id="{7F903C05-2C7F-4802-9137-E3BC4C781464}"/>
              </a:ext>
            </a:extLst>
          </xdr:cNvPr>
          <xdr:cNvCxnSpPr>
            <a:stCxn id="87" idx="2"/>
          </xdr:cNvCxnSpPr>
        </xdr:nvCxnSpPr>
        <xdr:spPr>
          <a:xfrm flipH="1">
            <a:off x="2225136" y="119291845"/>
            <a:ext cx="100080" cy="324783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3" name="TextBox 35">
            <a:extLst>
              <a:ext uri="{FF2B5EF4-FFF2-40B4-BE49-F238E27FC236}">
                <a16:creationId xmlns:a16="http://schemas.microsoft.com/office/drawing/2014/main" xmlns="" id="{B77EDD70-E3C3-49B6-BD99-9905330965E8}"/>
              </a:ext>
            </a:extLst>
          </xdr:cNvPr>
          <xdr:cNvSpPr txBox="1"/>
        </xdr:nvSpPr>
        <xdr:spPr>
          <a:xfrm>
            <a:off x="1333500" y="118243350"/>
            <a:ext cx="770581" cy="27697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3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14" name="Straight Arrow Connector 113">
            <a:extLst>
              <a:ext uri="{FF2B5EF4-FFF2-40B4-BE49-F238E27FC236}">
                <a16:creationId xmlns:a16="http://schemas.microsoft.com/office/drawing/2014/main" xmlns="" id="{7A4E865E-524F-4B8D-952B-838EFD5CD234}"/>
              </a:ext>
            </a:extLst>
          </xdr:cNvPr>
          <xdr:cNvCxnSpPr>
            <a:stCxn id="113" idx="2"/>
          </xdr:cNvCxnSpPr>
        </xdr:nvCxnSpPr>
        <xdr:spPr>
          <a:xfrm flipH="1">
            <a:off x="1618711" y="118520320"/>
            <a:ext cx="100080" cy="324783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6" name="TextBox 35">
            <a:extLst>
              <a:ext uri="{FF2B5EF4-FFF2-40B4-BE49-F238E27FC236}">
                <a16:creationId xmlns:a16="http://schemas.microsoft.com/office/drawing/2014/main" xmlns="" id="{A38A8943-3C79-40B4-A397-504D123DFDEB}"/>
              </a:ext>
            </a:extLst>
          </xdr:cNvPr>
          <xdr:cNvSpPr txBox="1"/>
        </xdr:nvSpPr>
        <xdr:spPr>
          <a:xfrm>
            <a:off x="5387975" y="118338600"/>
            <a:ext cx="770581" cy="27697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17" name="Straight Arrow Connector 116">
            <a:extLst>
              <a:ext uri="{FF2B5EF4-FFF2-40B4-BE49-F238E27FC236}">
                <a16:creationId xmlns:a16="http://schemas.microsoft.com/office/drawing/2014/main" xmlns="" id="{91F65380-06C5-415D-9A0C-050E98153666}"/>
              </a:ext>
            </a:extLst>
          </xdr:cNvPr>
          <xdr:cNvCxnSpPr>
            <a:stCxn id="116" idx="2"/>
          </xdr:cNvCxnSpPr>
        </xdr:nvCxnSpPr>
        <xdr:spPr>
          <a:xfrm flipH="1">
            <a:off x="5553075" y="118615570"/>
            <a:ext cx="220191" cy="41835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8" name="TextBox 35">
            <a:extLst>
              <a:ext uri="{FF2B5EF4-FFF2-40B4-BE49-F238E27FC236}">
                <a16:creationId xmlns:a16="http://schemas.microsoft.com/office/drawing/2014/main" xmlns="" id="{128E8E0E-106E-4BAB-A997-D7E0C52FFB4E}"/>
              </a:ext>
            </a:extLst>
          </xdr:cNvPr>
          <xdr:cNvSpPr txBox="1"/>
        </xdr:nvSpPr>
        <xdr:spPr>
          <a:xfrm>
            <a:off x="4835525" y="118100475"/>
            <a:ext cx="770581" cy="27697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19" name="Straight Arrow Connector 118">
            <a:extLst>
              <a:ext uri="{FF2B5EF4-FFF2-40B4-BE49-F238E27FC236}">
                <a16:creationId xmlns:a16="http://schemas.microsoft.com/office/drawing/2014/main" xmlns="" id="{379ED5C9-772F-4395-AEDA-1FB7E20AA5DF}"/>
              </a:ext>
            </a:extLst>
          </xdr:cNvPr>
          <xdr:cNvCxnSpPr>
            <a:stCxn id="118" idx="2"/>
          </xdr:cNvCxnSpPr>
        </xdr:nvCxnSpPr>
        <xdr:spPr>
          <a:xfrm flipH="1">
            <a:off x="5067300" y="118377445"/>
            <a:ext cx="153516" cy="58980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0" name="TextBox 35">
            <a:extLst>
              <a:ext uri="{FF2B5EF4-FFF2-40B4-BE49-F238E27FC236}">
                <a16:creationId xmlns:a16="http://schemas.microsoft.com/office/drawing/2014/main" xmlns="" id="{F4252C66-7428-4831-AB32-3590255C85FC}"/>
              </a:ext>
            </a:extLst>
          </xdr:cNvPr>
          <xdr:cNvSpPr txBox="1"/>
        </xdr:nvSpPr>
        <xdr:spPr>
          <a:xfrm>
            <a:off x="4140200" y="118062375"/>
            <a:ext cx="770581" cy="27697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3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21" name="Straight Arrow Connector 120">
            <a:extLst>
              <a:ext uri="{FF2B5EF4-FFF2-40B4-BE49-F238E27FC236}">
                <a16:creationId xmlns:a16="http://schemas.microsoft.com/office/drawing/2014/main" xmlns="" id="{D82C2EB1-DA7B-4B29-9CB7-EA433CFF9152}"/>
              </a:ext>
            </a:extLst>
          </xdr:cNvPr>
          <xdr:cNvCxnSpPr>
            <a:stCxn id="120" idx="2"/>
          </xdr:cNvCxnSpPr>
        </xdr:nvCxnSpPr>
        <xdr:spPr>
          <a:xfrm>
            <a:off x="4525491" y="118339345"/>
            <a:ext cx="141759" cy="43740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2" name="TextBox 35">
            <a:extLst>
              <a:ext uri="{FF2B5EF4-FFF2-40B4-BE49-F238E27FC236}">
                <a16:creationId xmlns:a16="http://schemas.microsoft.com/office/drawing/2014/main" xmlns="" id="{98C65FFD-8964-4A04-871D-A9495A8D5F99}"/>
              </a:ext>
            </a:extLst>
          </xdr:cNvPr>
          <xdr:cNvSpPr txBox="1"/>
        </xdr:nvSpPr>
        <xdr:spPr>
          <a:xfrm>
            <a:off x="5273675" y="121415175"/>
            <a:ext cx="770581" cy="27697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3" name="TextBox 35">
            <a:extLst>
              <a:ext uri="{FF2B5EF4-FFF2-40B4-BE49-F238E27FC236}">
                <a16:creationId xmlns:a16="http://schemas.microsoft.com/office/drawing/2014/main" xmlns="" id="{211500C2-791A-44FD-AE8D-02778943CC59}"/>
              </a:ext>
            </a:extLst>
          </xdr:cNvPr>
          <xdr:cNvSpPr txBox="1"/>
        </xdr:nvSpPr>
        <xdr:spPr>
          <a:xfrm>
            <a:off x="4787900" y="121110375"/>
            <a:ext cx="770581" cy="27697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4" name="TextBox 35">
            <a:extLst>
              <a:ext uri="{FF2B5EF4-FFF2-40B4-BE49-F238E27FC236}">
                <a16:creationId xmlns:a16="http://schemas.microsoft.com/office/drawing/2014/main" xmlns="" id="{30080BA4-157A-438F-83A1-87A8A593F45D}"/>
              </a:ext>
            </a:extLst>
          </xdr:cNvPr>
          <xdr:cNvSpPr txBox="1"/>
        </xdr:nvSpPr>
        <xdr:spPr>
          <a:xfrm>
            <a:off x="4464050" y="120738900"/>
            <a:ext cx="770581" cy="276970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Tower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3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14</xdr:row>
      <xdr:rowOff>0</xdr:rowOff>
    </xdr:from>
    <xdr:to>
      <xdr:col>6</xdr:col>
      <xdr:colOff>19050</xdr:colOff>
      <xdr:row>32</xdr:row>
      <xdr:rowOff>171450</xdr:rowOff>
    </xdr:to>
    <xdr:pic>
      <xdr:nvPicPr>
        <xdr:cNvPr id="7209" name="Picture 1">
          <a:extLst>
            <a:ext uri="{FF2B5EF4-FFF2-40B4-BE49-F238E27FC236}">
              <a16:creationId xmlns:a16="http://schemas.microsoft.com/office/drawing/2014/main" xmlns="" id="{00000000-0008-0000-0100-000029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676525"/>
          <a:ext cx="64008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6</xdr:col>
      <xdr:colOff>0</xdr:colOff>
      <xdr:row>52</xdr:row>
      <xdr:rowOff>171450</xdr:rowOff>
    </xdr:to>
    <xdr:pic>
      <xdr:nvPicPr>
        <xdr:cNvPr id="7210" name="Picture 2">
          <a:extLst>
            <a:ext uri="{FF2B5EF4-FFF2-40B4-BE49-F238E27FC236}">
              <a16:creationId xmlns:a16="http://schemas.microsoft.com/office/drawing/2014/main" xmlns="" id="{00000000-0008-0000-0100-00002A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486525"/>
          <a:ext cx="64008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14</xdr:row>
      <xdr:rowOff>19050</xdr:rowOff>
    </xdr:from>
    <xdr:to>
      <xdr:col>15</xdr:col>
      <xdr:colOff>200025</xdr:colOff>
      <xdr:row>33</xdr:row>
      <xdr:rowOff>0</xdr:rowOff>
    </xdr:to>
    <xdr:pic>
      <xdr:nvPicPr>
        <xdr:cNvPr id="7211" name="Picture 3">
          <a:extLst>
            <a:ext uri="{FF2B5EF4-FFF2-40B4-BE49-F238E27FC236}">
              <a16:creationId xmlns:a16="http://schemas.microsoft.com/office/drawing/2014/main" xmlns="" id="{00000000-0008-0000-0100-00002B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695575"/>
          <a:ext cx="64008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238125</xdr:colOff>
      <xdr:row>34</xdr:row>
      <xdr:rowOff>0</xdr:rowOff>
    </xdr:from>
    <xdr:to>
      <xdr:col>15</xdr:col>
      <xdr:colOff>142875</xdr:colOff>
      <xdr:row>52</xdr:row>
      <xdr:rowOff>171450</xdr:rowOff>
    </xdr:to>
    <xdr:pic>
      <xdr:nvPicPr>
        <xdr:cNvPr id="7212" name="Picture 4">
          <a:extLst>
            <a:ext uri="{FF2B5EF4-FFF2-40B4-BE49-F238E27FC236}">
              <a16:creationId xmlns:a16="http://schemas.microsoft.com/office/drawing/2014/main" xmlns="" id="{00000000-0008-0000-0100-00002C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6486525"/>
          <a:ext cx="64008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9</xdr:col>
      <xdr:colOff>142875</xdr:colOff>
      <xdr:row>19</xdr:row>
      <xdr:rowOff>171450</xdr:rowOff>
    </xdr:to>
    <xdr:pic>
      <xdr:nvPicPr>
        <xdr:cNvPr id="2403" name="Picture 1">
          <a:extLst>
            <a:ext uri="{FF2B5EF4-FFF2-40B4-BE49-F238E27FC236}">
              <a16:creationId xmlns:a16="http://schemas.microsoft.com/office/drawing/2014/main" xmlns="" id="{00000000-0008-0000-0200-00006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90500"/>
          <a:ext cx="4800600" cy="3600450"/>
        </a:xfrm>
        <a:prstGeom prst="rect">
          <a:avLst/>
        </a:prstGeom>
        <a:noFill/>
        <a:ln w="1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85725</xdr:colOff>
      <xdr:row>0</xdr:row>
      <xdr:rowOff>161925</xdr:rowOff>
    </xdr:from>
    <xdr:to>
      <xdr:col>20</xdr:col>
      <xdr:colOff>390525</xdr:colOff>
      <xdr:row>19</xdr:row>
      <xdr:rowOff>142875</xdr:rowOff>
    </xdr:to>
    <xdr:pic>
      <xdr:nvPicPr>
        <xdr:cNvPr id="2404" name="Picture 1">
          <a:extLst>
            <a:ext uri="{FF2B5EF4-FFF2-40B4-BE49-F238E27FC236}">
              <a16:creationId xmlns:a16="http://schemas.microsoft.com/office/drawing/2014/main" xmlns="" id="{00000000-0008-0000-02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61925"/>
          <a:ext cx="640080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11</xdr:col>
      <xdr:colOff>514350</xdr:colOff>
      <xdr:row>39</xdr:row>
      <xdr:rowOff>171450</xdr:rowOff>
    </xdr:to>
    <xdr:pic>
      <xdr:nvPicPr>
        <xdr:cNvPr id="2405" name="Picture 2">
          <a:extLst>
            <a:ext uri="{FF2B5EF4-FFF2-40B4-BE49-F238E27FC236}">
              <a16:creationId xmlns:a16="http://schemas.microsoft.com/office/drawing/2014/main" xmlns="" id="{00000000-0008-0000-0200-00006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000500"/>
          <a:ext cx="639127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23</xdr:col>
      <xdr:colOff>352425</xdr:colOff>
      <xdr:row>39</xdr:row>
      <xdr:rowOff>171450</xdr:rowOff>
    </xdr:to>
    <xdr:pic>
      <xdr:nvPicPr>
        <xdr:cNvPr id="2406" name="Picture 3">
          <a:extLst>
            <a:ext uri="{FF2B5EF4-FFF2-40B4-BE49-F238E27FC236}">
              <a16:creationId xmlns:a16="http://schemas.microsoft.com/office/drawing/2014/main" xmlns="" id="{00000000-0008-0000-02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4000500"/>
          <a:ext cx="64484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42</xdr:row>
      <xdr:rowOff>171450</xdr:rowOff>
    </xdr:from>
    <xdr:to>
      <xdr:col>8</xdr:col>
      <xdr:colOff>19050</xdr:colOff>
      <xdr:row>65</xdr:row>
      <xdr:rowOff>9525</xdr:rowOff>
    </xdr:to>
    <xdr:pic>
      <xdr:nvPicPr>
        <xdr:cNvPr id="2407" name="Picture 5">
          <a:extLst>
            <a:ext uri="{FF2B5EF4-FFF2-40B4-BE49-F238E27FC236}">
              <a16:creationId xmlns:a16="http://schemas.microsoft.com/office/drawing/2014/main" xmlns="" id="{00000000-0008-0000-0200-00006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8172450"/>
          <a:ext cx="2971800" cy="421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81L6Gw7Lhz8swUS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5"/>
  <sheetViews>
    <sheetView tabSelected="1" showWhiteSpace="0" view="pageBreakPreview" zoomScaleNormal="100" zoomScaleSheetLayoutView="100" zoomScalePageLayoutView="85" workbookViewId="0">
      <selection activeCell="N5" sqref="N5"/>
    </sheetView>
  </sheetViews>
  <sheetFormatPr defaultRowHeight="15" x14ac:dyDescent="0.25"/>
  <cols>
    <col min="1" max="1" width="8.7109375" customWidth="1"/>
    <col min="2" max="2" width="14.5703125" customWidth="1"/>
    <col min="3" max="3" width="14.42578125" customWidth="1"/>
    <col min="4" max="4" width="7.28515625" customWidth="1"/>
    <col min="5" max="5" width="5.5703125" customWidth="1"/>
    <col min="6" max="6" width="9" customWidth="1"/>
    <col min="7" max="7" width="9.85546875" customWidth="1"/>
    <col min="8" max="8" width="9.5703125" customWidth="1"/>
    <col min="9" max="9" width="11.140625" customWidth="1"/>
    <col min="10" max="10" width="4" customWidth="1"/>
    <col min="11" max="11" width="3.5703125" customWidth="1"/>
    <col min="12" max="12" width="14.140625" bestFit="1" customWidth="1"/>
    <col min="14" max="14" width="11.85546875" bestFit="1" customWidth="1"/>
    <col min="15" max="15" width="13.7109375" bestFit="1" customWidth="1"/>
  </cols>
  <sheetData>
    <row r="1" spans="1:14" ht="43.9" customHeight="1" x14ac:dyDescent="0.25">
      <c r="A1" s="205" t="s">
        <v>281</v>
      </c>
      <c r="B1" s="206"/>
      <c r="C1" s="206"/>
      <c r="D1" s="206"/>
      <c r="E1" s="206"/>
      <c r="F1" s="206"/>
      <c r="G1" s="206"/>
      <c r="H1" s="206"/>
      <c r="I1" s="206"/>
      <c r="J1" s="207"/>
    </row>
    <row r="2" spans="1:14" x14ac:dyDescent="0.25">
      <c r="A2" s="261" t="s">
        <v>45</v>
      </c>
      <c r="B2" s="262"/>
      <c r="C2" s="262"/>
      <c r="D2" s="262"/>
      <c r="E2" s="262"/>
      <c r="F2" s="262"/>
      <c r="G2" s="262"/>
      <c r="H2" s="262"/>
      <c r="I2" s="262"/>
      <c r="J2" s="263"/>
    </row>
    <row r="3" spans="1:14" x14ac:dyDescent="0.25">
      <c r="A3" s="142" t="s">
        <v>0</v>
      </c>
      <c r="B3" s="143"/>
      <c r="C3" s="143"/>
      <c r="D3" s="143"/>
      <c r="E3" s="144"/>
      <c r="F3" s="264" t="str">
        <f ca="1">TEXT(TODAY(),"DD/MM/YYYY")</f>
        <v>17/09/2025</v>
      </c>
      <c r="G3" s="265"/>
      <c r="H3" s="265"/>
      <c r="I3" s="265"/>
      <c r="J3" s="266"/>
    </row>
    <row r="4" spans="1:14" x14ac:dyDescent="0.25">
      <c r="A4" s="142" t="s">
        <v>1</v>
      </c>
      <c r="B4" s="143"/>
      <c r="C4" s="143"/>
      <c r="D4" s="143"/>
      <c r="E4" s="144"/>
      <c r="F4" s="145" t="s">
        <v>128</v>
      </c>
      <c r="G4" s="146"/>
      <c r="H4" s="146"/>
      <c r="I4" s="146"/>
      <c r="J4" s="147"/>
    </row>
    <row r="5" spans="1:14" x14ac:dyDescent="0.25">
      <c r="A5" s="142" t="s">
        <v>2</v>
      </c>
      <c r="B5" s="143"/>
      <c r="C5" s="143"/>
      <c r="D5" s="143"/>
      <c r="E5" s="144"/>
      <c r="F5" s="264">
        <v>45907</v>
      </c>
      <c r="G5" s="265"/>
      <c r="H5" s="265"/>
      <c r="I5" s="265"/>
      <c r="J5" s="266"/>
    </row>
    <row r="6" spans="1:14" ht="16.5" customHeight="1" x14ac:dyDescent="0.25">
      <c r="A6" s="142" t="s">
        <v>3</v>
      </c>
      <c r="B6" s="143"/>
      <c r="C6" s="143"/>
      <c r="D6" s="143"/>
      <c r="E6" s="144"/>
      <c r="F6" s="122" t="s">
        <v>109</v>
      </c>
      <c r="G6" s="123"/>
      <c r="H6" s="123"/>
      <c r="I6" s="123"/>
      <c r="J6" s="124"/>
    </row>
    <row r="7" spans="1:14" ht="15" customHeight="1" x14ac:dyDescent="0.25">
      <c r="A7" s="142" t="s">
        <v>4</v>
      </c>
      <c r="B7" s="143"/>
      <c r="C7" s="143"/>
      <c r="D7" s="143"/>
      <c r="E7" s="144"/>
      <c r="F7" s="122" t="s">
        <v>109</v>
      </c>
      <c r="G7" s="123"/>
      <c r="H7" s="123"/>
      <c r="I7" s="123"/>
      <c r="J7" s="124"/>
    </row>
    <row r="8" spans="1:14" ht="30.75" customHeight="1" x14ac:dyDescent="0.25">
      <c r="A8" s="142" t="s">
        <v>5</v>
      </c>
      <c r="B8" s="143"/>
      <c r="C8" s="143"/>
      <c r="D8" s="143"/>
      <c r="E8" s="144"/>
      <c r="F8" s="290" t="s">
        <v>282</v>
      </c>
      <c r="G8" s="291"/>
      <c r="H8" s="291"/>
      <c r="I8" s="291"/>
      <c r="J8" s="292"/>
    </row>
    <row r="9" spans="1:14" x14ac:dyDescent="0.25">
      <c r="A9" s="145" t="s">
        <v>275</v>
      </c>
      <c r="B9" s="143"/>
      <c r="C9" s="143"/>
      <c r="D9" s="143"/>
      <c r="E9" s="144"/>
      <c r="F9" s="145" t="s">
        <v>126</v>
      </c>
      <c r="G9" s="146"/>
      <c r="H9" s="146"/>
      <c r="I9" s="146"/>
      <c r="J9" s="147"/>
    </row>
    <row r="10" spans="1:14" ht="45" customHeight="1" x14ac:dyDescent="0.25">
      <c r="A10" s="145" t="s">
        <v>104</v>
      </c>
      <c r="B10" s="146"/>
      <c r="C10" s="146"/>
      <c r="D10" s="146"/>
      <c r="E10" s="147"/>
      <c r="F10" s="122" t="s">
        <v>283</v>
      </c>
      <c r="G10" s="123"/>
      <c r="H10" s="123"/>
      <c r="I10" s="123"/>
      <c r="J10" s="124"/>
    </row>
    <row r="11" spans="1:14" ht="45.75" customHeight="1" x14ac:dyDescent="0.25">
      <c r="A11" s="145" t="s">
        <v>244</v>
      </c>
      <c r="B11" s="143"/>
      <c r="C11" s="143"/>
      <c r="D11" s="143"/>
      <c r="E11" s="144"/>
      <c r="F11" s="122" t="s">
        <v>145</v>
      </c>
      <c r="G11" s="123"/>
      <c r="H11" s="123"/>
      <c r="I11" s="123"/>
      <c r="J11" s="124"/>
    </row>
    <row r="12" spans="1:14" x14ac:dyDescent="0.25">
      <c r="A12" s="142" t="s">
        <v>6</v>
      </c>
      <c r="B12" s="143"/>
      <c r="C12" s="143"/>
      <c r="D12" s="143"/>
      <c r="E12" s="144"/>
      <c r="F12" s="122" t="s">
        <v>127</v>
      </c>
      <c r="G12" s="123"/>
      <c r="H12" s="123"/>
      <c r="I12" s="123"/>
      <c r="J12" s="124"/>
    </row>
    <row r="13" spans="1:14" ht="32.1" customHeight="1" x14ac:dyDescent="0.25">
      <c r="A13" s="166" t="s">
        <v>61</v>
      </c>
      <c r="B13" s="166"/>
      <c r="C13" s="122" t="s">
        <v>246</v>
      </c>
      <c r="D13" s="123"/>
      <c r="E13" s="123"/>
      <c r="F13" s="123"/>
      <c r="G13" s="123"/>
      <c r="H13" s="123"/>
      <c r="I13" s="123"/>
      <c r="J13" s="124"/>
      <c r="N13" s="74"/>
    </row>
    <row r="14" spans="1:14" x14ac:dyDescent="0.25">
      <c r="A14" s="184" t="s">
        <v>132</v>
      </c>
      <c r="B14" s="186"/>
      <c r="C14" s="184" t="s">
        <v>147</v>
      </c>
      <c r="D14" s="185"/>
      <c r="E14" s="186"/>
      <c r="F14" s="187" t="s">
        <v>62</v>
      </c>
      <c r="G14" s="187"/>
      <c r="H14" s="187" t="s">
        <v>110</v>
      </c>
      <c r="I14" s="187"/>
      <c r="J14" s="187"/>
    </row>
    <row r="15" spans="1:14" ht="30" customHeight="1" x14ac:dyDescent="0.25">
      <c r="A15" s="184" t="s">
        <v>7</v>
      </c>
      <c r="B15" s="186"/>
      <c r="C15" s="167" t="s">
        <v>111</v>
      </c>
      <c r="D15" s="210"/>
      <c r="E15" s="168"/>
      <c r="F15" s="187" t="s">
        <v>63</v>
      </c>
      <c r="G15" s="187"/>
      <c r="H15" s="187" t="s">
        <v>125</v>
      </c>
      <c r="I15" s="187"/>
      <c r="J15" s="187"/>
    </row>
    <row r="16" spans="1:14" x14ac:dyDescent="0.25">
      <c r="A16" s="184" t="s">
        <v>8</v>
      </c>
      <c r="B16" s="186"/>
      <c r="C16" s="184" t="s">
        <v>112</v>
      </c>
      <c r="D16" s="185"/>
      <c r="E16" s="186"/>
      <c r="F16" s="187" t="s">
        <v>64</v>
      </c>
      <c r="G16" s="187"/>
      <c r="H16" s="187" t="s">
        <v>113</v>
      </c>
      <c r="I16" s="187"/>
      <c r="J16" s="187"/>
    </row>
    <row r="17" spans="1:13" ht="32.25" customHeight="1" x14ac:dyDescent="0.25">
      <c r="A17" s="169" t="s">
        <v>65</v>
      </c>
      <c r="B17" s="169"/>
      <c r="C17" s="267" t="s">
        <v>114</v>
      </c>
      <c r="D17" s="267"/>
      <c r="E17" s="267"/>
      <c r="F17" s="187" t="s">
        <v>53</v>
      </c>
      <c r="G17" s="187"/>
      <c r="H17" s="210" t="s">
        <v>284</v>
      </c>
      <c r="I17" s="210"/>
      <c r="J17" s="168"/>
      <c r="M17" s="74"/>
    </row>
    <row r="18" spans="1:13" ht="15" customHeight="1" x14ac:dyDescent="0.25">
      <c r="A18" s="114" t="s">
        <v>131</v>
      </c>
      <c r="B18" s="208"/>
      <c r="C18" s="208"/>
      <c r="D18" s="208"/>
      <c r="E18" s="115"/>
      <c r="F18" s="275" t="s">
        <v>115</v>
      </c>
      <c r="G18" s="276"/>
      <c r="H18" s="276"/>
      <c r="I18" s="276"/>
      <c r="J18" s="277"/>
    </row>
    <row r="19" spans="1:13" x14ac:dyDescent="0.25">
      <c r="A19" s="116"/>
      <c r="B19" s="209"/>
      <c r="C19" s="209"/>
      <c r="D19" s="209"/>
      <c r="E19" s="117"/>
      <c r="F19" s="228"/>
      <c r="G19" s="229"/>
      <c r="H19" s="229"/>
      <c r="I19" s="229"/>
      <c r="J19" s="230"/>
    </row>
    <row r="20" spans="1:13" ht="15" customHeight="1" x14ac:dyDescent="0.25">
      <c r="A20" s="114" t="s">
        <v>105</v>
      </c>
      <c r="B20" s="270"/>
      <c r="C20" s="270"/>
      <c r="D20" s="270"/>
      <c r="E20" s="271"/>
      <c r="F20" s="114" t="s">
        <v>47</v>
      </c>
      <c r="G20" s="208"/>
      <c r="H20" s="208"/>
      <c r="I20" s="208"/>
      <c r="J20" s="115"/>
    </row>
    <row r="21" spans="1:13" x14ac:dyDescent="0.25">
      <c r="A21" s="272"/>
      <c r="B21" s="273"/>
      <c r="C21" s="273"/>
      <c r="D21" s="273"/>
      <c r="E21" s="274"/>
      <c r="F21" s="116"/>
      <c r="G21" s="209"/>
      <c r="H21" s="209"/>
      <c r="I21" s="209"/>
      <c r="J21" s="117"/>
    </row>
    <row r="22" spans="1:13" x14ac:dyDescent="0.25">
      <c r="A22" s="211" t="s">
        <v>9</v>
      </c>
      <c r="B22" s="212"/>
      <c r="C22" s="212"/>
      <c r="D22" s="212"/>
      <c r="E22" s="213"/>
      <c r="F22" s="192" t="s">
        <v>285</v>
      </c>
      <c r="G22" s="193"/>
      <c r="H22" s="193"/>
      <c r="I22" s="193"/>
      <c r="J22" s="194"/>
    </row>
    <row r="23" spans="1:13" x14ac:dyDescent="0.25">
      <c r="A23" s="211" t="s">
        <v>10</v>
      </c>
      <c r="B23" s="212"/>
      <c r="C23" s="212"/>
      <c r="D23" s="212"/>
      <c r="E23" s="213"/>
      <c r="F23" s="216" t="s">
        <v>54</v>
      </c>
      <c r="G23" s="268"/>
      <c r="H23" s="268"/>
      <c r="I23" s="268"/>
      <c r="J23" s="269"/>
    </row>
    <row r="24" spans="1:13" x14ac:dyDescent="0.25">
      <c r="A24" s="211" t="s">
        <v>11</v>
      </c>
      <c r="B24" s="212"/>
      <c r="C24" s="212"/>
      <c r="D24" s="212"/>
      <c r="E24" s="213"/>
      <c r="F24" s="192" t="s">
        <v>116</v>
      </c>
      <c r="G24" s="193"/>
      <c r="H24" s="193"/>
      <c r="I24" s="193"/>
      <c r="J24" s="194"/>
    </row>
    <row r="25" spans="1:13" x14ac:dyDescent="0.25">
      <c r="A25" s="211" t="s">
        <v>28</v>
      </c>
      <c r="B25" s="212"/>
      <c r="C25" s="212"/>
      <c r="D25" s="212"/>
      <c r="E25" s="213"/>
      <c r="F25" s="216" t="s">
        <v>66</v>
      </c>
      <c r="G25" s="217"/>
      <c r="H25" s="217"/>
      <c r="I25" s="217"/>
      <c r="J25" s="218"/>
    </row>
    <row r="26" spans="1:13" x14ac:dyDescent="0.25">
      <c r="A26" s="178" t="s">
        <v>12</v>
      </c>
      <c r="B26" s="179"/>
      <c r="C26" s="178" t="s">
        <v>13</v>
      </c>
      <c r="D26" s="179"/>
      <c r="E26" s="170" t="s">
        <v>14</v>
      </c>
      <c r="F26" s="179"/>
      <c r="G26" s="170" t="s">
        <v>52</v>
      </c>
      <c r="H26" s="171"/>
      <c r="I26" s="178" t="s">
        <v>15</v>
      </c>
      <c r="J26" s="179"/>
    </row>
    <row r="27" spans="1:13" x14ac:dyDescent="0.25">
      <c r="A27" s="170" t="s">
        <v>16</v>
      </c>
      <c r="B27" s="171"/>
      <c r="C27" s="170" t="s">
        <v>51</v>
      </c>
      <c r="D27" s="171"/>
      <c r="E27" s="170" t="s">
        <v>51</v>
      </c>
      <c r="F27" s="171"/>
      <c r="G27" s="170" t="s">
        <v>51</v>
      </c>
      <c r="H27" s="171"/>
      <c r="I27" s="170" t="s">
        <v>51</v>
      </c>
      <c r="J27" s="171"/>
    </row>
    <row r="28" spans="1:13" x14ac:dyDescent="0.25">
      <c r="A28" s="178" t="s">
        <v>17</v>
      </c>
      <c r="B28" s="179"/>
      <c r="C28" s="170" t="s">
        <v>117</v>
      </c>
      <c r="D28" s="171"/>
      <c r="E28" s="170" t="s">
        <v>118</v>
      </c>
      <c r="F28" s="171"/>
      <c r="G28" s="170" t="s">
        <v>119</v>
      </c>
      <c r="H28" s="171"/>
      <c r="I28" s="170" t="s">
        <v>120</v>
      </c>
      <c r="J28" s="171"/>
    </row>
    <row r="29" spans="1:13" x14ac:dyDescent="0.25">
      <c r="A29" s="184" t="s">
        <v>59</v>
      </c>
      <c r="B29" s="185"/>
      <c r="C29" s="185"/>
      <c r="D29" s="185"/>
      <c r="E29" s="185"/>
      <c r="F29" s="185"/>
      <c r="G29" s="185"/>
      <c r="H29" s="185"/>
      <c r="I29" s="185"/>
      <c r="J29" s="186"/>
    </row>
    <row r="30" spans="1:13" x14ac:dyDescent="0.25">
      <c r="A30" s="184" t="s">
        <v>121</v>
      </c>
      <c r="B30" s="185"/>
      <c r="C30" s="185"/>
      <c r="D30" s="185"/>
      <c r="E30" s="185"/>
      <c r="F30" s="185"/>
      <c r="G30" s="185"/>
      <c r="H30" s="185"/>
      <c r="I30" s="185"/>
      <c r="J30" s="186"/>
    </row>
    <row r="31" spans="1:13" x14ac:dyDescent="0.25">
      <c r="A31" s="184" t="s">
        <v>42</v>
      </c>
      <c r="B31" s="186"/>
      <c r="C31" s="173" t="s">
        <v>280</v>
      </c>
      <c r="D31" s="174"/>
      <c r="E31" s="174"/>
      <c r="F31" s="174"/>
      <c r="G31" s="174"/>
      <c r="H31" s="174"/>
      <c r="I31" s="174"/>
      <c r="J31" s="175"/>
      <c r="M31" t="s">
        <v>245</v>
      </c>
    </row>
    <row r="32" spans="1:13" x14ac:dyDescent="0.25">
      <c r="A32" s="184" t="s">
        <v>239</v>
      </c>
      <c r="B32" s="186"/>
      <c r="C32" s="215" t="s">
        <v>240</v>
      </c>
      <c r="D32" s="185"/>
      <c r="E32" s="185"/>
      <c r="F32" s="185"/>
      <c r="G32" s="185"/>
      <c r="H32" s="185"/>
      <c r="I32" s="185"/>
      <c r="J32" s="186"/>
    </row>
    <row r="33" spans="1:12" x14ac:dyDescent="0.25">
      <c r="A33" s="173" t="s">
        <v>18</v>
      </c>
      <c r="B33" s="174"/>
      <c r="C33" s="174"/>
      <c r="D33" s="174"/>
      <c r="E33" s="174"/>
      <c r="F33" s="174"/>
      <c r="G33" s="174"/>
      <c r="H33" s="174"/>
      <c r="I33" s="174"/>
      <c r="J33" s="175"/>
    </row>
    <row r="34" spans="1:12" ht="15" customHeight="1" x14ac:dyDescent="0.25">
      <c r="A34" s="187" t="s">
        <v>124</v>
      </c>
      <c r="B34" s="187"/>
      <c r="C34" s="187"/>
      <c r="D34" s="187"/>
      <c r="E34" s="187"/>
      <c r="F34" s="187"/>
      <c r="G34" s="187"/>
      <c r="H34" s="187"/>
      <c r="I34" s="187"/>
      <c r="J34" s="187"/>
    </row>
    <row r="35" spans="1:12" x14ac:dyDescent="0.25">
      <c r="A35" s="187"/>
      <c r="B35" s="187"/>
      <c r="C35" s="187"/>
      <c r="D35" s="187"/>
      <c r="E35" s="187"/>
      <c r="F35" s="187"/>
      <c r="G35" s="187"/>
      <c r="H35" s="187"/>
      <c r="I35" s="187"/>
      <c r="J35" s="187"/>
    </row>
    <row r="36" spans="1:12" ht="16.5" customHeight="1" x14ac:dyDescent="0.25">
      <c r="A36" s="177" t="s">
        <v>67</v>
      </c>
      <c r="B36" s="177"/>
      <c r="C36" s="177"/>
      <c r="D36" s="177"/>
      <c r="E36" s="177"/>
      <c r="F36" s="187">
        <v>47593.53</v>
      </c>
      <c r="G36" s="187"/>
      <c r="H36" s="187"/>
      <c r="I36" s="187"/>
      <c r="J36" s="187"/>
    </row>
    <row r="37" spans="1:12" x14ac:dyDescent="0.25">
      <c r="A37" s="214" t="s">
        <v>19</v>
      </c>
      <c r="B37" s="214"/>
      <c r="C37" s="214"/>
      <c r="D37" s="214"/>
      <c r="E37" s="214"/>
      <c r="F37" s="169">
        <v>4</v>
      </c>
      <c r="G37" s="169"/>
      <c r="H37" s="169"/>
      <c r="I37" s="169"/>
      <c r="J37" s="169"/>
    </row>
    <row r="38" spans="1:12" x14ac:dyDescent="0.25">
      <c r="A38" s="214" t="s">
        <v>20</v>
      </c>
      <c r="B38" s="214"/>
      <c r="C38" s="214"/>
      <c r="D38" s="214"/>
      <c r="E38" s="214"/>
      <c r="F38" s="169">
        <v>0</v>
      </c>
      <c r="G38" s="169"/>
      <c r="H38" s="169"/>
      <c r="I38" s="169"/>
      <c r="J38" s="169"/>
    </row>
    <row r="39" spans="1:12" x14ac:dyDescent="0.25">
      <c r="A39" s="214" t="s">
        <v>21</v>
      </c>
      <c r="B39" s="214"/>
      <c r="C39" s="214"/>
      <c r="D39" s="214"/>
      <c r="E39" s="214"/>
      <c r="F39" s="169">
        <v>4</v>
      </c>
      <c r="G39" s="169"/>
      <c r="H39" s="169"/>
      <c r="I39" s="169"/>
      <c r="J39" s="169"/>
    </row>
    <row r="40" spans="1:12" x14ac:dyDescent="0.25">
      <c r="A40" s="177" t="s">
        <v>68</v>
      </c>
      <c r="B40" s="177"/>
      <c r="C40" s="177"/>
      <c r="D40" s="177"/>
      <c r="E40" s="177"/>
      <c r="F40" s="169">
        <v>2685811.94</v>
      </c>
      <c r="G40" s="169"/>
      <c r="H40" s="169"/>
      <c r="I40" s="169"/>
      <c r="J40" s="169"/>
    </row>
    <row r="41" spans="1:12" x14ac:dyDescent="0.25">
      <c r="A41" s="214" t="s">
        <v>22</v>
      </c>
      <c r="B41" s="214"/>
      <c r="C41" s="214"/>
      <c r="D41" s="214"/>
      <c r="E41" s="214"/>
      <c r="F41" s="169" t="s">
        <v>146</v>
      </c>
      <c r="G41" s="169"/>
      <c r="H41" s="169"/>
      <c r="I41" s="169"/>
      <c r="J41" s="169"/>
    </row>
    <row r="42" spans="1:12" x14ac:dyDescent="0.25">
      <c r="A42" s="173" t="s">
        <v>70</v>
      </c>
      <c r="B42" s="174"/>
      <c r="C42" s="174"/>
      <c r="D42" s="174"/>
      <c r="E42" s="174"/>
      <c r="F42" s="174"/>
      <c r="G42" s="174"/>
      <c r="H42" s="174"/>
      <c r="I42" s="174"/>
      <c r="J42" s="175"/>
    </row>
    <row r="43" spans="1:12" ht="16.5" customHeight="1" x14ac:dyDescent="0.25">
      <c r="A43" s="167" t="s">
        <v>69</v>
      </c>
      <c r="B43" s="168"/>
      <c r="C43" s="293" t="s">
        <v>122</v>
      </c>
      <c r="D43" s="294"/>
      <c r="E43" s="294"/>
      <c r="F43" s="295"/>
      <c r="G43" s="2" t="s">
        <v>60</v>
      </c>
      <c r="H43" s="111" t="s">
        <v>184</v>
      </c>
      <c r="I43" s="112"/>
      <c r="J43" s="113"/>
    </row>
    <row r="44" spans="1:12" ht="28.5" customHeight="1" x14ac:dyDescent="0.25">
      <c r="A44" s="167" t="s">
        <v>339</v>
      </c>
      <c r="B44" s="168"/>
      <c r="C44" s="293" t="s">
        <v>122</v>
      </c>
      <c r="D44" s="294"/>
      <c r="E44" s="294"/>
      <c r="F44" s="295"/>
      <c r="G44" s="2" t="s">
        <v>60</v>
      </c>
      <c r="H44" s="111">
        <v>43868</v>
      </c>
      <c r="I44" s="112"/>
      <c r="J44" s="113"/>
    </row>
    <row r="45" spans="1:12" ht="45.95" customHeight="1" x14ac:dyDescent="0.25">
      <c r="A45" s="195" t="s">
        <v>272</v>
      </c>
      <c r="B45" s="196"/>
      <c r="C45" s="102" t="str">
        <f>C44</f>
        <v>SRA/ENG/3809/GS/ML/AP</v>
      </c>
      <c r="D45" s="103"/>
      <c r="E45" s="103"/>
      <c r="F45" s="104"/>
      <c r="G45" s="86" t="s">
        <v>60</v>
      </c>
      <c r="H45" s="105">
        <v>45345</v>
      </c>
      <c r="I45" s="106"/>
      <c r="J45" s="107"/>
    </row>
    <row r="46" spans="1:12" ht="17.25" customHeight="1" x14ac:dyDescent="0.25">
      <c r="A46" s="114" t="s">
        <v>271</v>
      </c>
      <c r="B46" s="115"/>
      <c r="C46" s="108" t="s">
        <v>304</v>
      </c>
      <c r="D46" s="109"/>
      <c r="E46" s="109"/>
      <c r="F46" s="110"/>
      <c r="G46" s="2" t="s">
        <v>60</v>
      </c>
      <c r="H46" s="111" t="s">
        <v>185</v>
      </c>
      <c r="I46" s="112" t="s">
        <v>48</v>
      </c>
      <c r="J46" s="113"/>
    </row>
    <row r="47" spans="1:12" ht="47.25" customHeight="1" x14ac:dyDescent="0.25">
      <c r="A47" s="116"/>
      <c r="B47" s="117"/>
      <c r="C47" s="108" t="s">
        <v>305</v>
      </c>
      <c r="D47" s="109"/>
      <c r="E47" s="109"/>
      <c r="F47" s="109"/>
      <c r="G47" s="109"/>
      <c r="H47" s="109"/>
      <c r="I47" s="109"/>
      <c r="J47" s="110"/>
    </row>
    <row r="48" spans="1:12" ht="46.5" customHeight="1" x14ac:dyDescent="0.25">
      <c r="A48" s="167" t="s">
        <v>273</v>
      </c>
      <c r="B48" s="168"/>
      <c r="C48" s="108" t="s">
        <v>306</v>
      </c>
      <c r="D48" s="109"/>
      <c r="E48" s="109"/>
      <c r="F48" s="110"/>
      <c r="G48" s="2" t="s">
        <v>60</v>
      </c>
      <c r="H48" s="111">
        <v>44715</v>
      </c>
      <c r="I48" s="112"/>
      <c r="J48" s="113"/>
      <c r="L48">
        <f>385+509+247</f>
        <v>1141</v>
      </c>
    </row>
    <row r="49" spans="1:15" ht="228" customHeight="1" x14ac:dyDescent="0.25">
      <c r="A49" s="167" t="s">
        <v>273</v>
      </c>
      <c r="B49" s="168"/>
      <c r="C49" s="108" t="s">
        <v>338</v>
      </c>
      <c r="D49" s="109"/>
      <c r="E49" s="109"/>
      <c r="F49" s="110"/>
      <c r="G49" s="2" t="s">
        <v>60</v>
      </c>
      <c r="H49" s="111">
        <v>45420</v>
      </c>
      <c r="I49" s="112"/>
      <c r="J49" s="113"/>
      <c r="L49">
        <f>385+509+247</f>
        <v>1141</v>
      </c>
    </row>
    <row r="50" spans="1:15" ht="60" customHeight="1" x14ac:dyDescent="0.25">
      <c r="A50" s="329" t="s">
        <v>357</v>
      </c>
      <c r="B50" s="330"/>
      <c r="C50" s="331" t="s">
        <v>358</v>
      </c>
      <c r="D50" s="332"/>
      <c r="E50" s="332"/>
      <c r="F50" s="333" t="s">
        <v>103</v>
      </c>
      <c r="G50" s="334" t="s">
        <v>60</v>
      </c>
      <c r="H50" s="335">
        <v>45652</v>
      </c>
      <c r="I50" s="336" t="s">
        <v>55</v>
      </c>
      <c r="J50" s="337"/>
    </row>
    <row r="51" spans="1:15" hidden="1" x14ac:dyDescent="0.25">
      <c r="A51" s="167" t="s">
        <v>102</v>
      </c>
      <c r="B51" s="168"/>
      <c r="C51" s="108" t="s">
        <v>51</v>
      </c>
      <c r="D51" s="109"/>
      <c r="E51" s="109"/>
      <c r="F51" s="110" t="s">
        <v>103</v>
      </c>
      <c r="G51" s="2" t="s">
        <v>60</v>
      </c>
      <c r="H51" s="111" t="s">
        <v>51</v>
      </c>
      <c r="I51" s="112" t="s">
        <v>55</v>
      </c>
      <c r="J51" s="113"/>
    </row>
    <row r="52" spans="1:15" ht="48" customHeight="1" x14ac:dyDescent="0.25">
      <c r="A52" s="169" t="s">
        <v>73</v>
      </c>
      <c r="B52" s="169"/>
      <c r="C52" s="169"/>
      <c r="D52" s="176">
        <f>H47</f>
        <v>0</v>
      </c>
      <c r="E52" s="176"/>
      <c r="F52" s="118" t="s">
        <v>71</v>
      </c>
      <c r="G52" s="222"/>
      <c r="H52" s="231" t="s">
        <v>354</v>
      </c>
      <c r="I52" s="119"/>
      <c r="J52" s="120"/>
      <c r="N52" t="s">
        <v>277</v>
      </c>
      <c r="O52">
        <f>1+18+40+20+60+42+66</f>
        <v>247</v>
      </c>
    </row>
    <row r="53" spans="1:15" x14ac:dyDescent="0.25">
      <c r="A53" s="219" t="s">
        <v>23</v>
      </c>
      <c r="B53" s="220"/>
      <c r="C53" s="220"/>
      <c r="D53" s="220"/>
      <c r="E53" s="220"/>
      <c r="F53" s="220"/>
      <c r="G53" s="220"/>
      <c r="H53" s="220"/>
      <c r="I53" s="220"/>
      <c r="J53" s="221"/>
      <c r="L53" t="s">
        <v>276</v>
      </c>
    </row>
    <row r="54" spans="1:15" x14ac:dyDescent="0.25">
      <c r="A54" s="184" t="s">
        <v>101</v>
      </c>
      <c r="B54" s="185"/>
      <c r="C54" s="186"/>
      <c r="D54" s="254">
        <v>140018.56</v>
      </c>
      <c r="E54" s="255"/>
      <c r="F54" s="227" t="s">
        <v>315</v>
      </c>
      <c r="G54" s="227"/>
      <c r="H54" s="227"/>
      <c r="I54" s="223">
        <v>1082</v>
      </c>
      <c r="J54" s="223"/>
      <c r="L54" s="78">
        <f>10+21+49+35+2+19+19+16+3+49+32+2+57+16+52+3</f>
        <v>385</v>
      </c>
      <c r="N54">
        <f>2*6+8*8+19*8+3*6+12*8+2*6</f>
        <v>354</v>
      </c>
    </row>
    <row r="55" spans="1:15" ht="61.5" customHeight="1" x14ac:dyDescent="0.25">
      <c r="A55" s="167" t="s">
        <v>72</v>
      </c>
      <c r="B55" s="168"/>
      <c r="C55" s="252" t="s">
        <v>347</v>
      </c>
      <c r="D55" s="252"/>
      <c r="E55" s="252"/>
      <c r="F55" s="252"/>
      <c r="G55" s="252"/>
      <c r="H55" s="252"/>
      <c r="I55" s="252"/>
      <c r="J55" s="253"/>
    </row>
    <row r="56" spans="1:15" ht="60.6" customHeight="1" x14ac:dyDescent="0.25">
      <c r="A56" s="187" t="s">
        <v>195</v>
      </c>
      <c r="B56" s="187"/>
      <c r="C56" s="187" t="s">
        <v>346</v>
      </c>
      <c r="D56" s="187"/>
      <c r="E56" s="187"/>
      <c r="F56" s="187"/>
      <c r="G56" s="187"/>
      <c r="H56" s="187"/>
      <c r="I56" s="187"/>
      <c r="J56" s="187"/>
    </row>
    <row r="57" spans="1:15" x14ac:dyDescent="0.25">
      <c r="A57" s="169" t="s">
        <v>49</v>
      </c>
      <c r="B57" s="169"/>
      <c r="C57" s="169"/>
      <c r="D57" s="169"/>
      <c r="E57" s="187" t="s">
        <v>56</v>
      </c>
      <c r="F57" s="187"/>
      <c r="G57" s="187"/>
      <c r="H57" s="187"/>
      <c r="I57" s="187"/>
      <c r="J57" s="187"/>
    </row>
    <row r="58" spans="1:15" ht="15.75" thickBot="1" x14ac:dyDescent="0.3">
      <c r="A58" s="328" t="s">
        <v>123</v>
      </c>
      <c r="B58" s="328"/>
      <c r="C58" s="328"/>
      <c r="D58" s="328"/>
      <c r="E58" s="328"/>
      <c r="F58" s="328"/>
      <c r="G58" s="328"/>
      <c r="H58" s="328"/>
      <c r="I58" s="328"/>
      <c r="J58" s="328"/>
    </row>
    <row r="59" spans="1:15" ht="18" customHeight="1" x14ac:dyDescent="0.25">
      <c r="A59" s="319" t="s">
        <v>210</v>
      </c>
      <c r="B59" s="320"/>
      <c r="C59" s="321" t="s">
        <v>318</v>
      </c>
      <c r="D59" s="321"/>
      <c r="E59" s="321"/>
      <c r="F59" s="321"/>
      <c r="G59" s="321"/>
      <c r="H59" s="321"/>
      <c r="I59" s="321"/>
      <c r="J59" s="322"/>
      <c r="K59" s="52" t="str">
        <f ca="1">(IF(F63&gt;99%,"All work completed. Please provide OC.",IF(F63&gt;89.8%,"Plinth, RCC, Brick, Plaster, Flooring, Painting work Completed. Finishing work is in process.",IF(F63&lt;94%,(IF(C63=0,"Work not yet Started.",IF(D63=25%,"Piling work in process",IF(D63=50%,"Excavation work in process",IF(D63=100%,"Excavation work Completed. ","0")))&amp;(IF(C64=0%,"",IF(C64=L65,"Footing work is process",IF(C64=L66,"Footing work Completed",IF(C64=L67,"1st Basement Completed",IF(C64=L68,"1st &amp; 2nd Basement Completed",IF(C64=L69,"1st to 3rd Basement Completed",IF(C64=L70,"1st to 4th Basement Completed",IF(C64=L71,"Plinth work is process",IF(C64=L72,"Plinth work completed","0")))))))))))&amp;(IF(C65=(D60+G60+I60),", RCC Slab",IF(C65&gt;0,", RCC upto "&amp;C65&amp;" Slab",""))&amp;(IF(C66=I60,", Brickwork",IF(C66&gt;0,", Brickwork upto "&amp;C66&amp;" Floor",""))&amp;(IF(C67=I60,", Internal Plaster",IF(C67&gt;0,", Internal Plaster upto "&amp;C67&amp;" Floor",""))&amp;(IF(C68=I60,", External Plaster",IF(C68&gt;0,", External Plaster upto "&amp;C68&amp;" Floor",""))&amp;(IF(C69=I60,", Flooring",IF(C69&gt;0,", Flooring upto "&amp;C69&amp;" Floor",""))&amp;(IF(C70=I60,", Painting",IF(C70&gt;0,", Painting upto "&amp;C70&amp;" Floor",""))&amp;(IF(C71&gt;0,", Finishing upto "&amp;C71&amp;" Floor","")&amp;(IF(C65&gt;0.5," Completed",""))))))))))))))</f>
        <v>All work completed. Please provide OC.</v>
      </c>
      <c r="L59" s="53"/>
    </row>
    <row r="60" spans="1:15" ht="15.75" x14ac:dyDescent="0.25">
      <c r="A60" s="93" t="s">
        <v>148</v>
      </c>
      <c r="B60" s="92">
        <v>2</v>
      </c>
      <c r="C60" s="92" t="s">
        <v>150</v>
      </c>
      <c r="D60" s="92">
        <v>1</v>
      </c>
      <c r="E60" s="189" t="s">
        <v>149</v>
      </c>
      <c r="F60" s="189"/>
      <c r="G60" s="92">
        <v>10</v>
      </c>
      <c r="H60" s="92" t="s">
        <v>211</v>
      </c>
      <c r="I60" s="189">
        <f ca="1">--TRIM(RIGHT(SUBSTITUTE(LEFT(C59,_xlfn.AGGREGATE(16,6,FIND({0,1,2,3,4,5,6,7,8,9},C59,ROW(INDIRECT("1:"&amp;LEN(C59)))),1))," ",REPT(" ",LEN(C59))),LEN(C59)))</f>
        <v>49</v>
      </c>
      <c r="J60" s="323"/>
      <c r="K60" s="56"/>
      <c r="L60" s="57"/>
    </row>
    <row r="61" spans="1:15" ht="15.75" x14ac:dyDescent="0.25">
      <c r="A61" s="286" t="s">
        <v>212</v>
      </c>
      <c r="B61" s="257"/>
      <c r="C61" s="256" t="str">
        <f>K61</f>
        <v>All work Completed. OC Received.</v>
      </c>
      <c r="D61" s="256"/>
      <c r="E61" s="256"/>
      <c r="F61" s="256"/>
      <c r="G61" s="256"/>
      <c r="H61" s="256"/>
      <c r="I61" s="256"/>
      <c r="J61" s="324"/>
      <c r="K61" s="56" t="s">
        <v>213</v>
      </c>
      <c r="L61" s="57"/>
    </row>
    <row r="62" spans="1:15" ht="15.75" x14ac:dyDescent="0.25">
      <c r="A62" s="258" t="s">
        <v>34</v>
      </c>
      <c r="B62" s="259"/>
      <c r="C62" s="91" t="s">
        <v>214</v>
      </c>
      <c r="D62" s="172" t="s">
        <v>215</v>
      </c>
      <c r="E62" s="172"/>
      <c r="F62" s="172" t="s">
        <v>216</v>
      </c>
      <c r="G62" s="172"/>
      <c r="H62" s="172" t="s">
        <v>217</v>
      </c>
      <c r="I62" s="172"/>
      <c r="J62" s="260"/>
      <c r="K62" s="58" t="s">
        <v>218</v>
      </c>
      <c r="L62" s="59">
        <f ca="1">I60*25%</f>
        <v>12.25</v>
      </c>
    </row>
    <row r="63" spans="1:15" ht="15.75" x14ac:dyDescent="0.25">
      <c r="A63" s="190" t="s">
        <v>219</v>
      </c>
      <c r="B63" s="191"/>
      <c r="C63" s="66">
        <f ca="1">L64</f>
        <v>49</v>
      </c>
      <c r="D63" s="180">
        <f ca="1">((100/I60)*C63)/100</f>
        <v>1</v>
      </c>
      <c r="E63" s="181"/>
      <c r="F63" s="182">
        <f ca="1">(((C64/I60*10)+(40/(D60+G60+I60)*C65)+(7.5/(I60)*C66)+(7.5/(I60)*C67)+(10/I60*C68)+(10/I60*C69)+(5/I60*C70)+(5/I60*C71)+(5/I60*C72))/100)</f>
        <v>1</v>
      </c>
      <c r="G63" s="182"/>
      <c r="H63" s="232">
        <f ca="1">((((C63/I60)*20)+((C64/I60)*25)+(30/(I60+G60+D60)*C65)+(5/I60*C66)+(5/I60*C67)+(5/I60*C68)+(5/I60*C69)+(0/I60*C70)+(0/I60*C71)+(5/I60*C72))/100)</f>
        <v>1</v>
      </c>
      <c r="I63" s="233"/>
      <c r="J63" s="234"/>
      <c r="K63" s="58" t="s">
        <v>168</v>
      </c>
      <c r="L63" s="60">
        <f ca="1">I60*50%</f>
        <v>24.5</v>
      </c>
    </row>
    <row r="64" spans="1:15" ht="15.75" x14ac:dyDescent="0.25">
      <c r="A64" s="190" t="s">
        <v>35</v>
      </c>
      <c r="B64" s="191"/>
      <c r="C64" s="67">
        <f ca="1">L72</f>
        <v>49</v>
      </c>
      <c r="D64" s="180">
        <f ca="1">((100/I60)*C64)/100</f>
        <v>1</v>
      </c>
      <c r="E64" s="181"/>
      <c r="F64" s="182"/>
      <c r="G64" s="182"/>
      <c r="H64" s="235"/>
      <c r="I64" s="236"/>
      <c r="J64" s="237"/>
      <c r="K64" s="58" t="s">
        <v>171</v>
      </c>
      <c r="L64" s="60">
        <f ca="1">I60</f>
        <v>49</v>
      </c>
    </row>
    <row r="65" spans="1:15" ht="15.75" x14ac:dyDescent="0.25">
      <c r="A65" s="188" t="s">
        <v>220</v>
      </c>
      <c r="B65" s="189"/>
      <c r="C65" s="67">
        <f>D60+G60+49</f>
        <v>60</v>
      </c>
      <c r="D65" s="180">
        <f ca="1">((100/(D60+G60+I60))*C65)/100</f>
        <v>1</v>
      </c>
      <c r="E65" s="181"/>
      <c r="F65" s="182"/>
      <c r="G65" s="182"/>
      <c r="H65" s="235"/>
      <c r="I65" s="236"/>
      <c r="J65" s="237"/>
      <c r="K65" s="58" t="s">
        <v>172</v>
      </c>
      <c r="L65" s="61">
        <f ca="1">(IF(B60&gt;1,(I60/(B60+2)),I60/4))</f>
        <v>12.25</v>
      </c>
      <c r="M65">
        <f>42+9</f>
        <v>51</v>
      </c>
    </row>
    <row r="66" spans="1:15" ht="15.75" x14ac:dyDescent="0.25">
      <c r="A66" s="190" t="s">
        <v>221</v>
      </c>
      <c r="B66" s="191" t="s">
        <v>222</v>
      </c>
      <c r="C66" s="67">
        <v>49</v>
      </c>
      <c r="D66" s="180">
        <f ca="1">((100/I60)*C66)/100</f>
        <v>1</v>
      </c>
      <c r="E66" s="181"/>
      <c r="F66" s="182"/>
      <c r="G66" s="182"/>
      <c r="H66" s="235"/>
      <c r="I66" s="236"/>
      <c r="J66" s="237"/>
      <c r="K66" s="58" t="s">
        <v>173</v>
      </c>
      <c r="L66" s="61">
        <f ca="1">(IF(B60&gt;1,(I60/(B60+2)+L65),I60/4+L65))</f>
        <v>24.5</v>
      </c>
    </row>
    <row r="67" spans="1:15" ht="15" customHeight="1" x14ac:dyDescent="0.25">
      <c r="A67" s="190" t="s">
        <v>223</v>
      </c>
      <c r="B67" s="191" t="s">
        <v>222</v>
      </c>
      <c r="C67" s="67">
        <f>C66-G61-D61</f>
        <v>49</v>
      </c>
      <c r="D67" s="180">
        <f ca="1">((100/I60)*C67)/100</f>
        <v>1</v>
      </c>
      <c r="E67" s="181"/>
      <c r="F67" s="182"/>
      <c r="G67" s="182"/>
      <c r="H67" s="235"/>
      <c r="I67" s="236"/>
      <c r="J67" s="237"/>
      <c r="K67" s="58" t="s">
        <v>224</v>
      </c>
      <c r="L67" s="61">
        <f ca="1">(IF(B60&gt;1,(I60/(B60+2)+L66),0))</f>
        <v>36.75</v>
      </c>
    </row>
    <row r="68" spans="1:15" ht="15.75" x14ac:dyDescent="0.25">
      <c r="A68" s="190" t="s">
        <v>225</v>
      </c>
      <c r="B68" s="191" t="s">
        <v>226</v>
      </c>
      <c r="C68" s="67">
        <v>49</v>
      </c>
      <c r="D68" s="180">
        <f ca="1">((100/(I60))*C68)/100</f>
        <v>1</v>
      </c>
      <c r="E68" s="181"/>
      <c r="F68" s="182"/>
      <c r="G68" s="182"/>
      <c r="H68" s="235"/>
      <c r="I68" s="236"/>
      <c r="J68" s="237"/>
      <c r="K68" s="58" t="s">
        <v>227</v>
      </c>
      <c r="L68" s="61">
        <f>(IF(B60&gt;2,(I60/(B60+2)+L67),0))</f>
        <v>0</v>
      </c>
    </row>
    <row r="69" spans="1:15" ht="15.75" x14ac:dyDescent="0.25">
      <c r="A69" s="190" t="s">
        <v>228</v>
      </c>
      <c r="B69" s="191" t="s">
        <v>228</v>
      </c>
      <c r="C69" s="66">
        <v>49</v>
      </c>
      <c r="D69" s="180">
        <f ca="1">((100/I60)*C69)/100</f>
        <v>1</v>
      </c>
      <c r="E69" s="181"/>
      <c r="F69" s="182"/>
      <c r="G69" s="182"/>
      <c r="H69" s="235"/>
      <c r="I69" s="236"/>
      <c r="J69" s="237"/>
      <c r="K69" s="58" t="s">
        <v>229</v>
      </c>
      <c r="L69" s="62">
        <f>(IF(B60&gt;3,(I60/(B60+2)+L68),0))</f>
        <v>0</v>
      </c>
    </row>
    <row r="70" spans="1:15" ht="15" customHeight="1" x14ac:dyDescent="0.25">
      <c r="A70" s="190" t="s">
        <v>230</v>
      </c>
      <c r="B70" s="191"/>
      <c r="C70" s="66">
        <v>49</v>
      </c>
      <c r="D70" s="180">
        <f ca="1">((100/I60)*C70)/100</f>
        <v>1</v>
      </c>
      <c r="E70" s="181"/>
      <c r="F70" s="182"/>
      <c r="G70" s="182"/>
      <c r="H70" s="235"/>
      <c r="I70" s="236"/>
      <c r="J70" s="237"/>
      <c r="K70" s="58" t="s">
        <v>231</v>
      </c>
      <c r="L70" s="61">
        <f>(IF(B60&gt;4,(I60/(B60+2)+L69),0))</f>
        <v>0</v>
      </c>
    </row>
    <row r="71" spans="1:15" ht="15.75" x14ac:dyDescent="0.25">
      <c r="A71" s="190" t="s">
        <v>232</v>
      </c>
      <c r="B71" s="191" t="s">
        <v>232</v>
      </c>
      <c r="C71" s="66">
        <v>49</v>
      </c>
      <c r="D71" s="180">
        <f ca="1">((100/(I60))*C71)/100</f>
        <v>1</v>
      </c>
      <c r="E71" s="181"/>
      <c r="F71" s="182"/>
      <c r="G71" s="182"/>
      <c r="H71" s="235"/>
      <c r="I71" s="236"/>
      <c r="J71" s="237"/>
      <c r="K71" s="58" t="s">
        <v>174</v>
      </c>
      <c r="L71" s="61">
        <f>(IF(B60=1,(I60/(B60+3)+L66),IF(B60=0,(I60/4+L66),IF(B60&gt;1,0))))</f>
        <v>0</v>
      </c>
    </row>
    <row r="72" spans="1:15" ht="16.5" thickBot="1" x14ac:dyDescent="0.3">
      <c r="A72" s="241" t="s">
        <v>233</v>
      </c>
      <c r="B72" s="242"/>
      <c r="C72" s="68">
        <v>49</v>
      </c>
      <c r="D72" s="203">
        <f ca="1">((100/(I60))*C72)/100</f>
        <v>1</v>
      </c>
      <c r="E72" s="204"/>
      <c r="F72" s="183"/>
      <c r="G72" s="183"/>
      <c r="H72" s="238"/>
      <c r="I72" s="239"/>
      <c r="J72" s="240"/>
      <c r="K72" s="63" t="s">
        <v>175</v>
      </c>
      <c r="L72" s="64">
        <f ca="1">(IF(B60&gt;1.5,(I60/(B60+2)+L66+MAX(0,L67-L66)+MAX(0,L68-L67)+MAX(0,L69-L68)+MAX(0,L70-L69)+MAX(0,L71-L70)),IF(B60=1,(I60/(B60+3)+L71),IF(B60=0,I60/4+L71))))</f>
        <v>49</v>
      </c>
    </row>
    <row r="73" spans="1:15" ht="15.75" x14ac:dyDescent="0.25">
      <c r="A73" s="278" t="s">
        <v>210</v>
      </c>
      <c r="B73" s="279"/>
      <c r="C73" s="280" t="s">
        <v>323</v>
      </c>
      <c r="D73" s="281"/>
      <c r="E73" s="281"/>
      <c r="F73" s="281"/>
      <c r="G73" s="281"/>
      <c r="H73" s="281"/>
      <c r="I73" s="281"/>
      <c r="J73" s="282"/>
      <c r="K73" s="52" t="str">
        <f ca="1">(IF(F77&gt;99%,"All work completed. Please provide OC.",IF(F77&gt;89.8%,"Plinth, RCC, Brick, Plaster, Flooring, Painting work Completed. Finishing work is in process.",IF(F77&lt;94%,(IF(C77=0,"Work not yet Started.",IF(D77=25%,"Piling work in process",IF(D77=50%,"Excavation work in process",IF(D77=100%,"Excavation work Completed. ","0")))&amp;(IF(C78=0%,"",IF(C78=L79,"Footing work is process",IF(C78=L80,"Footing work Completed",IF(C78=L81,"1st Basement Completed",IF(C78=L82,"1st &amp; 2nd Basement Completed",IF(C78=L83,"1st to 3rd Basement Completed",IF(C78=L84,"1st to 4th Basement Completed",IF(C78=L85,"Plinth work is process",IF(C78=L86,"Plinth work completed","0")))))))))))&amp;(IF(C79=(D74+G74+I74),", RCC Slab",IF(C79&gt;0,", RCC upto "&amp;C79&amp;" Slab",""))&amp;(IF(C80=I74,", Brickwork",IF(C80&gt;0,", Brickwork upto "&amp;C80&amp;" Floor",""))&amp;(IF(C81=I74,", Internal Plaster",IF(C81&gt;0,", Internal Plaster upto "&amp;C81&amp;" Floor",""))&amp;(IF(C82=I74,", External Plaster",IF(C82&gt;0,", External Plaster upto "&amp;C82&amp;" Floor",""))&amp;(IF(C83=I74,", Flooring",IF(C83&gt;0,", Flooring upto "&amp;C83&amp;" Floor",""))&amp;(IF(C84=I74,", Painting",IF(C84&gt;0,", Painting upto "&amp;C84&amp;" Floor",""))&amp;(IF(C85&gt;0,", Finishing upto "&amp;C85&amp;" Floor","")&amp;(IF(C79&gt;0.5," Completed",""))))))))))))))</f>
        <v>Plinth, RCC, Brick, Plaster, Flooring, Painting work Completed. Finishing work is in process.</v>
      </c>
      <c r="L73" s="53"/>
    </row>
    <row r="74" spans="1:15" ht="15.75" x14ac:dyDescent="0.25">
      <c r="A74" s="54" t="s">
        <v>148</v>
      </c>
      <c r="B74" s="55">
        <v>2</v>
      </c>
      <c r="C74" s="55" t="s">
        <v>150</v>
      </c>
      <c r="D74" s="55">
        <v>1</v>
      </c>
      <c r="E74" s="283" t="s">
        <v>149</v>
      </c>
      <c r="F74" s="284"/>
      <c r="G74" s="55">
        <v>10</v>
      </c>
      <c r="H74" s="55" t="s">
        <v>211</v>
      </c>
      <c r="I74" s="283">
        <f ca="1">--TRIM(RIGHT(SUBSTITUTE(LEFT(C73,_xlfn.AGGREGATE(16,6,FIND({0,1,2,3,4,5,6,7,8,9},C73,ROW(INDIRECT("1:"&amp;LEN(C73)))),1))," ",REPT(" ",LEN(C73))),LEN(C73)))</f>
        <v>50</v>
      </c>
      <c r="J74" s="285"/>
      <c r="K74" s="56"/>
      <c r="L74" s="57"/>
    </row>
    <row r="75" spans="1:15" ht="34.5" customHeight="1" x14ac:dyDescent="0.25">
      <c r="A75" s="286" t="s">
        <v>212</v>
      </c>
      <c r="B75" s="257"/>
      <c r="C75" s="287" t="str">
        <f ca="1">K73</f>
        <v>Plinth, RCC, Brick, Plaster, Flooring, Painting work Completed. Finishing work is in process.</v>
      </c>
      <c r="D75" s="288"/>
      <c r="E75" s="288"/>
      <c r="F75" s="288"/>
      <c r="G75" s="288"/>
      <c r="H75" s="288"/>
      <c r="I75" s="288"/>
      <c r="J75" s="289"/>
      <c r="K75" s="56" t="s">
        <v>213</v>
      </c>
      <c r="L75" s="57"/>
    </row>
    <row r="76" spans="1:15" ht="15.75" x14ac:dyDescent="0.25">
      <c r="A76" s="258" t="s">
        <v>34</v>
      </c>
      <c r="B76" s="259"/>
      <c r="C76" s="65" t="s">
        <v>214</v>
      </c>
      <c r="D76" s="172" t="s">
        <v>215</v>
      </c>
      <c r="E76" s="172"/>
      <c r="F76" s="172" t="s">
        <v>216</v>
      </c>
      <c r="G76" s="172"/>
      <c r="H76" s="172" t="s">
        <v>217</v>
      </c>
      <c r="I76" s="172"/>
      <c r="J76" s="260"/>
      <c r="K76" s="58" t="s">
        <v>218</v>
      </c>
      <c r="L76" s="59">
        <f ca="1">I74*25%</f>
        <v>12.5</v>
      </c>
    </row>
    <row r="77" spans="1:15" ht="15.75" x14ac:dyDescent="0.25">
      <c r="A77" s="191" t="s">
        <v>219</v>
      </c>
      <c r="B77" s="191"/>
      <c r="C77" s="66">
        <f ca="1">L78</f>
        <v>50</v>
      </c>
      <c r="D77" s="182">
        <f ca="1">((100/I74)*C77)/100</f>
        <v>1</v>
      </c>
      <c r="E77" s="182"/>
      <c r="F77" s="182">
        <f ca="1">(((C78/I74*10)+(40/(D74+G74+I74)*C79)+(7.5/(I74)*C80)+(7.5/(I74)*C81)+(10/I74*C82)+(10/I74*C83)+(5/I74*C84)+(5/I74*C85)+(5/I74*C86))/100)</f>
        <v>0.91599999999999993</v>
      </c>
      <c r="G77" s="182"/>
      <c r="H77" s="182">
        <f ca="1">((((C77/I74)*20)+((C78/I74)*25)+(30/(I74+G74+D74)*C79)+(5/I74*C80)+(5/I74*C81)+(5/I74*C82)+(5/I74*C83)+(0/I74*C84)+(0/I74*C85)+(5/I74*C86))/100)</f>
        <v>0.94900000000000007</v>
      </c>
      <c r="I77" s="182"/>
      <c r="J77" s="182"/>
      <c r="K77" s="58" t="s">
        <v>168</v>
      </c>
      <c r="L77" s="60">
        <f ca="1">I74*50%</f>
        <v>25</v>
      </c>
    </row>
    <row r="78" spans="1:15" ht="15.75" x14ac:dyDescent="0.25">
      <c r="A78" s="191" t="s">
        <v>35</v>
      </c>
      <c r="B78" s="191"/>
      <c r="C78" s="67">
        <f ca="1">L86</f>
        <v>50</v>
      </c>
      <c r="D78" s="182">
        <f ca="1">((100/I74)*C78)/100</f>
        <v>1</v>
      </c>
      <c r="E78" s="182"/>
      <c r="F78" s="182"/>
      <c r="G78" s="182"/>
      <c r="H78" s="182"/>
      <c r="I78" s="182"/>
      <c r="J78" s="182"/>
      <c r="K78" s="58" t="s">
        <v>171</v>
      </c>
      <c r="L78" s="60">
        <f ca="1">I74</f>
        <v>50</v>
      </c>
    </row>
    <row r="79" spans="1:15" ht="15.75" x14ac:dyDescent="0.25">
      <c r="A79" s="189" t="s">
        <v>220</v>
      </c>
      <c r="B79" s="189"/>
      <c r="C79" s="67">
        <f ca="1">D74+G74+I74</f>
        <v>61</v>
      </c>
      <c r="D79" s="182">
        <f ca="1">((100/(D74+G74+I74))*C79)/100</f>
        <v>1</v>
      </c>
      <c r="E79" s="182"/>
      <c r="F79" s="182"/>
      <c r="G79" s="182"/>
      <c r="H79" s="182"/>
      <c r="I79" s="182"/>
      <c r="J79" s="182"/>
      <c r="K79" s="58" t="s">
        <v>172</v>
      </c>
      <c r="L79" s="61">
        <f ca="1">(IF(B74&gt;1,(I74/(B74+2)),I74/4))</f>
        <v>12.5</v>
      </c>
    </row>
    <row r="80" spans="1:15" ht="15.75" x14ac:dyDescent="0.25">
      <c r="A80" s="191" t="s">
        <v>221</v>
      </c>
      <c r="B80" s="191" t="s">
        <v>222</v>
      </c>
      <c r="C80" s="67">
        <v>50</v>
      </c>
      <c r="D80" s="182">
        <f ca="1">((100/I74)*C80)/100</f>
        <v>1</v>
      </c>
      <c r="E80" s="182"/>
      <c r="F80" s="182"/>
      <c r="G80" s="182"/>
      <c r="H80" s="182"/>
      <c r="I80" s="182"/>
      <c r="J80" s="182"/>
      <c r="K80" s="58" t="s">
        <v>173</v>
      </c>
      <c r="L80" s="61">
        <f ca="1">(IF(B74&gt;1,(I74/(B74+2)+L79),I74/4+L79))</f>
        <v>25</v>
      </c>
      <c r="N80">
        <f>68*0.67</f>
        <v>45.56</v>
      </c>
      <c r="O80">
        <f>18+9</f>
        <v>27</v>
      </c>
    </row>
    <row r="81" spans="1:15" ht="15" customHeight="1" x14ac:dyDescent="0.25">
      <c r="A81" s="191" t="s">
        <v>223</v>
      </c>
      <c r="B81" s="191" t="s">
        <v>222</v>
      </c>
      <c r="C81" s="67">
        <v>50</v>
      </c>
      <c r="D81" s="182">
        <f ca="1">((100/I74)*C81)/100</f>
        <v>1</v>
      </c>
      <c r="E81" s="182"/>
      <c r="F81" s="182"/>
      <c r="G81" s="182"/>
      <c r="H81" s="182"/>
      <c r="I81" s="182"/>
      <c r="J81" s="182"/>
      <c r="K81" s="58" t="s">
        <v>224</v>
      </c>
      <c r="L81" s="61">
        <f ca="1">(IF(B74&gt;1,(I74/(B74+2)+L80),0))</f>
        <v>37.5</v>
      </c>
    </row>
    <row r="82" spans="1:15" ht="15.75" x14ac:dyDescent="0.25">
      <c r="A82" s="191" t="s">
        <v>225</v>
      </c>
      <c r="B82" s="191" t="s">
        <v>226</v>
      </c>
      <c r="C82" s="67">
        <v>50</v>
      </c>
      <c r="D82" s="182">
        <f ca="1">((100/(I74))*C82)/100</f>
        <v>1</v>
      </c>
      <c r="E82" s="182"/>
      <c r="F82" s="182"/>
      <c r="G82" s="182"/>
      <c r="H82" s="182"/>
      <c r="I82" s="182"/>
      <c r="J82" s="182"/>
      <c r="K82" s="58" t="s">
        <v>227</v>
      </c>
      <c r="L82" s="61">
        <f>(IF(B74&gt;2,(I74/(B74+2)+L81),0))</f>
        <v>0</v>
      </c>
    </row>
    <row r="83" spans="1:15" ht="15.75" x14ac:dyDescent="0.25">
      <c r="A83" s="191" t="s">
        <v>228</v>
      </c>
      <c r="B83" s="191" t="s">
        <v>228</v>
      </c>
      <c r="C83" s="66">
        <v>49</v>
      </c>
      <c r="D83" s="182">
        <f ca="1">((100/I74)*C83)/100</f>
        <v>0.98</v>
      </c>
      <c r="E83" s="182"/>
      <c r="F83" s="182"/>
      <c r="G83" s="182"/>
      <c r="H83" s="182"/>
      <c r="I83" s="182"/>
      <c r="J83" s="182"/>
      <c r="K83" s="58" t="s">
        <v>229</v>
      </c>
      <c r="L83" s="62">
        <f>(IF(B74&gt;3,(I74/(B74+2)+L82),0))</f>
        <v>0</v>
      </c>
    </row>
    <row r="84" spans="1:15" ht="15" customHeight="1" x14ac:dyDescent="0.25">
      <c r="A84" s="191" t="s">
        <v>230</v>
      </c>
      <c r="B84" s="191"/>
      <c r="C84" s="66">
        <v>48</v>
      </c>
      <c r="D84" s="182">
        <f ca="1">((100/I74)*C84)/100</f>
        <v>0.96</v>
      </c>
      <c r="E84" s="182"/>
      <c r="F84" s="182"/>
      <c r="G84" s="182"/>
      <c r="H84" s="182"/>
      <c r="I84" s="182"/>
      <c r="J84" s="182"/>
      <c r="K84" s="58" t="s">
        <v>231</v>
      </c>
      <c r="L84" s="61">
        <f>(IF(B74&gt;4,(I74/(B74+2)+L83),0))</f>
        <v>0</v>
      </c>
    </row>
    <row r="85" spans="1:15" ht="15.75" x14ac:dyDescent="0.25">
      <c r="A85" s="191" t="s">
        <v>232</v>
      </c>
      <c r="B85" s="191" t="s">
        <v>232</v>
      </c>
      <c r="C85" s="66">
        <v>20</v>
      </c>
      <c r="D85" s="182">
        <f ca="1">((100/(I74))*C85)/100</f>
        <v>0.4</v>
      </c>
      <c r="E85" s="182"/>
      <c r="F85" s="182"/>
      <c r="G85" s="182"/>
      <c r="H85" s="182"/>
      <c r="I85" s="182"/>
      <c r="J85" s="182"/>
      <c r="K85" s="58" t="s">
        <v>174</v>
      </c>
      <c r="L85" s="61">
        <f>(IF(B74=1,(I74/(B74+3)+L80),IF(B74=0,(I74/4+L80),IF(B74&gt;1,0))))</f>
        <v>0</v>
      </c>
    </row>
    <row r="86" spans="1:15" ht="16.5" thickBot="1" x14ac:dyDescent="0.3">
      <c r="A86" s="316" t="s">
        <v>233</v>
      </c>
      <c r="B86" s="316"/>
      <c r="C86" s="317">
        <v>0</v>
      </c>
      <c r="D86" s="318">
        <f ca="1">((100/(I74))*C86)/100</f>
        <v>0</v>
      </c>
      <c r="E86" s="318"/>
      <c r="F86" s="318"/>
      <c r="G86" s="318"/>
      <c r="H86" s="318"/>
      <c r="I86" s="318"/>
      <c r="J86" s="318"/>
      <c r="K86" s="63" t="s">
        <v>175</v>
      </c>
      <c r="L86" s="64">
        <f ca="1">(IF(B74&gt;1.5,(I74/(B74+2)+L80+MAX(0,L81-L80)+MAX(0,L82-L81)+MAX(0,L83-L82)+MAX(0,L84-L83)+MAX(0,L85-L84)),IF(B74=1,(I74/(B74+3)+L85),IF(B74=0,I74/4+L85))))</f>
        <v>50</v>
      </c>
    </row>
    <row r="87" spans="1:15" ht="33" customHeight="1" x14ac:dyDescent="0.25">
      <c r="A87" s="319" t="s">
        <v>210</v>
      </c>
      <c r="B87" s="320"/>
      <c r="C87" s="321" t="s">
        <v>348</v>
      </c>
      <c r="D87" s="321"/>
      <c r="E87" s="321"/>
      <c r="F87" s="321"/>
      <c r="G87" s="321"/>
      <c r="H87" s="321"/>
      <c r="I87" s="321"/>
      <c r="J87" s="322"/>
      <c r="K87" s="52" t="str">
        <f ca="1">(IF(F91&gt;99%,"All work completed. Please provide OC.",IF(F91&gt;89.8%,"Plinth, RCC, Brick, Plaster, Flooring, Painting work Completed. Finishing work is in process.",IF(F91&lt;94%,(IF(C91=0,"Work not yet Started.",IF(D91=25%,"Piling work in process",IF(D91=50%,"Excavation work in process",IF(D91=100%,"Excavation work Completed. ","0")))&amp;(IF(C92=0%,"",IF(C92=L93,"Footing work is process",IF(C92=L94,"Footing work Completed",IF(C92=L95,"1st Basement Completed",IF(C92=L96,"1st &amp; 2nd Basement Completed",IF(C92=L97,"1st to 3rd Basement Completed",IF(C92=L98,"1st to 4th Basement Completed",IF(C92=L99,"Plinth work is process",IF(C92=L100,"Plinth work completed","0")))))))))))&amp;(IF(C93=(D88+G88+I88),", RCC Slab",IF(C93&gt;0,", RCC upto "&amp;C93&amp;" Slab",""))&amp;(IF(C94=I88,", Brickwork",IF(C94&gt;0,", Brickwork upto "&amp;C94&amp;" Floor",""))&amp;(IF(C95=I88,", Internal Plaster",IF(C95&gt;0,", Internal Plaster upto "&amp;C95&amp;" Floor",""))&amp;(IF(C96=I88,", External Plaster",IF(C96&gt;0,", External Plaster upto "&amp;C96&amp;" Floor",""))&amp;(IF(C97=I88,", Flooring",IF(C97&gt;0,", Flooring upto "&amp;C97&amp;" Floor",""))&amp;(IF(C98=I88,", Painting",IF(C98&gt;0,", Painting upto "&amp;C98&amp;" Floor",""))&amp;(IF(C99&gt;0,", Finishing upto "&amp;C99&amp;" Floor","")&amp;(IF(C93&gt;0.5," Completed",""))))))))))))))</f>
        <v>Excavation work Completed. Plinth work completed, RCC Slab, Brickwork, Internal Plaster upto 56 Floor, External Plaster upto 54 Floor, Flooring upto 14 Floor, Painting upto 10 Floor Completed</v>
      </c>
      <c r="L87" s="53"/>
    </row>
    <row r="88" spans="1:15" ht="15.75" x14ac:dyDescent="0.25">
      <c r="A88" s="93" t="s">
        <v>148</v>
      </c>
      <c r="B88" s="92">
        <v>2</v>
      </c>
      <c r="C88" s="92" t="s">
        <v>150</v>
      </c>
      <c r="D88" s="92">
        <v>1</v>
      </c>
      <c r="E88" s="189" t="s">
        <v>149</v>
      </c>
      <c r="F88" s="189"/>
      <c r="G88" s="92">
        <v>9</v>
      </c>
      <c r="H88" s="92" t="s">
        <v>211</v>
      </c>
      <c r="I88" s="189">
        <f ca="1">--TRIM(RIGHT(SUBSTITUTE(LEFT(C87,_xlfn.AGGREGATE(16,6,FIND({0,1,2,3,4,5,6,7,8,9},C87,ROW(INDIRECT("1:"&amp;LEN(C87)))),1))," ",REPT(" ",LEN(C87))),LEN(C87)))</f>
        <v>67</v>
      </c>
      <c r="J88" s="323"/>
      <c r="K88" s="56"/>
      <c r="L88" s="57"/>
    </row>
    <row r="89" spans="1:15" ht="48.75" customHeight="1" x14ac:dyDescent="0.25">
      <c r="A89" s="286" t="s">
        <v>212</v>
      </c>
      <c r="B89" s="257"/>
      <c r="C89" s="256" t="str">
        <f ca="1">K87</f>
        <v>Excavation work Completed. Plinth work completed, RCC Slab, Brickwork, Internal Plaster upto 56 Floor, External Plaster upto 54 Floor, Flooring upto 14 Floor, Painting upto 10 Floor Completed</v>
      </c>
      <c r="D89" s="256"/>
      <c r="E89" s="256"/>
      <c r="F89" s="256"/>
      <c r="G89" s="256"/>
      <c r="H89" s="256"/>
      <c r="I89" s="256"/>
      <c r="J89" s="324"/>
      <c r="K89" s="56" t="s">
        <v>213</v>
      </c>
      <c r="L89" s="57"/>
    </row>
    <row r="90" spans="1:15" ht="15.75" x14ac:dyDescent="0.25">
      <c r="A90" s="325" t="s">
        <v>34</v>
      </c>
      <c r="B90" s="172"/>
      <c r="C90" s="91" t="s">
        <v>214</v>
      </c>
      <c r="D90" s="172" t="s">
        <v>215</v>
      </c>
      <c r="E90" s="172"/>
      <c r="F90" s="172" t="s">
        <v>216</v>
      </c>
      <c r="G90" s="172"/>
      <c r="H90" s="172" t="s">
        <v>217</v>
      </c>
      <c r="I90" s="172"/>
      <c r="J90" s="260"/>
      <c r="K90" s="58" t="s">
        <v>218</v>
      </c>
      <c r="L90" s="59">
        <f ca="1">I88*25%</f>
        <v>16.75</v>
      </c>
    </row>
    <row r="91" spans="1:15" ht="15.75" x14ac:dyDescent="0.25">
      <c r="A91" s="190" t="s">
        <v>219</v>
      </c>
      <c r="B91" s="191"/>
      <c r="C91" s="66">
        <f ca="1">L92</f>
        <v>67</v>
      </c>
      <c r="D91" s="182">
        <f ca="1">((100/I88)*C91)/100</f>
        <v>1</v>
      </c>
      <c r="E91" s="182"/>
      <c r="F91" s="182">
        <f ca="1">(((C92/I88*10)+(40/(D88+G88+I88)*C93)+(7.5/(I88)*C94)+(7.5/(I88)*C95)+(10/I88*C96)+(10/I88*C97)+(5/I88*C98)+(5/I88*C99)+(5/I88*C100))/100)</f>
        <v>0.74664179104477602</v>
      </c>
      <c r="G91" s="182"/>
      <c r="H91" s="182">
        <f ca="1">((((C91/I88)*20)+((C92/I88)*25)+(30/(I88+G88+D88)*C93)+(5/I88*C94)+(5/I88*C95)+(5/I88*C96)+(5/I88*C97)+(0/I88*C98)+(0/I88*C99)+(5/I88*C100))/100)</f>
        <v>0.89253731343283571</v>
      </c>
      <c r="I91" s="182"/>
      <c r="J91" s="326"/>
      <c r="K91" s="58" t="s">
        <v>168</v>
      </c>
      <c r="L91" s="60">
        <f ca="1">I88*50%</f>
        <v>33.5</v>
      </c>
      <c r="N91" s="69" t="s">
        <v>237</v>
      </c>
      <c r="O91" s="70"/>
    </row>
    <row r="92" spans="1:15" ht="15.75" x14ac:dyDescent="0.25">
      <c r="A92" s="190" t="s">
        <v>35</v>
      </c>
      <c r="B92" s="191"/>
      <c r="C92" s="67">
        <f ca="1">L100</f>
        <v>67</v>
      </c>
      <c r="D92" s="182">
        <f ca="1">((100/I88)*C92)/100</f>
        <v>1</v>
      </c>
      <c r="E92" s="182"/>
      <c r="F92" s="182"/>
      <c r="G92" s="182"/>
      <c r="H92" s="182"/>
      <c r="I92" s="182"/>
      <c r="J92" s="326"/>
      <c r="K92" s="58" t="s">
        <v>171</v>
      </c>
      <c r="L92" s="60">
        <f ca="1">I88</f>
        <v>67</v>
      </c>
    </row>
    <row r="93" spans="1:15" ht="15.75" x14ac:dyDescent="0.25">
      <c r="A93" s="188" t="s">
        <v>220</v>
      </c>
      <c r="B93" s="189"/>
      <c r="C93" s="67">
        <f>D88+G88+67</f>
        <v>77</v>
      </c>
      <c r="D93" s="182">
        <f ca="1">((100/(D88+G88+I88))*C93)/100</f>
        <v>1</v>
      </c>
      <c r="E93" s="182"/>
      <c r="F93" s="182"/>
      <c r="G93" s="182"/>
      <c r="H93" s="182"/>
      <c r="I93" s="182"/>
      <c r="J93" s="326"/>
      <c r="K93" s="58" t="s">
        <v>172</v>
      </c>
      <c r="L93" s="61">
        <f ca="1">(IF(B88&gt;1,(I88/(B88+2)),I88/4))</f>
        <v>16.75</v>
      </c>
    </row>
    <row r="94" spans="1:15" ht="15.75" x14ac:dyDescent="0.25">
      <c r="A94" s="190" t="s">
        <v>221</v>
      </c>
      <c r="B94" s="191" t="s">
        <v>222</v>
      </c>
      <c r="C94" s="67">
        <f>C93-G88-D88</f>
        <v>67</v>
      </c>
      <c r="D94" s="182">
        <f ca="1">((100/I88)*C94)/100</f>
        <v>1</v>
      </c>
      <c r="E94" s="182"/>
      <c r="F94" s="182"/>
      <c r="G94" s="182"/>
      <c r="H94" s="182"/>
      <c r="I94" s="182"/>
      <c r="J94" s="326"/>
      <c r="K94" s="58" t="s">
        <v>173</v>
      </c>
      <c r="L94" s="61">
        <f ca="1">(IF(B88&gt;1,(I88/(B88+2)+L93),I88/4+L93))</f>
        <v>33.5</v>
      </c>
      <c r="O94">
        <f>68*0.8</f>
        <v>54.400000000000006</v>
      </c>
    </row>
    <row r="95" spans="1:15" ht="15" customHeight="1" x14ac:dyDescent="0.25">
      <c r="A95" s="190" t="s">
        <v>223</v>
      </c>
      <c r="B95" s="191" t="s">
        <v>222</v>
      </c>
      <c r="C95" s="67">
        <v>56</v>
      </c>
      <c r="D95" s="182">
        <f ca="1">((100/I88)*C95)/100</f>
        <v>0.83582089552238814</v>
      </c>
      <c r="E95" s="182"/>
      <c r="F95" s="182"/>
      <c r="G95" s="182"/>
      <c r="H95" s="182"/>
      <c r="I95" s="182"/>
      <c r="J95" s="326"/>
      <c r="K95" s="58" t="s">
        <v>224</v>
      </c>
      <c r="L95" s="61">
        <f ca="1">(IF(B88&gt;1,(I88/(B88+2)+L94),0))</f>
        <v>50.25</v>
      </c>
      <c r="N95">
        <f>0.8*66</f>
        <v>52.800000000000004</v>
      </c>
    </row>
    <row r="96" spans="1:15" ht="15.75" x14ac:dyDescent="0.25">
      <c r="A96" s="190" t="s">
        <v>225</v>
      </c>
      <c r="B96" s="191" t="s">
        <v>226</v>
      </c>
      <c r="C96" s="67">
        <v>54</v>
      </c>
      <c r="D96" s="182">
        <f ca="1">((100/(I88))*C96)/100</f>
        <v>0.80597014925373145</v>
      </c>
      <c r="E96" s="182"/>
      <c r="F96" s="182"/>
      <c r="G96" s="182"/>
      <c r="H96" s="182"/>
      <c r="I96" s="182"/>
      <c r="J96" s="326"/>
      <c r="K96" s="58" t="s">
        <v>227</v>
      </c>
      <c r="L96" s="61">
        <f>(IF(B88&gt;2,(I88/(B88+2)+L95),0))</f>
        <v>0</v>
      </c>
    </row>
    <row r="97" spans="1:15" ht="15.75" x14ac:dyDescent="0.25">
      <c r="A97" s="190" t="s">
        <v>228</v>
      </c>
      <c r="B97" s="191" t="s">
        <v>228</v>
      </c>
      <c r="C97" s="66">
        <v>14</v>
      </c>
      <c r="D97" s="182">
        <f ca="1">((100/I88)*C97)/100</f>
        <v>0.20895522388059704</v>
      </c>
      <c r="E97" s="182"/>
      <c r="F97" s="182"/>
      <c r="G97" s="182"/>
      <c r="H97" s="182"/>
      <c r="I97" s="182"/>
      <c r="J97" s="326"/>
      <c r="K97" s="58" t="s">
        <v>229</v>
      </c>
      <c r="L97" s="62">
        <f>(IF(B88&gt;3,(I88/(B88+2)+L96),0))</f>
        <v>0</v>
      </c>
    </row>
    <row r="98" spans="1:15" ht="15" customHeight="1" x14ac:dyDescent="0.25">
      <c r="A98" s="190" t="s">
        <v>230</v>
      </c>
      <c r="B98" s="191"/>
      <c r="C98" s="66">
        <v>10</v>
      </c>
      <c r="D98" s="182">
        <f ca="1">((100/I88)*C98)/100</f>
        <v>0.1492537313432836</v>
      </c>
      <c r="E98" s="182"/>
      <c r="F98" s="182"/>
      <c r="G98" s="182"/>
      <c r="H98" s="182"/>
      <c r="I98" s="182"/>
      <c r="J98" s="326"/>
      <c r="K98" s="58" t="s">
        <v>231</v>
      </c>
      <c r="L98" s="61">
        <f>(IF(B88&gt;4,(I88/(B88+2)+L97),0))</f>
        <v>0</v>
      </c>
    </row>
    <row r="99" spans="1:15" ht="15.75" x14ac:dyDescent="0.25">
      <c r="A99" s="190" t="s">
        <v>232</v>
      </c>
      <c r="B99" s="191" t="s">
        <v>232</v>
      </c>
      <c r="C99" s="66">
        <v>0</v>
      </c>
      <c r="D99" s="182">
        <f ca="1">((100/(I88))*C99)/100</f>
        <v>0</v>
      </c>
      <c r="E99" s="182"/>
      <c r="F99" s="182"/>
      <c r="G99" s="182"/>
      <c r="H99" s="182"/>
      <c r="I99" s="182"/>
      <c r="J99" s="326"/>
      <c r="K99" s="58" t="s">
        <v>174</v>
      </c>
      <c r="L99" s="61">
        <f>(IF(B88=1,(I88/(B88+3)+L94),IF(B88=0,(I88/4+L94),IF(B88&gt;1,0))))</f>
        <v>0</v>
      </c>
    </row>
    <row r="100" spans="1:15" ht="16.5" thickBot="1" x14ac:dyDescent="0.3">
      <c r="A100" s="241" t="s">
        <v>233</v>
      </c>
      <c r="B100" s="242"/>
      <c r="C100" s="68">
        <v>0</v>
      </c>
      <c r="D100" s="183">
        <f ca="1">((100/(I88))*C100)/100</f>
        <v>0</v>
      </c>
      <c r="E100" s="183"/>
      <c r="F100" s="183"/>
      <c r="G100" s="183"/>
      <c r="H100" s="183"/>
      <c r="I100" s="183"/>
      <c r="J100" s="327"/>
      <c r="K100" s="63" t="s">
        <v>175</v>
      </c>
      <c r="L100" s="64">
        <f ca="1">(IF(B88&gt;1.5,(I88/(B88+2)+L94+MAX(0,L95-L94)+MAX(0,L96-L95)+MAX(0,L97-L96)+MAX(0,L98-L97)+MAX(0,L99-L98)),IF(B88=1,(I88/(B88+3)+L99),IF(B88=0,I88/4+L99))))</f>
        <v>67</v>
      </c>
    </row>
    <row r="101" spans="1:15" x14ac:dyDescent="0.25">
      <c r="A101" s="228" t="s">
        <v>57</v>
      </c>
      <c r="B101" s="229"/>
      <c r="C101" s="229"/>
      <c r="D101" s="229"/>
      <c r="E101" s="229"/>
      <c r="F101" s="229"/>
      <c r="G101" s="229"/>
      <c r="H101" s="229"/>
      <c r="I101" s="229"/>
      <c r="J101" s="230"/>
    </row>
    <row r="102" spans="1:15" x14ac:dyDescent="0.25">
      <c r="A102" s="184" t="s">
        <v>50</v>
      </c>
      <c r="B102" s="185"/>
      <c r="C102" s="185"/>
      <c r="D102" s="185"/>
      <c r="E102" s="185"/>
      <c r="F102" s="185"/>
      <c r="G102" s="185"/>
      <c r="H102" s="185"/>
      <c r="I102" s="185"/>
      <c r="J102" s="186"/>
    </row>
    <row r="103" spans="1:15" ht="15" customHeight="1" x14ac:dyDescent="0.25">
      <c r="A103" s="243" t="s">
        <v>183</v>
      </c>
      <c r="B103" s="244"/>
      <c r="C103" s="244"/>
      <c r="D103" s="244"/>
      <c r="E103" s="244"/>
      <c r="F103" s="244"/>
      <c r="G103" s="244"/>
      <c r="H103" s="244"/>
      <c r="I103" s="244"/>
      <c r="J103" s="245"/>
    </row>
    <row r="104" spans="1:15" x14ac:dyDescent="0.25">
      <c r="A104" s="246"/>
      <c r="B104" s="247"/>
      <c r="C104" s="247"/>
      <c r="D104" s="247"/>
      <c r="E104" s="247"/>
      <c r="F104" s="247"/>
      <c r="G104" s="247"/>
      <c r="H104" s="247"/>
      <c r="I104" s="247"/>
      <c r="J104" s="248"/>
    </row>
    <row r="105" spans="1:15" ht="2.25" customHeight="1" x14ac:dyDescent="0.25">
      <c r="A105" s="246"/>
      <c r="B105" s="247"/>
      <c r="C105" s="247"/>
      <c r="D105" s="247"/>
      <c r="E105" s="247"/>
      <c r="F105" s="247"/>
      <c r="G105" s="247"/>
      <c r="H105" s="247"/>
      <c r="I105" s="247"/>
      <c r="J105" s="248"/>
    </row>
    <row r="106" spans="1:15" ht="15" hidden="1" customHeight="1" x14ac:dyDescent="0.25">
      <c r="A106" s="246"/>
      <c r="B106" s="247"/>
      <c r="C106" s="247"/>
      <c r="D106" s="247"/>
      <c r="E106" s="247"/>
      <c r="F106" s="247"/>
      <c r="G106" s="247"/>
      <c r="H106" s="247"/>
      <c r="I106" s="247"/>
      <c r="J106" s="248"/>
    </row>
    <row r="107" spans="1:15" ht="15" hidden="1" customHeight="1" x14ac:dyDescent="0.25">
      <c r="A107" s="246"/>
      <c r="B107" s="247"/>
      <c r="C107" s="247"/>
      <c r="D107" s="247"/>
      <c r="E107" s="247"/>
      <c r="F107" s="247"/>
      <c r="G107" s="247"/>
      <c r="H107" s="247"/>
      <c r="I107" s="247"/>
      <c r="J107" s="248"/>
    </row>
    <row r="108" spans="1:15" ht="15" hidden="1" customHeight="1" x14ac:dyDescent="0.25">
      <c r="A108" s="246"/>
      <c r="B108" s="247"/>
      <c r="C108" s="247"/>
      <c r="D108" s="247"/>
      <c r="E108" s="247"/>
      <c r="F108" s="247"/>
      <c r="G108" s="247"/>
      <c r="H108" s="247"/>
      <c r="I108" s="247"/>
      <c r="J108" s="248"/>
    </row>
    <row r="109" spans="1:15" ht="15" hidden="1" customHeight="1" x14ac:dyDescent="0.25">
      <c r="A109" s="249"/>
      <c r="B109" s="250"/>
      <c r="C109" s="250"/>
      <c r="D109" s="250"/>
      <c r="E109" s="250"/>
      <c r="F109" s="250"/>
      <c r="G109" s="250"/>
      <c r="H109" s="250"/>
      <c r="I109" s="250"/>
      <c r="J109" s="251"/>
    </row>
    <row r="110" spans="1:15" x14ac:dyDescent="0.25">
      <c r="A110" s="197" t="s">
        <v>24</v>
      </c>
      <c r="B110" s="198"/>
      <c r="C110" s="198"/>
      <c r="D110" s="198"/>
      <c r="E110" s="198"/>
      <c r="F110" s="198"/>
      <c r="G110" s="198"/>
      <c r="H110" s="198"/>
      <c r="I110" s="198"/>
      <c r="J110" s="199"/>
    </row>
    <row r="111" spans="1:15" x14ac:dyDescent="0.25">
      <c r="A111" s="118" t="s">
        <v>129</v>
      </c>
      <c r="B111" s="119"/>
      <c r="C111" s="119"/>
      <c r="D111" s="119"/>
      <c r="E111" s="119"/>
      <c r="F111" s="120"/>
      <c r="G111" s="200">
        <v>45000</v>
      </c>
      <c r="H111" s="201"/>
      <c r="I111" s="201"/>
      <c r="J111" s="202"/>
      <c r="L111" s="72" t="s">
        <v>241</v>
      </c>
      <c r="M111" s="72" t="s">
        <v>242</v>
      </c>
      <c r="N111" s="72" t="s">
        <v>243</v>
      </c>
      <c r="O111" s="73">
        <v>45138</v>
      </c>
    </row>
    <row r="112" spans="1:15" x14ac:dyDescent="0.25">
      <c r="A112" s="118" t="s">
        <v>181</v>
      </c>
      <c r="B112" s="119"/>
      <c r="C112" s="119"/>
      <c r="D112" s="119"/>
      <c r="E112" s="119"/>
      <c r="F112" s="120"/>
      <c r="G112" s="108">
        <v>600</v>
      </c>
      <c r="H112" s="109"/>
      <c r="I112" s="109"/>
      <c r="J112" s="110"/>
      <c r="L112" t="s">
        <v>316</v>
      </c>
      <c r="M112" t="s">
        <v>317</v>
      </c>
      <c r="N112" s="36">
        <v>45276</v>
      </c>
    </row>
    <row r="113" spans="1:16" hidden="1" x14ac:dyDescent="0.25">
      <c r="A113" s="118" t="s">
        <v>177</v>
      </c>
      <c r="B113" s="119"/>
      <c r="C113" s="119"/>
      <c r="D113" s="119"/>
      <c r="E113" s="119"/>
      <c r="F113" s="120"/>
      <c r="G113" s="11" t="s">
        <v>180</v>
      </c>
      <c r="H113" s="12"/>
      <c r="I113" s="12"/>
      <c r="J113" s="13"/>
    </row>
    <row r="114" spans="1:16" x14ac:dyDescent="0.25">
      <c r="A114" s="118" t="s">
        <v>74</v>
      </c>
      <c r="B114" s="119"/>
      <c r="C114" s="119"/>
      <c r="D114" s="119"/>
      <c r="E114" s="119"/>
      <c r="F114" s="120"/>
      <c r="G114" s="121">
        <v>5000</v>
      </c>
      <c r="H114" s="109"/>
      <c r="I114" s="109"/>
      <c r="J114" s="110"/>
    </row>
    <row r="115" spans="1:16" x14ac:dyDescent="0.25">
      <c r="A115" s="118" t="s">
        <v>178</v>
      </c>
      <c r="B115" s="119"/>
      <c r="C115" s="119"/>
      <c r="D115" s="119"/>
      <c r="E115" s="119"/>
      <c r="F115" s="120"/>
      <c r="G115" s="121">
        <v>150000</v>
      </c>
      <c r="H115" s="109"/>
      <c r="I115" s="109"/>
      <c r="J115" s="110"/>
    </row>
    <row r="116" spans="1:16" x14ac:dyDescent="0.25">
      <c r="A116" s="118" t="s">
        <v>179</v>
      </c>
      <c r="B116" s="119"/>
      <c r="C116" s="119"/>
      <c r="D116" s="119"/>
      <c r="E116" s="119"/>
      <c r="F116" s="120"/>
      <c r="G116" s="121">
        <v>20000</v>
      </c>
      <c r="H116" s="109"/>
      <c r="I116" s="109"/>
      <c r="J116" s="110"/>
    </row>
    <row r="117" spans="1:16" x14ac:dyDescent="0.25">
      <c r="A117" s="118" t="s">
        <v>191</v>
      </c>
      <c r="B117" s="119"/>
      <c r="C117" s="119"/>
      <c r="D117" s="119"/>
      <c r="E117" s="119"/>
      <c r="F117" s="120"/>
      <c r="G117" s="121">
        <v>1500000</v>
      </c>
      <c r="H117" s="109"/>
      <c r="I117" s="109"/>
      <c r="J117" s="110"/>
    </row>
    <row r="118" spans="1:16" x14ac:dyDescent="0.25">
      <c r="A118" s="118" t="s">
        <v>192</v>
      </c>
      <c r="B118" s="119"/>
      <c r="C118" s="119"/>
      <c r="D118" s="119"/>
      <c r="E118" s="119"/>
      <c r="F118" s="120"/>
      <c r="G118" s="121">
        <v>600000</v>
      </c>
      <c r="H118" s="109"/>
      <c r="I118" s="109"/>
      <c r="J118" s="110"/>
    </row>
    <row r="119" spans="1:16" x14ac:dyDescent="0.25">
      <c r="A119" s="224" t="s">
        <v>235</v>
      </c>
      <c r="B119" s="225"/>
      <c r="C119" s="225"/>
      <c r="D119" s="225"/>
      <c r="E119" s="225"/>
      <c r="F119" s="226"/>
      <c r="G119" s="121">
        <v>600000</v>
      </c>
      <c r="H119" s="109"/>
      <c r="I119" s="109"/>
      <c r="J119" s="110"/>
      <c r="P119" t="s">
        <v>234</v>
      </c>
    </row>
    <row r="120" spans="1:16" x14ac:dyDescent="0.25">
      <c r="A120" s="118" t="s">
        <v>236</v>
      </c>
      <c r="B120" s="119"/>
      <c r="C120" s="119"/>
      <c r="D120" s="119"/>
      <c r="E120" s="119"/>
      <c r="F120" s="120"/>
      <c r="G120" s="121">
        <v>500000</v>
      </c>
      <c r="H120" s="109"/>
      <c r="I120" s="109"/>
      <c r="J120" s="110"/>
    </row>
    <row r="121" spans="1:16" x14ac:dyDescent="0.25">
      <c r="A121" s="118" t="s">
        <v>97</v>
      </c>
      <c r="B121" s="119"/>
      <c r="C121" s="119"/>
      <c r="D121" s="119"/>
      <c r="E121" s="119"/>
      <c r="F121" s="120"/>
      <c r="G121" s="121">
        <v>1500000</v>
      </c>
      <c r="H121" s="109"/>
      <c r="I121" s="109"/>
      <c r="J121" s="110"/>
    </row>
    <row r="122" spans="1:16" s="1" customFormat="1" ht="14.45" customHeight="1" x14ac:dyDescent="0.25">
      <c r="A122" s="197" t="s">
        <v>106</v>
      </c>
      <c r="B122" s="198"/>
      <c r="C122" s="198"/>
      <c r="D122" s="198"/>
      <c r="E122" s="198"/>
      <c r="F122" s="199"/>
      <c r="G122" s="200">
        <f>G111*0.8</f>
        <v>36000</v>
      </c>
      <c r="H122" s="201"/>
      <c r="I122" s="201"/>
      <c r="J122" s="202"/>
    </row>
    <row r="123" spans="1:16" s="1" customFormat="1" ht="14.45" customHeight="1" x14ac:dyDescent="0.25">
      <c r="A123" s="297" t="s">
        <v>307</v>
      </c>
      <c r="B123" s="298"/>
      <c r="C123" s="298"/>
      <c r="D123" s="298"/>
      <c r="E123" s="298"/>
      <c r="F123" s="298"/>
      <c r="G123" s="298"/>
      <c r="H123" s="298"/>
      <c r="I123" s="298"/>
      <c r="J123" s="299"/>
    </row>
    <row r="124" spans="1:16" s="81" customFormat="1" ht="14.45" customHeight="1" x14ac:dyDescent="0.25">
      <c r="A124" s="300" t="s">
        <v>308</v>
      </c>
      <c r="B124" s="300"/>
      <c r="C124" s="300" t="s">
        <v>309</v>
      </c>
      <c r="D124" s="300"/>
      <c r="E124" s="300" t="s">
        <v>310</v>
      </c>
      <c r="F124" s="300"/>
      <c r="G124" s="300"/>
      <c r="H124" s="301" t="s">
        <v>311</v>
      </c>
      <c r="I124" s="301"/>
      <c r="J124" s="301"/>
    </row>
    <row r="125" spans="1:16" s="80" customFormat="1" ht="14.45" customHeight="1" x14ac:dyDescent="0.25">
      <c r="A125" s="302" t="s">
        <v>312</v>
      </c>
      <c r="B125" s="302"/>
      <c r="C125" s="302">
        <f>COUNT(D138:E143)*2+COUNT(D146:E153)*8+COUNT(D155:E162)*18+COUNT(D165:E170)*3+COUNT(D174:E181)*14+COUNT(D184:E189)*2+COUNT(D192:E199)*4+COUNT(D202:E207,D210:E215,D217:E222,D224:E229,D231:E236)</f>
        <v>424</v>
      </c>
      <c r="D125" s="302"/>
      <c r="E125" s="302">
        <f>SUM(D138:E143)*2+SUM(D146:E153)*8+SUM(D155:E162)*18+SUM(D165:E170)*3+SUM(D174:E181)*14+SUM(D184:E189)*2+SUM(D192:E199)*4+SUM(D202:E207,D210:E215,D217:E222,D224:E229,D231:E236)</f>
        <v>398408</v>
      </c>
      <c r="F125" s="302"/>
      <c r="G125" s="302"/>
      <c r="H125" s="302">
        <f>SUM(G138:H143)*2+SUM(G146:H153)*8+SUM(G155:H162)*18+SUM(G165:H170)*3+SUM(G174:H181)*14+SUM(G184:H189)*2+SUM(G192:H199)*4+SUM(G202:H207,G210:H215,G217:H222,G224:H229,G231:H236)</f>
        <v>637475</v>
      </c>
      <c r="I125" s="302"/>
      <c r="J125" s="302"/>
    </row>
    <row r="126" spans="1:16" s="80" customFormat="1" ht="14.45" customHeight="1" x14ac:dyDescent="0.25">
      <c r="A126" s="302" t="s">
        <v>313</v>
      </c>
      <c r="B126" s="302"/>
      <c r="C126" s="302">
        <f>COUNT(D242:E244)*2+COUNT(D246:E249)*8+COUNT(D251:E254)*18+COUNT(D257:E259)*3+COUNT(D262:E265)*10+COUNT(D268:E270)</f>
        <v>162</v>
      </c>
      <c r="D126" s="302"/>
      <c r="E126" s="302">
        <f>SUM(D242:E244)*2+SUM(D246:E249)*8+SUM(D251:E254)*18+SUM(D257:E259)*3+SUM(D262:E265)*10+SUM(D268:E270)</f>
        <v>246901</v>
      </c>
      <c r="F126" s="302"/>
      <c r="G126" s="302"/>
      <c r="H126" s="302">
        <f>SUM(G242:H244)*2+SUM(G246:H249)*8+SUM(G251:H254)*18+SUM(G257:H259)*3+SUM(G262:H265)*10+SUM(G268:H270)</f>
        <v>394982</v>
      </c>
      <c r="I126" s="302"/>
      <c r="J126" s="302"/>
    </row>
    <row r="127" spans="1:16" s="80" customFormat="1" ht="14.45" customHeight="1" x14ac:dyDescent="0.25">
      <c r="A127" s="302" t="s">
        <v>314</v>
      </c>
      <c r="B127" s="302"/>
      <c r="C127" s="303">
        <f>COUNT(D275:E276,D279:E282)*2+COUNT(D284:E291)*2+COUNT(D293:E300)*6+COUNT(D302:E309)*16+COUNT(D311:E318)*3+COUNT(D320:E321,D324:E327)*3+COUNT(D330:E337)*10+COUNT(D339:E340,D343:E346)*2+COUNT(D348:E355)+COUNT(D357:E363)+COUNT(D365:E371)+COUNT(D373:E380)+COUNT(D382:E389)+COUNT(D391:E392,D395:E398)+COUNT(D400:E407)+COUNT(D409:E416)+COUNT(D418:E425)+COUNT(D427:E434)+COUNT(D436:E443)+COUNT(D445:E451)+COUNT(D453:E454,D457:E459)+COUNT(D461:E467)+COUNT(D469:E475)+COUNT(D477:E483)+COUNT(D485:E491)+COUNT(D493:E499)+COUNT(D501:E507)+COUNT(D509:E510,D512:E515)+COUNT(D517:E523)*2</f>
        <v>495</v>
      </c>
      <c r="D127" s="303"/>
      <c r="E127" s="303">
        <f>SUM(D275:E276,D279:E282)*2+SUM(D284:E291)*2+SUM(D293:E300)*6+SUM(D302:E309)*16+SUM(D311:E318)*3+SUM(D320:E321,D324:E327)*3+SUM(D330:E337)*10+SUM(D339:E340,D343:E346)*2+SUM(D348:E355)+SUM(D357:E363)+SUM(D365:E371)+SUM(D373:E380)+SUM(D382:E389)+SUM(D391:E392,D395:E398)+SUM(D400:E407)+SUM(D409:E416)+SUM(D418:E425)+SUM(D427:E434)+SUM(D436:E443)+SUM(D445:E451)+SUM(D453:E454,D457:E459)+SUM(D461:E467)+SUM(D469:E475)+SUM(D477:E483)+SUM(D485:E491)+SUM(D493:E499)+SUM(D501:E507)+SUM(D509:E510,D512:E515)+SUM(D517:E523)*2</f>
        <v>461028.57839999994</v>
      </c>
      <c r="F127" s="303"/>
      <c r="G127" s="303"/>
      <c r="H127" s="303">
        <f>SUM(G275:H276,G279:H282)*2+SUM(G284:H291)*2+SUM(G293:H300)*6+SUM(G302:H309)*16+SUM(G311:H318)*3+SUM(G320:H321,G324:H327)*3+SUM(G330:H337)*10+SUM(G339:H340,G343:H346)*2+SUM(G348:H355)+SUM(G357:H363)+SUM(G365:H371)+SUM(G373:H380)+SUM(G382:H389)+SUM(G391:H392,G395:H398)+SUM(G400:H407)+SUM(G409:H416)+SUM(G418:H425)+SUM(G427:H434)+SUM(G436:H443)+SUM(G445:H451)+SUM(G453:H454,G457:H459)+SUM(G461:H467)+SUM(G469:H475)+SUM(G477:H483)+SUM(G485:H491)+SUM(G493:H499)+SUM(G501:H507)+SUM(G509:H510,G512:H515)+SUM(G517:H523)*2</f>
        <v>737645.72544000018</v>
      </c>
      <c r="I127" s="303"/>
      <c r="J127" s="303"/>
    </row>
    <row r="128" spans="1:16" s="81" customFormat="1" ht="14.45" customHeight="1" x14ac:dyDescent="0.25">
      <c r="A128" s="300" t="s">
        <v>94</v>
      </c>
      <c r="B128" s="300"/>
      <c r="C128" s="300">
        <f>SUM(C125:C127)</f>
        <v>1081</v>
      </c>
      <c r="D128" s="300"/>
      <c r="E128" s="304">
        <f>SUM(E125:E127)</f>
        <v>1106337.5784</v>
      </c>
      <c r="F128" s="304"/>
      <c r="G128" s="304"/>
      <c r="H128" s="305">
        <f>SUM(H125:H127)</f>
        <v>1770102.7254400002</v>
      </c>
      <c r="I128" s="305"/>
      <c r="J128" s="305"/>
    </row>
    <row r="129" spans="1:12" s="1" customFormat="1" ht="18" customHeight="1" x14ac:dyDescent="0.25">
      <c r="A129" s="156" t="s">
        <v>107</v>
      </c>
      <c r="B129" s="157"/>
      <c r="C129" s="157"/>
      <c r="D129" s="157"/>
      <c r="E129" s="157"/>
      <c r="F129" s="157"/>
      <c r="G129" s="157"/>
      <c r="H129" s="157"/>
      <c r="I129" s="157"/>
      <c r="J129" s="158"/>
    </row>
    <row r="130" spans="1:12" x14ac:dyDescent="0.25">
      <c r="A130" s="159" t="s">
        <v>46</v>
      </c>
      <c r="B130" s="160"/>
      <c r="C130" s="160"/>
      <c r="D130" s="160"/>
      <c r="E130" s="160"/>
      <c r="F130" s="160"/>
      <c r="G130" s="160"/>
      <c r="H130" s="160"/>
      <c r="I130" s="160"/>
      <c r="J130" s="161"/>
    </row>
    <row r="131" spans="1:12" ht="38.25" x14ac:dyDescent="0.25">
      <c r="A131" s="162" t="s">
        <v>32</v>
      </c>
      <c r="B131" s="163"/>
      <c r="C131" s="3" t="s">
        <v>29</v>
      </c>
      <c r="D131" s="164" t="s">
        <v>75</v>
      </c>
      <c r="E131" s="165"/>
      <c r="F131" s="9" t="s">
        <v>30</v>
      </c>
      <c r="G131" s="3" t="s">
        <v>182</v>
      </c>
      <c r="H131" s="3" t="s">
        <v>31</v>
      </c>
      <c r="I131" s="162" t="s">
        <v>108</v>
      </c>
      <c r="J131" s="163"/>
    </row>
    <row r="132" spans="1:12" s="10" customFormat="1" ht="15.75" x14ac:dyDescent="0.25">
      <c r="A132" s="155" t="s">
        <v>300</v>
      </c>
      <c r="B132" s="155"/>
      <c r="C132" s="155"/>
      <c r="D132" s="155"/>
      <c r="E132" s="155"/>
      <c r="F132" s="155"/>
      <c r="G132" s="155"/>
      <c r="H132" s="155"/>
      <c r="I132" s="155"/>
      <c r="J132" s="155"/>
    </row>
    <row r="133" spans="1:12" s="10" customFormat="1" ht="15.75" x14ac:dyDescent="0.25">
      <c r="A133" s="155" t="s">
        <v>299</v>
      </c>
      <c r="B133" s="155"/>
      <c r="C133" s="155"/>
      <c r="D133" s="155"/>
      <c r="E133" s="155"/>
      <c r="F133" s="155"/>
      <c r="G133" s="155"/>
      <c r="H133" s="155"/>
      <c r="I133" s="155"/>
      <c r="J133" s="155"/>
    </row>
    <row r="134" spans="1:12" s="10" customFormat="1" ht="15.75" customHeight="1" x14ac:dyDescent="0.25">
      <c r="A134" s="96" t="s">
        <v>286</v>
      </c>
      <c r="B134" s="96"/>
      <c r="C134" s="96"/>
      <c r="D134" s="96"/>
      <c r="E134" s="96"/>
      <c r="F134" s="96"/>
      <c r="G134" s="96"/>
      <c r="H134" s="96"/>
      <c r="I134" s="96"/>
      <c r="J134" s="96"/>
    </row>
    <row r="135" spans="1:12" s="10" customFormat="1" ht="15.75" customHeight="1" x14ac:dyDescent="0.25">
      <c r="A135" s="96" t="s">
        <v>287</v>
      </c>
      <c r="B135" s="96"/>
      <c r="C135" s="96"/>
      <c r="D135" s="96"/>
      <c r="E135" s="96"/>
      <c r="F135" s="96"/>
      <c r="G135" s="96"/>
      <c r="H135" s="96"/>
      <c r="I135" s="96"/>
      <c r="J135" s="96"/>
    </row>
    <row r="136" spans="1:12" s="10" customFormat="1" ht="15.75" customHeight="1" x14ac:dyDescent="0.25">
      <c r="A136" s="96" t="s">
        <v>288</v>
      </c>
      <c r="B136" s="96"/>
      <c r="C136" s="96"/>
      <c r="D136" s="96"/>
      <c r="E136" s="96"/>
      <c r="F136" s="96"/>
      <c r="G136" s="96"/>
      <c r="H136" s="96"/>
      <c r="I136" s="96"/>
      <c r="J136" s="96"/>
    </row>
    <row r="137" spans="1:12" s="10" customFormat="1" ht="15.75" x14ac:dyDescent="0.25">
      <c r="A137" s="97">
        <v>1</v>
      </c>
      <c r="B137" s="97"/>
      <c r="C137" s="96" t="s">
        <v>269</v>
      </c>
      <c r="D137" s="96"/>
      <c r="E137" s="96"/>
      <c r="F137" s="96"/>
      <c r="G137" s="96"/>
      <c r="H137" s="96"/>
      <c r="I137" s="99" t="s">
        <v>288</v>
      </c>
      <c r="J137" s="99"/>
    </row>
    <row r="138" spans="1:12" s="10" customFormat="1" ht="15.75" x14ac:dyDescent="0.25">
      <c r="A138" s="97">
        <v>2</v>
      </c>
      <c r="B138" s="97"/>
      <c r="C138" s="90" t="s">
        <v>208</v>
      </c>
      <c r="D138" s="97">
        <v>693</v>
      </c>
      <c r="E138" s="97"/>
      <c r="F138" s="89">
        <v>0</v>
      </c>
      <c r="G138" s="89">
        <v>1108</v>
      </c>
      <c r="H138" s="90" t="s">
        <v>289</v>
      </c>
      <c r="I138" s="99"/>
      <c r="J138" s="99"/>
      <c r="L138" s="71">
        <f>G138/D138</f>
        <v>1.5988455988455987</v>
      </c>
    </row>
    <row r="139" spans="1:12" s="10" customFormat="1" ht="15.75" x14ac:dyDescent="0.25">
      <c r="A139" s="97">
        <v>3</v>
      </c>
      <c r="B139" s="97"/>
      <c r="C139" s="90" t="s">
        <v>208</v>
      </c>
      <c r="D139" s="97">
        <v>703</v>
      </c>
      <c r="E139" s="97"/>
      <c r="F139" s="89">
        <v>0</v>
      </c>
      <c r="G139" s="89">
        <v>1125</v>
      </c>
      <c r="H139" s="90" t="s">
        <v>289</v>
      </c>
      <c r="I139" s="99"/>
      <c r="J139" s="99"/>
    </row>
    <row r="140" spans="1:12" s="10" customFormat="1" ht="15.75" customHeight="1" x14ac:dyDescent="0.25">
      <c r="A140" s="97">
        <v>4</v>
      </c>
      <c r="B140" s="97"/>
      <c r="C140" s="90" t="s">
        <v>208</v>
      </c>
      <c r="D140" s="97">
        <v>714</v>
      </c>
      <c r="E140" s="97"/>
      <c r="F140" s="89">
        <v>0</v>
      </c>
      <c r="G140" s="89">
        <v>1142</v>
      </c>
      <c r="H140" s="90" t="s">
        <v>289</v>
      </c>
      <c r="I140" s="99"/>
      <c r="J140" s="99"/>
    </row>
    <row r="141" spans="1:12" s="10" customFormat="1" ht="15.75" x14ac:dyDescent="0.25">
      <c r="A141" s="97">
        <v>5</v>
      </c>
      <c r="B141" s="97"/>
      <c r="C141" s="90" t="s">
        <v>208</v>
      </c>
      <c r="D141" s="97">
        <v>703</v>
      </c>
      <c r="E141" s="97"/>
      <c r="F141" s="89">
        <v>0</v>
      </c>
      <c r="G141" s="89">
        <v>1125</v>
      </c>
      <c r="H141" s="90" t="s">
        <v>289</v>
      </c>
      <c r="I141" s="99"/>
      <c r="J141" s="99"/>
    </row>
    <row r="142" spans="1:12" s="10" customFormat="1" ht="15.75" x14ac:dyDescent="0.25">
      <c r="A142" s="97">
        <v>6</v>
      </c>
      <c r="B142" s="97"/>
      <c r="C142" s="90" t="s">
        <v>203</v>
      </c>
      <c r="D142" s="97">
        <v>967</v>
      </c>
      <c r="E142" s="97"/>
      <c r="F142" s="89">
        <v>0</v>
      </c>
      <c r="G142" s="89">
        <v>1547</v>
      </c>
      <c r="H142" s="90" t="s">
        <v>289</v>
      </c>
      <c r="I142" s="99"/>
      <c r="J142" s="99"/>
    </row>
    <row r="143" spans="1:12" s="10" customFormat="1" ht="15.75" x14ac:dyDescent="0.25">
      <c r="A143" s="97">
        <v>7</v>
      </c>
      <c r="B143" s="97"/>
      <c r="C143" s="90" t="s">
        <v>203</v>
      </c>
      <c r="D143" s="97">
        <v>1464</v>
      </c>
      <c r="E143" s="97"/>
      <c r="F143" s="89">
        <v>0</v>
      </c>
      <c r="G143" s="89">
        <v>2342</v>
      </c>
      <c r="H143" s="90" t="s">
        <v>289</v>
      </c>
      <c r="I143" s="99"/>
      <c r="J143" s="99"/>
    </row>
    <row r="144" spans="1:12" s="10" customFormat="1" ht="15.75" x14ac:dyDescent="0.25">
      <c r="A144" s="97">
        <v>8</v>
      </c>
      <c r="B144" s="97"/>
      <c r="C144" s="96" t="s">
        <v>269</v>
      </c>
      <c r="D144" s="96"/>
      <c r="E144" s="96"/>
      <c r="F144" s="96"/>
      <c r="G144" s="96"/>
      <c r="H144" s="96"/>
      <c r="I144" s="99"/>
      <c r="J144" s="99"/>
    </row>
    <row r="145" spans="1:16" s="10" customFormat="1" ht="15.75" customHeight="1" x14ac:dyDescent="0.25">
      <c r="A145" s="96" t="s">
        <v>290</v>
      </c>
      <c r="B145" s="96"/>
      <c r="C145" s="96"/>
      <c r="D145" s="96"/>
      <c r="E145" s="96"/>
      <c r="F145" s="96"/>
      <c r="G145" s="96"/>
      <c r="H145" s="96"/>
      <c r="I145" s="96"/>
      <c r="J145" s="96"/>
    </row>
    <row r="146" spans="1:16" s="10" customFormat="1" ht="15.75" customHeight="1" x14ac:dyDescent="0.25">
      <c r="A146" s="97">
        <v>1</v>
      </c>
      <c r="B146" s="97"/>
      <c r="C146" s="90" t="s">
        <v>203</v>
      </c>
      <c r="D146" s="97">
        <v>969</v>
      </c>
      <c r="E146" s="97"/>
      <c r="F146" s="89">
        <v>0</v>
      </c>
      <c r="G146" s="89">
        <v>1551</v>
      </c>
      <c r="H146" s="90" t="s">
        <v>289</v>
      </c>
      <c r="I146" s="99" t="s">
        <v>290</v>
      </c>
      <c r="J146" s="99"/>
      <c r="L146" s="34">
        <f>62200500/G146</f>
        <v>40103.48162475822</v>
      </c>
      <c r="M146" s="10" t="s">
        <v>188</v>
      </c>
      <c r="O146" s="10">
        <f>625590/G146</f>
        <v>403.34622823984529</v>
      </c>
      <c r="P146" s="10">
        <f>O146/24</f>
        <v>16.806092843326887</v>
      </c>
    </row>
    <row r="147" spans="1:16" s="10" customFormat="1" ht="15.75" customHeight="1" x14ac:dyDescent="0.25">
      <c r="A147" s="97">
        <v>2</v>
      </c>
      <c r="B147" s="97"/>
      <c r="C147" s="90" t="s">
        <v>208</v>
      </c>
      <c r="D147" s="97">
        <v>693</v>
      </c>
      <c r="E147" s="97"/>
      <c r="F147" s="89">
        <v>0</v>
      </c>
      <c r="G147" s="89">
        <v>1108</v>
      </c>
      <c r="H147" s="90" t="s">
        <v>289</v>
      </c>
      <c r="I147" s="99"/>
      <c r="J147" s="99"/>
      <c r="L147" s="10">
        <f t="shared" ref="L147:L152" si="0">16.8*G146*24</f>
        <v>625363.20000000007</v>
      </c>
    </row>
    <row r="148" spans="1:16" s="10" customFormat="1" ht="16.5" customHeight="1" x14ac:dyDescent="0.25">
      <c r="A148" s="97">
        <v>3</v>
      </c>
      <c r="B148" s="97"/>
      <c r="C148" s="90" t="s">
        <v>208</v>
      </c>
      <c r="D148" s="97">
        <v>703</v>
      </c>
      <c r="E148" s="97"/>
      <c r="F148" s="89">
        <v>0</v>
      </c>
      <c r="G148" s="89">
        <v>1125</v>
      </c>
      <c r="H148" s="90" t="s">
        <v>289</v>
      </c>
      <c r="I148" s="99"/>
      <c r="J148" s="99"/>
      <c r="L148" s="10">
        <f t="shared" si="0"/>
        <v>446745.60000000003</v>
      </c>
    </row>
    <row r="149" spans="1:16" s="10" customFormat="1" ht="16.5" customHeight="1" x14ac:dyDescent="0.25">
      <c r="A149" s="97">
        <v>4</v>
      </c>
      <c r="B149" s="97"/>
      <c r="C149" s="90" t="s">
        <v>208</v>
      </c>
      <c r="D149" s="97">
        <v>714</v>
      </c>
      <c r="E149" s="97"/>
      <c r="F149" s="89">
        <v>0</v>
      </c>
      <c r="G149" s="89">
        <v>1142</v>
      </c>
      <c r="H149" s="90" t="s">
        <v>289</v>
      </c>
      <c r="I149" s="99"/>
      <c r="J149" s="99"/>
      <c r="L149" s="10">
        <f t="shared" si="0"/>
        <v>453600</v>
      </c>
    </row>
    <row r="150" spans="1:16" s="10" customFormat="1" ht="16.5" customHeight="1" x14ac:dyDescent="0.25">
      <c r="A150" s="97">
        <v>5</v>
      </c>
      <c r="B150" s="97"/>
      <c r="C150" s="90" t="s">
        <v>208</v>
      </c>
      <c r="D150" s="97">
        <v>703</v>
      </c>
      <c r="E150" s="97"/>
      <c r="F150" s="89">
        <v>0</v>
      </c>
      <c r="G150" s="89">
        <v>1125</v>
      </c>
      <c r="H150" s="90" t="s">
        <v>289</v>
      </c>
      <c r="I150" s="99"/>
      <c r="J150" s="99"/>
      <c r="L150" s="10">
        <f t="shared" si="0"/>
        <v>460454.40000000002</v>
      </c>
    </row>
    <row r="151" spans="1:16" s="10" customFormat="1" ht="16.5" customHeight="1" x14ac:dyDescent="0.25">
      <c r="A151" s="97">
        <v>6</v>
      </c>
      <c r="B151" s="97"/>
      <c r="C151" s="90" t="s">
        <v>203</v>
      </c>
      <c r="D151" s="97">
        <v>967</v>
      </c>
      <c r="E151" s="97"/>
      <c r="F151" s="89">
        <v>0</v>
      </c>
      <c r="G151" s="89">
        <v>1547</v>
      </c>
      <c r="H151" s="90" t="s">
        <v>289</v>
      </c>
      <c r="I151" s="99"/>
      <c r="J151" s="99"/>
      <c r="L151" s="10">
        <f t="shared" si="0"/>
        <v>453600</v>
      </c>
    </row>
    <row r="152" spans="1:16" s="10" customFormat="1" ht="16.5" customHeight="1" x14ac:dyDescent="0.25">
      <c r="A152" s="97">
        <v>7</v>
      </c>
      <c r="B152" s="97"/>
      <c r="C152" s="90" t="s">
        <v>203</v>
      </c>
      <c r="D152" s="97">
        <v>1250</v>
      </c>
      <c r="E152" s="97"/>
      <c r="F152" s="89">
        <v>0</v>
      </c>
      <c r="G152" s="89">
        <v>2000</v>
      </c>
      <c r="H152" s="90" t="s">
        <v>289</v>
      </c>
      <c r="I152" s="99"/>
      <c r="J152" s="99"/>
      <c r="L152" s="10">
        <f t="shared" si="0"/>
        <v>623750.40000000002</v>
      </c>
    </row>
    <row r="153" spans="1:16" s="10" customFormat="1" ht="16.5" customHeight="1" x14ac:dyDescent="0.25">
      <c r="A153" s="97">
        <v>8</v>
      </c>
      <c r="B153" s="97"/>
      <c r="C153" s="90" t="s">
        <v>203</v>
      </c>
      <c r="D153" s="97">
        <v>1250</v>
      </c>
      <c r="E153" s="97"/>
      <c r="F153" s="89">
        <v>0</v>
      </c>
      <c r="G153" s="89">
        <v>2000</v>
      </c>
      <c r="H153" s="90" t="s">
        <v>289</v>
      </c>
      <c r="I153" s="99"/>
      <c r="J153" s="99"/>
    </row>
    <row r="154" spans="1:16" s="10" customFormat="1" ht="16.5" customHeight="1" x14ac:dyDescent="0.25">
      <c r="A154" s="96" t="s">
        <v>291</v>
      </c>
      <c r="B154" s="96"/>
      <c r="C154" s="96"/>
      <c r="D154" s="96"/>
      <c r="E154" s="96"/>
      <c r="F154" s="96"/>
      <c r="G154" s="96"/>
      <c r="H154" s="96"/>
      <c r="I154" s="96"/>
      <c r="J154" s="96"/>
    </row>
    <row r="155" spans="1:16" s="10" customFormat="1" ht="16.5" customHeight="1" x14ac:dyDescent="0.25">
      <c r="A155" s="97">
        <v>1</v>
      </c>
      <c r="B155" s="97"/>
      <c r="C155" s="90" t="s">
        <v>203</v>
      </c>
      <c r="D155" s="97">
        <v>978</v>
      </c>
      <c r="E155" s="97"/>
      <c r="F155" s="89">
        <v>0</v>
      </c>
      <c r="G155" s="89">
        <v>1564</v>
      </c>
      <c r="H155" s="90" t="s">
        <v>289</v>
      </c>
      <c r="I155" s="99" t="s">
        <v>291</v>
      </c>
      <c r="J155" s="99"/>
    </row>
    <row r="156" spans="1:16" s="10" customFormat="1" ht="15.75" customHeight="1" x14ac:dyDescent="0.25">
      <c r="A156" s="97">
        <v>2</v>
      </c>
      <c r="B156" s="97"/>
      <c r="C156" s="90" t="s">
        <v>208</v>
      </c>
      <c r="D156" s="97">
        <v>703</v>
      </c>
      <c r="E156" s="97"/>
      <c r="F156" s="89">
        <v>0</v>
      </c>
      <c r="G156" s="89">
        <v>1124</v>
      </c>
      <c r="H156" s="90" t="s">
        <v>289</v>
      </c>
      <c r="I156" s="99"/>
      <c r="J156" s="99"/>
    </row>
    <row r="157" spans="1:16" s="10" customFormat="1" ht="15.75" x14ac:dyDescent="0.25">
      <c r="A157" s="97">
        <v>3</v>
      </c>
      <c r="B157" s="97"/>
      <c r="C157" s="90" t="s">
        <v>208</v>
      </c>
      <c r="D157" s="97">
        <v>713</v>
      </c>
      <c r="E157" s="97"/>
      <c r="F157" s="89">
        <v>0</v>
      </c>
      <c r="G157" s="89">
        <v>1142</v>
      </c>
      <c r="H157" s="90" t="s">
        <v>289</v>
      </c>
      <c r="I157" s="99"/>
      <c r="J157" s="99"/>
    </row>
    <row r="158" spans="1:16" s="10" customFormat="1" ht="15.75" x14ac:dyDescent="0.25">
      <c r="A158" s="97">
        <v>4</v>
      </c>
      <c r="B158" s="97"/>
      <c r="C158" s="90" t="s">
        <v>208</v>
      </c>
      <c r="D158" s="97">
        <v>726</v>
      </c>
      <c r="E158" s="97"/>
      <c r="F158" s="89">
        <v>0</v>
      </c>
      <c r="G158" s="89">
        <v>1161</v>
      </c>
      <c r="H158" s="90" t="s">
        <v>289</v>
      </c>
      <c r="I158" s="99"/>
      <c r="J158" s="99"/>
    </row>
    <row r="159" spans="1:16" s="10" customFormat="1" ht="15.75" x14ac:dyDescent="0.25">
      <c r="A159" s="97">
        <v>5</v>
      </c>
      <c r="B159" s="97"/>
      <c r="C159" s="90" t="s">
        <v>208</v>
      </c>
      <c r="D159" s="97">
        <v>712</v>
      </c>
      <c r="E159" s="97"/>
      <c r="F159" s="89">
        <v>0</v>
      </c>
      <c r="G159" s="89">
        <v>1139</v>
      </c>
      <c r="H159" s="90" t="s">
        <v>289</v>
      </c>
      <c r="I159" s="99"/>
      <c r="J159" s="99"/>
    </row>
    <row r="160" spans="1:16" s="10" customFormat="1" ht="15.75" x14ac:dyDescent="0.25">
      <c r="A160" s="97">
        <v>6</v>
      </c>
      <c r="B160" s="97"/>
      <c r="C160" s="90" t="s">
        <v>203</v>
      </c>
      <c r="D160" s="97">
        <v>976</v>
      </c>
      <c r="E160" s="97"/>
      <c r="F160" s="89">
        <v>0</v>
      </c>
      <c r="G160" s="89">
        <v>1561</v>
      </c>
      <c r="H160" s="90" t="s">
        <v>289</v>
      </c>
      <c r="I160" s="99"/>
      <c r="J160" s="99"/>
    </row>
    <row r="161" spans="1:10" s="10" customFormat="1" ht="15.75" x14ac:dyDescent="0.25">
      <c r="A161" s="97">
        <v>7</v>
      </c>
      <c r="B161" s="97"/>
      <c r="C161" s="90" t="s">
        <v>203</v>
      </c>
      <c r="D161" s="97">
        <v>1261</v>
      </c>
      <c r="E161" s="97"/>
      <c r="F161" s="89">
        <v>0</v>
      </c>
      <c r="G161" s="89">
        <v>2018</v>
      </c>
      <c r="H161" s="90" t="s">
        <v>289</v>
      </c>
      <c r="I161" s="99"/>
      <c r="J161" s="99"/>
    </row>
    <row r="162" spans="1:10" s="10" customFormat="1" ht="15.75" x14ac:dyDescent="0.25">
      <c r="A162" s="97">
        <v>8</v>
      </c>
      <c r="B162" s="97"/>
      <c r="C162" s="90" t="s">
        <v>203</v>
      </c>
      <c r="D162" s="97">
        <v>1261</v>
      </c>
      <c r="E162" s="97"/>
      <c r="F162" s="89">
        <v>0</v>
      </c>
      <c r="G162" s="89">
        <v>2018</v>
      </c>
      <c r="H162" s="90" t="s">
        <v>289</v>
      </c>
      <c r="I162" s="99"/>
      <c r="J162" s="99"/>
    </row>
    <row r="163" spans="1:10" s="10" customFormat="1" ht="15.75" x14ac:dyDescent="0.25">
      <c r="A163" s="96" t="s">
        <v>292</v>
      </c>
      <c r="B163" s="96"/>
      <c r="C163" s="96"/>
      <c r="D163" s="96"/>
      <c r="E163" s="96"/>
      <c r="F163" s="96"/>
      <c r="G163" s="96"/>
      <c r="H163" s="96"/>
      <c r="I163" s="96"/>
      <c r="J163" s="96"/>
    </row>
    <row r="164" spans="1:10" s="10" customFormat="1" ht="15.75" x14ac:dyDescent="0.25">
      <c r="A164" s="97">
        <v>1</v>
      </c>
      <c r="B164" s="97"/>
      <c r="C164" s="96" t="s">
        <v>269</v>
      </c>
      <c r="D164" s="96"/>
      <c r="E164" s="96"/>
      <c r="F164" s="96"/>
      <c r="G164" s="96"/>
      <c r="H164" s="96"/>
      <c r="I164" s="99" t="s">
        <v>292</v>
      </c>
      <c r="J164" s="99"/>
    </row>
    <row r="165" spans="1:10" s="10" customFormat="1" ht="15.75" customHeight="1" x14ac:dyDescent="0.25">
      <c r="A165" s="97">
        <v>2</v>
      </c>
      <c r="B165" s="97"/>
      <c r="C165" s="77" t="s">
        <v>208</v>
      </c>
      <c r="D165" s="97">
        <v>703</v>
      </c>
      <c r="E165" s="97"/>
      <c r="F165" s="79">
        <v>0</v>
      </c>
      <c r="G165" s="79">
        <v>1124</v>
      </c>
      <c r="H165" s="77" t="s">
        <v>289</v>
      </c>
      <c r="I165" s="99"/>
      <c r="J165" s="99"/>
    </row>
    <row r="166" spans="1:10" s="10" customFormat="1" ht="15.75" customHeight="1" x14ac:dyDescent="0.25">
      <c r="A166" s="97">
        <v>3</v>
      </c>
      <c r="B166" s="97"/>
      <c r="C166" s="77" t="s">
        <v>208</v>
      </c>
      <c r="D166" s="97">
        <v>713</v>
      </c>
      <c r="E166" s="97"/>
      <c r="F166" s="79">
        <v>0</v>
      </c>
      <c r="G166" s="79">
        <v>1142</v>
      </c>
      <c r="H166" s="77" t="s">
        <v>289</v>
      </c>
      <c r="I166" s="99"/>
      <c r="J166" s="99"/>
    </row>
    <row r="167" spans="1:10" s="10" customFormat="1" ht="16.5" customHeight="1" x14ac:dyDescent="0.25">
      <c r="A167" s="97">
        <v>4</v>
      </c>
      <c r="B167" s="97"/>
      <c r="C167" s="77" t="s">
        <v>208</v>
      </c>
      <c r="D167" s="97">
        <v>726</v>
      </c>
      <c r="E167" s="97"/>
      <c r="F167" s="79">
        <v>0</v>
      </c>
      <c r="G167" s="79">
        <v>1161</v>
      </c>
      <c r="H167" s="77" t="s">
        <v>289</v>
      </c>
      <c r="I167" s="99"/>
      <c r="J167" s="99"/>
    </row>
    <row r="168" spans="1:10" s="10" customFormat="1" ht="16.5" customHeight="1" x14ac:dyDescent="0.25">
      <c r="A168" s="97">
        <v>5</v>
      </c>
      <c r="B168" s="97"/>
      <c r="C168" s="77" t="s">
        <v>208</v>
      </c>
      <c r="D168" s="97">
        <v>712</v>
      </c>
      <c r="E168" s="97"/>
      <c r="F168" s="79">
        <v>0</v>
      </c>
      <c r="G168" s="79">
        <v>1139</v>
      </c>
      <c r="H168" s="77" t="s">
        <v>289</v>
      </c>
      <c r="I168" s="99"/>
      <c r="J168" s="99"/>
    </row>
    <row r="169" spans="1:10" s="10" customFormat="1" ht="16.5" customHeight="1" x14ac:dyDescent="0.25">
      <c r="A169" s="97">
        <v>6</v>
      </c>
      <c r="B169" s="97"/>
      <c r="C169" s="77" t="s">
        <v>203</v>
      </c>
      <c r="D169" s="97">
        <v>976</v>
      </c>
      <c r="E169" s="97"/>
      <c r="F169" s="79">
        <v>0</v>
      </c>
      <c r="G169" s="79">
        <v>1561</v>
      </c>
      <c r="H169" s="77" t="s">
        <v>289</v>
      </c>
      <c r="I169" s="99"/>
      <c r="J169" s="99"/>
    </row>
    <row r="170" spans="1:10" s="10" customFormat="1" ht="16.5" customHeight="1" x14ac:dyDescent="0.25">
      <c r="A170" s="97">
        <v>7</v>
      </c>
      <c r="B170" s="97"/>
      <c r="C170" s="77" t="s">
        <v>203</v>
      </c>
      <c r="D170" s="97">
        <v>1476</v>
      </c>
      <c r="E170" s="97"/>
      <c r="F170" s="79">
        <v>0</v>
      </c>
      <c r="G170" s="79">
        <v>2361</v>
      </c>
      <c r="H170" s="77" t="s">
        <v>289</v>
      </c>
      <c r="I170" s="99"/>
      <c r="J170" s="99"/>
    </row>
    <row r="171" spans="1:10" s="10" customFormat="1" ht="16.5" customHeight="1" x14ac:dyDescent="0.25">
      <c r="A171" s="97">
        <v>8</v>
      </c>
      <c r="B171" s="97"/>
      <c r="C171" s="96" t="s">
        <v>269</v>
      </c>
      <c r="D171" s="96"/>
      <c r="E171" s="96"/>
      <c r="F171" s="96"/>
      <c r="G171" s="96"/>
      <c r="H171" s="96"/>
      <c r="I171" s="99"/>
      <c r="J171" s="99"/>
    </row>
    <row r="172" spans="1:10" s="10" customFormat="1" ht="16.5" customHeight="1" x14ac:dyDescent="0.25">
      <c r="A172" s="96" t="s">
        <v>293</v>
      </c>
      <c r="B172" s="96"/>
      <c r="C172" s="96"/>
      <c r="D172" s="96"/>
      <c r="E172" s="96"/>
      <c r="F172" s="96"/>
      <c r="G172" s="96"/>
      <c r="H172" s="96"/>
      <c r="I172" s="96"/>
      <c r="J172" s="96"/>
    </row>
    <row r="173" spans="1:10" s="10" customFormat="1" ht="16.5" customHeight="1" x14ac:dyDescent="0.25">
      <c r="A173" s="96" t="s">
        <v>294</v>
      </c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0" s="10" customFormat="1" ht="16.5" customHeight="1" x14ac:dyDescent="0.25">
      <c r="A174" s="97">
        <v>1</v>
      </c>
      <c r="B174" s="97"/>
      <c r="C174" s="88" t="s">
        <v>203</v>
      </c>
      <c r="D174" s="97">
        <v>1001</v>
      </c>
      <c r="E174" s="97"/>
      <c r="F174" s="87">
        <v>0</v>
      </c>
      <c r="G174" s="87">
        <v>1601</v>
      </c>
      <c r="H174" s="88" t="s">
        <v>289</v>
      </c>
      <c r="I174" s="99" t="s">
        <v>294</v>
      </c>
      <c r="J174" s="99"/>
    </row>
    <row r="175" spans="1:10" s="10" customFormat="1" ht="15.75" customHeight="1" x14ac:dyDescent="0.25">
      <c r="A175" s="97">
        <v>2</v>
      </c>
      <c r="B175" s="97"/>
      <c r="C175" s="88" t="s">
        <v>208</v>
      </c>
      <c r="D175" s="97">
        <v>716</v>
      </c>
      <c r="E175" s="97"/>
      <c r="F175" s="87">
        <v>0</v>
      </c>
      <c r="G175" s="87">
        <v>1146</v>
      </c>
      <c r="H175" s="88" t="s">
        <v>289</v>
      </c>
      <c r="I175" s="99"/>
      <c r="J175" s="99"/>
    </row>
    <row r="176" spans="1:10" s="10" customFormat="1" ht="16.5" customHeight="1" x14ac:dyDescent="0.25">
      <c r="A176" s="97">
        <v>3</v>
      </c>
      <c r="B176" s="97"/>
      <c r="C176" s="88" t="s">
        <v>208</v>
      </c>
      <c r="D176" s="97">
        <v>728</v>
      </c>
      <c r="E176" s="97"/>
      <c r="F176" s="87">
        <v>0</v>
      </c>
      <c r="G176" s="87">
        <v>1165</v>
      </c>
      <c r="H176" s="88" t="s">
        <v>289</v>
      </c>
      <c r="I176" s="99"/>
      <c r="J176" s="99"/>
    </row>
    <row r="177" spans="1:10" s="10" customFormat="1" ht="16.5" customHeight="1" x14ac:dyDescent="0.25">
      <c r="A177" s="97">
        <v>4</v>
      </c>
      <c r="B177" s="97"/>
      <c r="C177" s="88" t="s">
        <v>208</v>
      </c>
      <c r="D177" s="97">
        <v>742</v>
      </c>
      <c r="E177" s="97"/>
      <c r="F177" s="87">
        <v>0</v>
      </c>
      <c r="G177" s="87">
        <v>1187</v>
      </c>
      <c r="H177" s="88" t="s">
        <v>289</v>
      </c>
      <c r="I177" s="99"/>
      <c r="J177" s="99"/>
    </row>
    <row r="178" spans="1:10" s="10" customFormat="1" ht="16.5" customHeight="1" x14ac:dyDescent="0.25">
      <c r="A178" s="97">
        <v>5</v>
      </c>
      <c r="B178" s="97"/>
      <c r="C178" s="88" t="s">
        <v>208</v>
      </c>
      <c r="D178" s="97">
        <v>731</v>
      </c>
      <c r="E178" s="97"/>
      <c r="F178" s="87">
        <v>0</v>
      </c>
      <c r="G178" s="87">
        <v>1169</v>
      </c>
      <c r="H178" s="88" t="s">
        <v>289</v>
      </c>
      <c r="I178" s="99"/>
      <c r="J178" s="99"/>
    </row>
    <row r="179" spans="1:10" s="10" customFormat="1" ht="16.5" customHeight="1" x14ac:dyDescent="0.25">
      <c r="A179" s="97">
        <v>6</v>
      </c>
      <c r="B179" s="97"/>
      <c r="C179" s="88" t="s">
        <v>203</v>
      </c>
      <c r="D179" s="97">
        <v>995</v>
      </c>
      <c r="E179" s="97"/>
      <c r="F179" s="87">
        <v>0</v>
      </c>
      <c r="G179" s="87">
        <v>1593</v>
      </c>
      <c r="H179" s="88" t="s">
        <v>289</v>
      </c>
      <c r="I179" s="99"/>
      <c r="J179" s="99"/>
    </row>
    <row r="180" spans="1:10" s="10" customFormat="1" ht="16.5" customHeight="1" x14ac:dyDescent="0.25">
      <c r="A180" s="97">
        <v>7</v>
      </c>
      <c r="B180" s="97"/>
      <c r="C180" s="88" t="s">
        <v>203</v>
      </c>
      <c r="D180" s="97">
        <v>1278</v>
      </c>
      <c r="E180" s="97"/>
      <c r="F180" s="87">
        <v>0</v>
      </c>
      <c r="G180" s="87">
        <v>2046</v>
      </c>
      <c r="H180" s="88" t="s">
        <v>289</v>
      </c>
      <c r="I180" s="99"/>
      <c r="J180" s="99"/>
    </row>
    <row r="181" spans="1:10" s="10" customFormat="1" ht="16.5" customHeight="1" x14ac:dyDescent="0.25">
      <c r="A181" s="97">
        <v>8</v>
      </c>
      <c r="B181" s="97"/>
      <c r="C181" s="88" t="s">
        <v>203</v>
      </c>
      <c r="D181" s="97">
        <v>1278</v>
      </c>
      <c r="E181" s="97"/>
      <c r="F181" s="87">
        <v>0</v>
      </c>
      <c r="G181" s="87">
        <v>2046</v>
      </c>
      <c r="H181" s="88" t="s">
        <v>289</v>
      </c>
      <c r="I181" s="99"/>
      <c r="J181" s="99"/>
    </row>
    <row r="182" spans="1:10" s="10" customFormat="1" ht="16.5" customHeight="1" x14ac:dyDescent="0.25">
      <c r="A182" s="96" t="s">
        <v>279</v>
      </c>
      <c r="B182" s="96"/>
      <c r="C182" s="96"/>
      <c r="D182" s="96"/>
      <c r="E182" s="96"/>
      <c r="F182" s="96"/>
      <c r="G182" s="96"/>
      <c r="H182" s="96"/>
      <c r="I182" s="96"/>
      <c r="J182" s="96"/>
    </row>
    <row r="183" spans="1:10" s="10" customFormat="1" ht="16.5" customHeight="1" x14ac:dyDescent="0.25">
      <c r="A183" s="97">
        <v>1</v>
      </c>
      <c r="B183" s="97"/>
      <c r="C183" s="96" t="s">
        <v>269</v>
      </c>
      <c r="D183" s="96"/>
      <c r="E183" s="96"/>
      <c r="F183" s="96"/>
      <c r="G183" s="96"/>
      <c r="H183" s="96"/>
      <c r="I183" s="99" t="s">
        <v>279</v>
      </c>
      <c r="J183" s="99"/>
    </row>
    <row r="184" spans="1:10" s="10" customFormat="1" ht="15.75" customHeight="1" x14ac:dyDescent="0.25">
      <c r="A184" s="97">
        <v>2</v>
      </c>
      <c r="B184" s="97"/>
      <c r="C184" s="77" t="s">
        <v>208</v>
      </c>
      <c r="D184" s="97">
        <v>716</v>
      </c>
      <c r="E184" s="97"/>
      <c r="F184" s="79">
        <v>0</v>
      </c>
      <c r="G184" s="79">
        <v>1146</v>
      </c>
      <c r="H184" s="77" t="s">
        <v>289</v>
      </c>
      <c r="I184" s="99"/>
      <c r="J184" s="99"/>
    </row>
    <row r="185" spans="1:10" s="10" customFormat="1" ht="16.5" customHeight="1" x14ac:dyDescent="0.25">
      <c r="A185" s="97">
        <v>3</v>
      </c>
      <c r="B185" s="97"/>
      <c r="C185" s="77" t="s">
        <v>208</v>
      </c>
      <c r="D185" s="97">
        <v>728</v>
      </c>
      <c r="E185" s="97"/>
      <c r="F185" s="79">
        <v>0</v>
      </c>
      <c r="G185" s="79">
        <v>1165</v>
      </c>
      <c r="H185" s="77" t="s">
        <v>289</v>
      </c>
      <c r="I185" s="99"/>
      <c r="J185" s="99"/>
    </row>
    <row r="186" spans="1:10" s="10" customFormat="1" ht="16.5" customHeight="1" x14ac:dyDescent="0.25">
      <c r="A186" s="97">
        <v>4</v>
      </c>
      <c r="B186" s="97"/>
      <c r="C186" s="77" t="s">
        <v>208</v>
      </c>
      <c r="D186" s="97">
        <v>742</v>
      </c>
      <c r="E186" s="97"/>
      <c r="F186" s="79">
        <v>0</v>
      </c>
      <c r="G186" s="79">
        <v>1187</v>
      </c>
      <c r="H186" s="77" t="s">
        <v>289</v>
      </c>
      <c r="I186" s="99"/>
      <c r="J186" s="99"/>
    </row>
    <row r="187" spans="1:10" s="10" customFormat="1" ht="16.5" customHeight="1" x14ac:dyDescent="0.25">
      <c r="A187" s="97">
        <v>5</v>
      </c>
      <c r="B187" s="97"/>
      <c r="C187" s="77" t="s">
        <v>208</v>
      </c>
      <c r="D187" s="97">
        <v>731</v>
      </c>
      <c r="E187" s="97"/>
      <c r="F187" s="79">
        <v>0</v>
      </c>
      <c r="G187" s="79">
        <v>1169</v>
      </c>
      <c r="H187" s="77" t="s">
        <v>289</v>
      </c>
      <c r="I187" s="99"/>
      <c r="J187" s="99"/>
    </row>
    <row r="188" spans="1:10" s="10" customFormat="1" ht="16.5" customHeight="1" x14ac:dyDescent="0.25">
      <c r="A188" s="97">
        <v>6</v>
      </c>
      <c r="B188" s="97"/>
      <c r="C188" s="77" t="s">
        <v>203</v>
      </c>
      <c r="D188" s="97">
        <v>995</v>
      </c>
      <c r="E188" s="97"/>
      <c r="F188" s="79">
        <v>0</v>
      </c>
      <c r="G188" s="79">
        <v>1593</v>
      </c>
      <c r="H188" s="77" t="s">
        <v>289</v>
      </c>
      <c r="I188" s="99"/>
      <c r="J188" s="99"/>
    </row>
    <row r="189" spans="1:10" s="10" customFormat="1" ht="16.5" customHeight="1" x14ac:dyDescent="0.25">
      <c r="A189" s="97">
        <v>7</v>
      </c>
      <c r="B189" s="97"/>
      <c r="C189" s="77" t="s">
        <v>203</v>
      </c>
      <c r="D189" s="97">
        <v>1494</v>
      </c>
      <c r="E189" s="97"/>
      <c r="F189" s="79">
        <v>0</v>
      </c>
      <c r="G189" s="79">
        <v>2390</v>
      </c>
      <c r="H189" s="77" t="s">
        <v>289</v>
      </c>
      <c r="I189" s="99"/>
      <c r="J189" s="99"/>
    </row>
    <row r="190" spans="1:10" s="10" customFormat="1" ht="16.5" customHeight="1" x14ac:dyDescent="0.25">
      <c r="A190" s="97">
        <v>8</v>
      </c>
      <c r="B190" s="97"/>
      <c r="C190" s="96" t="s">
        <v>269</v>
      </c>
      <c r="D190" s="96"/>
      <c r="E190" s="96"/>
      <c r="F190" s="96"/>
      <c r="G190" s="96"/>
      <c r="H190" s="96"/>
      <c r="I190" s="99"/>
      <c r="J190" s="99"/>
    </row>
    <row r="191" spans="1:10" s="10" customFormat="1" ht="16.5" customHeight="1" x14ac:dyDescent="0.25">
      <c r="A191" s="96" t="s">
        <v>295</v>
      </c>
      <c r="B191" s="96"/>
      <c r="C191" s="96"/>
      <c r="D191" s="96"/>
      <c r="E191" s="96"/>
      <c r="F191" s="96"/>
      <c r="G191" s="96"/>
      <c r="H191" s="96"/>
      <c r="I191" s="96"/>
      <c r="J191" s="96"/>
    </row>
    <row r="192" spans="1:10" s="10" customFormat="1" ht="16.5" customHeight="1" x14ac:dyDescent="0.25">
      <c r="A192" s="97">
        <v>1</v>
      </c>
      <c r="B192" s="97"/>
      <c r="C192" s="90" t="s">
        <v>203</v>
      </c>
      <c r="D192" s="97">
        <v>1002</v>
      </c>
      <c r="E192" s="97"/>
      <c r="F192" s="89">
        <v>0</v>
      </c>
      <c r="G192" s="89">
        <v>1604</v>
      </c>
      <c r="H192" s="90" t="s">
        <v>289</v>
      </c>
      <c r="I192" s="99" t="s">
        <v>295</v>
      </c>
      <c r="J192" s="99"/>
    </row>
    <row r="193" spans="1:10" s="10" customFormat="1" ht="15.75" customHeight="1" x14ac:dyDescent="0.25">
      <c r="A193" s="97">
        <v>2</v>
      </c>
      <c r="B193" s="97"/>
      <c r="C193" s="90" t="s">
        <v>208</v>
      </c>
      <c r="D193" s="97">
        <v>718</v>
      </c>
      <c r="E193" s="97"/>
      <c r="F193" s="89">
        <v>0</v>
      </c>
      <c r="G193" s="89">
        <v>1149</v>
      </c>
      <c r="H193" s="90" t="s">
        <v>289</v>
      </c>
      <c r="I193" s="99"/>
      <c r="J193" s="99"/>
    </row>
    <row r="194" spans="1:10" s="10" customFormat="1" ht="15.75" customHeight="1" x14ac:dyDescent="0.25">
      <c r="A194" s="97">
        <v>3</v>
      </c>
      <c r="B194" s="97"/>
      <c r="C194" s="90" t="s">
        <v>208</v>
      </c>
      <c r="D194" s="97">
        <v>736</v>
      </c>
      <c r="E194" s="97"/>
      <c r="F194" s="89">
        <v>0</v>
      </c>
      <c r="G194" s="89">
        <v>1178</v>
      </c>
      <c r="H194" s="90" t="s">
        <v>289</v>
      </c>
      <c r="I194" s="99"/>
      <c r="J194" s="99"/>
    </row>
    <row r="195" spans="1:10" s="10" customFormat="1" ht="15.75" x14ac:dyDescent="0.25">
      <c r="A195" s="97">
        <v>4</v>
      </c>
      <c r="B195" s="97"/>
      <c r="C195" s="90" t="s">
        <v>208</v>
      </c>
      <c r="D195" s="97">
        <v>749</v>
      </c>
      <c r="E195" s="97"/>
      <c r="F195" s="89">
        <v>0</v>
      </c>
      <c r="G195" s="89">
        <v>1198</v>
      </c>
      <c r="H195" s="90" t="s">
        <v>289</v>
      </c>
      <c r="I195" s="99"/>
      <c r="J195" s="99"/>
    </row>
    <row r="196" spans="1:10" s="10" customFormat="1" ht="15.75" x14ac:dyDescent="0.25">
      <c r="A196" s="97">
        <v>5</v>
      </c>
      <c r="B196" s="97"/>
      <c r="C196" s="90" t="s">
        <v>208</v>
      </c>
      <c r="D196" s="97">
        <v>779</v>
      </c>
      <c r="E196" s="97"/>
      <c r="F196" s="89">
        <v>0</v>
      </c>
      <c r="G196" s="89">
        <v>1246</v>
      </c>
      <c r="H196" s="90" t="s">
        <v>289</v>
      </c>
      <c r="I196" s="99"/>
      <c r="J196" s="99"/>
    </row>
    <row r="197" spans="1:10" s="10" customFormat="1" ht="15.75" x14ac:dyDescent="0.25">
      <c r="A197" s="97">
        <v>6</v>
      </c>
      <c r="B197" s="97"/>
      <c r="C197" s="90" t="s">
        <v>203</v>
      </c>
      <c r="D197" s="97">
        <v>996</v>
      </c>
      <c r="E197" s="97"/>
      <c r="F197" s="89">
        <v>0</v>
      </c>
      <c r="G197" s="89">
        <v>1594</v>
      </c>
      <c r="H197" s="90" t="s">
        <v>289</v>
      </c>
      <c r="I197" s="99"/>
      <c r="J197" s="99"/>
    </row>
    <row r="198" spans="1:10" s="10" customFormat="1" ht="15.75" x14ac:dyDescent="0.25">
      <c r="A198" s="97">
        <v>7</v>
      </c>
      <c r="B198" s="97"/>
      <c r="C198" s="90" t="s">
        <v>203</v>
      </c>
      <c r="D198" s="97">
        <v>1308</v>
      </c>
      <c r="E198" s="97"/>
      <c r="F198" s="89">
        <v>0</v>
      </c>
      <c r="G198" s="89">
        <v>2094</v>
      </c>
      <c r="H198" s="90" t="s">
        <v>289</v>
      </c>
      <c r="I198" s="99"/>
      <c r="J198" s="99"/>
    </row>
    <row r="199" spans="1:10" s="10" customFormat="1" ht="15.75" x14ac:dyDescent="0.25">
      <c r="A199" s="97">
        <v>8</v>
      </c>
      <c r="B199" s="97"/>
      <c r="C199" s="90" t="s">
        <v>203</v>
      </c>
      <c r="D199" s="97">
        <v>1308</v>
      </c>
      <c r="E199" s="97"/>
      <c r="F199" s="89">
        <v>0</v>
      </c>
      <c r="G199" s="89">
        <v>2094</v>
      </c>
      <c r="H199" s="90" t="s">
        <v>289</v>
      </c>
      <c r="I199" s="99"/>
      <c r="J199" s="99"/>
    </row>
    <row r="200" spans="1:10" s="10" customFormat="1" ht="15.75" x14ac:dyDescent="0.25">
      <c r="A200" s="96" t="s">
        <v>296</v>
      </c>
      <c r="B200" s="96"/>
      <c r="C200" s="96"/>
      <c r="D200" s="96"/>
      <c r="E200" s="96"/>
      <c r="F200" s="96"/>
      <c r="G200" s="96"/>
      <c r="H200" s="96"/>
      <c r="I200" s="96"/>
      <c r="J200" s="96"/>
    </row>
    <row r="201" spans="1:10" s="10" customFormat="1" ht="15.75" x14ac:dyDescent="0.25">
      <c r="A201" s="97">
        <v>1</v>
      </c>
      <c r="B201" s="97"/>
      <c r="C201" s="96" t="s">
        <v>269</v>
      </c>
      <c r="D201" s="96"/>
      <c r="E201" s="96"/>
      <c r="F201" s="96"/>
      <c r="G201" s="96"/>
      <c r="H201" s="96"/>
      <c r="I201" s="99" t="s">
        <v>296</v>
      </c>
      <c r="J201" s="99"/>
    </row>
    <row r="202" spans="1:10" s="10" customFormat="1" ht="15.75" customHeight="1" x14ac:dyDescent="0.25">
      <c r="A202" s="97">
        <v>2</v>
      </c>
      <c r="B202" s="97"/>
      <c r="C202" s="77" t="s">
        <v>208</v>
      </c>
      <c r="D202" s="97">
        <v>718</v>
      </c>
      <c r="E202" s="97"/>
      <c r="F202" s="79">
        <v>0</v>
      </c>
      <c r="G202" s="79">
        <v>1149</v>
      </c>
      <c r="H202" s="77" t="s">
        <v>289</v>
      </c>
      <c r="I202" s="99"/>
      <c r="J202" s="99"/>
    </row>
    <row r="203" spans="1:10" s="10" customFormat="1" ht="15.75" x14ac:dyDescent="0.25">
      <c r="A203" s="97">
        <v>3</v>
      </c>
      <c r="B203" s="97"/>
      <c r="C203" s="77" t="s">
        <v>208</v>
      </c>
      <c r="D203" s="97">
        <v>736</v>
      </c>
      <c r="E203" s="97"/>
      <c r="F203" s="79">
        <v>0</v>
      </c>
      <c r="G203" s="79">
        <v>1178</v>
      </c>
      <c r="H203" s="77" t="s">
        <v>289</v>
      </c>
      <c r="I203" s="99"/>
      <c r="J203" s="99"/>
    </row>
    <row r="204" spans="1:10" s="10" customFormat="1" ht="15.75" x14ac:dyDescent="0.25">
      <c r="A204" s="97">
        <v>4</v>
      </c>
      <c r="B204" s="97"/>
      <c r="C204" s="77" t="s">
        <v>208</v>
      </c>
      <c r="D204" s="97">
        <v>749</v>
      </c>
      <c r="E204" s="97"/>
      <c r="F204" s="79">
        <v>0</v>
      </c>
      <c r="G204" s="79">
        <v>1198</v>
      </c>
      <c r="H204" s="77" t="s">
        <v>289</v>
      </c>
      <c r="I204" s="99"/>
      <c r="J204" s="99"/>
    </row>
    <row r="205" spans="1:10" s="10" customFormat="1" ht="15.75" x14ac:dyDescent="0.25">
      <c r="A205" s="97">
        <v>5</v>
      </c>
      <c r="B205" s="97"/>
      <c r="C205" s="77" t="s">
        <v>208</v>
      </c>
      <c r="D205" s="97">
        <v>779</v>
      </c>
      <c r="E205" s="97"/>
      <c r="F205" s="79">
        <v>0</v>
      </c>
      <c r="G205" s="79">
        <v>1246</v>
      </c>
      <c r="H205" s="77" t="s">
        <v>289</v>
      </c>
      <c r="I205" s="99"/>
      <c r="J205" s="99"/>
    </row>
    <row r="206" spans="1:10" s="10" customFormat="1" ht="15.75" x14ac:dyDescent="0.25">
      <c r="A206" s="97">
        <v>6</v>
      </c>
      <c r="B206" s="97"/>
      <c r="C206" s="77" t="s">
        <v>203</v>
      </c>
      <c r="D206" s="97">
        <v>996</v>
      </c>
      <c r="E206" s="97"/>
      <c r="F206" s="79">
        <v>0</v>
      </c>
      <c r="G206" s="79">
        <v>1594</v>
      </c>
      <c r="H206" s="77" t="s">
        <v>289</v>
      </c>
      <c r="I206" s="99"/>
      <c r="J206" s="99"/>
    </row>
    <row r="207" spans="1:10" s="10" customFormat="1" ht="15.75" x14ac:dyDescent="0.25">
      <c r="A207" s="97">
        <v>7</v>
      </c>
      <c r="B207" s="97"/>
      <c r="C207" s="77" t="s">
        <v>203</v>
      </c>
      <c r="D207" s="97">
        <v>1498</v>
      </c>
      <c r="E207" s="97"/>
      <c r="F207" s="79">
        <v>0</v>
      </c>
      <c r="G207" s="79">
        <v>2396</v>
      </c>
      <c r="H207" s="77" t="s">
        <v>289</v>
      </c>
      <c r="I207" s="99"/>
      <c r="J207" s="99"/>
    </row>
    <row r="208" spans="1:10" s="10" customFormat="1" ht="15.75" x14ac:dyDescent="0.25">
      <c r="A208" s="97">
        <v>8</v>
      </c>
      <c r="B208" s="97"/>
      <c r="C208" s="96" t="s">
        <v>269</v>
      </c>
      <c r="D208" s="96"/>
      <c r="E208" s="96"/>
      <c r="F208" s="96"/>
      <c r="G208" s="96"/>
      <c r="H208" s="96"/>
      <c r="I208" s="99"/>
      <c r="J208" s="99"/>
    </row>
    <row r="209" spans="1:10" s="10" customFormat="1" ht="15.75" x14ac:dyDescent="0.25">
      <c r="A209" s="96" t="s">
        <v>257</v>
      </c>
      <c r="B209" s="96"/>
      <c r="C209" s="96"/>
      <c r="D209" s="96"/>
      <c r="E209" s="96"/>
      <c r="F209" s="96"/>
      <c r="G209" s="96"/>
      <c r="H209" s="96"/>
      <c r="I209" s="96"/>
      <c r="J209" s="96"/>
    </row>
    <row r="210" spans="1:10" s="10" customFormat="1" ht="15.75" x14ac:dyDescent="0.25">
      <c r="A210" s="97">
        <v>1</v>
      </c>
      <c r="B210" s="97"/>
      <c r="C210" s="77" t="s">
        <v>209</v>
      </c>
      <c r="D210" s="97">
        <v>1763</v>
      </c>
      <c r="E210" s="97"/>
      <c r="F210" s="79">
        <v>0</v>
      </c>
      <c r="G210" s="79">
        <v>2821</v>
      </c>
      <c r="H210" s="77" t="s">
        <v>289</v>
      </c>
      <c r="I210" s="99" t="s">
        <v>257</v>
      </c>
      <c r="J210" s="99"/>
    </row>
    <row r="211" spans="1:10" s="10" customFormat="1" ht="15.75" customHeight="1" x14ac:dyDescent="0.25">
      <c r="A211" s="97">
        <v>2</v>
      </c>
      <c r="B211" s="97"/>
      <c r="C211" s="77" t="s">
        <v>208</v>
      </c>
      <c r="D211" s="97">
        <v>736</v>
      </c>
      <c r="E211" s="97"/>
      <c r="F211" s="79">
        <v>0</v>
      </c>
      <c r="G211" s="79">
        <v>1178</v>
      </c>
      <c r="H211" s="77" t="s">
        <v>289</v>
      </c>
      <c r="I211" s="99"/>
      <c r="J211" s="99"/>
    </row>
    <row r="212" spans="1:10" s="10" customFormat="1" ht="15.75" x14ac:dyDescent="0.25">
      <c r="A212" s="97">
        <v>3</v>
      </c>
      <c r="B212" s="97"/>
      <c r="C212" s="77" t="s">
        <v>208</v>
      </c>
      <c r="D212" s="97">
        <v>749</v>
      </c>
      <c r="E212" s="97"/>
      <c r="F212" s="79">
        <v>0</v>
      </c>
      <c r="G212" s="79">
        <v>1198</v>
      </c>
      <c r="H212" s="77" t="s">
        <v>289</v>
      </c>
      <c r="I212" s="99"/>
      <c r="J212" s="99"/>
    </row>
    <row r="213" spans="1:10" s="10" customFormat="1" ht="15.75" x14ac:dyDescent="0.25">
      <c r="A213" s="97">
        <v>4</v>
      </c>
      <c r="B213" s="97"/>
      <c r="C213" s="77" t="s">
        <v>209</v>
      </c>
      <c r="D213" s="97">
        <v>1811</v>
      </c>
      <c r="E213" s="97"/>
      <c r="F213" s="79">
        <v>0</v>
      </c>
      <c r="G213" s="79">
        <v>2898</v>
      </c>
      <c r="H213" s="77" t="s">
        <v>289</v>
      </c>
      <c r="I213" s="99"/>
      <c r="J213" s="99"/>
    </row>
    <row r="214" spans="1:10" s="10" customFormat="1" ht="15.75" x14ac:dyDescent="0.25">
      <c r="A214" s="97">
        <v>5</v>
      </c>
      <c r="B214" s="97"/>
      <c r="C214" s="77" t="s">
        <v>203</v>
      </c>
      <c r="D214" s="97">
        <v>1315</v>
      </c>
      <c r="E214" s="97"/>
      <c r="F214" s="79">
        <v>0</v>
      </c>
      <c r="G214" s="79">
        <v>2104</v>
      </c>
      <c r="H214" s="77" t="s">
        <v>289</v>
      </c>
      <c r="I214" s="99"/>
      <c r="J214" s="99"/>
    </row>
    <row r="215" spans="1:10" s="10" customFormat="1" ht="15.75" x14ac:dyDescent="0.25">
      <c r="A215" s="97">
        <v>6</v>
      </c>
      <c r="B215" s="97"/>
      <c r="C215" s="77" t="s">
        <v>203</v>
      </c>
      <c r="D215" s="97">
        <v>1315</v>
      </c>
      <c r="E215" s="97"/>
      <c r="F215" s="79">
        <v>0</v>
      </c>
      <c r="G215" s="79">
        <v>2104</v>
      </c>
      <c r="H215" s="77" t="s">
        <v>289</v>
      </c>
      <c r="I215" s="99"/>
      <c r="J215" s="99"/>
    </row>
    <row r="216" spans="1:10" s="10" customFormat="1" ht="15.75" x14ac:dyDescent="0.25">
      <c r="A216" s="96" t="s">
        <v>258</v>
      </c>
      <c r="B216" s="96"/>
      <c r="C216" s="96"/>
      <c r="D216" s="96"/>
      <c r="E216" s="96"/>
      <c r="F216" s="96"/>
      <c r="G216" s="96"/>
      <c r="H216" s="96"/>
      <c r="I216" s="96"/>
      <c r="J216" s="96"/>
    </row>
    <row r="217" spans="1:10" s="10" customFormat="1" ht="15.75" x14ac:dyDescent="0.25">
      <c r="A217" s="97">
        <v>1</v>
      </c>
      <c r="B217" s="97"/>
      <c r="C217" s="77" t="s">
        <v>209</v>
      </c>
      <c r="D217" s="97">
        <v>1763</v>
      </c>
      <c r="E217" s="97"/>
      <c r="F217" s="79">
        <v>0</v>
      </c>
      <c r="G217" s="79">
        <v>2821</v>
      </c>
      <c r="H217" s="77" t="s">
        <v>289</v>
      </c>
      <c r="I217" s="99" t="s">
        <v>258</v>
      </c>
      <c r="J217" s="99"/>
    </row>
    <row r="218" spans="1:10" s="10" customFormat="1" ht="15.75" x14ac:dyDescent="0.25">
      <c r="A218" s="97">
        <v>2</v>
      </c>
      <c r="B218" s="97"/>
      <c r="C218" s="77" t="s">
        <v>208</v>
      </c>
      <c r="D218" s="97">
        <v>736</v>
      </c>
      <c r="E218" s="97"/>
      <c r="F218" s="79">
        <v>0</v>
      </c>
      <c r="G218" s="79">
        <v>1178</v>
      </c>
      <c r="H218" s="77" t="s">
        <v>289</v>
      </c>
      <c r="I218" s="99"/>
      <c r="J218" s="99"/>
    </row>
    <row r="219" spans="1:10" s="10" customFormat="1" ht="15.75" x14ac:dyDescent="0.25">
      <c r="A219" s="97">
        <v>3</v>
      </c>
      <c r="B219" s="97"/>
      <c r="C219" s="77" t="s">
        <v>208</v>
      </c>
      <c r="D219" s="97">
        <v>749</v>
      </c>
      <c r="E219" s="97"/>
      <c r="F219" s="79">
        <v>0</v>
      </c>
      <c r="G219" s="79">
        <v>1198</v>
      </c>
      <c r="H219" s="77" t="s">
        <v>289</v>
      </c>
      <c r="I219" s="99"/>
      <c r="J219" s="99"/>
    </row>
    <row r="220" spans="1:10" s="10" customFormat="1" ht="15.75" customHeight="1" x14ac:dyDescent="0.25">
      <c r="A220" s="97">
        <v>4</v>
      </c>
      <c r="B220" s="97"/>
      <c r="C220" s="77" t="s">
        <v>209</v>
      </c>
      <c r="D220" s="97">
        <v>1811</v>
      </c>
      <c r="E220" s="97"/>
      <c r="F220" s="79">
        <v>0</v>
      </c>
      <c r="G220" s="79">
        <v>2898</v>
      </c>
      <c r="H220" s="77" t="s">
        <v>289</v>
      </c>
      <c r="I220" s="99"/>
      <c r="J220" s="99"/>
    </row>
    <row r="221" spans="1:10" s="10" customFormat="1" ht="15.75" customHeight="1" x14ac:dyDescent="0.25">
      <c r="A221" s="97">
        <v>5</v>
      </c>
      <c r="B221" s="97"/>
      <c r="C221" s="77" t="s">
        <v>203</v>
      </c>
      <c r="D221" s="97">
        <v>1321</v>
      </c>
      <c r="E221" s="97"/>
      <c r="F221" s="79">
        <v>0</v>
      </c>
      <c r="G221" s="79">
        <v>2114</v>
      </c>
      <c r="H221" s="77" t="s">
        <v>289</v>
      </c>
      <c r="I221" s="99"/>
      <c r="J221" s="99"/>
    </row>
    <row r="222" spans="1:10" s="10" customFormat="1" ht="15.75" x14ac:dyDescent="0.25">
      <c r="A222" s="97">
        <v>6</v>
      </c>
      <c r="B222" s="97"/>
      <c r="C222" s="77" t="s">
        <v>203</v>
      </c>
      <c r="D222" s="97">
        <v>1321</v>
      </c>
      <c r="E222" s="97"/>
      <c r="F222" s="79">
        <v>0</v>
      </c>
      <c r="G222" s="79">
        <v>2114</v>
      </c>
      <c r="H222" s="77" t="s">
        <v>289</v>
      </c>
      <c r="I222" s="99"/>
      <c r="J222" s="99"/>
    </row>
    <row r="223" spans="1:10" s="10" customFormat="1" ht="15.75" x14ac:dyDescent="0.25">
      <c r="A223" s="96" t="s">
        <v>259</v>
      </c>
      <c r="B223" s="96"/>
      <c r="C223" s="96"/>
      <c r="D223" s="96"/>
      <c r="E223" s="96"/>
      <c r="F223" s="96"/>
      <c r="G223" s="96"/>
      <c r="H223" s="96"/>
      <c r="I223" s="96"/>
      <c r="J223" s="96"/>
    </row>
    <row r="224" spans="1:10" s="10" customFormat="1" ht="15.75" x14ac:dyDescent="0.25">
      <c r="A224" s="97">
        <v>1</v>
      </c>
      <c r="B224" s="97"/>
      <c r="C224" s="88" t="s">
        <v>209</v>
      </c>
      <c r="D224" s="97">
        <v>1763</v>
      </c>
      <c r="E224" s="97"/>
      <c r="F224" s="87">
        <v>0</v>
      </c>
      <c r="G224" s="87">
        <v>2821</v>
      </c>
      <c r="H224" s="88" t="s">
        <v>289</v>
      </c>
      <c r="I224" s="99" t="s">
        <v>259</v>
      </c>
      <c r="J224" s="99"/>
    </row>
    <row r="225" spans="1:12" s="10" customFormat="1" ht="15.75" x14ac:dyDescent="0.25">
      <c r="A225" s="97">
        <v>2</v>
      </c>
      <c r="B225" s="97"/>
      <c r="C225" s="88" t="s">
        <v>208</v>
      </c>
      <c r="D225" s="97">
        <v>736</v>
      </c>
      <c r="E225" s="97"/>
      <c r="F225" s="87">
        <v>0</v>
      </c>
      <c r="G225" s="87">
        <v>1178</v>
      </c>
      <c r="H225" s="88" t="s">
        <v>289</v>
      </c>
      <c r="I225" s="99"/>
      <c r="J225" s="99"/>
    </row>
    <row r="226" spans="1:12" s="10" customFormat="1" ht="15.75" x14ac:dyDescent="0.25">
      <c r="A226" s="97">
        <v>3</v>
      </c>
      <c r="B226" s="97"/>
      <c r="C226" s="88" t="s">
        <v>208</v>
      </c>
      <c r="D226" s="97">
        <v>749</v>
      </c>
      <c r="E226" s="97"/>
      <c r="F226" s="87">
        <v>0</v>
      </c>
      <c r="G226" s="87">
        <v>1198</v>
      </c>
      <c r="H226" s="88" t="s">
        <v>289</v>
      </c>
      <c r="I226" s="99"/>
      <c r="J226" s="99"/>
    </row>
    <row r="227" spans="1:12" s="10" customFormat="1" ht="15.75" x14ac:dyDescent="0.25">
      <c r="A227" s="97">
        <v>4</v>
      </c>
      <c r="B227" s="97"/>
      <c r="C227" s="88" t="s">
        <v>209</v>
      </c>
      <c r="D227" s="97">
        <v>1811</v>
      </c>
      <c r="E227" s="97"/>
      <c r="F227" s="87">
        <v>0</v>
      </c>
      <c r="G227" s="87">
        <v>2898</v>
      </c>
      <c r="H227" s="88" t="s">
        <v>289</v>
      </c>
      <c r="I227" s="99"/>
      <c r="J227" s="99"/>
    </row>
    <row r="228" spans="1:12" s="10" customFormat="1" ht="15.75" x14ac:dyDescent="0.25">
      <c r="A228" s="97">
        <v>5</v>
      </c>
      <c r="B228" s="97"/>
      <c r="C228" s="88" t="s">
        <v>203</v>
      </c>
      <c r="D228" s="97">
        <v>1328</v>
      </c>
      <c r="E228" s="97"/>
      <c r="F228" s="87">
        <v>0</v>
      </c>
      <c r="G228" s="87">
        <v>2124</v>
      </c>
      <c r="H228" s="88" t="s">
        <v>289</v>
      </c>
      <c r="I228" s="99"/>
      <c r="J228" s="99"/>
    </row>
    <row r="229" spans="1:12" s="10" customFormat="1" ht="15.75" customHeight="1" x14ac:dyDescent="0.25">
      <c r="A229" s="97">
        <v>6</v>
      </c>
      <c r="B229" s="97"/>
      <c r="C229" s="88" t="s">
        <v>203</v>
      </c>
      <c r="D229" s="97">
        <v>1328</v>
      </c>
      <c r="E229" s="97"/>
      <c r="F229" s="87">
        <v>0</v>
      </c>
      <c r="G229" s="87">
        <v>2124</v>
      </c>
      <c r="H229" s="88" t="s">
        <v>289</v>
      </c>
      <c r="I229" s="99"/>
      <c r="J229" s="99"/>
    </row>
    <row r="230" spans="1:12" s="10" customFormat="1" ht="15.75" customHeight="1" x14ac:dyDescent="0.25">
      <c r="A230" s="96" t="s">
        <v>260</v>
      </c>
      <c r="B230" s="96"/>
      <c r="C230" s="96"/>
      <c r="D230" s="96"/>
      <c r="E230" s="96"/>
      <c r="F230" s="96"/>
      <c r="G230" s="96"/>
      <c r="H230" s="96"/>
      <c r="I230" s="96"/>
      <c r="J230" s="96"/>
    </row>
    <row r="231" spans="1:12" s="10" customFormat="1" ht="15.75" customHeight="1" x14ac:dyDescent="0.25">
      <c r="A231" s="97">
        <v>1</v>
      </c>
      <c r="B231" s="97"/>
      <c r="C231" s="77" t="s">
        <v>209</v>
      </c>
      <c r="D231" s="97">
        <v>1763</v>
      </c>
      <c r="E231" s="97"/>
      <c r="F231" s="79">
        <v>0</v>
      </c>
      <c r="G231" s="79">
        <v>2821</v>
      </c>
      <c r="H231" s="77" t="s">
        <v>289</v>
      </c>
      <c r="I231" s="99" t="s">
        <v>260</v>
      </c>
      <c r="J231" s="99"/>
      <c r="L231" s="10">
        <f>G231/D231</f>
        <v>1.6001134429948951</v>
      </c>
    </row>
    <row r="232" spans="1:12" s="10" customFormat="1" ht="15.75" customHeight="1" x14ac:dyDescent="0.25">
      <c r="A232" s="97">
        <v>2</v>
      </c>
      <c r="B232" s="97"/>
      <c r="C232" s="77" t="s">
        <v>208</v>
      </c>
      <c r="D232" s="97">
        <v>736</v>
      </c>
      <c r="E232" s="97"/>
      <c r="F232" s="79">
        <v>0</v>
      </c>
      <c r="G232" s="79">
        <v>1178</v>
      </c>
      <c r="H232" s="77" t="s">
        <v>289</v>
      </c>
      <c r="I232" s="99"/>
      <c r="J232" s="99"/>
      <c r="L232" s="10">
        <f t="shared" ref="L232:L236" si="1">G232/D232</f>
        <v>1.6005434782608696</v>
      </c>
    </row>
    <row r="233" spans="1:12" s="10" customFormat="1" ht="15.75" x14ac:dyDescent="0.25">
      <c r="A233" s="97">
        <v>3</v>
      </c>
      <c r="B233" s="97"/>
      <c r="C233" s="77" t="s">
        <v>208</v>
      </c>
      <c r="D233" s="97">
        <v>749</v>
      </c>
      <c r="E233" s="97"/>
      <c r="F233" s="79">
        <v>0</v>
      </c>
      <c r="G233" s="79">
        <v>1198</v>
      </c>
      <c r="H233" s="77" t="s">
        <v>289</v>
      </c>
      <c r="I233" s="99"/>
      <c r="J233" s="99"/>
      <c r="L233" s="10">
        <f t="shared" si="1"/>
        <v>1.5994659546061416</v>
      </c>
    </row>
    <row r="234" spans="1:12" s="10" customFormat="1" ht="15.75" x14ac:dyDescent="0.25">
      <c r="A234" s="97">
        <v>4</v>
      </c>
      <c r="B234" s="97"/>
      <c r="C234" s="77" t="s">
        <v>209</v>
      </c>
      <c r="D234" s="97">
        <v>1811</v>
      </c>
      <c r="E234" s="97"/>
      <c r="F234" s="79">
        <v>0</v>
      </c>
      <c r="G234" s="79">
        <v>2898</v>
      </c>
      <c r="H234" s="77" t="s">
        <v>289</v>
      </c>
      <c r="I234" s="99"/>
      <c r="J234" s="99"/>
      <c r="L234" s="10">
        <f t="shared" si="1"/>
        <v>1.6002208724461624</v>
      </c>
    </row>
    <row r="235" spans="1:12" s="10" customFormat="1" ht="15.75" x14ac:dyDescent="0.25">
      <c r="A235" s="97">
        <v>5</v>
      </c>
      <c r="B235" s="97"/>
      <c r="C235" s="77" t="s">
        <v>203</v>
      </c>
      <c r="D235" s="97">
        <v>1334</v>
      </c>
      <c r="E235" s="97"/>
      <c r="F235" s="79">
        <v>0</v>
      </c>
      <c r="G235" s="79">
        <v>2134</v>
      </c>
      <c r="H235" s="77" t="s">
        <v>289</v>
      </c>
      <c r="I235" s="99"/>
      <c r="J235" s="99"/>
      <c r="L235" s="10">
        <f t="shared" si="1"/>
        <v>1.5997001499250374</v>
      </c>
    </row>
    <row r="236" spans="1:12" s="10" customFormat="1" ht="15.75" x14ac:dyDescent="0.25">
      <c r="A236" s="97">
        <v>6</v>
      </c>
      <c r="B236" s="97"/>
      <c r="C236" s="77" t="s">
        <v>203</v>
      </c>
      <c r="D236" s="97">
        <v>1334</v>
      </c>
      <c r="E236" s="97"/>
      <c r="F236" s="79">
        <v>0</v>
      </c>
      <c r="G236" s="79">
        <v>2134</v>
      </c>
      <c r="H236" s="77" t="s">
        <v>289</v>
      </c>
      <c r="I236" s="99"/>
      <c r="J236" s="99"/>
      <c r="L236" s="10">
        <f t="shared" si="1"/>
        <v>1.5997001499250374</v>
      </c>
    </row>
    <row r="237" spans="1:12" s="10" customFormat="1" ht="15.75" x14ac:dyDescent="0.25">
      <c r="A237" s="155" t="s">
        <v>301</v>
      </c>
      <c r="B237" s="155"/>
      <c r="C237" s="155"/>
      <c r="D237" s="155"/>
      <c r="E237" s="155"/>
      <c r="F237" s="155"/>
      <c r="G237" s="155"/>
      <c r="H237" s="155"/>
      <c r="I237" s="155"/>
      <c r="J237" s="155"/>
    </row>
    <row r="238" spans="1:12" ht="15.75" x14ac:dyDescent="0.25">
      <c r="A238" s="96" t="s">
        <v>302</v>
      </c>
      <c r="B238" s="96"/>
      <c r="C238" s="96"/>
      <c r="D238" s="96"/>
      <c r="E238" s="96"/>
      <c r="F238" s="96"/>
      <c r="G238" s="96"/>
      <c r="H238" s="96"/>
      <c r="I238" s="96"/>
      <c r="J238" s="96"/>
    </row>
    <row r="239" spans="1:12" ht="15.75" x14ac:dyDescent="0.25">
      <c r="A239" s="96" t="s">
        <v>287</v>
      </c>
      <c r="B239" s="96"/>
      <c r="C239" s="96"/>
      <c r="D239" s="96"/>
      <c r="E239" s="96"/>
      <c r="F239" s="96"/>
      <c r="G239" s="96"/>
      <c r="H239" s="96"/>
      <c r="I239" s="96"/>
      <c r="J239" s="96"/>
    </row>
    <row r="240" spans="1:12" ht="15.75" x14ac:dyDescent="0.25">
      <c r="A240" s="96" t="s">
        <v>288</v>
      </c>
      <c r="B240" s="96"/>
      <c r="C240" s="96"/>
      <c r="D240" s="96"/>
      <c r="E240" s="96"/>
      <c r="F240" s="96"/>
      <c r="G240" s="96"/>
      <c r="H240" s="96"/>
      <c r="I240" s="96"/>
      <c r="J240" s="96"/>
    </row>
    <row r="241" spans="1:10" ht="15.75" x14ac:dyDescent="0.25">
      <c r="A241" s="97">
        <v>1</v>
      </c>
      <c r="B241" s="97"/>
      <c r="C241" s="96" t="s">
        <v>269</v>
      </c>
      <c r="D241" s="96"/>
      <c r="E241" s="96"/>
      <c r="F241" s="96"/>
      <c r="G241" s="96"/>
      <c r="H241" s="96"/>
      <c r="I241" s="99" t="s">
        <v>288</v>
      </c>
      <c r="J241" s="99"/>
    </row>
    <row r="242" spans="1:10" ht="15.75" x14ac:dyDescent="0.25">
      <c r="A242" s="97">
        <v>2</v>
      </c>
      <c r="B242" s="97"/>
      <c r="C242" s="90" t="s">
        <v>203</v>
      </c>
      <c r="D242" s="97">
        <v>1328</v>
      </c>
      <c r="E242" s="97"/>
      <c r="F242" s="89">
        <v>0</v>
      </c>
      <c r="G242" s="89">
        <v>2124</v>
      </c>
      <c r="H242" s="90" t="s">
        <v>289</v>
      </c>
      <c r="I242" s="99"/>
      <c r="J242" s="99"/>
    </row>
    <row r="243" spans="1:10" ht="16.5" customHeight="1" x14ac:dyDescent="0.25">
      <c r="A243" s="97">
        <v>3</v>
      </c>
      <c r="B243" s="97"/>
      <c r="C243" s="90" t="s">
        <v>209</v>
      </c>
      <c r="D243" s="97">
        <v>1659</v>
      </c>
      <c r="E243" s="97"/>
      <c r="F243" s="89">
        <v>0</v>
      </c>
      <c r="G243" s="89">
        <v>2654</v>
      </c>
      <c r="H243" s="90" t="s">
        <v>289</v>
      </c>
      <c r="I243" s="99"/>
      <c r="J243" s="99"/>
    </row>
    <row r="244" spans="1:10" ht="15.75" x14ac:dyDescent="0.25">
      <c r="A244" s="97">
        <v>4</v>
      </c>
      <c r="B244" s="97"/>
      <c r="C244" s="90" t="s">
        <v>209</v>
      </c>
      <c r="D244" s="97">
        <v>1659</v>
      </c>
      <c r="E244" s="97"/>
      <c r="F244" s="89">
        <v>0</v>
      </c>
      <c r="G244" s="89">
        <v>2654</v>
      </c>
      <c r="H244" s="90" t="s">
        <v>289</v>
      </c>
      <c r="I244" s="99"/>
      <c r="J244" s="99"/>
    </row>
    <row r="245" spans="1:10" ht="15.75" x14ac:dyDescent="0.25">
      <c r="A245" s="96" t="s">
        <v>290</v>
      </c>
      <c r="B245" s="96"/>
      <c r="C245" s="96"/>
      <c r="D245" s="96"/>
      <c r="E245" s="96"/>
      <c r="F245" s="96"/>
      <c r="G245" s="96"/>
      <c r="H245" s="96"/>
      <c r="I245" s="96"/>
      <c r="J245" s="96"/>
    </row>
    <row r="246" spans="1:10" ht="15.75" x14ac:dyDescent="0.25">
      <c r="A246" s="97">
        <v>1</v>
      </c>
      <c r="B246" s="97"/>
      <c r="C246" s="90" t="s">
        <v>203</v>
      </c>
      <c r="D246" s="97">
        <v>1328</v>
      </c>
      <c r="E246" s="97"/>
      <c r="F246" s="89">
        <v>0</v>
      </c>
      <c r="G246" s="89">
        <v>2124</v>
      </c>
      <c r="H246" s="90" t="s">
        <v>289</v>
      </c>
      <c r="I246" s="99" t="s">
        <v>290</v>
      </c>
      <c r="J246" s="99"/>
    </row>
    <row r="247" spans="1:10" ht="15" customHeight="1" x14ac:dyDescent="0.25">
      <c r="A247" s="97">
        <v>2</v>
      </c>
      <c r="B247" s="97"/>
      <c r="C247" s="90" t="s">
        <v>203</v>
      </c>
      <c r="D247" s="97">
        <v>1328</v>
      </c>
      <c r="E247" s="97"/>
      <c r="F247" s="89">
        <v>0</v>
      </c>
      <c r="G247" s="89">
        <v>2124</v>
      </c>
      <c r="H247" s="90" t="s">
        <v>289</v>
      </c>
      <c r="I247" s="99"/>
      <c r="J247" s="99"/>
    </row>
    <row r="248" spans="1:10" ht="15.75" x14ac:dyDescent="0.25">
      <c r="A248" s="97">
        <v>3</v>
      </c>
      <c r="B248" s="97"/>
      <c r="C248" s="90" t="s">
        <v>209</v>
      </c>
      <c r="D248" s="97">
        <v>1659</v>
      </c>
      <c r="E248" s="97"/>
      <c r="F248" s="89">
        <v>0</v>
      </c>
      <c r="G248" s="89">
        <v>2654</v>
      </c>
      <c r="H248" s="90" t="s">
        <v>289</v>
      </c>
      <c r="I248" s="99"/>
      <c r="J248" s="99"/>
    </row>
    <row r="249" spans="1:10" ht="15.75" x14ac:dyDescent="0.25">
      <c r="A249" s="97">
        <v>4</v>
      </c>
      <c r="B249" s="97"/>
      <c r="C249" s="90" t="s">
        <v>209</v>
      </c>
      <c r="D249" s="97">
        <v>1659</v>
      </c>
      <c r="E249" s="97"/>
      <c r="F249" s="89">
        <v>0</v>
      </c>
      <c r="G249" s="89">
        <v>2654</v>
      </c>
      <c r="H249" s="90" t="s">
        <v>289</v>
      </c>
      <c r="I249" s="99"/>
      <c r="J249" s="99"/>
    </row>
    <row r="250" spans="1:10" ht="15.75" x14ac:dyDescent="0.25">
      <c r="A250" s="96" t="s">
        <v>291</v>
      </c>
      <c r="B250" s="96"/>
      <c r="C250" s="96"/>
      <c r="D250" s="96"/>
      <c r="E250" s="96"/>
      <c r="F250" s="96"/>
      <c r="G250" s="96"/>
      <c r="H250" s="96"/>
      <c r="I250" s="96"/>
      <c r="J250" s="96"/>
    </row>
    <row r="251" spans="1:10" ht="15.75" x14ac:dyDescent="0.25">
      <c r="A251" s="97">
        <v>1</v>
      </c>
      <c r="B251" s="97"/>
      <c r="C251" s="77" t="s">
        <v>203</v>
      </c>
      <c r="D251" s="97">
        <v>1339</v>
      </c>
      <c r="E251" s="97"/>
      <c r="F251" s="79">
        <v>0</v>
      </c>
      <c r="G251" s="79">
        <v>2142</v>
      </c>
      <c r="H251" s="77" t="s">
        <v>289</v>
      </c>
      <c r="I251" s="99" t="s">
        <v>291</v>
      </c>
      <c r="J251" s="99"/>
    </row>
    <row r="252" spans="1:10" ht="15.75" x14ac:dyDescent="0.25">
      <c r="A252" s="97">
        <v>2</v>
      </c>
      <c r="B252" s="97"/>
      <c r="C252" s="77" t="s">
        <v>203</v>
      </c>
      <c r="D252" s="97">
        <v>1339</v>
      </c>
      <c r="E252" s="97"/>
      <c r="F252" s="79">
        <v>0</v>
      </c>
      <c r="G252" s="79">
        <v>2142</v>
      </c>
      <c r="H252" s="77" t="s">
        <v>289</v>
      </c>
      <c r="I252" s="99"/>
      <c r="J252" s="99"/>
    </row>
    <row r="253" spans="1:10" ht="15.75" x14ac:dyDescent="0.25">
      <c r="A253" s="97">
        <v>3</v>
      </c>
      <c r="B253" s="97"/>
      <c r="C253" s="77" t="s">
        <v>209</v>
      </c>
      <c r="D253" s="97">
        <v>1694</v>
      </c>
      <c r="E253" s="97"/>
      <c r="F253" s="79">
        <v>0</v>
      </c>
      <c r="G253" s="79">
        <v>2710</v>
      </c>
      <c r="H253" s="77" t="s">
        <v>289</v>
      </c>
      <c r="I253" s="99"/>
      <c r="J253" s="99"/>
    </row>
    <row r="254" spans="1:10" ht="15.75" x14ac:dyDescent="0.25">
      <c r="A254" s="97">
        <v>4</v>
      </c>
      <c r="B254" s="97"/>
      <c r="C254" s="77" t="s">
        <v>209</v>
      </c>
      <c r="D254" s="97">
        <v>1694</v>
      </c>
      <c r="E254" s="97"/>
      <c r="F254" s="79">
        <v>0</v>
      </c>
      <c r="G254" s="79">
        <v>2710</v>
      </c>
      <c r="H254" s="77" t="s">
        <v>289</v>
      </c>
      <c r="I254" s="99"/>
      <c r="J254" s="99"/>
    </row>
    <row r="255" spans="1:10" ht="15.75" x14ac:dyDescent="0.25">
      <c r="A255" s="96" t="s">
        <v>292</v>
      </c>
      <c r="B255" s="96"/>
      <c r="C255" s="96"/>
      <c r="D255" s="96"/>
      <c r="E255" s="96"/>
      <c r="F255" s="96"/>
      <c r="G255" s="96"/>
      <c r="H255" s="96"/>
      <c r="I255" s="96"/>
      <c r="J255" s="96"/>
    </row>
    <row r="256" spans="1:10" ht="15.75" x14ac:dyDescent="0.25">
      <c r="A256" s="97">
        <v>1</v>
      </c>
      <c r="B256" s="97"/>
      <c r="C256" s="96" t="s">
        <v>269</v>
      </c>
      <c r="D256" s="96"/>
      <c r="E256" s="96"/>
      <c r="F256" s="96"/>
      <c r="G256" s="96"/>
      <c r="H256" s="96"/>
      <c r="I256" s="99" t="s">
        <v>292</v>
      </c>
      <c r="J256" s="99"/>
    </row>
    <row r="257" spans="1:10" ht="15.75" x14ac:dyDescent="0.25">
      <c r="A257" s="97">
        <v>2</v>
      </c>
      <c r="B257" s="97"/>
      <c r="C257" s="77" t="s">
        <v>203</v>
      </c>
      <c r="D257" s="97">
        <v>1339</v>
      </c>
      <c r="E257" s="97"/>
      <c r="F257" s="79">
        <v>0</v>
      </c>
      <c r="G257" s="79">
        <v>2142</v>
      </c>
      <c r="H257" s="77" t="s">
        <v>289</v>
      </c>
      <c r="I257" s="99"/>
      <c r="J257" s="99"/>
    </row>
    <row r="258" spans="1:10" ht="15.75" x14ac:dyDescent="0.25">
      <c r="A258" s="97">
        <v>3</v>
      </c>
      <c r="B258" s="97"/>
      <c r="C258" s="77" t="s">
        <v>209</v>
      </c>
      <c r="D258" s="97">
        <v>1694</v>
      </c>
      <c r="E258" s="97"/>
      <c r="F258" s="79">
        <v>0</v>
      </c>
      <c r="G258" s="79">
        <v>2710</v>
      </c>
      <c r="H258" s="77" t="s">
        <v>289</v>
      </c>
      <c r="I258" s="99"/>
      <c r="J258" s="99"/>
    </row>
    <row r="259" spans="1:10" ht="15.75" x14ac:dyDescent="0.25">
      <c r="A259" s="97">
        <v>4</v>
      </c>
      <c r="B259" s="97"/>
      <c r="C259" s="77" t="s">
        <v>209</v>
      </c>
      <c r="D259" s="97">
        <v>1694</v>
      </c>
      <c r="E259" s="97"/>
      <c r="F259" s="79">
        <v>0</v>
      </c>
      <c r="G259" s="79">
        <v>2710</v>
      </c>
      <c r="H259" s="77" t="s">
        <v>289</v>
      </c>
      <c r="I259" s="99"/>
      <c r="J259" s="99"/>
    </row>
    <row r="260" spans="1:10" ht="15.75" x14ac:dyDescent="0.25">
      <c r="A260" s="96" t="s">
        <v>293</v>
      </c>
      <c r="B260" s="96"/>
      <c r="C260" s="96"/>
      <c r="D260" s="96"/>
      <c r="E260" s="96"/>
      <c r="F260" s="96"/>
      <c r="G260" s="96"/>
      <c r="H260" s="96"/>
      <c r="I260" s="96"/>
      <c r="J260" s="96"/>
    </row>
    <row r="261" spans="1:10" ht="15.75" x14ac:dyDescent="0.25">
      <c r="A261" s="96" t="s">
        <v>297</v>
      </c>
      <c r="B261" s="96"/>
      <c r="C261" s="96"/>
      <c r="D261" s="96"/>
      <c r="E261" s="96"/>
      <c r="F261" s="96"/>
      <c r="G261" s="96"/>
      <c r="H261" s="96"/>
      <c r="I261" s="96"/>
      <c r="J261" s="96"/>
    </row>
    <row r="262" spans="1:10" ht="15.75" x14ac:dyDescent="0.25">
      <c r="A262" s="97">
        <v>1</v>
      </c>
      <c r="B262" s="97"/>
      <c r="C262" s="77" t="s">
        <v>203</v>
      </c>
      <c r="D262" s="97">
        <v>1356</v>
      </c>
      <c r="E262" s="97"/>
      <c r="F262" s="79">
        <v>0</v>
      </c>
      <c r="G262" s="79">
        <v>2170</v>
      </c>
      <c r="H262" s="77" t="s">
        <v>289</v>
      </c>
      <c r="I262" s="99" t="s">
        <v>297</v>
      </c>
      <c r="J262" s="99"/>
    </row>
    <row r="263" spans="1:10" ht="15.75" x14ac:dyDescent="0.25">
      <c r="A263" s="97">
        <v>2</v>
      </c>
      <c r="B263" s="97"/>
      <c r="C263" s="77" t="s">
        <v>203</v>
      </c>
      <c r="D263" s="97">
        <v>1356</v>
      </c>
      <c r="E263" s="97"/>
      <c r="F263" s="79">
        <v>0</v>
      </c>
      <c r="G263" s="79">
        <v>2170</v>
      </c>
      <c r="H263" s="77" t="s">
        <v>289</v>
      </c>
      <c r="I263" s="99"/>
      <c r="J263" s="99"/>
    </row>
    <row r="264" spans="1:10" ht="15.75" x14ac:dyDescent="0.25">
      <c r="A264" s="97">
        <v>3</v>
      </c>
      <c r="B264" s="97"/>
      <c r="C264" s="77" t="s">
        <v>209</v>
      </c>
      <c r="D264" s="97">
        <v>1726</v>
      </c>
      <c r="E264" s="97"/>
      <c r="F264" s="79">
        <v>0</v>
      </c>
      <c r="G264" s="79">
        <v>2761</v>
      </c>
      <c r="H264" s="77" t="s">
        <v>289</v>
      </c>
      <c r="I264" s="99"/>
      <c r="J264" s="99"/>
    </row>
    <row r="265" spans="1:10" ht="15.75" x14ac:dyDescent="0.25">
      <c r="A265" s="97">
        <v>4</v>
      </c>
      <c r="B265" s="97"/>
      <c r="C265" s="77" t="s">
        <v>209</v>
      </c>
      <c r="D265" s="97">
        <v>1726</v>
      </c>
      <c r="E265" s="97"/>
      <c r="F265" s="79">
        <v>0</v>
      </c>
      <c r="G265" s="79">
        <v>2761</v>
      </c>
      <c r="H265" s="77" t="s">
        <v>289</v>
      </c>
      <c r="I265" s="99"/>
      <c r="J265" s="99"/>
    </row>
    <row r="266" spans="1:10" ht="15.75" x14ac:dyDescent="0.25">
      <c r="A266" s="96" t="s">
        <v>298</v>
      </c>
      <c r="B266" s="96"/>
      <c r="C266" s="96"/>
      <c r="D266" s="96"/>
      <c r="E266" s="96"/>
      <c r="F266" s="96"/>
      <c r="G266" s="96"/>
      <c r="H266" s="96"/>
      <c r="I266" s="96"/>
      <c r="J266" s="96"/>
    </row>
    <row r="267" spans="1:10" ht="15.75" x14ac:dyDescent="0.25">
      <c r="A267" s="97">
        <v>1</v>
      </c>
      <c r="B267" s="97"/>
      <c r="C267" s="96" t="s">
        <v>269</v>
      </c>
      <c r="D267" s="96"/>
      <c r="E267" s="96"/>
      <c r="F267" s="96"/>
      <c r="G267" s="96"/>
      <c r="H267" s="96"/>
      <c r="I267" s="99" t="s">
        <v>298</v>
      </c>
      <c r="J267" s="99"/>
    </row>
    <row r="268" spans="1:10" ht="15.75" x14ac:dyDescent="0.25">
      <c r="A268" s="97">
        <v>2</v>
      </c>
      <c r="B268" s="97"/>
      <c r="C268" s="77" t="s">
        <v>203</v>
      </c>
      <c r="D268" s="97">
        <v>1356</v>
      </c>
      <c r="E268" s="97"/>
      <c r="F268" s="79">
        <v>0</v>
      </c>
      <c r="G268" s="79">
        <v>2170</v>
      </c>
      <c r="H268" s="77" t="s">
        <v>289</v>
      </c>
      <c r="I268" s="99"/>
      <c r="J268" s="99"/>
    </row>
    <row r="269" spans="1:10" ht="15.75" x14ac:dyDescent="0.25">
      <c r="A269" s="97">
        <v>3</v>
      </c>
      <c r="B269" s="97"/>
      <c r="C269" s="77" t="s">
        <v>209</v>
      </c>
      <c r="D269" s="97">
        <v>1726</v>
      </c>
      <c r="E269" s="97"/>
      <c r="F269" s="79">
        <v>0</v>
      </c>
      <c r="G269" s="79">
        <v>2761</v>
      </c>
      <c r="H269" s="77" t="s">
        <v>289</v>
      </c>
      <c r="I269" s="99"/>
      <c r="J269" s="99"/>
    </row>
    <row r="270" spans="1:10" ht="15.75" x14ac:dyDescent="0.25">
      <c r="A270" s="97">
        <v>4</v>
      </c>
      <c r="B270" s="97"/>
      <c r="C270" s="77" t="s">
        <v>209</v>
      </c>
      <c r="D270" s="97">
        <v>1726</v>
      </c>
      <c r="E270" s="97"/>
      <c r="F270" s="79">
        <v>0</v>
      </c>
      <c r="G270" s="79">
        <v>2761</v>
      </c>
      <c r="H270" s="77" t="s">
        <v>289</v>
      </c>
      <c r="I270" s="99"/>
      <c r="J270" s="99"/>
    </row>
    <row r="271" spans="1:10" ht="15.75" x14ac:dyDescent="0.25">
      <c r="A271" s="154" t="s">
        <v>353</v>
      </c>
      <c r="B271" s="154"/>
      <c r="C271" s="154"/>
      <c r="D271" s="154"/>
      <c r="E271" s="154"/>
      <c r="F271" s="154"/>
      <c r="G271" s="154"/>
      <c r="H271" s="154"/>
      <c r="I271" s="154"/>
      <c r="J271" s="154"/>
    </row>
    <row r="272" spans="1:10" ht="15.75" hidden="1" x14ac:dyDescent="0.25">
      <c r="A272" s="96" t="s">
        <v>302</v>
      </c>
      <c r="B272" s="96"/>
      <c r="C272" s="96"/>
      <c r="D272" s="96"/>
      <c r="E272" s="96"/>
      <c r="F272" s="96"/>
      <c r="G272" s="96"/>
      <c r="H272" s="96"/>
      <c r="I272" s="96"/>
      <c r="J272" s="96"/>
    </row>
    <row r="273" spans="1:15" ht="15.75" hidden="1" x14ac:dyDescent="0.25">
      <c r="A273" s="96" t="s">
        <v>274</v>
      </c>
      <c r="B273" s="96"/>
      <c r="C273" s="96"/>
      <c r="D273" s="96"/>
      <c r="E273" s="96"/>
      <c r="F273" s="96"/>
      <c r="G273" s="96"/>
      <c r="H273" s="96"/>
      <c r="I273" s="96"/>
      <c r="J273" s="96"/>
    </row>
    <row r="274" spans="1:15" ht="15.75" x14ac:dyDescent="0.25">
      <c r="A274" s="96" t="s">
        <v>247</v>
      </c>
      <c r="B274" s="96"/>
      <c r="C274" s="96"/>
      <c r="D274" s="96"/>
      <c r="E274" s="96"/>
      <c r="F274" s="96"/>
      <c r="G274" s="96"/>
      <c r="H274" s="96"/>
      <c r="I274" s="96"/>
      <c r="J274" s="96"/>
      <c r="L274" s="76">
        <v>10.763999999999999</v>
      </c>
      <c r="N274" s="101">
        <v>10.763999999999999</v>
      </c>
      <c r="O274" s="101"/>
    </row>
    <row r="275" spans="1:15" ht="15.75" x14ac:dyDescent="0.25">
      <c r="A275" s="97">
        <v>1</v>
      </c>
      <c r="B275" s="97"/>
      <c r="C275" s="88" t="s">
        <v>203</v>
      </c>
      <c r="D275" s="98">
        <f>((99.84)*10.764)</f>
        <v>1074.67776</v>
      </c>
      <c r="E275" s="98"/>
      <c r="F275" s="87">
        <v>0</v>
      </c>
      <c r="G275" s="87">
        <f>D275*1.6+F275</f>
        <v>1719.4844160000002</v>
      </c>
      <c r="H275" s="88" t="s">
        <v>289</v>
      </c>
      <c r="I275" s="99" t="str">
        <f>A274</f>
        <v>1st &amp; 8th Floor (Part Refuge Area)</v>
      </c>
      <c r="J275" s="99"/>
      <c r="L275" s="75">
        <f>7.02*3.8+1.65*2.25+2.5*2.63+2.97*3.24+3.39*0.52+3.55*3.88+1.1*1.05+3.5*3.51+0.32*1.85+1.55*2.45+1.58*1.48+2.45*1.55+1.57*2.4+3*1.38+1.9*0.9</f>
        <v>95.706499999999991</v>
      </c>
      <c r="M275" s="75">
        <f>1.65*2.25+7.02*3.8+2.5*2.63+(1.9*0.9)+3.5*3.51+1.1*1.05+1*0.3+3.55*3.88+1*0.3+2.97*3.24+1.57*2.4+1.57*0.9+2.45*1.55+1.55*2.45+1.58*1.48+(3*1.38)</f>
        <v>95.364699999999985</v>
      </c>
    </row>
    <row r="276" spans="1:15" ht="15.75" x14ac:dyDescent="0.25">
      <c r="A276" s="97">
        <v>2</v>
      </c>
      <c r="B276" s="97"/>
      <c r="C276" s="88" t="s">
        <v>208</v>
      </c>
      <c r="D276" s="98">
        <f>(66.65)*10.764</f>
        <v>717.42060000000004</v>
      </c>
      <c r="E276" s="98"/>
      <c r="F276" s="87">
        <v>0</v>
      </c>
      <c r="G276" s="87">
        <f>D276*1.6+F276</f>
        <v>1147.8729600000001</v>
      </c>
      <c r="H276" s="88" t="s">
        <v>289</v>
      </c>
      <c r="I276" s="99"/>
      <c r="J276" s="99"/>
    </row>
    <row r="277" spans="1:15" ht="15.75" x14ac:dyDescent="0.25">
      <c r="A277" s="97">
        <v>3</v>
      </c>
      <c r="B277" s="97"/>
      <c r="C277" s="99" t="s">
        <v>269</v>
      </c>
      <c r="D277" s="99"/>
      <c r="E277" s="99"/>
      <c r="F277" s="99"/>
      <c r="G277" s="99"/>
      <c r="H277" s="99"/>
      <c r="I277" s="99"/>
      <c r="J277" s="99"/>
    </row>
    <row r="278" spans="1:15" ht="15.75" x14ac:dyDescent="0.25">
      <c r="A278" s="97">
        <v>4</v>
      </c>
      <c r="B278" s="97"/>
      <c r="C278" s="99" t="s">
        <v>269</v>
      </c>
      <c r="D278" s="99"/>
      <c r="E278" s="99"/>
      <c r="F278" s="99"/>
      <c r="G278" s="99"/>
      <c r="H278" s="99"/>
      <c r="I278" s="99"/>
      <c r="J278" s="99"/>
    </row>
    <row r="279" spans="1:15" ht="15.75" x14ac:dyDescent="0.25">
      <c r="A279" s="97">
        <v>5</v>
      </c>
      <c r="B279" s="97"/>
      <c r="C279" s="88" t="s">
        <v>203</v>
      </c>
      <c r="D279" s="98">
        <f>(112.06)*10.764</f>
        <v>1206.2138399999999</v>
      </c>
      <c r="E279" s="98"/>
      <c r="F279" s="87">
        <v>0</v>
      </c>
      <c r="G279" s="87">
        <f t="shared" ref="G279:G282" si="2">D279*1.6+F279</f>
        <v>1929.9421439999999</v>
      </c>
      <c r="H279" s="88" t="s">
        <v>289</v>
      </c>
      <c r="I279" s="99"/>
      <c r="J279" s="99"/>
    </row>
    <row r="280" spans="1:15" ht="15.75" x14ac:dyDescent="0.25">
      <c r="A280" s="97">
        <v>6</v>
      </c>
      <c r="B280" s="97"/>
      <c r="C280" s="88" t="s">
        <v>208</v>
      </c>
      <c r="D280" s="98">
        <f>(71.27)*10.764</f>
        <v>767.15027999999995</v>
      </c>
      <c r="E280" s="98"/>
      <c r="F280" s="87">
        <v>0</v>
      </c>
      <c r="G280" s="87">
        <f t="shared" si="2"/>
        <v>1227.4404480000001</v>
      </c>
      <c r="H280" s="88" t="s">
        <v>289</v>
      </c>
      <c r="I280" s="99"/>
      <c r="J280" s="99"/>
    </row>
    <row r="281" spans="1:15" ht="15.75" x14ac:dyDescent="0.25">
      <c r="A281" s="97">
        <v>7</v>
      </c>
      <c r="B281" s="97"/>
      <c r="C281" s="88" t="s">
        <v>208</v>
      </c>
      <c r="D281" s="98">
        <f>(71.27)*10.764</f>
        <v>767.15027999999995</v>
      </c>
      <c r="E281" s="98"/>
      <c r="F281" s="87">
        <v>0</v>
      </c>
      <c r="G281" s="87">
        <f t="shared" si="2"/>
        <v>1227.4404480000001</v>
      </c>
      <c r="H281" s="88" t="s">
        <v>289</v>
      </c>
      <c r="I281" s="99"/>
      <c r="J281" s="99"/>
      <c r="L281">
        <f>100000000/G282</f>
        <v>81734.117060204007</v>
      </c>
    </row>
    <row r="282" spans="1:15" ht="15.75" x14ac:dyDescent="0.25">
      <c r="A282" s="97">
        <v>8</v>
      </c>
      <c r="B282" s="97"/>
      <c r="C282" s="88" t="s">
        <v>208</v>
      </c>
      <c r="D282" s="98">
        <f>(71.04)*10.764</f>
        <v>764.67456000000004</v>
      </c>
      <c r="E282" s="98"/>
      <c r="F282" s="87">
        <v>0</v>
      </c>
      <c r="G282" s="87">
        <f t="shared" si="2"/>
        <v>1223.4792960000002</v>
      </c>
      <c r="H282" s="88" t="s">
        <v>289</v>
      </c>
      <c r="I282" s="99"/>
      <c r="J282" s="99"/>
    </row>
    <row r="283" spans="1:15" ht="15.75" customHeight="1" x14ac:dyDescent="0.25">
      <c r="A283" s="96" t="s">
        <v>249</v>
      </c>
      <c r="B283" s="96"/>
      <c r="C283" s="96"/>
      <c r="D283" s="96"/>
      <c r="E283" s="96"/>
      <c r="F283" s="96"/>
      <c r="G283" s="96"/>
      <c r="H283" s="96"/>
      <c r="I283" s="96"/>
      <c r="J283" s="96"/>
    </row>
    <row r="284" spans="1:15" ht="15.75" x14ac:dyDescent="0.25">
      <c r="A284" s="97">
        <v>1</v>
      </c>
      <c r="B284" s="97"/>
      <c r="C284" s="90" t="s">
        <v>203</v>
      </c>
      <c r="D284" s="98">
        <f>((99.84)*10.764)</f>
        <v>1074.67776</v>
      </c>
      <c r="E284" s="98"/>
      <c r="F284" s="89">
        <v>0</v>
      </c>
      <c r="G284" s="89">
        <f t="shared" ref="G284:G291" si="3">D284*1.6+F284</f>
        <v>1719.4844160000002</v>
      </c>
      <c r="H284" s="90" t="s">
        <v>289</v>
      </c>
      <c r="I284" s="99" t="str">
        <f>A283</f>
        <v>2nd &amp; 9th Floor</v>
      </c>
      <c r="J284" s="99"/>
    </row>
    <row r="285" spans="1:15" ht="15.75" x14ac:dyDescent="0.25">
      <c r="A285" s="97">
        <v>2</v>
      </c>
      <c r="B285" s="97"/>
      <c r="C285" s="90" t="s">
        <v>208</v>
      </c>
      <c r="D285" s="98">
        <f>(66.65)*10.764</f>
        <v>717.42060000000004</v>
      </c>
      <c r="E285" s="98"/>
      <c r="F285" s="89">
        <v>0</v>
      </c>
      <c r="G285" s="89">
        <f t="shared" si="3"/>
        <v>1147.8729600000001</v>
      </c>
      <c r="H285" s="90" t="s">
        <v>289</v>
      </c>
      <c r="I285" s="99"/>
      <c r="J285" s="99"/>
    </row>
    <row r="286" spans="1:15" ht="15.75" x14ac:dyDescent="0.25">
      <c r="A286" s="97">
        <v>3</v>
      </c>
      <c r="B286" s="97"/>
      <c r="C286" s="90" t="s">
        <v>208</v>
      </c>
      <c r="D286" s="98">
        <f>(66.65)*10.764</f>
        <v>717.42060000000004</v>
      </c>
      <c r="E286" s="98"/>
      <c r="F286" s="89">
        <v>0</v>
      </c>
      <c r="G286" s="89">
        <f t="shared" si="3"/>
        <v>1147.8729600000001</v>
      </c>
      <c r="H286" s="90" t="s">
        <v>289</v>
      </c>
      <c r="I286" s="99"/>
      <c r="J286" s="99"/>
    </row>
    <row r="287" spans="1:15" ht="15.75" x14ac:dyDescent="0.25">
      <c r="A287" s="97">
        <v>4</v>
      </c>
      <c r="B287" s="97"/>
      <c r="C287" s="90" t="s">
        <v>203</v>
      </c>
      <c r="D287" s="98">
        <f>((99.97)*10.764)</f>
        <v>1076.07708</v>
      </c>
      <c r="E287" s="98"/>
      <c r="F287" s="89">
        <v>0</v>
      </c>
      <c r="G287" s="89">
        <f t="shared" si="3"/>
        <v>1721.723328</v>
      </c>
      <c r="H287" s="90" t="s">
        <v>289</v>
      </c>
      <c r="I287" s="99"/>
      <c r="J287" s="99"/>
    </row>
    <row r="288" spans="1:15" ht="15.75" x14ac:dyDescent="0.25">
      <c r="A288" s="97">
        <v>5</v>
      </c>
      <c r="B288" s="97"/>
      <c r="C288" s="90" t="s">
        <v>203</v>
      </c>
      <c r="D288" s="98">
        <f>(112.06)*10.764</f>
        <v>1206.2138399999999</v>
      </c>
      <c r="E288" s="98"/>
      <c r="F288" s="89">
        <v>0</v>
      </c>
      <c r="G288" s="89">
        <f t="shared" si="3"/>
        <v>1929.9421439999999</v>
      </c>
      <c r="H288" s="90" t="s">
        <v>289</v>
      </c>
      <c r="I288" s="99"/>
      <c r="J288" s="99"/>
    </row>
    <row r="289" spans="1:13" ht="15.75" x14ac:dyDescent="0.25">
      <c r="A289" s="97">
        <v>6</v>
      </c>
      <c r="B289" s="97"/>
      <c r="C289" s="90" t="s">
        <v>208</v>
      </c>
      <c r="D289" s="98">
        <f>(71.27)*10.764</f>
        <v>767.15027999999995</v>
      </c>
      <c r="E289" s="98"/>
      <c r="F289" s="89">
        <v>0</v>
      </c>
      <c r="G289" s="89">
        <f t="shared" si="3"/>
        <v>1227.4404480000001</v>
      </c>
      <c r="H289" s="90" t="s">
        <v>289</v>
      </c>
      <c r="I289" s="99"/>
      <c r="J289" s="99"/>
    </row>
    <row r="290" spans="1:13" ht="15.75" x14ac:dyDescent="0.25">
      <c r="A290" s="97">
        <v>7</v>
      </c>
      <c r="B290" s="97"/>
      <c r="C290" s="90" t="s">
        <v>208</v>
      </c>
      <c r="D290" s="98">
        <f>(71.27)*10.764</f>
        <v>767.15027999999995</v>
      </c>
      <c r="E290" s="98"/>
      <c r="F290" s="89">
        <v>0</v>
      </c>
      <c r="G290" s="89">
        <f t="shared" si="3"/>
        <v>1227.4404480000001</v>
      </c>
      <c r="H290" s="90" t="s">
        <v>289</v>
      </c>
      <c r="I290" s="99"/>
      <c r="J290" s="99"/>
    </row>
    <row r="291" spans="1:13" ht="15.75" x14ac:dyDescent="0.25">
      <c r="A291" s="97">
        <v>8</v>
      </c>
      <c r="B291" s="97"/>
      <c r="C291" s="90" t="s">
        <v>208</v>
      </c>
      <c r="D291" s="98">
        <f>(71.04)*10.764</f>
        <v>764.67456000000004</v>
      </c>
      <c r="E291" s="98"/>
      <c r="F291" s="89">
        <v>0</v>
      </c>
      <c r="G291" s="89">
        <f t="shared" si="3"/>
        <v>1223.4792960000002</v>
      </c>
      <c r="H291" s="90" t="s">
        <v>289</v>
      </c>
      <c r="I291" s="99"/>
      <c r="J291" s="99"/>
    </row>
    <row r="292" spans="1:13" ht="15.75" x14ac:dyDescent="0.25">
      <c r="A292" s="96" t="s">
        <v>250</v>
      </c>
      <c r="B292" s="96"/>
      <c r="C292" s="96"/>
      <c r="D292" s="96"/>
      <c r="E292" s="96"/>
      <c r="F292" s="96"/>
      <c r="G292" s="96"/>
      <c r="H292" s="96"/>
      <c r="I292" s="96"/>
      <c r="J292" s="96"/>
    </row>
    <row r="293" spans="1:13" ht="15.75" x14ac:dyDescent="0.25">
      <c r="A293" s="97">
        <v>1</v>
      </c>
      <c r="B293" s="97"/>
      <c r="C293" s="90" t="s">
        <v>203</v>
      </c>
      <c r="D293" s="98">
        <f>((99.84)*10.764)</f>
        <v>1074.67776</v>
      </c>
      <c r="E293" s="98"/>
      <c r="F293" s="89">
        <v>0</v>
      </c>
      <c r="G293" s="89">
        <f t="shared" ref="G293:G300" si="4">D293*1.6+F293</f>
        <v>1719.4844160000002</v>
      </c>
      <c r="H293" s="90" t="s">
        <v>289</v>
      </c>
      <c r="I293" s="99" t="str">
        <f>A292</f>
        <v>3rd to 7th &amp; 10th Floor</v>
      </c>
      <c r="J293" s="99"/>
    </row>
    <row r="294" spans="1:13" ht="15.75" x14ac:dyDescent="0.25">
      <c r="A294" s="97">
        <v>2</v>
      </c>
      <c r="B294" s="97"/>
      <c r="C294" s="90" t="s">
        <v>208</v>
      </c>
      <c r="D294" s="98">
        <f>(66.65)*10.764</f>
        <v>717.42060000000004</v>
      </c>
      <c r="E294" s="98"/>
      <c r="F294" s="89">
        <v>0</v>
      </c>
      <c r="G294" s="89">
        <f t="shared" si="4"/>
        <v>1147.8729600000001</v>
      </c>
      <c r="H294" s="90" t="s">
        <v>289</v>
      </c>
      <c r="I294" s="99"/>
      <c r="J294" s="99"/>
      <c r="L294" s="35">
        <f xml:space="preserve"> 26963613/G303</f>
        <v>23159.955336822946</v>
      </c>
      <c r="M294" t="s">
        <v>189</v>
      </c>
    </row>
    <row r="295" spans="1:13" ht="15.75" x14ac:dyDescent="0.25">
      <c r="A295" s="97">
        <v>3</v>
      </c>
      <c r="B295" s="97"/>
      <c r="C295" s="90" t="s">
        <v>208</v>
      </c>
      <c r="D295" s="98">
        <f>(66.65)*10.764</f>
        <v>717.42060000000004</v>
      </c>
      <c r="E295" s="98"/>
      <c r="F295" s="89">
        <v>0</v>
      </c>
      <c r="G295" s="89">
        <f t="shared" si="4"/>
        <v>1147.8729600000001</v>
      </c>
      <c r="H295" s="90" t="s">
        <v>289</v>
      </c>
      <c r="I295" s="99"/>
      <c r="J295" s="99"/>
      <c r="L295" s="35"/>
    </row>
    <row r="296" spans="1:13" ht="15.75" x14ac:dyDescent="0.25">
      <c r="A296" s="97">
        <v>4</v>
      </c>
      <c r="B296" s="97"/>
      <c r="C296" s="90" t="s">
        <v>203</v>
      </c>
      <c r="D296" s="98">
        <f>((99.97)*10.764)</f>
        <v>1076.07708</v>
      </c>
      <c r="E296" s="98"/>
      <c r="F296" s="89">
        <v>0</v>
      </c>
      <c r="G296" s="89">
        <f t="shared" si="4"/>
        <v>1721.723328</v>
      </c>
      <c r="H296" s="90" t="s">
        <v>289</v>
      </c>
      <c r="I296" s="99"/>
      <c r="J296" s="99"/>
      <c r="L296" s="35">
        <f xml:space="preserve"> 47564318/G305</f>
        <v>27393.082732371222</v>
      </c>
      <c r="M296" t="s">
        <v>190</v>
      </c>
    </row>
    <row r="297" spans="1:13" ht="15.75" x14ac:dyDescent="0.25">
      <c r="A297" s="97">
        <v>5</v>
      </c>
      <c r="B297" s="97"/>
      <c r="C297" s="90" t="s">
        <v>203</v>
      </c>
      <c r="D297" s="98">
        <f>(112.06)*10.764</f>
        <v>1206.2138399999999</v>
      </c>
      <c r="E297" s="98"/>
      <c r="F297" s="89">
        <v>0</v>
      </c>
      <c r="G297" s="89">
        <f t="shared" si="4"/>
        <v>1929.9421439999999</v>
      </c>
      <c r="H297" s="90" t="s">
        <v>289</v>
      </c>
      <c r="I297" s="99"/>
      <c r="J297" s="99"/>
    </row>
    <row r="298" spans="1:13" ht="15.75" x14ac:dyDescent="0.25">
      <c r="A298" s="97">
        <v>6</v>
      </c>
      <c r="B298" s="97"/>
      <c r="C298" s="90" t="s">
        <v>208</v>
      </c>
      <c r="D298" s="98">
        <f>(71.27)*10.764</f>
        <v>767.15027999999995</v>
      </c>
      <c r="E298" s="98"/>
      <c r="F298" s="89">
        <v>0</v>
      </c>
      <c r="G298" s="89">
        <f t="shared" si="4"/>
        <v>1227.4404480000001</v>
      </c>
      <c r="H298" s="90" t="s">
        <v>289</v>
      </c>
      <c r="I298" s="99"/>
      <c r="J298" s="99"/>
      <c r="L298">
        <f>32100000/G308</f>
        <v>25804.398836801367</v>
      </c>
    </row>
    <row r="299" spans="1:13" ht="15.75" x14ac:dyDescent="0.25">
      <c r="A299" s="97">
        <v>7</v>
      </c>
      <c r="B299" s="97"/>
      <c r="C299" s="90" t="s">
        <v>208</v>
      </c>
      <c r="D299" s="98">
        <f>(71.27)*10.764</f>
        <v>767.15027999999995</v>
      </c>
      <c r="E299" s="98"/>
      <c r="F299" s="89">
        <v>0</v>
      </c>
      <c r="G299" s="89">
        <f t="shared" si="4"/>
        <v>1227.4404480000001</v>
      </c>
      <c r="H299" s="90" t="s">
        <v>289</v>
      </c>
      <c r="I299" s="99"/>
      <c r="J299" s="99"/>
    </row>
    <row r="300" spans="1:13" ht="15.75" x14ac:dyDescent="0.25">
      <c r="A300" s="97">
        <v>8</v>
      </c>
      <c r="B300" s="97"/>
      <c r="C300" s="90" t="s">
        <v>208</v>
      </c>
      <c r="D300" s="98">
        <f>(71.04)*10.764</f>
        <v>764.67456000000004</v>
      </c>
      <c r="E300" s="98"/>
      <c r="F300" s="89">
        <v>0</v>
      </c>
      <c r="G300" s="89">
        <f t="shared" si="4"/>
        <v>1223.4792960000002</v>
      </c>
      <c r="H300" s="90" t="s">
        <v>289</v>
      </c>
      <c r="I300" s="99"/>
      <c r="J300" s="99"/>
    </row>
    <row r="301" spans="1:13" ht="15.75" x14ac:dyDescent="0.25">
      <c r="A301" s="96" t="s">
        <v>278</v>
      </c>
      <c r="B301" s="96"/>
      <c r="C301" s="96"/>
      <c r="D301" s="96"/>
      <c r="E301" s="96"/>
      <c r="F301" s="96"/>
      <c r="G301" s="96"/>
      <c r="H301" s="96"/>
      <c r="I301" s="96"/>
      <c r="J301" s="96"/>
    </row>
    <row r="302" spans="1:13" ht="15.75" x14ac:dyDescent="0.25">
      <c r="A302" s="97">
        <v>1</v>
      </c>
      <c r="B302" s="97"/>
      <c r="C302" s="77" t="s">
        <v>203</v>
      </c>
      <c r="D302" s="98">
        <f>(100.82)*10.764</f>
        <v>1085.2264799999998</v>
      </c>
      <c r="E302" s="98"/>
      <c r="F302" s="79">
        <v>0</v>
      </c>
      <c r="G302" s="79">
        <f t="shared" ref="G302:G309" si="5">D302*1.6+F302</f>
        <v>1736.3623679999998</v>
      </c>
      <c r="H302" s="77" t="s">
        <v>289</v>
      </c>
      <c r="I302" s="99" t="str">
        <f>A301</f>
        <v>11th to 14th, 17th to 21st, 24th to 28th, 31st &amp; 32nd Floor</v>
      </c>
      <c r="J302" s="99"/>
    </row>
    <row r="303" spans="1:13" ht="15.75" x14ac:dyDescent="0.25">
      <c r="A303" s="97">
        <v>2</v>
      </c>
      <c r="B303" s="97"/>
      <c r="C303" s="77" t="s">
        <v>208</v>
      </c>
      <c r="D303" s="98">
        <f>(67.6)*10.764</f>
        <v>727.64639999999986</v>
      </c>
      <c r="E303" s="98"/>
      <c r="F303" s="79">
        <v>0</v>
      </c>
      <c r="G303" s="79">
        <f t="shared" si="5"/>
        <v>1164.2342399999998</v>
      </c>
      <c r="H303" s="77" t="s">
        <v>289</v>
      </c>
      <c r="I303" s="99"/>
      <c r="J303" s="99"/>
    </row>
    <row r="304" spans="1:13" ht="15.75" x14ac:dyDescent="0.25">
      <c r="A304" s="97">
        <v>3</v>
      </c>
      <c r="B304" s="97"/>
      <c r="C304" s="77" t="s">
        <v>208</v>
      </c>
      <c r="D304" s="98">
        <f>(67.6)*10.764</f>
        <v>727.64639999999986</v>
      </c>
      <c r="E304" s="98"/>
      <c r="F304" s="79">
        <v>0</v>
      </c>
      <c r="G304" s="79">
        <f t="shared" si="5"/>
        <v>1164.2342399999998</v>
      </c>
      <c r="H304" s="77" t="s">
        <v>289</v>
      </c>
      <c r="I304" s="99"/>
      <c r="J304" s="99"/>
    </row>
    <row r="305" spans="1:10" ht="15.75" x14ac:dyDescent="0.25">
      <c r="A305" s="97">
        <v>4</v>
      </c>
      <c r="B305" s="97"/>
      <c r="C305" s="77" t="s">
        <v>203</v>
      </c>
      <c r="D305" s="98">
        <f>(100.82)*10.764</f>
        <v>1085.2264799999998</v>
      </c>
      <c r="E305" s="98"/>
      <c r="F305" s="79">
        <v>0</v>
      </c>
      <c r="G305" s="79">
        <f t="shared" si="5"/>
        <v>1736.3623679999998</v>
      </c>
      <c r="H305" s="77" t="s">
        <v>289</v>
      </c>
      <c r="I305" s="99"/>
      <c r="J305" s="99"/>
    </row>
    <row r="306" spans="1:10" ht="15.75" x14ac:dyDescent="0.25">
      <c r="A306" s="97">
        <v>5</v>
      </c>
      <c r="B306" s="97"/>
      <c r="C306" s="77" t="s">
        <v>203</v>
      </c>
      <c r="D306" s="98">
        <f>(112.94)*10.764</f>
        <v>1215.68616</v>
      </c>
      <c r="E306" s="98"/>
      <c r="F306" s="79">
        <v>0</v>
      </c>
      <c r="G306" s="79">
        <f t="shared" si="5"/>
        <v>1945.0978560000001</v>
      </c>
      <c r="H306" s="77" t="s">
        <v>289</v>
      </c>
      <c r="I306" s="99"/>
      <c r="J306" s="99"/>
    </row>
    <row r="307" spans="1:10" ht="15.75" x14ac:dyDescent="0.25">
      <c r="A307" s="97">
        <v>6</v>
      </c>
      <c r="B307" s="97"/>
      <c r="C307" s="77" t="s">
        <v>208</v>
      </c>
      <c r="D307" s="98">
        <f>(72.23)*10.764</f>
        <v>777.48371999999995</v>
      </c>
      <c r="E307" s="98"/>
      <c r="F307" s="79">
        <v>0</v>
      </c>
      <c r="G307" s="79">
        <f t="shared" si="5"/>
        <v>1243.9739520000001</v>
      </c>
      <c r="H307" s="77" t="s">
        <v>289</v>
      </c>
      <c r="I307" s="99"/>
      <c r="J307" s="99"/>
    </row>
    <row r="308" spans="1:10" ht="15.75" x14ac:dyDescent="0.25">
      <c r="A308" s="97">
        <v>7</v>
      </c>
      <c r="B308" s="97"/>
      <c r="C308" s="77" t="s">
        <v>208</v>
      </c>
      <c r="D308" s="98">
        <f>(72.23)*10.764</f>
        <v>777.48371999999995</v>
      </c>
      <c r="E308" s="98"/>
      <c r="F308" s="79">
        <v>0</v>
      </c>
      <c r="G308" s="79">
        <f t="shared" si="5"/>
        <v>1243.9739520000001</v>
      </c>
      <c r="H308" s="77" t="s">
        <v>289</v>
      </c>
      <c r="I308" s="99"/>
      <c r="J308" s="99"/>
    </row>
    <row r="309" spans="1:10" ht="15.75" x14ac:dyDescent="0.25">
      <c r="A309" s="97">
        <v>8</v>
      </c>
      <c r="B309" s="97"/>
      <c r="C309" s="77" t="s">
        <v>208</v>
      </c>
      <c r="D309" s="98">
        <f>(72.17)*10.764</f>
        <v>776.83787999999993</v>
      </c>
      <c r="E309" s="98"/>
      <c r="F309" s="79">
        <v>0</v>
      </c>
      <c r="G309" s="79">
        <f t="shared" si="5"/>
        <v>1242.9406079999999</v>
      </c>
      <c r="H309" s="77" t="s">
        <v>289</v>
      </c>
      <c r="I309" s="99"/>
      <c r="J309" s="99"/>
    </row>
    <row r="310" spans="1:10" ht="15.75" x14ac:dyDescent="0.25">
      <c r="A310" s="96" t="s">
        <v>248</v>
      </c>
      <c r="B310" s="96"/>
      <c r="C310" s="96"/>
      <c r="D310" s="96"/>
      <c r="E310" s="96"/>
      <c r="F310" s="96"/>
      <c r="G310" s="96"/>
      <c r="H310" s="96"/>
      <c r="I310" s="96"/>
      <c r="J310" s="96"/>
    </row>
    <row r="311" spans="1:10" ht="15.75" x14ac:dyDescent="0.25">
      <c r="A311" s="97">
        <v>1</v>
      </c>
      <c r="B311" s="97"/>
      <c r="C311" s="77" t="s">
        <v>203</v>
      </c>
      <c r="D311" s="98">
        <f>(100.82)*10.764</f>
        <v>1085.2264799999998</v>
      </c>
      <c r="E311" s="98"/>
      <c r="F311" s="79">
        <v>0</v>
      </c>
      <c r="G311" s="79">
        <f t="shared" ref="G311:G318" si="6">D311*1.6+F311</f>
        <v>1736.3623679999998</v>
      </c>
      <c r="H311" s="77" t="s">
        <v>289</v>
      </c>
      <c r="I311" s="99" t="str">
        <f>A310</f>
        <v>16th, 23rd &amp; 30th Floor</v>
      </c>
      <c r="J311" s="99"/>
    </row>
    <row r="312" spans="1:10" ht="15.75" x14ac:dyDescent="0.25">
      <c r="A312" s="97">
        <v>2</v>
      </c>
      <c r="B312" s="97"/>
      <c r="C312" s="77" t="s">
        <v>208</v>
      </c>
      <c r="D312" s="98">
        <f>(67.6)*10.764</f>
        <v>727.64639999999986</v>
      </c>
      <c r="E312" s="98"/>
      <c r="F312" s="79">
        <v>0</v>
      </c>
      <c r="G312" s="79">
        <f t="shared" si="6"/>
        <v>1164.2342399999998</v>
      </c>
      <c r="H312" s="77" t="s">
        <v>289</v>
      </c>
      <c r="I312" s="99"/>
      <c r="J312" s="99"/>
    </row>
    <row r="313" spans="1:10" ht="15.75" x14ac:dyDescent="0.25">
      <c r="A313" s="97">
        <v>3</v>
      </c>
      <c r="B313" s="97"/>
      <c r="C313" s="77" t="s">
        <v>208</v>
      </c>
      <c r="D313" s="98">
        <f>(67.6)*10.764</f>
        <v>727.64639999999986</v>
      </c>
      <c r="E313" s="98"/>
      <c r="F313" s="79">
        <v>0</v>
      </c>
      <c r="G313" s="79">
        <f t="shared" si="6"/>
        <v>1164.2342399999998</v>
      </c>
      <c r="H313" s="77" t="s">
        <v>289</v>
      </c>
      <c r="I313" s="99"/>
      <c r="J313" s="99"/>
    </row>
    <row r="314" spans="1:10" ht="15.75" x14ac:dyDescent="0.25">
      <c r="A314" s="97">
        <v>4</v>
      </c>
      <c r="B314" s="97"/>
      <c r="C314" s="77" t="s">
        <v>203</v>
      </c>
      <c r="D314" s="98">
        <f>(100.82)*10.764</f>
        <v>1085.2264799999998</v>
      </c>
      <c r="E314" s="98"/>
      <c r="F314" s="79">
        <v>0</v>
      </c>
      <c r="G314" s="79">
        <f t="shared" si="6"/>
        <v>1736.3623679999998</v>
      </c>
      <c r="H314" s="77" t="s">
        <v>289</v>
      </c>
      <c r="I314" s="99"/>
      <c r="J314" s="99"/>
    </row>
    <row r="315" spans="1:10" ht="15.75" x14ac:dyDescent="0.25">
      <c r="A315" s="97">
        <v>5</v>
      </c>
      <c r="B315" s="97"/>
      <c r="C315" s="77" t="s">
        <v>203</v>
      </c>
      <c r="D315" s="98">
        <f>(112.94)*10.764</f>
        <v>1215.68616</v>
      </c>
      <c r="E315" s="98"/>
      <c r="F315" s="79">
        <v>0</v>
      </c>
      <c r="G315" s="79">
        <f t="shared" si="6"/>
        <v>1945.0978560000001</v>
      </c>
      <c r="H315" s="77" t="s">
        <v>289</v>
      </c>
      <c r="I315" s="99"/>
      <c r="J315" s="99"/>
    </row>
    <row r="316" spans="1:10" ht="15.75" x14ac:dyDescent="0.25">
      <c r="A316" s="97">
        <v>6</v>
      </c>
      <c r="B316" s="97"/>
      <c r="C316" s="77" t="s">
        <v>208</v>
      </c>
      <c r="D316" s="98">
        <f>(72.23)*10.764</f>
        <v>777.48371999999995</v>
      </c>
      <c r="E316" s="98"/>
      <c r="F316" s="79">
        <v>0</v>
      </c>
      <c r="G316" s="79">
        <f t="shared" si="6"/>
        <v>1243.9739520000001</v>
      </c>
      <c r="H316" s="77" t="s">
        <v>289</v>
      </c>
      <c r="I316" s="99"/>
      <c r="J316" s="99"/>
    </row>
    <row r="317" spans="1:10" ht="15.75" x14ac:dyDescent="0.25">
      <c r="A317" s="97">
        <v>7</v>
      </c>
      <c r="B317" s="97"/>
      <c r="C317" s="77" t="s">
        <v>208</v>
      </c>
      <c r="D317" s="98">
        <f>(72.23)*10.764</f>
        <v>777.48371999999995</v>
      </c>
      <c r="E317" s="98"/>
      <c r="F317" s="79">
        <v>0</v>
      </c>
      <c r="G317" s="79">
        <f t="shared" si="6"/>
        <v>1243.9739520000001</v>
      </c>
      <c r="H317" s="77" t="s">
        <v>289</v>
      </c>
      <c r="I317" s="99"/>
      <c r="J317" s="99"/>
    </row>
    <row r="318" spans="1:10" ht="15.75" x14ac:dyDescent="0.25">
      <c r="A318" s="97">
        <v>8</v>
      </c>
      <c r="B318" s="97"/>
      <c r="C318" s="77" t="s">
        <v>208</v>
      </c>
      <c r="D318" s="98">
        <f>(72.17)*10.764</f>
        <v>776.83787999999993</v>
      </c>
      <c r="E318" s="98"/>
      <c r="F318" s="79">
        <v>0</v>
      </c>
      <c r="G318" s="79">
        <f t="shared" si="6"/>
        <v>1242.9406079999999</v>
      </c>
      <c r="H318" s="77" t="s">
        <v>289</v>
      </c>
      <c r="I318" s="99"/>
      <c r="J318" s="99"/>
    </row>
    <row r="319" spans="1:10" ht="15.75" x14ac:dyDescent="0.25">
      <c r="A319" s="96" t="s">
        <v>251</v>
      </c>
      <c r="B319" s="96"/>
      <c r="C319" s="96"/>
      <c r="D319" s="96"/>
      <c r="E319" s="96"/>
      <c r="F319" s="96"/>
      <c r="G319" s="96"/>
      <c r="H319" s="96"/>
      <c r="I319" s="96"/>
      <c r="J319" s="96"/>
    </row>
    <row r="320" spans="1:10" ht="15.75" x14ac:dyDescent="0.25">
      <c r="A320" s="97">
        <v>1</v>
      </c>
      <c r="B320" s="97"/>
      <c r="C320" s="88" t="s">
        <v>203</v>
      </c>
      <c r="D320" s="98">
        <f>(100.82)*10.764</f>
        <v>1085.2264799999998</v>
      </c>
      <c r="E320" s="98"/>
      <c r="F320" s="87">
        <v>0</v>
      </c>
      <c r="G320" s="87">
        <f t="shared" ref="G320:G321" si="7">D320*1.6+F320</f>
        <v>1736.3623679999998</v>
      </c>
      <c r="H320" s="88" t="s">
        <v>289</v>
      </c>
      <c r="I320" s="99" t="str">
        <f>A319</f>
        <v>15th, 22nd &amp; 29th Floor (Part Refuge Area)</v>
      </c>
      <c r="J320" s="99"/>
    </row>
    <row r="321" spans="1:10" ht="15.75" x14ac:dyDescent="0.25">
      <c r="A321" s="97">
        <v>2</v>
      </c>
      <c r="B321" s="97"/>
      <c r="C321" s="88" t="s">
        <v>208</v>
      </c>
      <c r="D321" s="98">
        <f>(67.6)*10.764</f>
        <v>727.64639999999986</v>
      </c>
      <c r="E321" s="98"/>
      <c r="F321" s="87">
        <v>0</v>
      </c>
      <c r="G321" s="87">
        <f t="shared" si="7"/>
        <v>1164.2342399999998</v>
      </c>
      <c r="H321" s="88" t="s">
        <v>289</v>
      </c>
      <c r="I321" s="99"/>
      <c r="J321" s="99"/>
    </row>
    <row r="322" spans="1:10" ht="15.75" x14ac:dyDescent="0.25">
      <c r="A322" s="97">
        <v>3</v>
      </c>
      <c r="B322" s="97"/>
      <c r="C322" s="99" t="s">
        <v>269</v>
      </c>
      <c r="D322" s="99"/>
      <c r="E322" s="99"/>
      <c r="F322" s="99"/>
      <c r="G322" s="99"/>
      <c r="H322" s="99"/>
      <c r="I322" s="99"/>
      <c r="J322" s="99"/>
    </row>
    <row r="323" spans="1:10" ht="15.75" x14ac:dyDescent="0.25">
      <c r="A323" s="97">
        <v>4</v>
      </c>
      <c r="B323" s="97"/>
      <c r="C323" s="99" t="s">
        <v>269</v>
      </c>
      <c r="D323" s="99"/>
      <c r="E323" s="99"/>
      <c r="F323" s="99"/>
      <c r="G323" s="99"/>
      <c r="H323" s="99"/>
      <c r="I323" s="99"/>
      <c r="J323" s="99"/>
    </row>
    <row r="324" spans="1:10" ht="15.75" x14ac:dyDescent="0.25">
      <c r="A324" s="97">
        <v>5</v>
      </c>
      <c r="B324" s="97"/>
      <c r="C324" s="88" t="s">
        <v>203</v>
      </c>
      <c r="D324" s="98">
        <f>(112.94)*10.764</f>
        <v>1215.68616</v>
      </c>
      <c r="E324" s="98"/>
      <c r="F324" s="87">
        <v>0</v>
      </c>
      <c r="G324" s="87">
        <f t="shared" ref="G324:G327" si="8">D324*1.6+F324</f>
        <v>1945.0978560000001</v>
      </c>
      <c r="H324" s="88" t="s">
        <v>289</v>
      </c>
      <c r="I324" s="99"/>
      <c r="J324" s="99"/>
    </row>
    <row r="325" spans="1:10" ht="15.75" x14ac:dyDescent="0.25">
      <c r="A325" s="97">
        <v>6</v>
      </c>
      <c r="B325" s="97"/>
      <c r="C325" s="88" t="s">
        <v>208</v>
      </c>
      <c r="D325" s="98">
        <f>(72.23)*10.764</f>
        <v>777.48371999999995</v>
      </c>
      <c r="E325" s="98"/>
      <c r="F325" s="87">
        <v>0</v>
      </c>
      <c r="G325" s="87">
        <f t="shared" si="8"/>
        <v>1243.9739520000001</v>
      </c>
      <c r="H325" s="88" t="s">
        <v>289</v>
      </c>
      <c r="I325" s="99"/>
      <c r="J325" s="99"/>
    </row>
    <row r="326" spans="1:10" ht="15.75" x14ac:dyDescent="0.25">
      <c r="A326" s="97">
        <v>7</v>
      </c>
      <c r="B326" s="97"/>
      <c r="C326" s="88" t="s">
        <v>208</v>
      </c>
      <c r="D326" s="98">
        <f>(72.23)*10.764</f>
        <v>777.48371999999995</v>
      </c>
      <c r="E326" s="98"/>
      <c r="F326" s="87">
        <v>0</v>
      </c>
      <c r="G326" s="87">
        <f t="shared" si="8"/>
        <v>1243.9739520000001</v>
      </c>
      <c r="H326" s="88" t="s">
        <v>289</v>
      </c>
      <c r="I326" s="99"/>
      <c r="J326" s="99"/>
    </row>
    <row r="327" spans="1:10" ht="15.75" x14ac:dyDescent="0.25">
      <c r="A327" s="97">
        <v>8</v>
      </c>
      <c r="B327" s="97"/>
      <c r="C327" s="88" t="s">
        <v>208</v>
      </c>
      <c r="D327" s="98">
        <f>(72.17)*10.764</f>
        <v>776.83787999999993</v>
      </c>
      <c r="E327" s="98"/>
      <c r="F327" s="87">
        <v>0</v>
      </c>
      <c r="G327" s="87">
        <f t="shared" si="8"/>
        <v>1242.9406079999999</v>
      </c>
      <c r="H327" s="88" t="s">
        <v>289</v>
      </c>
      <c r="I327" s="99"/>
      <c r="J327" s="99"/>
    </row>
    <row r="328" spans="1:10" ht="15.75" x14ac:dyDescent="0.25">
      <c r="A328" s="96" t="s">
        <v>303</v>
      </c>
      <c r="B328" s="96"/>
      <c r="C328" s="96"/>
      <c r="D328" s="96"/>
      <c r="E328" s="96"/>
      <c r="F328" s="96"/>
      <c r="G328" s="96"/>
      <c r="H328" s="96"/>
      <c r="I328" s="96"/>
      <c r="J328" s="96"/>
    </row>
    <row r="329" spans="1:10" ht="15.75" x14ac:dyDescent="0.25">
      <c r="A329" s="96" t="s">
        <v>340</v>
      </c>
      <c r="B329" s="96"/>
      <c r="C329" s="96"/>
      <c r="D329" s="96"/>
      <c r="E329" s="96"/>
      <c r="F329" s="96"/>
      <c r="G329" s="96"/>
      <c r="H329" s="96"/>
      <c r="I329" s="96"/>
      <c r="J329" s="96"/>
    </row>
    <row r="330" spans="1:10" ht="15.75" x14ac:dyDescent="0.25">
      <c r="A330" s="97">
        <v>1</v>
      </c>
      <c r="B330" s="97"/>
      <c r="C330" s="90" t="s">
        <v>203</v>
      </c>
      <c r="D330" s="98">
        <f>(101.72)*10.764</f>
        <v>1094.91408</v>
      </c>
      <c r="E330" s="98"/>
      <c r="F330" s="89">
        <v>0</v>
      </c>
      <c r="G330" s="89">
        <f t="shared" ref="G330:G337" si="9">D330*1.6+F330</f>
        <v>1751.8625280000001</v>
      </c>
      <c r="H330" s="90" t="s">
        <v>289</v>
      </c>
      <c r="I330" s="99" t="str">
        <f>A329</f>
        <v>33th to 35th, 37th to 42nd &amp; 45th Floor</v>
      </c>
      <c r="J330" s="99"/>
    </row>
    <row r="331" spans="1:10" ht="15.75" x14ac:dyDescent="0.25">
      <c r="A331" s="97">
        <v>2</v>
      </c>
      <c r="B331" s="97"/>
      <c r="C331" s="90" t="s">
        <v>208</v>
      </c>
      <c r="D331" s="98">
        <f>(68.08)*10.764</f>
        <v>732.81311999999991</v>
      </c>
      <c r="E331" s="98"/>
      <c r="F331" s="89">
        <v>0</v>
      </c>
      <c r="G331" s="89">
        <f t="shared" si="9"/>
        <v>1172.500992</v>
      </c>
      <c r="H331" s="90" t="s">
        <v>289</v>
      </c>
      <c r="I331" s="99"/>
      <c r="J331" s="99"/>
    </row>
    <row r="332" spans="1:10" ht="15.75" x14ac:dyDescent="0.25">
      <c r="A332" s="97">
        <v>3</v>
      </c>
      <c r="B332" s="97"/>
      <c r="C332" s="90" t="s">
        <v>208</v>
      </c>
      <c r="D332" s="98">
        <f>(68.08)*10.764</f>
        <v>732.81311999999991</v>
      </c>
      <c r="E332" s="98"/>
      <c r="F332" s="89">
        <v>0</v>
      </c>
      <c r="G332" s="89">
        <f t="shared" si="9"/>
        <v>1172.500992</v>
      </c>
      <c r="H332" s="90" t="s">
        <v>289</v>
      </c>
      <c r="I332" s="99"/>
      <c r="J332" s="99"/>
    </row>
    <row r="333" spans="1:10" ht="15.75" x14ac:dyDescent="0.25">
      <c r="A333" s="97">
        <v>4</v>
      </c>
      <c r="B333" s="97"/>
      <c r="C333" s="90" t="s">
        <v>203</v>
      </c>
      <c r="D333" s="98">
        <f>(101.72)*10.764</f>
        <v>1094.91408</v>
      </c>
      <c r="E333" s="98"/>
      <c r="F333" s="89">
        <v>0</v>
      </c>
      <c r="G333" s="89">
        <f t="shared" si="9"/>
        <v>1751.8625280000001</v>
      </c>
      <c r="H333" s="90" t="s">
        <v>289</v>
      </c>
      <c r="I333" s="99"/>
      <c r="J333" s="99"/>
    </row>
    <row r="334" spans="1:10" ht="15.75" x14ac:dyDescent="0.25">
      <c r="A334" s="97">
        <v>5</v>
      </c>
      <c r="B334" s="97"/>
      <c r="C334" s="90" t="s">
        <v>203</v>
      </c>
      <c r="D334" s="98">
        <f>(113.98)*10.764</f>
        <v>1226.8807199999999</v>
      </c>
      <c r="E334" s="98"/>
      <c r="F334" s="89">
        <v>0</v>
      </c>
      <c r="G334" s="89">
        <f t="shared" si="9"/>
        <v>1963.0091519999999</v>
      </c>
      <c r="H334" s="90" t="s">
        <v>289</v>
      </c>
      <c r="I334" s="99"/>
      <c r="J334" s="99"/>
    </row>
    <row r="335" spans="1:10" ht="15.75" x14ac:dyDescent="0.25">
      <c r="A335" s="97">
        <v>6</v>
      </c>
      <c r="B335" s="97"/>
      <c r="C335" s="90" t="s">
        <v>208</v>
      </c>
      <c r="D335" s="98">
        <f>(72.95)*10.764</f>
        <v>785.23379999999997</v>
      </c>
      <c r="E335" s="98"/>
      <c r="F335" s="89">
        <v>0</v>
      </c>
      <c r="G335" s="89">
        <f t="shared" si="9"/>
        <v>1256.37408</v>
      </c>
      <c r="H335" s="90" t="s">
        <v>289</v>
      </c>
      <c r="I335" s="99"/>
      <c r="J335" s="99"/>
    </row>
    <row r="336" spans="1:10" ht="15.75" x14ac:dyDescent="0.25">
      <c r="A336" s="97">
        <v>7</v>
      </c>
      <c r="B336" s="97"/>
      <c r="C336" s="90" t="s">
        <v>208</v>
      </c>
      <c r="D336" s="98">
        <f>(72.95)*10.764</f>
        <v>785.23379999999997</v>
      </c>
      <c r="E336" s="98"/>
      <c r="F336" s="89">
        <v>0</v>
      </c>
      <c r="G336" s="89">
        <f t="shared" si="9"/>
        <v>1256.37408</v>
      </c>
      <c r="H336" s="90" t="s">
        <v>289</v>
      </c>
      <c r="I336" s="99"/>
      <c r="J336" s="99"/>
    </row>
    <row r="337" spans="1:10" ht="15.75" x14ac:dyDescent="0.25">
      <c r="A337" s="97">
        <v>8</v>
      </c>
      <c r="B337" s="97"/>
      <c r="C337" s="90" t="s">
        <v>208</v>
      </c>
      <c r="D337" s="98">
        <f>(72.75)*10.764</f>
        <v>783.0809999999999</v>
      </c>
      <c r="E337" s="98"/>
      <c r="F337" s="89">
        <v>0</v>
      </c>
      <c r="G337" s="89">
        <f t="shared" si="9"/>
        <v>1252.9295999999999</v>
      </c>
      <c r="H337" s="90" t="s">
        <v>289</v>
      </c>
      <c r="I337" s="99"/>
      <c r="J337" s="99"/>
    </row>
    <row r="338" spans="1:10" ht="15.75" x14ac:dyDescent="0.25">
      <c r="A338" s="96" t="s">
        <v>252</v>
      </c>
      <c r="B338" s="96"/>
      <c r="C338" s="96"/>
      <c r="D338" s="96"/>
      <c r="E338" s="96"/>
      <c r="F338" s="96"/>
      <c r="G338" s="96"/>
      <c r="H338" s="96"/>
      <c r="I338" s="96"/>
      <c r="J338" s="96"/>
    </row>
    <row r="339" spans="1:10" ht="15.75" customHeight="1" x14ac:dyDescent="0.25">
      <c r="A339" s="97">
        <v>1</v>
      </c>
      <c r="B339" s="97"/>
      <c r="C339" s="90" t="s">
        <v>203</v>
      </c>
      <c r="D339" s="98">
        <f>(101.72)*10.764</f>
        <v>1094.91408</v>
      </c>
      <c r="E339" s="98"/>
      <c r="F339" s="89">
        <v>0</v>
      </c>
      <c r="G339" s="89">
        <f t="shared" ref="G339:G340" si="10">D339*1.6+F339</f>
        <v>1751.8625280000001</v>
      </c>
      <c r="H339" s="90" t="s">
        <v>289</v>
      </c>
      <c r="I339" s="99" t="str">
        <f>A338</f>
        <v>36th &amp; 43rd Floor (Part Refuge Area)</v>
      </c>
      <c r="J339" s="99"/>
    </row>
    <row r="340" spans="1:10" ht="15.75" x14ac:dyDescent="0.25">
      <c r="A340" s="97">
        <v>2</v>
      </c>
      <c r="B340" s="97"/>
      <c r="C340" s="90" t="s">
        <v>208</v>
      </c>
      <c r="D340" s="98">
        <f>(68.08)*10.764</f>
        <v>732.81311999999991</v>
      </c>
      <c r="E340" s="98"/>
      <c r="F340" s="89">
        <v>0</v>
      </c>
      <c r="G340" s="89">
        <f t="shared" si="10"/>
        <v>1172.500992</v>
      </c>
      <c r="H340" s="90" t="s">
        <v>289</v>
      </c>
      <c r="I340" s="99"/>
      <c r="J340" s="99"/>
    </row>
    <row r="341" spans="1:10" ht="15.75" x14ac:dyDescent="0.25">
      <c r="A341" s="97">
        <v>3</v>
      </c>
      <c r="B341" s="97"/>
      <c r="C341" s="99" t="s">
        <v>269</v>
      </c>
      <c r="D341" s="99"/>
      <c r="E341" s="99"/>
      <c r="F341" s="99"/>
      <c r="G341" s="99"/>
      <c r="H341" s="99"/>
      <c r="I341" s="99"/>
      <c r="J341" s="99"/>
    </row>
    <row r="342" spans="1:10" ht="16.5" customHeight="1" x14ac:dyDescent="0.25">
      <c r="A342" s="97">
        <v>4</v>
      </c>
      <c r="B342" s="97"/>
      <c r="C342" s="99" t="s">
        <v>269</v>
      </c>
      <c r="D342" s="99"/>
      <c r="E342" s="99"/>
      <c r="F342" s="99"/>
      <c r="G342" s="99"/>
      <c r="H342" s="99"/>
      <c r="I342" s="99"/>
      <c r="J342" s="99"/>
    </row>
    <row r="343" spans="1:10" ht="15.75" x14ac:dyDescent="0.25">
      <c r="A343" s="97">
        <v>5</v>
      </c>
      <c r="B343" s="97"/>
      <c r="C343" s="90" t="s">
        <v>203</v>
      </c>
      <c r="D343" s="98">
        <f>(113.98)*10.764</f>
        <v>1226.8807199999999</v>
      </c>
      <c r="E343" s="98"/>
      <c r="F343" s="89">
        <v>0</v>
      </c>
      <c r="G343" s="89">
        <f t="shared" ref="G343:G346" si="11">D343*1.6+F343</f>
        <v>1963.0091519999999</v>
      </c>
      <c r="H343" s="90" t="s">
        <v>289</v>
      </c>
      <c r="I343" s="99"/>
      <c r="J343" s="99"/>
    </row>
    <row r="344" spans="1:10" ht="15.75" customHeight="1" x14ac:dyDescent="0.25">
      <c r="A344" s="97">
        <v>6</v>
      </c>
      <c r="B344" s="97"/>
      <c r="C344" s="90" t="s">
        <v>208</v>
      </c>
      <c r="D344" s="98">
        <f>(72.95)*10.764</f>
        <v>785.23379999999997</v>
      </c>
      <c r="E344" s="98"/>
      <c r="F344" s="89">
        <v>0</v>
      </c>
      <c r="G344" s="89">
        <f t="shared" si="11"/>
        <v>1256.37408</v>
      </c>
      <c r="H344" s="90" t="s">
        <v>289</v>
      </c>
      <c r="I344" s="99"/>
      <c r="J344" s="99"/>
    </row>
    <row r="345" spans="1:10" ht="15.75" x14ac:dyDescent="0.25">
      <c r="A345" s="97">
        <v>7</v>
      </c>
      <c r="B345" s="97"/>
      <c r="C345" s="90" t="s">
        <v>208</v>
      </c>
      <c r="D345" s="98">
        <f>(72.95)*10.764</f>
        <v>785.23379999999997</v>
      </c>
      <c r="E345" s="98"/>
      <c r="F345" s="89">
        <v>0</v>
      </c>
      <c r="G345" s="89">
        <f t="shared" si="11"/>
        <v>1256.37408</v>
      </c>
      <c r="H345" s="90" t="s">
        <v>289</v>
      </c>
      <c r="I345" s="99"/>
      <c r="J345" s="99"/>
    </row>
    <row r="346" spans="1:10" ht="15" customHeight="1" x14ac:dyDescent="0.25">
      <c r="A346" s="97">
        <v>8</v>
      </c>
      <c r="B346" s="97"/>
      <c r="C346" s="90" t="s">
        <v>208</v>
      </c>
      <c r="D346" s="98">
        <f>(72.75)*10.764</f>
        <v>783.0809999999999</v>
      </c>
      <c r="E346" s="98"/>
      <c r="F346" s="89">
        <v>0</v>
      </c>
      <c r="G346" s="89">
        <f t="shared" si="11"/>
        <v>1252.9295999999999</v>
      </c>
      <c r="H346" s="90" t="s">
        <v>289</v>
      </c>
      <c r="I346" s="99"/>
      <c r="J346" s="99"/>
    </row>
    <row r="347" spans="1:10" ht="15" customHeight="1" x14ac:dyDescent="0.25">
      <c r="A347" s="96" t="s">
        <v>341</v>
      </c>
      <c r="B347" s="96"/>
      <c r="C347" s="96"/>
      <c r="D347" s="96"/>
      <c r="E347" s="96"/>
      <c r="F347" s="96"/>
      <c r="G347" s="96"/>
      <c r="H347" s="96"/>
      <c r="I347" s="96"/>
      <c r="J347" s="96"/>
    </row>
    <row r="348" spans="1:10" ht="15" customHeight="1" x14ac:dyDescent="0.25">
      <c r="A348" s="97">
        <v>1</v>
      </c>
      <c r="B348" s="97"/>
      <c r="C348" s="77" t="s">
        <v>203</v>
      </c>
      <c r="D348" s="98">
        <f>(101.72)*10.764</f>
        <v>1094.91408</v>
      </c>
      <c r="E348" s="98"/>
      <c r="F348" s="79">
        <v>0</v>
      </c>
      <c r="G348" s="79">
        <f t="shared" ref="G348:G355" si="12">D348*1.6+F348</f>
        <v>1751.8625280000001</v>
      </c>
      <c r="H348" s="77" t="s">
        <v>289</v>
      </c>
      <c r="I348" s="99" t="str">
        <f>A347</f>
        <v>44th Floor</v>
      </c>
      <c r="J348" s="99"/>
    </row>
    <row r="349" spans="1:10" ht="15" customHeight="1" x14ac:dyDescent="0.25">
      <c r="A349" s="97">
        <v>2</v>
      </c>
      <c r="B349" s="97"/>
      <c r="C349" s="77" t="s">
        <v>208</v>
      </c>
      <c r="D349" s="98">
        <f>(68.08)*10.764</f>
        <v>732.81311999999991</v>
      </c>
      <c r="E349" s="98"/>
      <c r="F349" s="79">
        <v>0</v>
      </c>
      <c r="G349" s="79">
        <f t="shared" si="12"/>
        <v>1172.500992</v>
      </c>
      <c r="H349" s="77" t="s">
        <v>289</v>
      </c>
      <c r="I349" s="99"/>
      <c r="J349" s="99"/>
    </row>
    <row r="350" spans="1:10" ht="15.75" x14ac:dyDescent="0.25">
      <c r="A350" s="97">
        <v>3</v>
      </c>
      <c r="B350" s="97"/>
      <c r="C350" s="77" t="s">
        <v>208</v>
      </c>
      <c r="D350" s="98">
        <f>(68.08)*10.764</f>
        <v>732.81311999999991</v>
      </c>
      <c r="E350" s="98"/>
      <c r="F350" s="79">
        <v>0</v>
      </c>
      <c r="G350" s="79">
        <f t="shared" si="12"/>
        <v>1172.500992</v>
      </c>
      <c r="H350" s="77" t="s">
        <v>289</v>
      </c>
      <c r="I350" s="99"/>
      <c r="J350" s="99"/>
    </row>
    <row r="351" spans="1:10" ht="15.75" x14ac:dyDescent="0.25">
      <c r="A351" s="97">
        <v>4</v>
      </c>
      <c r="B351" s="97"/>
      <c r="C351" s="77" t="s">
        <v>203</v>
      </c>
      <c r="D351" s="98">
        <f>(101.72)*10.764</f>
        <v>1094.91408</v>
      </c>
      <c r="E351" s="98"/>
      <c r="F351" s="79">
        <v>0</v>
      </c>
      <c r="G351" s="79">
        <f t="shared" si="12"/>
        <v>1751.8625280000001</v>
      </c>
      <c r="H351" s="77" t="s">
        <v>289</v>
      </c>
      <c r="I351" s="99"/>
      <c r="J351" s="99"/>
    </row>
    <row r="352" spans="1:10" ht="15.75" x14ac:dyDescent="0.25">
      <c r="A352" s="97">
        <v>5</v>
      </c>
      <c r="B352" s="97"/>
      <c r="C352" s="77" t="s">
        <v>203</v>
      </c>
      <c r="D352" s="98">
        <f>(113.98)*10.764</f>
        <v>1226.8807199999999</v>
      </c>
      <c r="E352" s="98"/>
      <c r="F352" s="79">
        <v>0</v>
      </c>
      <c r="G352" s="79">
        <f t="shared" si="12"/>
        <v>1963.0091519999999</v>
      </c>
      <c r="H352" s="77" t="s">
        <v>289</v>
      </c>
      <c r="I352" s="99"/>
      <c r="J352" s="99"/>
    </row>
    <row r="353" spans="1:10" ht="15.75" x14ac:dyDescent="0.25">
      <c r="A353" s="97">
        <v>6</v>
      </c>
      <c r="B353" s="97"/>
      <c r="C353" s="77" t="s">
        <v>208</v>
      </c>
      <c r="D353" s="98">
        <f>(72.95)*10.764</f>
        <v>785.23379999999997</v>
      </c>
      <c r="E353" s="98"/>
      <c r="F353" s="79">
        <v>0</v>
      </c>
      <c r="G353" s="79">
        <f t="shared" si="12"/>
        <v>1256.37408</v>
      </c>
      <c r="H353" s="77" t="s">
        <v>289</v>
      </c>
      <c r="I353" s="99"/>
      <c r="J353" s="99"/>
    </row>
    <row r="354" spans="1:10" ht="15.75" x14ac:dyDescent="0.25">
      <c r="A354" s="97">
        <v>7</v>
      </c>
      <c r="B354" s="97"/>
      <c r="C354" s="77" t="s">
        <v>208</v>
      </c>
      <c r="D354" s="98">
        <f>(72.95)*10.764</f>
        <v>785.23379999999997</v>
      </c>
      <c r="E354" s="98"/>
      <c r="F354" s="79">
        <v>0</v>
      </c>
      <c r="G354" s="79">
        <f t="shared" si="12"/>
        <v>1256.37408</v>
      </c>
      <c r="H354" s="77" t="s">
        <v>289</v>
      </c>
      <c r="I354" s="99"/>
      <c r="J354" s="99"/>
    </row>
    <row r="355" spans="1:10" ht="15.75" x14ac:dyDescent="0.25">
      <c r="A355" s="97">
        <v>8</v>
      </c>
      <c r="B355" s="97"/>
      <c r="C355" s="77" t="s">
        <v>208</v>
      </c>
      <c r="D355" s="98">
        <f>(72.75)*10.764</f>
        <v>783.0809999999999</v>
      </c>
      <c r="E355" s="98"/>
      <c r="F355" s="79">
        <v>0</v>
      </c>
      <c r="G355" s="79">
        <f t="shared" si="12"/>
        <v>1252.9295999999999</v>
      </c>
      <c r="H355" s="77" t="s">
        <v>289</v>
      </c>
      <c r="I355" s="99"/>
      <c r="J355" s="99"/>
    </row>
    <row r="356" spans="1:10" ht="15" customHeight="1" x14ac:dyDescent="0.25">
      <c r="A356" s="96" t="s">
        <v>342</v>
      </c>
      <c r="B356" s="96"/>
      <c r="C356" s="96"/>
      <c r="D356" s="96"/>
      <c r="E356" s="96"/>
      <c r="F356" s="96"/>
      <c r="G356" s="96"/>
      <c r="H356" s="96"/>
      <c r="I356" s="96"/>
      <c r="J356" s="96"/>
    </row>
    <row r="357" spans="1:10" ht="15" customHeight="1" x14ac:dyDescent="0.25">
      <c r="A357" s="97">
        <v>1</v>
      </c>
      <c r="B357" s="97"/>
      <c r="C357" s="85" t="s">
        <v>203</v>
      </c>
      <c r="D357" s="98">
        <f>(101.72)*10.764</f>
        <v>1094.91408</v>
      </c>
      <c r="E357" s="98"/>
      <c r="F357" s="84">
        <v>0</v>
      </c>
      <c r="G357" s="84">
        <f t="shared" ref="G357:G363" si="13">D357*1.6+F357</f>
        <v>1751.8625280000001</v>
      </c>
      <c r="H357" s="85" t="s">
        <v>289</v>
      </c>
      <c r="I357" s="99" t="str">
        <f>A356</f>
        <v>46th Floor</v>
      </c>
      <c r="J357" s="99"/>
    </row>
    <row r="358" spans="1:10" ht="15" customHeight="1" x14ac:dyDescent="0.25">
      <c r="A358" s="97">
        <v>2</v>
      </c>
      <c r="B358" s="97"/>
      <c r="C358" s="85" t="s">
        <v>208</v>
      </c>
      <c r="D358" s="98">
        <f>(68.08)*10.764</f>
        <v>732.81311999999991</v>
      </c>
      <c r="E358" s="98"/>
      <c r="F358" s="84">
        <v>0</v>
      </c>
      <c r="G358" s="84">
        <f t="shared" si="13"/>
        <v>1172.500992</v>
      </c>
      <c r="H358" s="85" t="s">
        <v>289</v>
      </c>
      <c r="I358" s="99"/>
      <c r="J358" s="99"/>
    </row>
    <row r="359" spans="1:10" ht="15.75" x14ac:dyDescent="0.25">
      <c r="A359" s="97">
        <v>3</v>
      </c>
      <c r="B359" s="97"/>
      <c r="C359" s="85" t="s">
        <v>208</v>
      </c>
      <c r="D359" s="98">
        <f>(68.08)*10.764</f>
        <v>732.81311999999991</v>
      </c>
      <c r="E359" s="98"/>
      <c r="F359" s="84">
        <v>0</v>
      </c>
      <c r="G359" s="84">
        <f t="shared" si="13"/>
        <v>1172.500992</v>
      </c>
      <c r="H359" s="85" t="s">
        <v>289</v>
      </c>
      <c r="I359" s="99"/>
      <c r="J359" s="99"/>
    </row>
    <row r="360" spans="1:10" ht="15.75" x14ac:dyDescent="0.25">
      <c r="A360" s="97">
        <v>4</v>
      </c>
      <c r="B360" s="97"/>
      <c r="C360" s="85" t="s">
        <v>203</v>
      </c>
      <c r="D360" s="98">
        <f>(101.72)*10.764</f>
        <v>1094.91408</v>
      </c>
      <c r="E360" s="98"/>
      <c r="F360" s="84">
        <v>0</v>
      </c>
      <c r="G360" s="84">
        <f t="shared" si="13"/>
        <v>1751.8625280000001</v>
      </c>
      <c r="H360" s="85" t="s">
        <v>289</v>
      </c>
      <c r="I360" s="99"/>
      <c r="J360" s="99"/>
    </row>
    <row r="361" spans="1:10" ht="15.75" x14ac:dyDescent="0.25">
      <c r="A361" s="97">
        <v>5</v>
      </c>
      <c r="B361" s="97"/>
      <c r="C361" s="85" t="s">
        <v>203</v>
      </c>
      <c r="D361" s="98">
        <f>(113.98)*10.764</f>
        <v>1226.8807199999999</v>
      </c>
      <c r="E361" s="98"/>
      <c r="F361" s="84">
        <v>0</v>
      </c>
      <c r="G361" s="84">
        <f t="shared" si="13"/>
        <v>1963.0091519999999</v>
      </c>
      <c r="H361" s="85" t="s">
        <v>289</v>
      </c>
      <c r="I361" s="99"/>
      <c r="J361" s="99"/>
    </row>
    <row r="362" spans="1:10" ht="58.5" customHeight="1" x14ac:dyDescent="0.25">
      <c r="A362" s="97">
        <v>6</v>
      </c>
      <c r="B362" s="97"/>
      <c r="C362" s="85" t="s">
        <v>350</v>
      </c>
      <c r="D362" s="296">
        <f>(286.52)*10.764</f>
        <v>3084.1012799999994</v>
      </c>
      <c r="E362" s="296"/>
      <c r="F362" s="84">
        <v>0</v>
      </c>
      <c r="G362" s="84">
        <f t="shared" si="13"/>
        <v>4934.5620479999998</v>
      </c>
      <c r="H362" s="85" t="s">
        <v>289</v>
      </c>
      <c r="I362" s="99"/>
      <c r="J362" s="99"/>
    </row>
    <row r="363" spans="1:10" ht="15.75" x14ac:dyDescent="0.25">
      <c r="A363" s="97">
        <v>8</v>
      </c>
      <c r="B363" s="97"/>
      <c r="C363" s="85" t="s">
        <v>208</v>
      </c>
      <c r="D363" s="98">
        <f>(72.75)*10.764</f>
        <v>783.0809999999999</v>
      </c>
      <c r="E363" s="98"/>
      <c r="F363" s="84">
        <v>0</v>
      </c>
      <c r="G363" s="84">
        <f t="shared" si="13"/>
        <v>1252.9295999999999</v>
      </c>
      <c r="H363" s="85" t="s">
        <v>289</v>
      </c>
      <c r="I363" s="99"/>
      <c r="J363" s="99"/>
    </row>
    <row r="364" spans="1:10" ht="15" customHeight="1" x14ac:dyDescent="0.25">
      <c r="A364" s="96" t="s">
        <v>343</v>
      </c>
      <c r="B364" s="96"/>
      <c r="C364" s="96"/>
      <c r="D364" s="96"/>
      <c r="E364" s="96"/>
      <c r="F364" s="96"/>
      <c r="G364" s="96"/>
      <c r="H364" s="96"/>
      <c r="I364" s="96"/>
      <c r="J364" s="96"/>
    </row>
    <row r="365" spans="1:10" ht="15" customHeight="1" x14ac:dyDescent="0.25">
      <c r="A365" s="97">
        <v>1</v>
      </c>
      <c r="B365" s="97"/>
      <c r="C365" s="88" t="s">
        <v>203</v>
      </c>
      <c r="D365" s="98">
        <f>(101.72)*10.764</f>
        <v>1094.91408</v>
      </c>
      <c r="E365" s="98"/>
      <c r="F365" s="87">
        <v>0</v>
      </c>
      <c r="G365" s="87">
        <f t="shared" ref="G365:G371" si="14">D365*1.6+F365</f>
        <v>1751.8625280000001</v>
      </c>
      <c r="H365" s="88" t="s">
        <v>289</v>
      </c>
      <c r="I365" s="99" t="str">
        <f>A364</f>
        <v>47th Floor</v>
      </c>
      <c r="J365" s="99"/>
    </row>
    <row r="366" spans="1:10" ht="15" customHeight="1" x14ac:dyDescent="0.25">
      <c r="A366" s="97">
        <v>2</v>
      </c>
      <c r="B366" s="97"/>
      <c r="C366" s="88" t="s">
        <v>208</v>
      </c>
      <c r="D366" s="98">
        <f>(68.08)*10.764</f>
        <v>732.81311999999991</v>
      </c>
      <c r="E366" s="98"/>
      <c r="F366" s="87">
        <v>0</v>
      </c>
      <c r="G366" s="87">
        <f t="shared" si="14"/>
        <v>1172.500992</v>
      </c>
      <c r="H366" s="88" t="s">
        <v>289</v>
      </c>
      <c r="I366" s="99"/>
      <c r="J366" s="99"/>
    </row>
    <row r="367" spans="1:10" ht="15.75" x14ac:dyDescent="0.25">
      <c r="A367" s="97">
        <v>3</v>
      </c>
      <c r="B367" s="97"/>
      <c r="C367" s="88" t="s">
        <v>208</v>
      </c>
      <c r="D367" s="98">
        <f>(68.08)*10.764</f>
        <v>732.81311999999991</v>
      </c>
      <c r="E367" s="98"/>
      <c r="F367" s="87">
        <v>0</v>
      </c>
      <c r="G367" s="87">
        <f t="shared" si="14"/>
        <v>1172.500992</v>
      </c>
      <c r="H367" s="88" t="s">
        <v>289</v>
      </c>
      <c r="I367" s="99"/>
      <c r="J367" s="99"/>
    </row>
    <row r="368" spans="1:10" ht="15.75" x14ac:dyDescent="0.25">
      <c r="A368" s="97">
        <v>4</v>
      </c>
      <c r="B368" s="97"/>
      <c r="C368" s="88" t="s">
        <v>203</v>
      </c>
      <c r="D368" s="98">
        <f>(101.72)*10.764</f>
        <v>1094.91408</v>
      </c>
      <c r="E368" s="98"/>
      <c r="F368" s="87">
        <v>0</v>
      </c>
      <c r="G368" s="87">
        <f t="shared" si="14"/>
        <v>1751.8625280000001</v>
      </c>
      <c r="H368" s="88" t="s">
        <v>289</v>
      </c>
      <c r="I368" s="99"/>
      <c r="J368" s="99"/>
    </row>
    <row r="369" spans="1:10" ht="15.75" x14ac:dyDescent="0.25">
      <c r="A369" s="97">
        <v>5</v>
      </c>
      <c r="B369" s="97"/>
      <c r="C369" s="88" t="s">
        <v>203</v>
      </c>
      <c r="D369" s="98">
        <f>(113.98)*10.764</f>
        <v>1226.8807199999999</v>
      </c>
      <c r="E369" s="98"/>
      <c r="F369" s="87">
        <v>0</v>
      </c>
      <c r="G369" s="87">
        <f t="shared" si="14"/>
        <v>1963.0091519999999</v>
      </c>
      <c r="H369" s="88" t="s">
        <v>289</v>
      </c>
      <c r="I369" s="99"/>
      <c r="J369" s="99"/>
    </row>
    <row r="370" spans="1:10" ht="15.75" x14ac:dyDescent="0.25">
      <c r="A370" s="97">
        <v>6</v>
      </c>
      <c r="B370" s="97"/>
      <c r="C370" s="99" t="s">
        <v>351</v>
      </c>
      <c r="D370" s="99"/>
      <c r="E370" s="99"/>
      <c r="F370" s="99"/>
      <c r="G370" s="99"/>
      <c r="H370" s="99"/>
      <c r="I370" s="99"/>
      <c r="J370" s="99"/>
    </row>
    <row r="371" spans="1:10" ht="15.75" x14ac:dyDescent="0.25">
      <c r="A371" s="97">
        <v>8</v>
      </c>
      <c r="B371" s="97"/>
      <c r="C371" s="88" t="s">
        <v>208</v>
      </c>
      <c r="D371" s="98">
        <f>(72.75)*10.764</f>
        <v>783.0809999999999</v>
      </c>
      <c r="E371" s="98"/>
      <c r="F371" s="87">
        <v>0</v>
      </c>
      <c r="G371" s="87">
        <f t="shared" si="14"/>
        <v>1252.9295999999999</v>
      </c>
      <c r="H371" s="88" t="s">
        <v>289</v>
      </c>
      <c r="I371" s="99"/>
      <c r="J371" s="99"/>
    </row>
    <row r="372" spans="1:10" ht="15.75" x14ac:dyDescent="0.25">
      <c r="A372" s="96" t="s">
        <v>238</v>
      </c>
      <c r="B372" s="96"/>
      <c r="C372" s="96"/>
      <c r="D372" s="96"/>
      <c r="E372" s="96"/>
      <c r="F372" s="96"/>
      <c r="G372" s="96"/>
      <c r="H372" s="96"/>
      <c r="I372" s="96"/>
      <c r="J372" s="96"/>
    </row>
    <row r="373" spans="1:10" ht="15.75" x14ac:dyDescent="0.25">
      <c r="A373" s="97">
        <v>1</v>
      </c>
      <c r="B373" s="97"/>
      <c r="C373" s="77" t="s">
        <v>203</v>
      </c>
      <c r="D373" s="98">
        <f>(103.55)*10.764</f>
        <v>1114.6121999999998</v>
      </c>
      <c r="E373" s="98"/>
      <c r="F373" s="79">
        <v>0</v>
      </c>
      <c r="G373" s="79">
        <f t="shared" ref="G373:G380" si="15">D373*1.6+F373</f>
        <v>1783.3795199999997</v>
      </c>
      <c r="H373" s="77" t="s">
        <v>289</v>
      </c>
      <c r="I373" s="99" t="str">
        <f>A372</f>
        <v>48th Floor</v>
      </c>
      <c r="J373" s="99"/>
    </row>
    <row r="374" spans="1:10" ht="15.75" x14ac:dyDescent="0.25">
      <c r="A374" s="97">
        <v>2</v>
      </c>
      <c r="B374" s="97"/>
      <c r="C374" s="77" t="s">
        <v>208</v>
      </c>
      <c r="D374" s="98">
        <f>(68.44)*10.764</f>
        <v>736.68815999999993</v>
      </c>
      <c r="E374" s="98"/>
      <c r="F374" s="79">
        <v>0</v>
      </c>
      <c r="G374" s="79">
        <f t="shared" si="15"/>
        <v>1178.7010559999999</v>
      </c>
      <c r="H374" s="77" t="s">
        <v>289</v>
      </c>
      <c r="I374" s="99"/>
      <c r="J374" s="99"/>
    </row>
    <row r="375" spans="1:10" ht="15.75" x14ac:dyDescent="0.25">
      <c r="A375" s="97">
        <v>3</v>
      </c>
      <c r="B375" s="97"/>
      <c r="C375" s="77" t="s">
        <v>208</v>
      </c>
      <c r="D375" s="98">
        <f>(68.44)*10.764</f>
        <v>736.68815999999993</v>
      </c>
      <c r="E375" s="98"/>
      <c r="F375" s="79">
        <v>0</v>
      </c>
      <c r="G375" s="79">
        <f t="shared" si="15"/>
        <v>1178.7010559999999</v>
      </c>
      <c r="H375" s="77" t="s">
        <v>289</v>
      </c>
      <c r="I375" s="99"/>
      <c r="J375" s="99"/>
    </row>
    <row r="376" spans="1:10" ht="15.75" x14ac:dyDescent="0.25">
      <c r="A376" s="97">
        <v>4</v>
      </c>
      <c r="B376" s="97"/>
      <c r="C376" s="77" t="s">
        <v>203</v>
      </c>
      <c r="D376" s="98">
        <f>(103.55)*10.764</f>
        <v>1114.6121999999998</v>
      </c>
      <c r="E376" s="98"/>
      <c r="F376" s="79">
        <v>0</v>
      </c>
      <c r="G376" s="79">
        <f t="shared" si="15"/>
        <v>1783.3795199999997</v>
      </c>
      <c r="H376" s="77" t="s">
        <v>289</v>
      </c>
      <c r="I376" s="99"/>
      <c r="J376" s="99"/>
    </row>
    <row r="377" spans="1:10" ht="15.75" x14ac:dyDescent="0.25">
      <c r="A377" s="97">
        <v>5</v>
      </c>
      <c r="B377" s="97"/>
      <c r="C377" s="77" t="s">
        <v>203</v>
      </c>
      <c r="D377" s="98">
        <f>(114.49)*10.764</f>
        <v>1232.3703599999999</v>
      </c>
      <c r="E377" s="98"/>
      <c r="F377" s="79">
        <v>0</v>
      </c>
      <c r="G377" s="79">
        <f t="shared" si="15"/>
        <v>1971.7925759999998</v>
      </c>
      <c r="H377" s="77" t="s">
        <v>289</v>
      </c>
      <c r="I377" s="99"/>
      <c r="J377" s="99"/>
    </row>
    <row r="378" spans="1:10" ht="15.75" x14ac:dyDescent="0.25">
      <c r="A378" s="97">
        <v>6</v>
      </c>
      <c r="B378" s="97"/>
      <c r="C378" s="77" t="s">
        <v>208</v>
      </c>
      <c r="D378" s="98">
        <f>(73.55)*10.764</f>
        <v>791.69219999999996</v>
      </c>
      <c r="E378" s="98"/>
      <c r="F378" s="79">
        <v>0</v>
      </c>
      <c r="G378" s="79">
        <f t="shared" si="15"/>
        <v>1266.7075199999999</v>
      </c>
      <c r="H378" s="77" t="s">
        <v>289</v>
      </c>
      <c r="I378" s="99"/>
      <c r="J378" s="99"/>
    </row>
    <row r="379" spans="1:10" ht="15.75" x14ac:dyDescent="0.25">
      <c r="A379" s="97">
        <v>7</v>
      </c>
      <c r="B379" s="97"/>
      <c r="C379" s="77" t="s">
        <v>208</v>
      </c>
      <c r="D379" s="98">
        <f>(73.55)*10.764</f>
        <v>791.69219999999996</v>
      </c>
      <c r="E379" s="98"/>
      <c r="F379" s="79">
        <v>0</v>
      </c>
      <c r="G379" s="79">
        <f t="shared" si="15"/>
        <v>1266.7075199999999</v>
      </c>
      <c r="H379" s="77" t="s">
        <v>289</v>
      </c>
      <c r="I379" s="99"/>
      <c r="J379" s="99"/>
    </row>
    <row r="380" spans="1:10" ht="15.75" x14ac:dyDescent="0.25">
      <c r="A380" s="97">
        <v>8</v>
      </c>
      <c r="B380" s="97"/>
      <c r="C380" s="77" t="s">
        <v>208</v>
      </c>
      <c r="D380" s="98">
        <f>(76.67)*10.764</f>
        <v>825.27587999999992</v>
      </c>
      <c r="E380" s="98"/>
      <c r="F380" s="79">
        <v>0</v>
      </c>
      <c r="G380" s="79">
        <f t="shared" si="15"/>
        <v>1320.4414079999999</v>
      </c>
      <c r="H380" s="77" t="s">
        <v>289</v>
      </c>
      <c r="I380" s="99"/>
      <c r="J380" s="99"/>
    </row>
    <row r="381" spans="1:10" ht="15.75" x14ac:dyDescent="0.25">
      <c r="A381" s="96" t="s">
        <v>253</v>
      </c>
      <c r="B381" s="96"/>
      <c r="C381" s="96"/>
      <c r="D381" s="96"/>
      <c r="E381" s="96"/>
      <c r="F381" s="96"/>
      <c r="G381" s="96"/>
      <c r="H381" s="96"/>
      <c r="I381" s="96"/>
      <c r="J381" s="96"/>
    </row>
    <row r="382" spans="1:10" ht="15.75" x14ac:dyDescent="0.25">
      <c r="A382" s="97">
        <v>1</v>
      </c>
      <c r="B382" s="97"/>
      <c r="C382" s="90" t="s">
        <v>203</v>
      </c>
      <c r="D382" s="98">
        <f>(103.55)*10.764</f>
        <v>1114.6121999999998</v>
      </c>
      <c r="E382" s="98"/>
      <c r="F382" s="89">
        <v>0</v>
      </c>
      <c r="G382" s="89">
        <f t="shared" ref="G382:G389" si="16">D382*1.6+F382</f>
        <v>1783.3795199999997</v>
      </c>
      <c r="H382" s="90" t="s">
        <v>289</v>
      </c>
      <c r="I382" s="99" t="str">
        <f>A381</f>
        <v>49th Floor</v>
      </c>
      <c r="J382" s="99"/>
    </row>
    <row r="383" spans="1:10" ht="15.75" x14ac:dyDescent="0.25">
      <c r="A383" s="97">
        <v>2</v>
      </c>
      <c r="B383" s="97"/>
      <c r="C383" s="90" t="s">
        <v>208</v>
      </c>
      <c r="D383" s="98">
        <f>(68.44)*10.764</f>
        <v>736.68815999999993</v>
      </c>
      <c r="E383" s="98"/>
      <c r="F383" s="89">
        <v>0</v>
      </c>
      <c r="G383" s="89">
        <f t="shared" si="16"/>
        <v>1178.7010559999999</v>
      </c>
      <c r="H383" s="90" t="s">
        <v>289</v>
      </c>
      <c r="I383" s="99"/>
      <c r="J383" s="99"/>
    </row>
    <row r="384" spans="1:10" ht="15.75" x14ac:dyDescent="0.25">
      <c r="A384" s="97">
        <v>3</v>
      </c>
      <c r="B384" s="97"/>
      <c r="C384" s="90" t="s">
        <v>208</v>
      </c>
      <c r="D384" s="98">
        <f>(68.44)*10.764</f>
        <v>736.68815999999993</v>
      </c>
      <c r="E384" s="98"/>
      <c r="F384" s="89">
        <v>0</v>
      </c>
      <c r="G384" s="89">
        <f t="shared" si="16"/>
        <v>1178.7010559999999</v>
      </c>
      <c r="H384" s="90" t="s">
        <v>289</v>
      </c>
      <c r="I384" s="99"/>
      <c r="J384" s="99"/>
    </row>
    <row r="385" spans="1:10" ht="15.75" x14ac:dyDescent="0.25">
      <c r="A385" s="97">
        <v>4</v>
      </c>
      <c r="B385" s="97"/>
      <c r="C385" s="90" t="s">
        <v>203</v>
      </c>
      <c r="D385" s="98">
        <f>(103.55)*10.764</f>
        <v>1114.6121999999998</v>
      </c>
      <c r="E385" s="98"/>
      <c r="F385" s="89">
        <v>0</v>
      </c>
      <c r="G385" s="89">
        <f t="shared" si="16"/>
        <v>1783.3795199999997</v>
      </c>
      <c r="H385" s="90" t="s">
        <v>289</v>
      </c>
      <c r="I385" s="99"/>
      <c r="J385" s="99"/>
    </row>
    <row r="386" spans="1:10" ht="15.75" x14ac:dyDescent="0.25">
      <c r="A386" s="97">
        <v>5</v>
      </c>
      <c r="B386" s="97"/>
      <c r="C386" s="90" t="s">
        <v>203</v>
      </c>
      <c r="D386" s="98">
        <f>(114.49)*10.764</f>
        <v>1232.3703599999999</v>
      </c>
      <c r="E386" s="98"/>
      <c r="F386" s="89">
        <v>0</v>
      </c>
      <c r="G386" s="89">
        <f t="shared" si="16"/>
        <v>1971.7925759999998</v>
      </c>
      <c r="H386" s="90" t="s">
        <v>289</v>
      </c>
      <c r="I386" s="99"/>
      <c r="J386" s="99"/>
    </row>
    <row r="387" spans="1:10" ht="15.75" x14ac:dyDescent="0.25">
      <c r="A387" s="97">
        <v>6</v>
      </c>
      <c r="B387" s="97"/>
      <c r="C387" s="90" t="s">
        <v>208</v>
      </c>
      <c r="D387" s="98">
        <f>(73.86)*10.764</f>
        <v>795.0290399999999</v>
      </c>
      <c r="E387" s="98"/>
      <c r="F387" s="89">
        <v>0</v>
      </c>
      <c r="G387" s="89">
        <f t="shared" si="16"/>
        <v>1272.046464</v>
      </c>
      <c r="H387" s="90" t="s">
        <v>289</v>
      </c>
      <c r="I387" s="99"/>
      <c r="J387" s="99"/>
    </row>
    <row r="388" spans="1:10" ht="15.75" x14ac:dyDescent="0.25">
      <c r="A388" s="97">
        <v>7</v>
      </c>
      <c r="B388" s="97"/>
      <c r="C388" s="90" t="s">
        <v>208</v>
      </c>
      <c r="D388" s="98">
        <f>(73.86)*10.764</f>
        <v>795.0290399999999</v>
      </c>
      <c r="E388" s="98"/>
      <c r="F388" s="89">
        <v>0</v>
      </c>
      <c r="G388" s="89">
        <f t="shared" si="16"/>
        <v>1272.046464</v>
      </c>
      <c r="H388" s="90" t="s">
        <v>289</v>
      </c>
      <c r="I388" s="99"/>
      <c r="J388" s="99"/>
    </row>
    <row r="389" spans="1:10" ht="15.75" x14ac:dyDescent="0.25">
      <c r="A389" s="97">
        <v>8</v>
      </c>
      <c r="B389" s="97"/>
      <c r="C389" s="90" t="s">
        <v>208</v>
      </c>
      <c r="D389" s="98">
        <f>(76.67)*10.764</f>
        <v>825.27587999999992</v>
      </c>
      <c r="E389" s="98"/>
      <c r="F389" s="89">
        <v>0</v>
      </c>
      <c r="G389" s="89">
        <f t="shared" si="16"/>
        <v>1320.4414079999999</v>
      </c>
      <c r="H389" s="90" t="s">
        <v>289</v>
      </c>
      <c r="I389" s="99"/>
      <c r="J389" s="99"/>
    </row>
    <row r="390" spans="1:10" ht="15.75" x14ac:dyDescent="0.25">
      <c r="A390" s="96" t="s">
        <v>254</v>
      </c>
      <c r="B390" s="96"/>
      <c r="C390" s="96"/>
      <c r="D390" s="96"/>
      <c r="E390" s="96"/>
      <c r="F390" s="96"/>
      <c r="G390" s="96"/>
      <c r="H390" s="96"/>
      <c r="I390" s="96"/>
      <c r="J390" s="96"/>
    </row>
    <row r="391" spans="1:10" ht="15.75" x14ac:dyDescent="0.25">
      <c r="A391" s="97">
        <v>1</v>
      </c>
      <c r="B391" s="97"/>
      <c r="C391" s="77" t="s">
        <v>203</v>
      </c>
      <c r="D391" s="98">
        <f>(103.55)*10.764</f>
        <v>1114.6121999999998</v>
      </c>
      <c r="E391" s="98"/>
      <c r="F391" s="79">
        <v>0</v>
      </c>
      <c r="G391" s="79">
        <f t="shared" ref="G391:G392" si="17">D391*1.6+F391</f>
        <v>1783.3795199999997</v>
      </c>
      <c r="H391" s="77" t="s">
        <v>289</v>
      </c>
      <c r="I391" s="99" t="str">
        <f>A390</f>
        <v>50th Floor (Part Refuge Area)</v>
      </c>
      <c r="J391" s="99"/>
    </row>
    <row r="392" spans="1:10" ht="15.75" x14ac:dyDescent="0.25">
      <c r="A392" s="97">
        <v>2</v>
      </c>
      <c r="B392" s="97"/>
      <c r="C392" s="77" t="s">
        <v>208</v>
      </c>
      <c r="D392" s="98">
        <f>(68.44)*10.764</f>
        <v>736.68815999999993</v>
      </c>
      <c r="E392" s="98"/>
      <c r="F392" s="79">
        <v>0</v>
      </c>
      <c r="G392" s="79">
        <f t="shared" si="17"/>
        <v>1178.7010559999999</v>
      </c>
      <c r="H392" s="77" t="s">
        <v>289</v>
      </c>
      <c r="I392" s="99"/>
      <c r="J392" s="99"/>
    </row>
    <row r="393" spans="1:10" ht="15.75" x14ac:dyDescent="0.25">
      <c r="A393" s="97">
        <v>3</v>
      </c>
      <c r="B393" s="97"/>
      <c r="C393" s="99" t="s">
        <v>269</v>
      </c>
      <c r="D393" s="99"/>
      <c r="E393" s="99"/>
      <c r="F393" s="99"/>
      <c r="G393" s="99"/>
      <c r="H393" s="99"/>
      <c r="I393" s="99"/>
      <c r="J393" s="99"/>
    </row>
    <row r="394" spans="1:10" ht="15.75" x14ac:dyDescent="0.25">
      <c r="A394" s="97">
        <v>4</v>
      </c>
      <c r="B394" s="97"/>
      <c r="C394" s="99" t="s">
        <v>269</v>
      </c>
      <c r="D394" s="99"/>
      <c r="E394" s="99"/>
      <c r="F394" s="99"/>
      <c r="G394" s="99"/>
      <c r="H394" s="99"/>
      <c r="I394" s="99"/>
      <c r="J394" s="99"/>
    </row>
    <row r="395" spans="1:10" ht="15.75" x14ac:dyDescent="0.25">
      <c r="A395" s="97">
        <v>5</v>
      </c>
      <c r="B395" s="97"/>
      <c r="C395" s="77" t="s">
        <v>203</v>
      </c>
      <c r="D395" s="98">
        <f>(114.49)*10.764</f>
        <v>1232.3703599999999</v>
      </c>
      <c r="E395" s="98"/>
      <c r="F395" s="79">
        <v>0</v>
      </c>
      <c r="G395" s="79">
        <f t="shared" ref="G395:G398" si="18">D395*1.6+F395</f>
        <v>1971.7925759999998</v>
      </c>
      <c r="H395" s="77" t="s">
        <v>289</v>
      </c>
      <c r="I395" s="99"/>
      <c r="J395" s="99"/>
    </row>
    <row r="396" spans="1:10" ht="15.75" x14ac:dyDescent="0.25">
      <c r="A396" s="97">
        <v>6</v>
      </c>
      <c r="B396" s="97"/>
      <c r="C396" s="77" t="s">
        <v>208</v>
      </c>
      <c r="D396" s="98">
        <f>(74.16)*10.764</f>
        <v>798.25823999999989</v>
      </c>
      <c r="E396" s="98"/>
      <c r="F396" s="79">
        <v>0</v>
      </c>
      <c r="G396" s="79">
        <f t="shared" si="18"/>
        <v>1277.213184</v>
      </c>
      <c r="H396" s="77" t="s">
        <v>289</v>
      </c>
      <c r="I396" s="99"/>
      <c r="J396" s="99"/>
    </row>
    <row r="397" spans="1:10" ht="15.75" x14ac:dyDescent="0.25">
      <c r="A397" s="97">
        <v>7</v>
      </c>
      <c r="B397" s="97"/>
      <c r="C397" s="77" t="s">
        <v>208</v>
      </c>
      <c r="D397" s="98">
        <f>(74.16)*10.764</f>
        <v>798.25823999999989</v>
      </c>
      <c r="E397" s="98"/>
      <c r="F397" s="79">
        <v>0</v>
      </c>
      <c r="G397" s="79">
        <f t="shared" si="18"/>
        <v>1277.213184</v>
      </c>
      <c r="H397" s="77" t="s">
        <v>289</v>
      </c>
      <c r="I397" s="99"/>
      <c r="J397" s="99"/>
    </row>
    <row r="398" spans="1:10" ht="15.75" x14ac:dyDescent="0.25">
      <c r="A398" s="97">
        <v>8</v>
      </c>
      <c r="B398" s="97"/>
      <c r="C398" s="77" t="s">
        <v>208</v>
      </c>
      <c r="D398" s="98">
        <f>(76.67)*10.764</f>
        <v>825.27587999999992</v>
      </c>
      <c r="E398" s="98"/>
      <c r="F398" s="79">
        <v>0</v>
      </c>
      <c r="G398" s="79">
        <f t="shared" si="18"/>
        <v>1320.4414079999999</v>
      </c>
      <c r="H398" s="77" t="s">
        <v>289</v>
      </c>
      <c r="I398" s="99"/>
      <c r="J398" s="99"/>
    </row>
    <row r="399" spans="1:10" ht="15.75" x14ac:dyDescent="0.25">
      <c r="A399" s="96" t="s">
        <v>255</v>
      </c>
      <c r="B399" s="96"/>
      <c r="C399" s="96"/>
      <c r="D399" s="96"/>
      <c r="E399" s="96"/>
      <c r="F399" s="96"/>
      <c r="G399" s="96"/>
      <c r="H399" s="96"/>
      <c r="I399" s="96"/>
      <c r="J399" s="96"/>
    </row>
    <row r="400" spans="1:10" ht="15.75" x14ac:dyDescent="0.25">
      <c r="A400" s="97">
        <v>1</v>
      </c>
      <c r="B400" s="97"/>
      <c r="C400" s="77" t="s">
        <v>203</v>
      </c>
      <c r="D400" s="98">
        <f>(103.55)*10.764</f>
        <v>1114.6121999999998</v>
      </c>
      <c r="E400" s="98"/>
      <c r="F400" s="79">
        <v>0</v>
      </c>
      <c r="G400" s="79">
        <f t="shared" ref="G400:G407" si="19">D400*1.6+F400</f>
        <v>1783.3795199999997</v>
      </c>
      <c r="H400" s="77" t="s">
        <v>289</v>
      </c>
      <c r="I400" s="99" t="str">
        <f>A399</f>
        <v>51st Floor</v>
      </c>
      <c r="J400" s="99"/>
    </row>
    <row r="401" spans="1:10" ht="15.75" x14ac:dyDescent="0.25">
      <c r="A401" s="97">
        <v>2</v>
      </c>
      <c r="B401" s="97"/>
      <c r="C401" s="77" t="s">
        <v>208</v>
      </c>
      <c r="D401" s="98">
        <f>(68.44)*10.764</f>
        <v>736.68815999999993</v>
      </c>
      <c r="E401" s="98"/>
      <c r="F401" s="79">
        <v>0</v>
      </c>
      <c r="G401" s="79">
        <f t="shared" si="19"/>
        <v>1178.7010559999999</v>
      </c>
      <c r="H401" s="77" t="s">
        <v>289</v>
      </c>
      <c r="I401" s="99"/>
      <c r="J401" s="99"/>
    </row>
    <row r="402" spans="1:10" ht="15.75" x14ac:dyDescent="0.25">
      <c r="A402" s="97">
        <v>3</v>
      </c>
      <c r="B402" s="97"/>
      <c r="C402" s="77" t="s">
        <v>208</v>
      </c>
      <c r="D402" s="98">
        <f>(68.44)*10.764</f>
        <v>736.68815999999993</v>
      </c>
      <c r="E402" s="98"/>
      <c r="F402" s="79">
        <v>0</v>
      </c>
      <c r="G402" s="79">
        <f t="shared" si="19"/>
        <v>1178.7010559999999</v>
      </c>
      <c r="H402" s="77" t="s">
        <v>289</v>
      </c>
      <c r="I402" s="99"/>
      <c r="J402" s="99"/>
    </row>
    <row r="403" spans="1:10" ht="15.75" x14ac:dyDescent="0.25">
      <c r="A403" s="97">
        <v>4</v>
      </c>
      <c r="B403" s="97"/>
      <c r="C403" s="77" t="s">
        <v>203</v>
      </c>
      <c r="D403" s="98">
        <f>(103.55)*10.764</f>
        <v>1114.6121999999998</v>
      </c>
      <c r="E403" s="98"/>
      <c r="F403" s="79">
        <v>0</v>
      </c>
      <c r="G403" s="79">
        <f t="shared" si="19"/>
        <v>1783.3795199999997</v>
      </c>
      <c r="H403" s="77" t="s">
        <v>289</v>
      </c>
      <c r="I403" s="99"/>
      <c r="J403" s="99"/>
    </row>
    <row r="404" spans="1:10" ht="15.75" x14ac:dyDescent="0.25">
      <c r="A404" s="97">
        <v>5</v>
      </c>
      <c r="B404" s="97"/>
      <c r="C404" s="77" t="s">
        <v>203</v>
      </c>
      <c r="D404" s="98">
        <f>(114.49)*10.764</f>
        <v>1232.3703599999999</v>
      </c>
      <c r="E404" s="98"/>
      <c r="F404" s="79">
        <v>0</v>
      </c>
      <c r="G404" s="79">
        <f t="shared" si="19"/>
        <v>1971.7925759999998</v>
      </c>
      <c r="H404" s="77" t="s">
        <v>289</v>
      </c>
      <c r="I404" s="99"/>
      <c r="J404" s="99"/>
    </row>
    <row r="405" spans="1:10" ht="15.75" x14ac:dyDescent="0.25">
      <c r="A405" s="97">
        <v>6</v>
      </c>
      <c r="B405" s="97"/>
      <c r="C405" s="77" t="s">
        <v>208</v>
      </c>
      <c r="D405" s="98">
        <f>(74.47)*10.764</f>
        <v>801.59507999999994</v>
      </c>
      <c r="E405" s="98"/>
      <c r="F405" s="79">
        <v>0</v>
      </c>
      <c r="G405" s="79">
        <f t="shared" si="19"/>
        <v>1282.552128</v>
      </c>
      <c r="H405" s="77" t="s">
        <v>289</v>
      </c>
      <c r="I405" s="99"/>
      <c r="J405" s="99"/>
    </row>
    <row r="406" spans="1:10" ht="15.75" x14ac:dyDescent="0.25">
      <c r="A406" s="97">
        <v>7</v>
      </c>
      <c r="B406" s="97"/>
      <c r="C406" s="77" t="s">
        <v>208</v>
      </c>
      <c r="D406" s="98">
        <f>(74.47)*10.764</f>
        <v>801.59507999999994</v>
      </c>
      <c r="E406" s="98"/>
      <c r="F406" s="79">
        <v>0</v>
      </c>
      <c r="G406" s="79">
        <f t="shared" si="19"/>
        <v>1282.552128</v>
      </c>
      <c r="H406" s="77" t="s">
        <v>289</v>
      </c>
      <c r="I406" s="99"/>
      <c r="J406" s="99"/>
    </row>
    <row r="407" spans="1:10" ht="15.75" x14ac:dyDescent="0.25">
      <c r="A407" s="97">
        <v>8</v>
      </c>
      <c r="B407" s="97"/>
      <c r="C407" s="77" t="s">
        <v>208</v>
      </c>
      <c r="D407" s="98">
        <f>(76.67)*10.764</f>
        <v>825.27587999999992</v>
      </c>
      <c r="E407" s="98"/>
      <c r="F407" s="79">
        <v>0</v>
      </c>
      <c r="G407" s="79">
        <f t="shared" si="19"/>
        <v>1320.4414079999999</v>
      </c>
      <c r="H407" s="77" t="s">
        <v>289</v>
      </c>
      <c r="I407" s="99"/>
      <c r="J407" s="99"/>
    </row>
    <row r="408" spans="1:10" ht="14.25" customHeight="1" x14ac:dyDescent="0.25">
      <c r="A408" s="96" t="s">
        <v>256</v>
      </c>
      <c r="B408" s="96"/>
      <c r="C408" s="96"/>
      <c r="D408" s="96"/>
      <c r="E408" s="96"/>
      <c r="F408" s="96"/>
      <c r="G408" s="96"/>
      <c r="H408" s="96"/>
      <c r="I408" s="96"/>
      <c r="J408" s="96"/>
    </row>
    <row r="409" spans="1:10" ht="14.25" customHeight="1" x14ac:dyDescent="0.25">
      <c r="A409" s="97">
        <v>1</v>
      </c>
      <c r="B409" s="97"/>
      <c r="C409" s="88" t="s">
        <v>203</v>
      </c>
      <c r="D409" s="98">
        <f>(103.55)*10.764</f>
        <v>1114.6121999999998</v>
      </c>
      <c r="E409" s="98"/>
      <c r="F409" s="87">
        <v>0</v>
      </c>
      <c r="G409" s="87">
        <f t="shared" ref="G409:G416" si="20">D409*1.6+F409</f>
        <v>1783.3795199999997</v>
      </c>
      <c r="H409" s="88" t="s">
        <v>289</v>
      </c>
      <c r="I409" s="99" t="str">
        <f>A408</f>
        <v>52nd Floor</v>
      </c>
      <c r="J409" s="99"/>
    </row>
    <row r="410" spans="1:10" ht="14.25" customHeight="1" x14ac:dyDescent="0.25">
      <c r="A410" s="97">
        <v>2</v>
      </c>
      <c r="B410" s="97"/>
      <c r="C410" s="88" t="s">
        <v>208</v>
      </c>
      <c r="D410" s="98">
        <f>(68.44)*10.764</f>
        <v>736.68815999999993</v>
      </c>
      <c r="E410" s="98"/>
      <c r="F410" s="87">
        <v>0</v>
      </c>
      <c r="G410" s="87">
        <f t="shared" si="20"/>
        <v>1178.7010559999999</v>
      </c>
      <c r="H410" s="88" t="s">
        <v>289</v>
      </c>
      <c r="I410" s="99"/>
      <c r="J410" s="99"/>
    </row>
    <row r="411" spans="1:10" ht="14.25" customHeight="1" x14ac:dyDescent="0.25">
      <c r="A411" s="97">
        <v>3</v>
      </c>
      <c r="B411" s="97"/>
      <c r="C411" s="88" t="s">
        <v>208</v>
      </c>
      <c r="D411" s="98">
        <f>(68.44)*10.764</f>
        <v>736.68815999999993</v>
      </c>
      <c r="E411" s="98"/>
      <c r="F411" s="87">
        <v>0</v>
      </c>
      <c r="G411" s="87">
        <f t="shared" si="20"/>
        <v>1178.7010559999999</v>
      </c>
      <c r="H411" s="88" t="s">
        <v>289</v>
      </c>
      <c r="I411" s="99"/>
      <c r="J411" s="99"/>
    </row>
    <row r="412" spans="1:10" ht="14.25" customHeight="1" x14ac:dyDescent="0.25">
      <c r="A412" s="97">
        <v>4</v>
      </c>
      <c r="B412" s="97"/>
      <c r="C412" s="88" t="s">
        <v>203</v>
      </c>
      <c r="D412" s="98">
        <f>(103.55)*10.764</f>
        <v>1114.6121999999998</v>
      </c>
      <c r="E412" s="98"/>
      <c r="F412" s="87">
        <v>0</v>
      </c>
      <c r="G412" s="87">
        <f t="shared" si="20"/>
        <v>1783.3795199999997</v>
      </c>
      <c r="H412" s="88" t="s">
        <v>289</v>
      </c>
      <c r="I412" s="99"/>
      <c r="J412" s="99"/>
    </row>
    <row r="413" spans="1:10" ht="14.25" customHeight="1" x14ac:dyDescent="0.25">
      <c r="A413" s="97">
        <v>5</v>
      </c>
      <c r="B413" s="97"/>
      <c r="C413" s="88" t="s">
        <v>203</v>
      </c>
      <c r="D413" s="98">
        <f>(114.59)*10.764</f>
        <v>1233.44676</v>
      </c>
      <c r="E413" s="98"/>
      <c r="F413" s="87">
        <v>0</v>
      </c>
      <c r="G413" s="87">
        <f t="shared" si="20"/>
        <v>1973.5148160000001</v>
      </c>
      <c r="H413" s="88" t="s">
        <v>289</v>
      </c>
      <c r="I413" s="99"/>
      <c r="J413" s="99"/>
    </row>
    <row r="414" spans="1:10" ht="14.25" customHeight="1" x14ac:dyDescent="0.25">
      <c r="A414" s="97">
        <v>6</v>
      </c>
      <c r="B414" s="97"/>
      <c r="C414" s="88" t="s">
        <v>208</v>
      </c>
      <c r="D414" s="98">
        <f>(74.78)*10.764</f>
        <v>804.93191999999999</v>
      </c>
      <c r="E414" s="98"/>
      <c r="F414" s="87">
        <v>0</v>
      </c>
      <c r="G414" s="87">
        <f t="shared" si="20"/>
        <v>1287.8910720000001</v>
      </c>
      <c r="H414" s="88" t="s">
        <v>289</v>
      </c>
      <c r="I414" s="99"/>
      <c r="J414" s="99"/>
    </row>
    <row r="415" spans="1:10" ht="14.25" customHeight="1" x14ac:dyDescent="0.25">
      <c r="A415" s="97">
        <v>7</v>
      </c>
      <c r="B415" s="97"/>
      <c r="C415" s="88" t="s">
        <v>208</v>
      </c>
      <c r="D415" s="98">
        <f>(74.78)*10.764</f>
        <v>804.93191999999999</v>
      </c>
      <c r="E415" s="98"/>
      <c r="F415" s="87">
        <v>0</v>
      </c>
      <c r="G415" s="87">
        <f t="shared" si="20"/>
        <v>1287.8910720000001</v>
      </c>
      <c r="H415" s="88" t="s">
        <v>289</v>
      </c>
      <c r="I415" s="99"/>
      <c r="J415" s="99"/>
    </row>
    <row r="416" spans="1:10" ht="14.25" customHeight="1" x14ac:dyDescent="0.25">
      <c r="A416" s="97">
        <v>8</v>
      </c>
      <c r="B416" s="97"/>
      <c r="C416" s="88" t="s">
        <v>208</v>
      </c>
      <c r="D416" s="98">
        <f>(76.67)*10.764</f>
        <v>825.27587999999992</v>
      </c>
      <c r="E416" s="98"/>
      <c r="F416" s="87">
        <v>0</v>
      </c>
      <c r="G416" s="87">
        <f t="shared" si="20"/>
        <v>1320.4414079999999</v>
      </c>
      <c r="H416" s="88" t="s">
        <v>289</v>
      </c>
      <c r="I416" s="99"/>
      <c r="J416" s="99"/>
    </row>
    <row r="417" spans="1:10" ht="14.25" customHeight="1" x14ac:dyDescent="0.25">
      <c r="A417" s="96" t="s">
        <v>257</v>
      </c>
      <c r="B417" s="96"/>
      <c r="C417" s="96"/>
      <c r="D417" s="96"/>
      <c r="E417" s="96"/>
      <c r="F417" s="96"/>
      <c r="G417" s="96"/>
      <c r="H417" s="96"/>
      <c r="I417" s="96"/>
      <c r="J417" s="96"/>
    </row>
    <row r="418" spans="1:10" ht="14.25" customHeight="1" x14ac:dyDescent="0.25">
      <c r="A418" s="97">
        <v>1</v>
      </c>
      <c r="B418" s="97"/>
      <c r="C418" s="77" t="s">
        <v>203</v>
      </c>
      <c r="D418" s="98">
        <f>(103.55)*10.764</f>
        <v>1114.6121999999998</v>
      </c>
      <c r="E418" s="98"/>
      <c r="F418" s="79">
        <v>0</v>
      </c>
      <c r="G418" s="79">
        <f t="shared" ref="G418:G425" si="21">D418*1.6+F418</f>
        <v>1783.3795199999997</v>
      </c>
      <c r="H418" s="77" t="s">
        <v>289</v>
      </c>
      <c r="I418" s="99" t="str">
        <f>A417</f>
        <v>53rd Floor</v>
      </c>
      <c r="J418" s="99"/>
    </row>
    <row r="419" spans="1:10" ht="14.25" customHeight="1" x14ac:dyDescent="0.25">
      <c r="A419" s="97">
        <v>2</v>
      </c>
      <c r="B419" s="97"/>
      <c r="C419" s="77" t="s">
        <v>208</v>
      </c>
      <c r="D419" s="98">
        <f>(68.44)*10.764</f>
        <v>736.68815999999993</v>
      </c>
      <c r="E419" s="98"/>
      <c r="F419" s="79">
        <v>0</v>
      </c>
      <c r="G419" s="79">
        <f t="shared" si="21"/>
        <v>1178.7010559999999</v>
      </c>
      <c r="H419" s="77" t="s">
        <v>289</v>
      </c>
      <c r="I419" s="99"/>
      <c r="J419" s="99"/>
    </row>
    <row r="420" spans="1:10" ht="14.25" customHeight="1" x14ac:dyDescent="0.25">
      <c r="A420" s="97">
        <v>3</v>
      </c>
      <c r="B420" s="97"/>
      <c r="C420" s="77" t="s">
        <v>208</v>
      </c>
      <c r="D420" s="98">
        <f>(68.44)*10.764</f>
        <v>736.68815999999993</v>
      </c>
      <c r="E420" s="98"/>
      <c r="F420" s="79">
        <v>0</v>
      </c>
      <c r="G420" s="79">
        <f t="shared" si="21"/>
        <v>1178.7010559999999</v>
      </c>
      <c r="H420" s="77" t="s">
        <v>289</v>
      </c>
      <c r="I420" s="99"/>
      <c r="J420" s="99"/>
    </row>
    <row r="421" spans="1:10" ht="14.25" customHeight="1" x14ac:dyDescent="0.25">
      <c r="A421" s="97">
        <v>4</v>
      </c>
      <c r="B421" s="97"/>
      <c r="C421" s="77" t="s">
        <v>203</v>
      </c>
      <c r="D421" s="98">
        <f>(103.55)*10.764</f>
        <v>1114.6121999999998</v>
      </c>
      <c r="E421" s="98"/>
      <c r="F421" s="79">
        <v>0</v>
      </c>
      <c r="G421" s="79">
        <f t="shared" si="21"/>
        <v>1783.3795199999997</v>
      </c>
      <c r="H421" s="77" t="s">
        <v>289</v>
      </c>
      <c r="I421" s="99"/>
      <c r="J421" s="99"/>
    </row>
    <row r="422" spans="1:10" ht="14.25" customHeight="1" x14ac:dyDescent="0.25">
      <c r="A422" s="97">
        <v>5</v>
      </c>
      <c r="B422" s="97"/>
      <c r="C422" s="77" t="s">
        <v>203</v>
      </c>
      <c r="D422" s="98">
        <f>(114.59)*10.764</f>
        <v>1233.44676</v>
      </c>
      <c r="E422" s="98"/>
      <c r="F422" s="79">
        <v>0</v>
      </c>
      <c r="G422" s="79">
        <f t="shared" si="21"/>
        <v>1973.5148160000001</v>
      </c>
      <c r="H422" s="77" t="s">
        <v>289</v>
      </c>
      <c r="I422" s="99"/>
      <c r="J422" s="99"/>
    </row>
    <row r="423" spans="1:10" ht="14.25" customHeight="1" x14ac:dyDescent="0.25">
      <c r="A423" s="97">
        <v>6</v>
      </c>
      <c r="B423" s="97"/>
      <c r="C423" s="77" t="s">
        <v>208</v>
      </c>
      <c r="D423" s="98">
        <f>(75.09)*10.764</f>
        <v>808.26876000000004</v>
      </c>
      <c r="E423" s="98"/>
      <c r="F423" s="79">
        <v>0</v>
      </c>
      <c r="G423" s="79">
        <f t="shared" si="21"/>
        <v>1293.2300160000002</v>
      </c>
      <c r="H423" s="77" t="s">
        <v>289</v>
      </c>
      <c r="I423" s="99"/>
      <c r="J423" s="99"/>
    </row>
    <row r="424" spans="1:10" ht="14.25" customHeight="1" x14ac:dyDescent="0.25">
      <c r="A424" s="97">
        <v>7</v>
      </c>
      <c r="B424" s="97"/>
      <c r="C424" s="77" t="s">
        <v>208</v>
      </c>
      <c r="D424" s="98">
        <f>(75.09)*10.764</f>
        <v>808.26876000000004</v>
      </c>
      <c r="E424" s="98"/>
      <c r="F424" s="79">
        <v>0</v>
      </c>
      <c r="G424" s="79">
        <f t="shared" si="21"/>
        <v>1293.2300160000002</v>
      </c>
      <c r="H424" s="77" t="s">
        <v>289</v>
      </c>
      <c r="I424" s="99"/>
      <c r="J424" s="99"/>
    </row>
    <row r="425" spans="1:10" ht="14.25" customHeight="1" x14ac:dyDescent="0.25">
      <c r="A425" s="97">
        <v>8</v>
      </c>
      <c r="B425" s="97"/>
      <c r="C425" s="77" t="s">
        <v>208</v>
      </c>
      <c r="D425" s="98">
        <f>(76.67)*10.764</f>
        <v>825.27587999999992</v>
      </c>
      <c r="E425" s="98"/>
      <c r="F425" s="79">
        <v>0</v>
      </c>
      <c r="G425" s="79">
        <f t="shared" si="21"/>
        <v>1320.4414079999999</v>
      </c>
      <c r="H425" s="77" t="s">
        <v>289</v>
      </c>
      <c r="I425" s="99"/>
      <c r="J425" s="99"/>
    </row>
    <row r="426" spans="1:10" ht="14.25" customHeight="1" x14ac:dyDescent="0.25">
      <c r="A426" s="96" t="s">
        <v>258</v>
      </c>
      <c r="B426" s="96"/>
      <c r="C426" s="96"/>
      <c r="D426" s="96"/>
      <c r="E426" s="96"/>
      <c r="F426" s="96"/>
      <c r="G426" s="96"/>
      <c r="H426" s="96"/>
      <c r="I426" s="96"/>
      <c r="J426" s="96"/>
    </row>
    <row r="427" spans="1:10" ht="14.25" customHeight="1" x14ac:dyDescent="0.25">
      <c r="A427" s="97">
        <v>1</v>
      </c>
      <c r="B427" s="97"/>
      <c r="C427" s="77" t="s">
        <v>203</v>
      </c>
      <c r="D427" s="98">
        <f>(103.55)*10.764</f>
        <v>1114.6121999999998</v>
      </c>
      <c r="E427" s="98"/>
      <c r="F427" s="79">
        <v>0</v>
      </c>
      <c r="G427" s="79">
        <f t="shared" ref="G427:G434" si="22">D427*1.6+F427</f>
        <v>1783.3795199999997</v>
      </c>
      <c r="H427" s="77" t="s">
        <v>289</v>
      </c>
      <c r="I427" s="99" t="str">
        <f>A426</f>
        <v>54th Floor</v>
      </c>
      <c r="J427" s="99"/>
    </row>
    <row r="428" spans="1:10" ht="14.25" customHeight="1" x14ac:dyDescent="0.25">
      <c r="A428" s="97">
        <v>2</v>
      </c>
      <c r="B428" s="97"/>
      <c r="C428" s="77" t="s">
        <v>208</v>
      </c>
      <c r="D428" s="98">
        <f>(68.44)*10.764</f>
        <v>736.68815999999993</v>
      </c>
      <c r="E428" s="98"/>
      <c r="F428" s="79">
        <v>0</v>
      </c>
      <c r="G428" s="79">
        <f t="shared" si="22"/>
        <v>1178.7010559999999</v>
      </c>
      <c r="H428" s="77" t="s">
        <v>289</v>
      </c>
      <c r="I428" s="99"/>
      <c r="J428" s="99"/>
    </row>
    <row r="429" spans="1:10" ht="14.25" customHeight="1" x14ac:dyDescent="0.25">
      <c r="A429" s="97">
        <v>3</v>
      </c>
      <c r="B429" s="97"/>
      <c r="C429" s="77" t="s">
        <v>208</v>
      </c>
      <c r="D429" s="98">
        <f>(68.44)*10.764</f>
        <v>736.68815999999993</v>
      </c>
      <c r="E429" s="98"/>
      <c r="F429" s="79">
        <v>0</v>
      </c>
      <c r="G429" s="79">
        <f t="shared" si="22"/>
        <v>1178.7010559999999</v>
      </c>
      <c r="H429" s="77" t="s">
        <v>289</v>
      </c>
      <c r="I429" s="99"/>
      <c r="J429" s="99"/>
    </row>
    <row r="430" spans="1:10" ht="14.25" customHeight="1" x14ac:dyDescent="0.25">
      <c r="A430" s="97">
        <v>4</v>
      </c>
      <c r="B430" s="97"/>
      <c r="C430" s="77" t="s">
        <v>203</v>
      </c>
      <c r="D430" s="98">
        <f>(103.55)*10.764</f>
        <v>1114.6121999999998</v>
      </c>
      <c r="E430" s="98"/>
      <c r="F430" s="79">
        <v>0</v>
      </c>
      <c r="G430" s="79">
        <f t="shared" si="22"/>
        <v>1783.3795199999997</v>
      </c>
      <c r="H430" s="77" t="s">
        <v>289</v>
      </c>
      <c r="I430" s="99"/>
      <c r="J430" s="99"/>
    </row>
    <row r="431" spans="1:10" ht="14.25" customHeight="1" x14ac:dyDescent="0.25">
      <c r="A431" s="97">
        <v>5</v>
      </c>
      <c r="B431" s="97"/>
      <c r="C431" s="77" t="s">
        <v>203</v>
      </c>
      <c r="D431" s="98">
        <f>(114.59)*10.764</f>
        <v>1233.44676</v>
      </c>
      <c r="E431" s="98"/>
      <c r="F431" s="79">
        <v>0</v>
      </c>
      <c r="G431" s="79">
        <f t="shared" si="22"/>
        <v>1973.5148160000001</v>
      </c>
      <c r="H431" s="77" t="s">
        <v>289</v>
      </c>
      <c r="I431" s="99"/>
      <c r="J431" s="99"/>
    </row>
    <row r="432" spans="1:10" ht="14.25" customHeight="1" x14ac:dyDescent="0.25">
      <c r="A432" s="97">
        <v>6</v>
      </c>
      <c r="B432" s="97"/>
      <c r="C432" s="77" t="s">
        <v>208</v>
      </c>
      <c r="D432" s="98">
        <f>(75.4)*10.764</f>
        <v>811.60559999999998</v>
      </c>
      <c r="E432" s="98"/>
      <c r="F432" s="79">
        <v>0</v>
      </c>
      <c r="G432" s="79">
        <f t="shared" si="22"/>
        <v>1298.5689600000001</v>
      </c>
      <c r="H432" s="77" t="s">
        <v>289</v>
      </c>
      <c r="I432" s="99"/>
      <c r="J432" s="99"/>
    </row>
    <row r="433" spans="1:10" ht="14.25" customHeight="1" x14ac:dyDescent="0.25">
      <c r="A433" s="97">
        <v>7</v>
      </c>
      <c r="B433" s="97"/>
      <c r="C433" s="77" t="s">
        <v>208</v>
      </c>
      <c r="D433" s="98">
        <f>(75.4)*10.764</f>
        <v>811.60559999999998</v>
      </c>
      <c r="E433" s="98"/>
      <c r="F433" s="79">
        <v>0</v>
      </c>
      <c r="G433" s="79">
        <f t="shared" si="22"/>
        <v>1298.5689600000001</v>
      </c>
      <c r="H433" s="77" t="s">
        <v>289</v>
      </c>
      <c r="I433" s="99"/>
      <c r="J433" s="99"/>
    </row>
    <row r="434" spans="1:10" ht="14.25" customHeight="1" x14ac:dyDescent="0.25">
      <c r="A434" s="97">
        <v>8</v>
      </c>
      <c r="B434" s="97"/>
      <c r="C434" s="77" t="s">
        <v>208</v>
      </c>
      <c r="D434" s="98">
        <f>(76.67)*10.764</f>
        <v>825.27587999999992</v>
      </c>
      <c r="E434" s="98"/>
      <c r="F434" s="79">
        <v>0</v>
      </c>
      <c r="G434" s="79">
        <f t="shared" si="22"/>
        <v>1320.4414079999999</v>
      </c>
      <c r="H434" s="77" t="s">
        <v>289</v>
      </c>
      <c r="I434" s="99"/>
      <c r="J434" s="99"/>
    </row>
    <row r="435" spans="1:10" ht="14.25" customHeight="1" x14ac:dyDescent="0.25">
      <c r="A435" s="96" t="s">
        <v>259</v>
      </c>
      <c r="B435" s="96"/>
      <c r="C435" s="96"/>
      <c r="D435" s="96"/>
      <c r="E435" s="96"/>
      <c r="F435" s="96"/>
      <c r="G435" s="96"/>
      <c r="H435" s="96"/>
      <c r="I435" s="96"/>
      <c r="J435" s="96"/>
    </row>
    <row r="436" spans="1:10" ht="14.25" customHeight="1" x14ac:dyDescent="0.25">
      <c r="A436" s="97">
        <v>1</v>
      </c>
      <c r="B436" s="97"/>
      <c r="C436" s="77" t="s">
        <v>203</v>
      </c>
      <c r="D436" s="98">
        <f>(103.55)*10.764</f>
        <v>1114.6121999999998</v>
      </c>
      <c r="E436" s="98"/>
      <c r="F436" s="79">
        <v>0</v>
      </c>
      <c r="G436" s="79">
        <f t="shared" ref="G436:G443" si="23">D436*1.6+F436</f>
        <v>1783.3795199999997</v>
      </c>
      <c r="H436" s="77" t="s">
        <v>289</v>
      </c>
      <c r="I436" s="99" t="str">
        <f>A435</f>
        <v>55th Floor</v>
      </c>
      <c r="J436" s="99"/>
    </row>
    <row r="437" spans="1:10" ht="14.25" customHeight="1" x14ac:dyDescent="0.25">
      <c r="A437" s="97">
        <v>2</v>
      </c>
      <c r="B437" s="97"/>
      <c r="C437" s="77" t="s">
        <v>208</v>
      </c>
      <c r="D437" s="98">
        <f>(68.44)*10.764</f>
        <v>736.68815999999993</v>
      </c>
      <c r="E437" s="98"/>
      <c r="F437" s="79">
        <v>0</v>
      </c>
      <c r="G437" s="79">
        <f t="shared" si="23"/>
        <v>1178.7010559999999</v>
      </c>
      <c r="H437" s="77" t="s">
        <v>289</v>
      </c>
      <c r="I437" s="99"/>
      <c r="J437" s="99"/>
    </row>
    <row r="438" spans="1:10" ht="14.25" customHeight="1" x14ac:dyDescent="0.25">
      <c r="A438" s="97">
        <v>3</v>
      </c>
      <c r="B438" s="97"/>
      <c r="C438" s="77" t="s">
        <v>208</v>
      </c>
      <c r="D438" s="98">
        <f>(68.44)*10.764</f>
        <v>736.68815999999993</v>
      </c>
      <c r="E438" s="98"/>
      <c r="F438" s="79">
        <v>0</v>
      </c>
      <c r="G438" s="79">
        <f t="shared" si="23"/>
        <v>1178.7010559999999</v>
      </c>
      <c r="H438" s="77" t="s">
        <v>289</v>
      </c>
      <c r="I438" s="99"/>
      <c r="J438" s="99"/>
    </row>
    <row r="439" spans="1:10" ht="14.25" customHeight="1" x14ac:dyDescent="0.25">
      <c r="A439" s="97">
        <v>4</v>
      </c>
      <c r="B439" s="97"/>
      <c r="C439" s="77" t="s">
        <v>203</v>
      </c>
      <c r="D439" s="98">
        <f>(103.55)*10.764</f>
        <v>1114.6121999999998</v>
      </c>
      <c r="E439" s="98"/>
      <c r="F439" s="79">
        <v>0</v>
      </c>
      <c r="G439" s="79">
        <f t="shared" si="23"/>
        <v>1783.3795199999997</v>
      </c>
      <c r="H439" s="77" t="s">
        <v>289</v>
      </c>
      <c r="I439" s="99"/>
      <c r="J439" s="99"/>
    </row>
    <row r="440" spans="1:10" ht="14.25" customHeight="1" x14ac:dyDescent="0.25">
      <c r="A440" s="97">
        <v>5</v>
      </c>
      <c r="B440" s="97"/>
      <c r="C440" s="77" t="s">
        <v>203</v>
      </c>
      <c r="D440" s="98">
        <f>(114.59)*10.764</f>
        <v>1233.44676</v>
      </c>
      <c r="E440" s="98"/>
      <c r="F440" s="79">
        <v>0</v>
      </c>
      <c r="G440" s="79">
        <f t="shared" si="23"/>
        <v>1973.5148160000001</v>
      </c>
      <c r="H440" s="77" t="s">
        <v>289</v>
      </c>
      <c r="I440" s="99"/>
      <c r="J440" s="99"/>
    </row>
    <row r="441" spans="1:10" ht="14.25" customHeight="1" x14ac:dyDescent="0.25">
      <c r="A441" s="97">
        <v>6</v>
      </c>
      <c r="B441" s="97"/>
      <c r="C441" s="77" t="s">
        <v>208</v>
      </c>
      <c r="D441" s="98">
        <f>(75.7)*10.764</f>
        <v>814.83479999999997</v>
      </c>
      <c r="E441" s="98"/>
      <c r="F441" s="79">
        <v>0</v>
      </c>
      <c r="G441" s="79">
        <f t="shared" si="23"/>
        <v>1303.73568</v>
      </c>
      <c r="H441" s="77" t="s">
        <v>289</v>
      </c>
      <c r="I441" s="99"/>
      <c r="J441" s="99"/>
    </row>
    <row r="442" spans="1:10" ht="14.25" customHeight="1" x14ac:dyDescent="0.25">
      <c r="A442" s="97">
        <v>7</v>
      </c>
      <c r="B442" s="97"/>
      <c r="C442" s="77" t="s">
        <v>208</v>
      </c>
      <c r="D442" s="98">
        <f>(75.7)*10.764</f>
        <v>814.83479999999997</v>
      </c>
      <c r="E442" s="98"/>
      <c r="F442" s="79">
        <v>0</v>
      </c>
      <c r="G442" s="79">
        <f t="shared" si="23"/>
        <v>1303.73568</v>
      </c>
      <c r="H442" s="77" t="s">
        <v>289</v>
      </c>
      <c r="I442" s="99"/>
      <c r="J442" s="99"/>
    </row>
    <row r="443" spans="1:10" ht="14.25" customHeight="1" x14ac:dyDescent="0.25">
      <c r="A443" s="97">
        <v>8</v>
      </c>
      <c r="B443" s="97"/>
      <c r="C443" s="77" t="s">
        <v>208</v>
      </c>
      <c r="D443" s="98">
        <f>(76.67)*10.764</f>
        <v>825.27587999999992</v>
      </c>
      <c r="E443" s="98"/>
      <c r="F443" s="79">
        <v>0</v>
      </c>
      <c r="G443" s="79">
        <f t="shared" si="23"/>
        <v>1320.4414079999999</v>
      </c>
      <c r="H443" s="77" t="s">
        <v>289</v>
      </c>
      <c r="I443" s="99"/>
      <c r="J443" s="99"/>
    </row>
    <row r="444" spans="1:10" ht="14.25" customHeight="1" x14ac:dyDescent="0.25">
      <c r="A444" s="96" t="s">
        <v>260</v>
      </c>
      <c r="B444" s="96"/>
      <c r="C444" s="96"/>
      <c r="D444" s="96"/>
      <c r="E444" s="96"/>
      <c r="F444" s="96"/>
      <c r="G444" s="96"/>
      <c r="H444" s="96"/>
      <c r="I444" s="96"/>
      <c r="J444" s="96"/>
    </row>
    <row r="445" spans="1:10" ht="14.25" customHeight="1" x14ac:dyDescent="0.25">
      <c r="A445" s="97">
        <v>1</v>
      </c>
      <c r="B445" s="97"/>
      <c r="C445" s="77" t="s">
        <v>203</v>
      </c>
      <c r="D445" s="98">
        <f>(103.55)*10.764</f>
        <v>1114.6121999999998</v>
      </c>
      <c r="E445" s="98"/>
      <c r="F445" s="79">
        <v>0</v>
      </c>
      <c r="G445" s="79">
        <f t="shared" ref="G445:G451" si="24">D445*1.6+F445</f>
        <v>1783.3795199999997</v>
      </c>
      <c r="H445" s="77" t="s">
        <v>289</v>
      </c>
      <c r="I445" s="99" t="str">
        <f>A444</f>
        <v>56th Floor</v>
      </c>
      <c r="J445" s="99"/>
    </row>
    <row r="446" spans="1:10" ht="14.25" customHeight="1" x14ac:dyDescent="0.25">
      <c r="A446" s="97">
        <v>2</v>
      </c>
      <c r="B446" s="97"/>
      <c r="C446" s="77" t="s">
        <v>208</v>
      </c>
      <c r="D446" s="98">
        <f>(68.44)*10.764</f>
        <v>736.68815999999993</v>
      </c>
      <c r="E446" s="98"/>
      <c r="F446" s="79">
        <v>0</v>
      </c>
      <c r="G446" s="79">
        <f t="shared" si="24"/>
        <v>1178.7010559999999</v>
      </c>
      <c r="H446" s="77" t="s">
        <v>289</v>
      </c>
      <c r="I446" s="99"/>
      <c r="J446" s="99"/>
    </row>
    <row r="447" spans="1:10" ht="14.25" customHeight="1" x14ac:dyDescent="0.25">
      <c r="A447" s="97">
        <v>3</v>
      </c>
      <c r="B447" s="97"/>
      <c r="C447" s="77" t="s">
        <v>208</v>
      </c>
      <c r="D447" s="98">
        <f>(68.44)*10.764</f>
        <v>736.68815999999993</v>
      </c>
      <c r="E447" s="98"/>
      <c r="F447" s="79">
        <v>0</v>
      </c>
      <c r="G447" s="79">
        <f t="shared" si="24"/>
        <v>1178.7010559999999</v>
      </c>
      <c r="H447" s="77" t="s">
        <v>289</v>
      </c>
      <c r="I447" s="99"/>
      <c r="J447" s="99"/>
    </row>
    <row r="448" spans="1:10" ht="14.25" customHeight="1" x14ac:dyDescent="0.25">
      <c r="A448" s="97">
        <v>4</v>
      </c>
      <c r="B448" s="97"/>
      <c r="C448" s="77" t="s">
        <v>203</v>
      </c>
      <c r="D448" s="98">
        <f>(103.55)*10.764</f>
        <v>1114.6121999999998</v>
      </c>
      <c r="E448" s="98"/>
      <c r="F448" s="79">
        <v>0</v>
      </c>
      <c r="G448" s="79">
        <f t="shared" si="24"/>
        <v>1783.3795199999997</v>
      </c>
      <c r="H448" s="77" t="s">
        <v>289</v>
      </c>
      <c r="I448" s="99"/>
      <c r="J448" s="99"/>
    </row>
    <row r="449" spans="1:10" ht="14.25" customHeight="1" x14ac:dyDescent="0.25">
      <c r="A449" s="97">
        <v>5</v>
      </c>
      <c r="B449" s="97"/>
      <c r="C449" s="77" t="s">
        <v>203</v>
      </c>
      <c r="D449" s="98">
        <f>(114.59)*10.764</f>
        <v>1233.44676</v>
      </c>
      <c r="E449" s="98"/>
      <c r="F449" s="79">
        <v>0</v>
      </c>
      <c r="G449" s="79">
        <f t="shared" si="24"/>
        <v>1973.5148160000001</v>
      </c>
      <c r="H449" s="77" t="s">
        <v>289</v>
      </c>
      <c r="I449" s="99"/>
      <c r="J449" s="99"/>
    </row>
    <row r="450" spans="1:10" ht="14.25" customHeight="1" x14ac:dyDescent="0.25">
      <c r="A450" s="97">
        <v>6</v>
      </c>
      <c r="B450" s="97"/>
      <c r="C450" s="77" t="s">
        <v>344</v>
      </c>
      <c r="D450" s="98">
        <f>(154.88)*10.764</f>
        <v>1667.1283199999998</v>
      </c>
      <c r="E450" s="98"/>
      <c r="F450" s="79">
        <v>0</v>
      </c>
      <c r="G450" s="79">
        <f t="shared" si="24"/>
        <v>2667.4053119999999</v>
      </c>
      <c r="H450" s="77" t="s">
        <v>289</v>
      </c>
      <c r="I450" s="99"/>
      <c r="J450" s="99"/>
    </row>
    <row r="451" spans="1:10" ht="14.25" customHeight="1" x14ac:dyDescent="0.25">
      <c r="A451" s="97">
        <v>8</v>
      </c>
      <c r="B451" s="97"/>
      <c r="C451" s="77" t="s">
        <v>208</v>
      </c>
      <c r="D451" s="98">
        <f>(76.67)*10.764</f>
        <v>825.27587999999992</v>
      </c>
      <c r="E451" s="98"/>
      <c r="F451" s="79">
        <v>0</v>
      </c>
      <c r="G451" s="79">
        <f t="shared" si="24"/>
        <v>1320.4414079999999</v>
      </c>
      <c r="H451" s="77" t="s">
        <v>289</v>
      </c>
      <c r="I451" s="99"/>
      <c r="J451" s="99"/>
    </row>
    <row r="452" spans="1:10" ht="14.25" customHeight="1" x14ac:dyDescent="0.25">
      <c r="A452" s="96" t="s">
        <v>261</v>
      </c>
      <c r="B452" s="96"/>
      <c r="C452" s="96"/>
      <c r="D452" s="96"/>
      <c r="E452" s="96"/>
      <c r="F452" s="96"/>
      <c r="G452" s="96"/>
      <c r="H452" s="96"/>
      <c r="I452" s="96"/>
      <c r="J452" s="96"/>
    </row>
    <row r="453" spans="1:10" ht="14.25" customHeight="1" x14ac:dyDescent="0.25">
      <c r="A453" s="97">
        <v>1</v>
      </c>
      <c r="B453" s="97"/>
      <c r="C453" s="77" t="s">
        <v>203</v>
      </c>
      <c r="D453" s="98">
        <f>(103.55)*10.764</f>
        <v>1114.6121999999998</v>
      </c>
      <c r="E453" s="98"/>
      <c r="F453" s="79">
        <v>0</v>
      </c>
      <c r="G453" s="79">
        <f t="shared" ref="G453:G454" si="25">D453*1.6+F453</f>
        <v>1783.3795199999997</v>
      </c>
      <c r="H453" s="77" t="s">
        <v>289</v>
      </c>
      <c r="I453" s="99" t="str">
        <f>A452</f>
        <v>57th Floor (Part Refuge Area)</v>
      </c>
      <c r="J453" s="99"/>
    </row>
    <row r="454" spans="1:10" ht="14.25" customHeight="1" x14ac:dyDescent="0.25">
      <c r="A454" s="97">
        <v>2</v>
      </c>
      <c r="B454" s="97"/>
      <c r="C454" s="77" t="s">
        <v>208</v>
      </c>
      <c r="D454" s="98">
        <f>(68.44)*10.764</f>
        <v>736.68815999999993</v>
      </c>
      <c r="E454" s="98"/>
      <c r="F454" s="79">
        <v>0</v>
      </c>
      <c r="G454" s="79">
        <f t="shared" si="25"/>
        <v>1178.7010559999999</v>
      </c>
      <c r="H454" s="77" t="s">
        <v>289</v>
      </c>
      <c r="I454" s="99"/>
      <c r="J454" s="99"/>
    </row>
    <row r="455" spans="1:10" ht="14.25" customHeight="1" x14ac:dyDescent="0.25">
      <c r="A455" s="97">
        <v>3</v>
      </c>
      <c r="B455" s="97"/>
      <c r="C455" s="99" t="s">
        <v>269</v>
      </c>
      <c r="D455" s="99"/>
      <c r="E455" s="99"/>
      <c r="F455" s="99"/>
      <c r="G455" s="99"/>
      <c r="H455" s="99"/>
      <c r="I455" s="99"/>
      <c r="J455" s="99"/>
    </row>
    <row r="456" spans="1:10" ht="14.25" customHeight="1" x14ac:dyDescent="0.25">
      <c r="A456" s="97">
        <v>4</v>
      </c>
      <c r="B456" s="97"/>
      <c r="C456" s="99" t="s">
        <v>269</v>
      </c>
      <c r="D456" s="99"/>
      <c r="E456" s="99"/>
      <c r="F456" s="99"/>
      <c r="G456" s="99"/>
      <c r="H456" s="99"/>
      <c r="I456" s="99"/>
      <c r="J456" s="99"/>
    </row>
    <row r="457" spans="1:10" ht="14.25" customHeight="1" x14ac:dyDescent="0.25">
      <c r="A457" s="97">
        <v>5</v>
      </c>
      <c r="B457" s="97"/>
      <c r="C457" s="77" t="s">
        <v>203</v>
      </c>
      <c r="D457" s="98">
        <f>(114.59)*10.764</f>
        <v>1233.44676</v>
      </c>
      <c r="E457" s="98"/>
      <c r="F457" s="79">
        <v>0</v>
      </c>
      <c r="G457" s="79">
        <f t="shared" ref="G457:G459" si="26">D457*1.6+F457</f>
        <v>1973.5148160000001</v>
      </c>
      <c r="H457" s="77" t="s">
        <v>289</v>
      </c>
      <c r="I457" s="99"/>
      <c r="J457" s="99"/>
    </row>
    <row r="458" spans="1:10" ht="14.25" customHeight="1" x14ac:dyDescent="0.25">
      <c r="A458" s="97">
        <v>6</v>
      </c>
      <c r="B458" s="97"/>
      <c r="C458" s="77" t="s">
        <v>344</v>
      </c>
      <c r="D458" s="98">
        <f>(155.53)*10.764</f>
        <v>1674.12492</v>
      </c>
      <c r="E458" s="98"/>
      <c r="F458" s="79">
        <v>0</v>
      </c>
      <c r="G458" s="79">
        <f t="shared" si="26"/>
        <v>2678.5998720000002</v>
      </c>
      <c r="H458" s="77" t="s">
        <v>289</v>
      </c>
      <c r="I458" s="99"/>
      <c r="J458" s="99"/>
    </row>
    <row r="459" spans="1:10" ht="14.25" customHeight="1" x14ac:dyDescent="0.25">
      <c r="A459" s="97">
        <v>8</v>
      </c>
      <c r="B459" s="97"/>
      <c r="C459" s="77" t="s">
        <v>208</v>
      </c>
      <c r="D459" s="98">
        <f>(73.28)*10.764</f>
        <v>788.78591999999992</v>
      </c>
      <c r="E459" s="98"/>
      <c r="F459" s="79">
        <v>0</v>
      </c>
      <c r="G459" s="79">
        <f t="shared" si="26"/>
        <v>1262.057472</v>
      </c>
      <c r="H459" s="77" t="s">
        <v>289</v>
      </c>
      <c r="I459" s="99"/>
      <c r="J459" s="99"/>
    </row>
    <row r="460" spans="1:10" ht="14.25" customHeight="1" x14ac:dyDescent="0.25">
      <c r="A460" s="96" t="s">
        <v>262</v>
      </c>
      <c r="B460" s="96"/>
      <c r="C460" s="96"/>
      <c r="D460" s="96"/>
      <c r="E460" s="96"/>
      <c r="F460" s="96"/>
      <c r="G460" s="96"/>
      <c r="H460" s="96"/>
      <c r="I460" s="96"/>
      <c r="J460" s="96"/>
    </row>
    <row r="461" spans="1:10" ht="14.25" customHeight="1" x14ac:dyDescent="0.25">
      <c r="A461" s="97">
        <v>1</v>
      </c>
      <c r="B461" s="97"/>
      <c r="C461" s="88" t="s">
        <v>203</v>
      </c>
      <c r="D461" s="98">
        <f>(103.55)*10.764</f>
        <v>1114.6121999999998</v>
      </c>
      <c r="E461" s="98"/>
      <c r="F461" s="87">
        <v>0</v>
      </c>
      <c r="G461" s="87">
        <f t="shared" ref="G461:G467" si="27">D461*1.6+F461</f>
        <v>1783.3795199999997</v>
      </c>
      <c r="H461" s="88" t="s">
        <v>289</v>
      </c>
      <c r="I461" s="99" t="str">
        <f>A460</f>
        <v>58th Floor</v>
      </c>
      <c r="J461" s="99"/>
    </row>
    <row r="462" spans="1:10" ht="14.25" customHeight="1" x14ac:dyDescent="0.25">
      <c r="A462" s="97">
        <v>2</v>
      </c>
      <c r="B462" s="97"/>
      <c r="C462" s="88" t="s">
        <v>208</v>
      </c>
      <c r="D462" s="98">
        <f>(68.44)*10.764</f>
        <v>736.68815999999993</v>
      </c>
      <c r="E462" s="98"/>
      <c r="F462" s="87">
        <v>0</v>
      </c>
      <c r="G462" s="87">
        <f t="shared" si="27"/>
        <v>1178.7010559999999</v>
      </c>
      <c r="H462" s="88" t="s">
        <v>289</v>
      </c>
      <c r="I462" s="99"/>
      <c r="J462" s="99"/>
    </row>
    <row r="463" spans="1:10" ht="14.25" customHeight="1" x14ac:dyDescent="0.25">
      <c r="A463" s="97">
        <v>3</v>
      </c>
      <c r="B463" s="97"/>
      <c r="C463" s="88" t="s">
        <v>208</v>
      </c>
      <c r="D463" s="98">
        <f>(68.44)*10.764</f>
        <v>736.68815999999993</v>
      </c>
      <c r="E463" s="98"/>
      <c r="F463" s="87">
        <v>0</v>
      </c>
      <c r="G463" s="87">
        <f t="shared" si="27"/>
        <v>1178.7010559999999</v>
      </c>
      <c r="H463" s="88" t="s">
        <v>289</v>
      </c>
      <c r="I463" s="99"/>
      <c r="J463" s="99"/>
    </row>
    <row r="464" spans="1:10" ht="14.25" customHeight="1" x14ac:dyDescent="0.25">
      <c r="A464" s="97">
        <v>4</v>
      </c>
      <c r="B464" s="97"/>
      <c r="C464" s="88" t="s">
        <v>203</v>
      </c>
      <c r="D464" s="98">
        <f>(103.55)*10.764</f>
        <v>1114.6121999999998</v>
      </c>
      <c r="E464" s="98"/>
      <c r="F464" s="87">
        <v>0</v>
      </c>
      <c r="G464" s="87">
        <f t="shared" si="27"/>
        <v>1783.3795199999997</v>
      </c>
      <c r="H464" s="88" t="s">
        <v>289</v>
      </c>
      <c r="I464" s="99"/>
      <c r="J464" s="99"/>
    </row>
    <row r="465" spans="1:10" ht="14.25" customHeight="1" x14ac:dyDescent="0.25">
      <c r="A465" s="97">
        <v>5</v>
      </c>
      <c r="B465" s="97"/>
      <c r="C465" s="88" t="s">
        <v>203</v>
      </c>
      <c r="D465" s="98">
        <f>(114.59)*10.764</f>
        <v>1233.44676</v>
      </c>
      <c r="E465" s="98"/>
      <c r="F465" s="87">
        <v>0</v>
      </c>
      <c r="G465" s="87">
        <f t="shared" si="27"/>
        <v>1973.5148160000001</v>
      </c>
      <c r="H465" s="88" t="s">
        <v>289</v>
      </c>
      <c r="I465" s="99"/>
      <c r="J465" s="99"/>
    </row>
    <row r="466" spans="1:10" ht="14.25" customHeight="1" x14ac:dyDescent="0.25">
      <c r="A466" s="97">
        <v>6</v>
      </c>
      <c r="B466" s="97"/>
      <c r="C466" s="88" t="s">
        <v>344</v>
      </c>
      <c r="D466" s="98">
        <f>(156.16)*10.764</f>
        <v>1680.9062399999998</v>
      </c>
      <c r="E466" s="98"/>
      <c r="F466" s="87">
        <v>0</v>
      </c>
      <c r="G466" s="87">
        <f t="shared" si="27"/>
        <v>2689.4499839999999</v>
      </c>
      <c r="H466" s="88" t="s">
        <v>289</v>
      </c>
      <c r="I466" s="99"/>
      <c r="J466" s="99"/>
    </row>
    <row r="467" spans="1:10" ht="14.25" customHeight="1" x14ac:dyDescent="0.25">
      <c r="A467" s="97">
        <v>8</v>
      </c>
      <c r="B467" s="97"/>
      <c r="C467" s="88" t="s">
        <v>208</v>
      </c>
      <c r="D467" s="98">
        <f>(76.67)*10.764</f>
        <v>825.27587999999992</v>
      </c>
      <c r="E467" s="98"/>
      <c r="F467" s="87">
        <v>0</v>
      </c>
      <c r="G467" s="87">
        <f t="shared" si="27"/>
        <v>1320.4414079999999</v>
      </c>
      <c r="H467" s="88" t="s">
        <v>289</v>
      </c>
      <c r="I467" s="99"/>
      <c r="J467" s="99"/>
    </row>
    <row r="468" spans="1:10" ht="14.25" customHeight="1" x14ac:dyDescent="0.25">
      <c r="A468" s="96" t="s">
        <v>263</v>
      </c>
      <c r="B468" s="96"/>
      <c r="C468" s="96"/>
      <c r="D468" s="96"/>
      <c r="E468" s="96"/>
      <c r="F468" s="96"/>
      <c r="G468" s="96"/>
      <c r="H468" s="96"/>
      <c r="I468" s="96"/>
      <c r="J468" s="96"/>
    </row>
    <row r="469" spans="1:10" ht="14.25" customHeight="1" x14ac:dyDescent="0.25">
      <c r="A469" s="97">
        <v>1</v>
      </c>
      <c r="B469" s="97"/>
      <c r="C469" s="85" t="s">
        <v>203</v>
      </c>
      <c r="D469" s="98">
        <f>(103.55)*10.764</f>
        <v>1114.6121999999998</v>
      </c>
      <c r="E469" s="98"/>
      <c r="F469" s="84">
        <v>0</v>
      </c>
      <c r="G469" s="84">
        <f t="shared" ref="G469:G475" si="28">D469*1.6+F469</f>
        <v>1783.3795199999997</v>
      </c>
      <c r="H469" s="85" t="s">
        <v>289</v>
      </c>
      <c r="I469" s="99" t="str">
        <f>A468</f>
        <v>59th Floor</v>
      </c>
      <c r="J469" s="99"/>
    </row>
    <row r="470" spans="1:10" ht="14.25" customHeight="1" x14ac:dyDescent="0.25">
      <c r="A470" s="97">
        <v>2</v>
      </c>
      <c r="B470" s="97"/>
      <c r="C470" s="85" t="s">
        <v>208</v>
      </c>
      <c r="D470" s="98">
        <f>(68.44)*10.764</f>
        <v>736.68815999999993</v>
      </c>
      <c r="E470" s="98"/>
      <c r="F470" s="84">
        <v>0</v>
      </c>
      <c r="G470" s="84">
        <f t="shared" si="28"/>
        <v>1178.7010559999999</v>
      </c>
      <c r="H470" s="85" t="s">
        <v>289</v>
      </c>
      <c r="I470" s="99"/>
      <c r="J470" s="99"/>
    </row>
    <row r="471" spans="1:10" ht="14.25" customHeight="1" x14ac:dyDescent="0.25">
      <c r="A471" s="97">
        <v>3</v>
      </c>
      <c r="B471" s="97"/>
      <c r="C471" s="85" t="s">
        <v>208</v>
      </c>
      <c r="D471" s="98">
        <f>(68.44)*10.764</f>
        <v>736.68815999999993</v>
      </c>
      <c r="E471" s="98"/>
      <c r="F471" s="84">
        <v>0</v>
      </c>
      <c r="G471" s="84">
        <f t="shared" si="28"/>
        <v>1178.7010559999999</v>
      </c>
      <c r="H471" s="85" t="s">
        <v>289</v>
      </c>
      <c r="I471" s="99"/>
      <c r="J471" s="99"/>
    </row>
    <row r="472" spans="1:10" ht="14.25" customHeight="1" x14ac:dyDescent="0.25">
      <c r="A472" s="97">
        <v>4</v>
      </c>
      <c r="B472" s="97"/>
      <c r="C472" s="85" t="s">
        <v>203</v>
      </c>
      <c r="D472" s="98">
        <f>(103.55)*10.764</f>
        <v>1114.6121999999998</v>
      </c>
      <c r="E472" s="98"/>
      <c r="F472" s="84">
        <v>0</v>
      </c>
      <c r="G472" s="84">
        <f t="shared" si="28"/>
        <v>1783.3795199999997</v>
      </c>
      <c r="H472" s="85" t="s">
        <v>289</v>
      </c>
      <c r="I472" s="99"/>
      <c r="J472" s="99"/>
    </row>
    <row r="473" spans="1:10" ht="14.25" customHeight="1" x14ac:dyDescent="0.25">
      <c r="A473" s="97">
        <v>5</v>
      </c>
      <c r="B473" s="97"/>
      <c r="C473" s="85" t="s">
        <v>203</v>
      </c>
      <c r="D473" s="98">
        <f>(114.59)*10.764</f>
        <v>1233.44676</v>
      </c>
      <c r="E473" s="98"/>
      <c r="F473" s="84">
        <v>0</v>
      </c>
      <c r="G473" s="84">
        <f t="shared" si="28"/>
        <v>1973.5148160000001</v>
      </c>
      <c r="H473" s="85" t="s">
        <v>289</v>
      </c>
      <c r="I473" s="99"/>
      <c r="J473" s="99"/>
    </row>
    <row r="474" spans="1:10" ht="14.25" customHeight="1" x14ac:dyDescent="0.25">
      <c r="A474" s="97">
        <v>6</v>
      </c>
      <c r="B474" s="97"/>
      <c r="C474" s="85" t="s">
        <v>344</v>
      </c>
      <c r="D474" s="98">
        <f>(156.79)*10.764</f>
        <v>1687.6875599999998</v>
      </c>
      <c r="E474" s="98"/>
      <c r="F474" s="84">
        <v>0</v>
      </c>
      <c r="G474" s="84">
        <f t="shared" si="28"/>
        <v>2700.3000959999999</v>
      </c>
      <c r="H474" s="85" t="s">
        <v>289</v>
      </c>
      <c r="I474" s="99"/>
      <c r="J474" s="99"/>
    </row>
    <row r="475" spans="1:10" ht="14.25" customHeight="1" x14ac:dyDescent="0.25">
      <c r="A475" s="97">
        <v>8</v>
      </c>
      <c r="B475" s="97"/>
      <c r="C475" s="85" t="s">
        <v>208</v>
      </c>
      <c r="D475" s="98">
        <f>(76.67)*10.764</f>
        <v>825.27587999999992</v>
      </c>
      <c r="E475" s="98"/>
      <c r="F475" s="84">
        <v>0</v>
      </c>
      <c r="G475" s="84">
        <f t="shared" si="28"/>
        <v>1320.4414079999999</v>
      </c>
      <c r="H475" s="85" t="s">
        <v>289</v>
      </c>
      <c r="I475" s="99"/>
      <c r="J475" s="99"/>
    </row>
    <row r="476" spans="1:10" ht="14.25" customHeight="1" x14ac:dyDescent="0.25">
      <c r="A476" s="96" t="s">
        <v>264</v>
      </c>
      <c r="B476" s="96"/>
      <c r="C476" s="96"/>
      <c r="D476" s="96"/>
      <c r="E476" s="96"/>
      <c r="F476" s="96"/>
      <c r="G476" s="96"/>
      <c r="H476" s="96"/>
      <c r="I476" s="96"/>
      <c r="J476" s="96"/>
    </row>
    <row r="477" spans="1:10" ht="14.25" customHeight="1" x14ac:dyDescent="0.25">
      <c r="A477" s="97">
        <v>1</v>
      </c>
      <c r="B477" s="97"/>
      <c r="C477" s="85" t="s">
        <v>203</v>
      </c>
      <c r="D477" s="98">
        <f>(103.55)*10.764</f>
        <v>1114.6121999999998</v>
      </c>
      <c r="E477" s="98"/>
      <c r="F477" s="84">
        <v>0</v>
      </c>
      <c r="G477" s="84">
        <f t="shared" ref="G477:G483" si="29">D477*1.6+F477</f>
        <v>1783.3795199999997</v>
      </c>
      <c r="H477" s="85" t="s">
        <v>289</v>
      </c>
      <c r="I477" s="99" t="str">
        <f>A476</f>
        <v>60th Floor</v>
      </c>
      <c r="J477" s="99"/>
    </row>
    <row r="478" spans="1:10" ht="14.25" customHeight="1" x14ac:dyDescent="0.25">
      <c r="A478" s="97">
        <v>2</v>
      </c>
      <c r="B478" s="97"/>
      <c r="C478" s="85" t="s">
        <v>208</v>
      </c>
      <c r="D478" s="98">
        <f>(68.44)*10.764</f>
        <v>736.68815999999993</v>
      </c>
      <c r="E478" s="98"/>
      <c r="F478" s="84">
        <v>0</v>
      </c>
      <c r="G478" s="84">
        <f t="shared" si="29"/>
        <v>1178.7010559999999</v>
      </c>
      <c r="H478" s="85" t="s">
        <v>289</v>
      </c>
      <c r="I478" s="99"/>
      <c r="J478" s="99"/>
    </row>
    <row r="479" spans="1:10" ht="14.25" customHeight="1" x14ac:dyDescent="0.25">
      <c r="A479" s="97">
        <v>3</v>
      </c>
      <c r="B479" s="97"/>
      <c r="C479" s="85" t="s">
        <v>208</v>
      </c>
      <c r="D479" s="98">
        <f>(68.44)*10.764</f>
        <v>736.68815999999993</v>
      </c>
      <c r="E479" s="98"/>
      <c r="F479" s="84">
        <v>0</v>
      </c>
      <c r="G479" s="84">
        <f t="shared" si="29"/>
        <v>1178.7010559999999</v>
      </c>
      <c r="H479" s="85" t="s">
        <v>289</v>
      </c>
      <c r="I479" s="99"/>
      <c r="J479" s="99"/>
    </row>
    <row r="480" spans="1:10" ht="14.25" customHeight="1" x14ac:dyDescent="0.25">
      <c r="A480" s="97">
        <v>4</v>
      </c>
      <c r="B480" s="97"/>
      <c r="C480" s="85" t="s">
        <v>203</v>
      </c>
      <c r="D480" s="98">
        <f>(103.55)*10.764</f>
        <v>1114.6121999999998</v>
      </c>
      <c r="E480" s="98"/>
      <c r="F480" s="84">
        <v>0</v>
      </c>
      <c r="G480" s="84">
        <f t="shared" si="29"/>
        <v>1783.3795199999997</v>
      </c>
      <c r="H480" s="85" t="s">
        <v>289</v>
      </c>
      <c r="I480" s="99"/>
      <c r="J480" s="99"/>
    </row>
    <row r="481" spans="1:10" ht="14.25" customHeight="1" x14ac:dyDescent="0.25">
      <c r="A481" s="97">
        <v>5</v>
      </c>
      <c r="B481" s="97"/>
      <c r="C481" s="85" t="s">
        <v>203</v>
      </c>
      <c r="D481" s="98">
        <f>(114.59)*10.764</f>
        <v>1233.44676</v>
      </c>
      <c r="E481" s="98"/>
      <c r="F481" s="84">
        <v>0</v>
      </c>
      <c r="G481" s="84">
        <f t="shared" si="29"/>
        <v>1973.5148160000001</v>
      </c>
      <c r="H481" s="85" t="s">
        <v>289</v>
      </c>
      <c r="I481" s="99"/>
      <c r="J481" s="99"/>
    </row>
    <row r="482" spans="1:10" ht="14.25" customHeight="1" x14ac:dyDescent="0.25">
      <c r="A482" s="97">
        <v>6</v>
      </c>
      <c r="B482" s="97"/>
      <c r="C482" s="85" t="s">
        <v>344</v>
      </c>
      <c r="D482" s="98">
        <f>(157.42)*10.764</f>
        <v>1694.4688799999997</v>
      </c>
      <c r="E482" s="98"/>
      <c r="F482" s="84">
        <v>0</v>
      </c>
      <c r="G482" s="84">
        <f t="shared" si="29"/>
        <v>2711.1502079999996</v>
      </c>
      <c r="H482" s="85" t="s">
        <v>289</v>
      </c>
      <c r="I482" s="99"/>
      <c r="J482" s="99"/>
    </row>
    <row r="483" spans="1:10" ht="14.25" customHeight="1" x14ac:dyDescent="0.25">
      <c r="A483" s="97">
        <v>8</v>
      </c>
      <c r="B483" s="97"/>
      <c r="C483" s="85" t="s">
        <v>208</v>
      </c>
      <c r="D483" s="98">
        <f>(76.67)*10.764</f>
        <v>825.27587999999992</v>
      </c>
      <c r="E483" s="98"/>
      <c r="F483" s="84">
        <v>0</v>
      </c>
      <c r="G483" s="84">
        <f t="shared" si="29"/>
        <v>1320.4414079999999</v>
      </c>
      <c r="H483" s="85" t="s">
        <v>289</v>
      </c>
      <c r="I483" s="99"/>
      <c r="J483" s="99"/>
    </row>
    <row r="484" spans="1:10" ht="14.25" customHeight="1" x14ac:dyDescent="0.25">
      <c r="A484" s="96" t="s">
        <v>265</v>
      </c>
      <c r="B484" s="96"/>
      <c r="C484" s="96"/>
      <c r="D484" s="96"/>
      <c r="E484" s="96"/>
      <c r="F484" s="96"/>
      <c r="G484" s="96"/>
      <c r="H484" s="96"/>
      <c r="I484" s="96"/>
      <c r="J484" s="96"/>
    </row>
    <row r="485" spans="1:10" ht="14.25" customHeight="1" x14ac:dyDescent="0.25">
      <c r="A485" s="97">
        <v>1</v>
      </c>
      <c r="B485" s="97"/>
      <c r="C485" s="85" t="s">
        <v>203</v>
      </c>
      <c r="D485" s="98">
        <f>(103.55)*10.764</f>
        <v>1114.6121999999998</v>
      </c>
      <c r="E485" s="98"/>
      <c r="F485" s="84">
        <v>0</v>
      </c>
      <c r="G485" s="84">
        <f t="shared" ref="G485:G491" si="30">D485*1.6+F485</f>
        <v>1783.3795199999997</v>
      </c>
      <c r="H485" s="85" t="s">
        <v>289</v>
      </c>
      <c r="I485" s="99" t="str">
        <f>A484</f>
        <v>61st Floor</v>
      </c>
      <c r="J485" s="99"/>
    </row>
    <row r="486" spans="1:10" ht="14.25" customHeight="1" x14ac:dyDescent="0.25">
      <c r="A486" s="97">
        <v>2</v>
      </c>
      <c r="B486" s="97"/>
      <c r="C486" s="85" t="s">
        <v>208</v>
      </c>
      <c r="D486" s="98">
        <f>(68.44)*10.764</f>
        <v>736.68815999999993</v>
      </c>
      <c r="E486" s="98"/>
      <c r="F486" s="84">
        <v>0</v>
      </c>
      <c r="G486" s="84">
        <f t="shared" si="30"/>
        <v>1178.7010559999999</v>
      </c>
      <c r="H486" s="85" t="s">
        <v>289</v>
      </c>
      <c r="I486" s="99"/>
      <c r="J486" s="99"/>
    </row>
    <row r="487" spans="1:10" ht="14.25" customHeight="1" x14ac:dyDescent="0.25">
      <c r="A487" s="97">
        <v>3</v>
      </c>
      <c r="B487" s="97"/>
      <c r="C487" s="85" t="s">
        <v>208</v>
      </c>
      <c r="D487" s="98">
        <f>(68.44)*10.764</f>
        <v>736.68815999999993</v>
      </c>
      <c r="E487" s="98"/>
      <c r="F487" s="84">
        <v>0</v>
      </c>
      <c r="G487" s="84">
        <f t="shared" si="30"/>
        <v>1178.7010559999999</v>
      </c>
      <c r="H487" s="85" t="s">
        <v>289</v>
      </c>
      <c r="I487" s="99"/>
      <c r="J487" s="99"/>
    </row>
    <row r="488" spans="1:10" ht="14.25" customHeight="1" x14ac:dyDescent="0.25">
      <c r="A488" s="97">
        <v>4</v>
      </c>
      <c r="B488" s="97"/>
      <c r="C488" s="85" t="s">
        <v>203</v>
      </c>
      <c r="D488" s="98">
        <f>(103.55)*10.764</f>
        <v>1114.6121999999998</v>
      </c>
      <c r="E488" s="98"/>
      <c r="F488" s="84">
        <v>0</v>
      </c>
      <c r="G488" s="84">
        <f t="shared" si="30"/>
        <v>1783.3795199999997</v>
      </c>
      <c r="H488" s="85" t="s">
        <v>289</v>
      </c>
      <c r="I488" s="99"/>
      <c r="J488" s="99"/>
    </row>
    <row r="489" spans="1:10" ht="14.25" customHeight="1" x14ac:dyDescent="0.25">
      <c r="A489" s="97">
        <v>5</v>
      </c>
      <c r="B489" s="97"/>
      <c r="C489" s="85" t="s">
        <v>203</v>
      </c>
      <c r="D489" s="98">
        <f>(114.59)*10.764</f>
        <v>1233.44676</v>
      </c>
      <c r="E489" s="98"/>
      <c r="F489" s="84">
        <v>0</v>
      </c>
      <c r="G489" s="84">
        <f t="shared" si="30"/>
        <v>1973.5148160000001</v>
      </c>
      <c r="H489" s="85" t="s">
        <v>289</v>
      </c>
      <c r="I489" s="99"/>
      <c r="J489" s="99"/>
    </row>
    <row r="490" spans="1:10" ht="14.25" customHeight="1" x14ac:dyDescent="0.25">
      <c r="A490" s="97">
        <v>6</v>
      </c>
      <c r="B490" s="97"/>
      <c r="C490" s="85" t="s">
        <v>344</v>
      </c>
      <c r="D490" s="98">
        <f>(158.05)*10.764</f>
        <v>1701.2501999999999</v>
      </c>
      <c r="E490" s="98"/>
      <c r="F490" s="84">
        <v>0</v>
      </c>
      <c r="G490" s="84">
        <f t="shared" si="30"/>
        <v>2722.0003200000001</v>
      </c>
      <c r="H490" s="85" t="s">
        <v>289</v>
      </c>
      <c r="I490" s="99"/>
      <c r="J490" s="99"/>
    </row>
    <row r="491" spans="1:10" ht="14.25" customHeight="1" x14ac:dyDescent="0.25">
      <c r="A491" s="97">
        <v>8</v>
      </c>
      <c r="B491" s="97"/>
      <c r="C491" s="85" t="s">
        <v>208</v>
      </c>
      <c r="D491" s="98">
        <f>(76.67)*10.764</f>
        <v>825.27587999999992</v>
      </c>
      <c r="E491" s="98"/>
      <c r="F491" s="84">
        <v>0</v>
      </c>
      <c r="G491" s="84">
        <f t="shared" si="30"/>
        <v>1320.4414079999999</v>
      </c>
      <c r="H491" s="85" t="s">
        <v>289</v>
      </c>
      <c r="I491" s="99"/>
      <c r="J491" s="99"/>
    </row>
    <row r="492" spans="1:10" ht="14.25" customHeight="1" x14ac:dyDescent="0.25">
      <c r="A492" s="96" t="s">
        <v>266</v>
      </c>
      <c r="B492" s="96"/>
      <c r="C492" s="96"/>
      <c r="D492" s="96"/>
      <c r="E492" s="96"/>
      <c r="F492" s="96"/>
      <c r="G492" s="96"/>
      <c r="H492" s="96"/>
      <c r="I492" s="96"/>
      <c r="J492" s="96"/>
    </row>
    <row r="493" spans="1:10" ht="14.25" customHeight="1" x14ac:dyDescent="0.25">
      <c r="A493" s="97">
        <v>1</v>
      </c>
      <c r="B493" s="97"/>
      <c r="C493" s="85" t="s">
        <v>203</v>
      </c>
      <c r="D493" s="98">
        <f>(103.55)*10.764</f>
        <v>1114.6121999999998</v>
      </c>
      <c r="E493" s="98"/>
      <c r="F493" s="84">
        <v>0</v>
      </c>
      <c r="G493" s="84">
        <f t="shared" ref="G493:G499" si="31">D493*1.6+F493</f>
        <v>1783.3795199999997</v>
      </c>
      <c r="H493" s="85" t="s">
        <v>289</v>
      </c>
      <c r="I493" s="99" t="str">
        <f>A492</f>
        <v>62nd Floor</v>
      </c>
      <c r="J493" s="99"/>
    </row>
    <row r="494" spans="1:10" ht="14.25" customHeight="1" x14ac:dyDescent="0.25">
      <c r="A494" s="97">
        <v>2</v>
      </c>
      <c r="B494" s="97"/>
      <c r="C494" s="85" t="s">
        <v>208</v>
      </c>
      <c r="D494" s="98">
        <f>(68.44)*10.764</f>
        <v>736.68815999999993</v>
      </c>
      <c r="E494" s="98"/>
      <c r="F494" s="84">
        <v>0</v>
      </c>
      <c r="G494" s="84">
        <f t="shared" si="31"/>
        <v>1178.7010559999999</v>
      </c>
      <c r="H494" s="85" t="s">
        <v>289</v>
      </c>
      <c r="I494" s="99"/>
      <c r="J494" s="99"/>
    </row>
    <row r="495" spans="1:10" ht="14.25" customHeight="1" x14ac:dyDescent="0.25">
      <c r="A495" s="97">
        <v>3</v>
      </c>
      <c r="B495" s="97"/>
      <c r="C495" s="85" t="s">
        <v>208</v>
      </c>
      <c r="D495" s="98">
        <f>(68.44)*10.764</f>
        <v>736.68815999999993</v>
      </c>
      <c r="E495" s="98"/>
      <c r="F495" s="84">
        <v>0</v>
      </c>
      <c r="G495" s="84">
        <f t="shared" si="31"/>
        <v>1178.7010559999999</v>
      </c>
      <c r="H495" s="85" t="s">
        <v>289</v>
      </c>
      <c r="I495" s="99"/>
      <c r="J495" s="99"/>
    </row>
    <row r="496" spans="1:10" ht="14.25" customHeight="1" x14ac:dyDescent="0.25">
      <c r="A496" s="97">
        <v>4</v>
      </c>
      <c r="B496" s="97"/>
      <c r="C496" s="85" t="s">
        <v>203</v>
      </c>
      <c r="D496" s="98">
        <f>(103.55)*10.764</f>
        <v>1114.6121999999998</v>
      </c>
      <c r="E496" s="98"/>
      <c r="F496" s="84">
        <v>0</v>
      </c>
      <c r="G496" s="84">
        <f t="shared" si="31"/>
        <v>1783.3795199999997</v>
      </c>
      <c r="H496" s="85" t="s">
        <v>289</v>
      </c>
      <c r="I496" s="99"/>
      <c r="J496" s="99"/>
    </row>
    <row r="497" spans="1:10" ht="14.25" customHeight="1" x14ac:dyDescent="0.25">
      <c r="A497" s="97">
        <v>5</v>
      </c>
      <c r="B497" s="97"/>
      <c r="C497" s="85" t="s">
        <v>203</v>
      </c>
      <c r="D497" s="98">
        <f>(114.59)*10.764</f>
        <v>1233.44676</v>
      </c>
      <c r="E497" s="98"/>
      <c r="F497" s="84">
        <v>0</v>
      </c>
      <c r="G497" s="84">
        <f t="shared" si="31"/>
        <v>1973.5148160000001</v>
      </c>
      <c r="H497" s="85" t="s">
        <v>289</v>
      </c>
      <c r="I497" s="99"/>
      <c r="J497" s="99"/>
    </row>
    <row r="498" spans="1:10" ht="14.25" customHeight="1" x14ac:dyDescent="0.25">
      <c r="A498" s="97">
        <v>6</v>
      </c>
      <c r="B498" s="97"/>
      <c r="C498" s="85" t="s">
        <v>344</v>
      </c>
      <c r="D498" s="98">
        <f>(158.68)*10.764</f>
        <v>1708.03152</v>
      </c>
      <c r="E498" s="98"/>
      <c r="F498" s="84">
        <v>0</v>
      </c>
      <c r="G498" s="84">
        <f t="shared" si="31"/>
        <v>2732.8504320000002</v>
      </c>
      <c r="H498" s="85" t="s">
        <v>289</v>
      </c>
      <c r="I498" s="99"/>
      <c r="J498" s="99"/>
    </row>
    <row r="499" spans="1:10" ht="14.25" customHeight="1" x14ac:dyDescent="0.25">
      <c r="A499" s="97">
        <v>8</v>
      </c>
      <c r="B499" s="97"/>
      <c r="C499" s="85" t="s">
        <v>208</v>
      </c>
      <c r="D499" s="98">
        <f>(76.67)*10.764</f>
        <v>825.27587999999992</v>
      </c>
      <c r="E499" s="98"/>
      <c r="F499" s="84">
        <v>0</v>
      </c>
      <c r="G499" s="84">
        <f t="shared" si="31"/>
        <v>1320.4414079999999</v>
      </c>
      <c r="H499" s="85" t="s">
        <v>289</v>
      </c>
      <c r="I499" s="99"/>
      <c r="J499" s="99"/>
    </row>
    <row r="500" spans="1:10" ht="14.25" customHeight="1" x14ac:dyDescent="0.25">
      <c r="A500" s="96" t="s">
        <v>267</v>
      </c>
      <c r="B500" s="96"/>
      <c r="C500" s="96"/>
      <c r="D500" s="96"/>
      <c r="E500" s="96"/>
      <c r="F500" s="96"/>
      <c r="G500" s="96"/>
      <c r="H500" s="96"/>
      <c r="I500" s="96"/>
      <c r="J500" s="96"/>
    </row>
    <row r="501" spans="1:10" ht="14.25" customHeight="1" x14ac:dyDescent="0.25">
      <c r="A501" s="97">
        <v>1</v>
      </c>
      <c r="B501" s="97"/>
      <c r="C501" s="85" t="s">
        <v>203</v>
      </c>
      <c r="D501" s="98">
        <f>(103.55)*10.764</f>
        <v>1114.6121999999998</v>
      </c>
      <c r="E501" s="98"/>
      <c r="F501" s="84">
        <v>0</v>
      </c>
      <c r="G501" s="84">
        <f t="shared" ref="G501:G507" si="32">D501*1.6+F501</f>
        <v>1783.3795199999997</v>
      </c>
      <c r="H501" s="85" t="s">
        <v>289</v>
      </c>
      <c r="I501" s="99" t="str">
        <f>A500</f>
        <v>63rd Floor</v>
      </c>
      <c r="J501" s="99"/>
    </row>
    <row r="502" spans="1:10" ht="14.25" customHeight="1" x14ac:dyDescent="0.25">
      <c r="A502" s="97">
        <v>2</v>
      </c>
      <c r="B502" s="97"/>
      <c r="C502" s="85" t="s">
        <v>208</v>
      </c>
      <c r="D502" s="98">
        <f>(68.44)*10.764</f>
        <v>736.68815999999993</v>
      </c>
      <c r="E502" s="98"/>
      <c r="F502" s="84">
        <v>0</v>
      </c>
      <c r="G502" s="84">
        <f t="shared" si="32"/>
        <v>1178.7010559999999</v>
      </c>
      <c r="H502" s="85" t="s">
        <v>289</v>
      </c>
      <c r="I502" s="99"/>
      <c r="J502" s="99"/>
    </row>
    <row r="503" spans="1:10" ht="14.25" customHeight="1" x14ac:dyDescent="0.25">
      <c r="A503" s="97">
        <v>3</v>
      </c>
      <c r="B503" s="97"/>
      <c r="C503" s="85" t="s">
        <v>208</v>
      </c>
      <c r="D503" s="98">
        <f>(68.44)*10.764</f>
        <v>736.68815999999993</v>
      </c>
      <c r="E503" s="98"/>
      <c r="F503" s="84">
        <v>0</v>
      </c>
      <c r="G503" s="84">
        <f t="shared" si="32"/>
        <v>1178.7010559999999</v>
      </c>
      <c r="H503" s="85" t="s">
        <v>289</v>
      </c>
      <c r="I503" s="99"/>
      <c r="J503" s="99"/>
    </row>
    <row r="504" spans="1:10" ht="14.25" customHeight="1" x14ac:dyDescent="0.25">
      <c r="A504" s="97">
        <v>4</v>
      </c>
      <c r="B504" s="97"/>
      <c r="C504" s="85" t="s">
        <v>203</v>
      </c>
      <c r="D504" s="98">
        <f>(103.55)*10.764</f>
        <v>1114.6121999999998</v>
      </c>
      <c r="E504" s="98"/>
      <c r="F504" s="84">
        <v>0</v>
      </c>
      <c r="G504" s="84">
        <f t="shared" si="32"/>
        <v>1783.3795199999997</v>
      </c>
      <c r="H504" s="85" t="s">
        <v>289</v>
      </c>
      <c r="I504" s="99"/>
      <c r="J504" s="99"/>
    </row>
    <row r="505" spans="1:10" ht="14.25" customHeight="1" x14ac:dyDescent="0.25">
      <c r="A505" s="97">
        <v>5</v>
      </c>
      <c r="B505" s="97"/>
      <c r="C505" s="85" t="s">
        <v>203</v>
      </c>
      <c r="D505" s="98">
        <f>(114.59)*10.764</f>
        <v>1233.44676</v>
      </c>
      <c r="E505" s="98"/>
      <c r="F505" s="84">
        <v>0</v>
      </c>
      <c r="G505" s="84">
        <f t="shared" si="32"/>
        <v>1973.5148160000001</v>
      </c>
      <c r="H505" s="85" t="s">
        <v>289</v>
      </c>
      <c r="I505" s="99"/>
      <c r="J505" s="99"/>
    </row>
    <row r="506" spans="1:10" ht="14.25" customHeight="1" x14ac:dyDescent="0.25">
      <c r="A506" s="97">
        <v>6</v>
      </c>
      <c r="B506" s="97"/>
      <c r="C506" s="85" t="s">
        <v>344</v>
      </c>
      <c r="D506" s="98">
        <f>(157.31)*10.764</f>
        <v>1693.28484</v>
      </c>
      <c r="E506" s="98"/>
      <c r="F506" s="84">
        <v>0</v>
      </c>
      <c r="G506" s="84">
        <f t="shared" si="32"/>
        <v>2709.255744</v>
      </c>
      <c r="H506" s="85" t="s">
        <v>289</v>
      </c>
      <c r="I506" s="99"/>
      <c r="J506" s="99"/>
    </row>
    <row r="507" spans="1:10" ht="14.25" customHeight="1" x14ac:dyDescent="0.25">
      <c r="A507" s="97">
        <v>8</v>
      </c>
      <c r="B507" s="97"/>
      <c r="C507" s="85" t="s">
        <v>208</v>
      </c>
      <c r="D507" s="98">
        <f>(76.67)*10.764</f>
        <v>825.27587999999992</v>
      </c>
      <c r="E507" s="98"/>
      <c r="F507" s="84">
        <v>0</v>
      </c>
      <c r="G507" s="84">
        <f t="shared" si="32"/>
        <v>1320.4414079999999</v>
      </c>
      <c r="H507" s="85" t="s">
        <v>289</v>
      </c>
      <c r="I507" s="99"/>
      <c r="J507" s="99"/>
    </row>
    <row r="508" spans="1:10" ht="14.25" customHeight="1" x14ac:dyDescent="0.25">
      <c r="A508" s="96" t="s">
        <v>268</v>
      </c>
      <c r="B508" s="96"/>
      <c r="C508" s="96"/>
      <c r="D508" s="96"/>
      <c r="E508" s="96"/>
      <c r="F508" s="96"/>
      <c r="G508" s="96"/>
      <c r="H508" s="96"/>
      <c r="I508" s="96"/>
      <c r="J508" s="96"/>
    </row>
    <row r="509" spans="1:10" ht="14.25" customHeight="1" x14ac:dyDescent="0.25">
      <c r="A509" s="97">
        <v>1</v>
      </c>
      <c r="B509" s="97"/>
      <c r="C509" s="88" t="s">
        <v>203</v>
      </c>
      <c r="D509" s="98">
        <f>(103.55)*10.764</f>
        <v>1114.6121999999998</v>
      </c>
      <c r="E509" s="98"/>
      <c r="F509" s="87">
        <v>0</v>
      </c>
      <c r="G509" s="87">
        <f t="shared" ref="G509:G515" si="33">D509*1.6+F509</f>
        <v>1783.3795199999997</v>
      </c>
      <c r="H509" s="88" t="s">
        <v>289</v>
      </c>
      <c r="I509" s="99" t="str">
        <f>A508</f>
        <v>64th Floor (Part Refuge Area)</v>
      </c>
      <c r="J509" s="99"/>
    </row>
    <row r="510" spans="1:10" ht="14.25" customHeight="1" x14ac:dyDescent="0.25">
      <c r="A510" s="97">
        <v>2</v>
      </c>
      <c r="B510" s="97"/>
      <c r="C510" s="88" t="s">
        <v>208</v>
      </c>
      <c r="D510" s="98">
        <f>(68.44)*10.764</f>
        <v>736.68815999999993</v>
      </c>
      <c r="E510" s="98"/>
      <c r="F510" s="87">
        <v>0</v>
      </c>
      <c r="G510" s="87">
        <f t="shared" si="33"/>
        <v>1178.7010559999999</v>
      </c>
      <c r="H510" s="88" t="s">
        <v>289</v>
      </c>
      <c r="I510" s="99"/>
      <c r="J510" s="99"/>
    </row>
    <row r="511" spans="1:10" ht="14.25" customHeight="1" x14ac:dyDescent="0.25">
      <c r="A511" s="97">
        <v>3</v>
      </c>
      <c r="B511" s="97"/>
      <c r="C511" s="99" t="s">
        <v>269</v>
      </c>
      <c r="D511" s="99"/>
      <c r="E511" s="99"/>
      <c r="F511" s="99"/>
      <c r="G511" s="99"/>
      <c r="H511" s="99"/>
      <c r="I511" s="99"/>
      <c r="J511" s="99"/>
    </row>
    <row r="512" spans="1:10" ht="14.25" customHeight="1" x14ac:dyDescent="0.25">
      <c r="A512" s="97">
        <v>4</v>
      </c>
      <c r="B512" s="97"/>
      <c r="C512" s="88" t="s">
        <v>203</v>
      </c>
      <c r="D512" s="98">
        <f>(103.55)*10.764</f>
        <v>1114.6121999999998</v>
      </c>
      <c r="E512" s="98"/>
      <c r="F512" s="87">
        <v>0</v>
      </c>
      <c r="G512" s="87">
        <f t="shared" si="33"/>
        <v>1783.3795199999997</v>
      </c>
      <c r="H512" s="88" t="s">
        <v>289</v>
      </c>
      <c r="I512" s="99"/>
      <c r="J512" s="99"/>
    </row>
    <row r="513" spans="1:10" ht="14.25" customHeight="1" x14ac:dyDescent="0.25">
      <c r="A513" s="97">
        <v>5</v>
      </c>
      <c r="B513" s="97"/>
      <c r="C513" s="88" t="s">
        <v>203</v>
      </c>
      <c r="D513" s="98">
        <f>(114.59)*10.764</f>
        <v>1233.44676</v>
      </c>
      <c r="E513" s="98"/>
      <c r="F513" s="87">
        <v>0</v>
      </c>
      <c r="G513" s="87">
        <f t="shared" si="33"/>
        <v>1973.5148160000001</v>
      </c>
      <c r="H513" s="88" t="s">
        <v>289</v>
      </c>
      <c r="I513" s="99"/>
      <c r="J513" s="99"/>
    </row>
    <row r="514" spans="1:10" ht="14.25" customHeight="1" x14ac:dyDescent="0.25">
      <c r="A514" s="97">
        <v>6</v>
      </c>
      <c r="B514" s="97"/>
      <c r="C514" s="88" t="s">
        <v>344</v>
      </c>
      <c r="D514" s="98">
        <f>(159.94)*10.764</f>
        <v>1721.5941599999999</v>
      </c>
      <c r="E514" s="98"/>
      <c r="F514" s="87">
        <v>0</v>
      </c>
      <c r="G514" s="87">
        <f t="shared" si="33"/>
        <v>2754.5506559999999</v>
      </c>
      <c r="H514" s="88" t="s">
        <v>289</v>
      </c>
      <c r="I514" s="99"/>
      <c r="J514" s="99"/>
    </row>
    <row r="515" spans="1:10" ht="14.25" customHeight="1" x14ac:dyDescent="0.25">
      <c r="A515" s="97">
        <v>8</v>
      </c>
      <c r="B515" s="97"/>
      <c r="C515" s="88" t="s">
        <v>208</v>
      </c>
      <c r="D515" s="98">
        <f>(76.67)*10.764</f>
        <v>825.27587999999992</v>
      </c>
      <c r="E515" s="98"/>
      <c r="F515" s="87">
        <v>0</v>
      </c>
      <c r="G515" s="87">
        <f t="shared" si="33"/>
        <v>1320.4414079999999</v>
      </c>
      <c r="H515" s="88" t="s">
        <v>289</v>
      </c>
      <c r="I515" s="99"/>
      <c r="J515" s="99"/>
    </row>
    <row r="516" spans="1:10" ht="14.25" customHeight="1" x14ac:dyDescent="0.25">
      <c r="A516" s="96" t="s">
        <v>270</v>
      </c>
      <c r="B516" s="96"/>
      <c r="C516" s="96"/>
      <c r="D516" s="96"/>
      <c r="E516" s="96"/>
      <c r="F516" s="96"/>
      <c r="G516" s="96"/>
      <c r="H516" s="96"/>
      <c r="I516" s="96"/>
      <c r="J516" s="96"/>
    </row>
    <row r="517" spans="1:10" ht="14.25" customHeight="1" x14ac:dyDescent="0.25">
      <c r="A517" s="97">
        <v>1</v>
      </c>
      <c r="B517" s="97"/>
      <c r="C517" s="85" t="s">
        <v>203</v>
      </c>
      <c r="D517" s="98">
        <f>(103.55)*10.764</f>
        <v>1114.6121999999998</v>
      </c>
      <c r="E517" s="98"/>
      <c r="F517" s="84">
        <v>0</v>
      </c>
      <c r="G517" s="84">
        <f t="shared" ref="G517:G523" si="34">D517*1.6+F517</f>
        <v>1783.3795199999997</v>
      </c>
      <c r="H517" s="85" t="s">
        <v>289</v>
      </c>
      <c r="I517" s="99" t="str">
        <f>A516</f>
        <v>65th &amp; 66th Floor</v>
      </c>
      <c r="J517" s="99"/>
    </row>
    <row r="518" spans="1:10" ht="14.25" customHeight="1" x14ac:dyDescent="0.25">
      <c r="A518" s="97">
        <v>2</v>
      </c>
      <c r="B518" s="97"/>
      <c r="C518" s="85" t="s">
        <v>208</v>
      </c>
      <c r="D518" s="98">
        <f>(68.44)*10.764</f>
        <v>736.68815999999993</v>
      </c>
      <c r="E518" s="98"/>
      <c r="F518" s="84">
        <v>0</v>
      </c>
      <c r="G518" s="84">
        <f t="shared" si="34"/>
        <v>1178.7010559999999</v>
      </c>
      <c r="H518" s="85" t="s">
        <v>289</v>
      </c>
      <c r="I518" s="99"/>
      <c r="J518" s="99"/>
    </row>
    <row r="519" spans="1:10" ht="14.25" customHeight="1" x14ac:dyDescent="0.25">
      <c r="A519" s="97">
        <v>3</v>
      </c>
      <c r="B519" s="97"/>
      <c r="C519" s="85" t="s">
        <v>208</v>
      </c>
      <c r="D519" s="98">
        <f>(68.44)*10.764</f>
        <v>736.68815999999993</v>
      </c>
      <c r="E519" s="98"/>
      <c r="F519" s="84">
        <v>0</v>
      </c>
      <c r="G519" s="84">
        <f t="shared" si="34"/>
        <v>1178.7010559999999</v>
      </c>
      <c r="H519" s="85" t="s">
        <v>289</v>
      </c>
      <c r="I519" s="99"/>
      <c r="J519" s="99"/>
    </row>
    <row r="520" spans="1:10" ht="14.25" customHeight="1" x14ac:dyDescent="0.25">
      <c r="A520" s="97">
        <v>4</v>
      </c>
      <c r="B520" s="97"/>
      <c r="C520" s="85" t="s">
        <v>203</v>
      </c>
      <c r="D520" s="98">
        <f>(103.55)*10.764</f>
        <v>1114.6121999999998</v>
      </c>
      <c r="E520" s="98"/>
      <c r="F520" s="84">
        <v>0</v>
      </c>
      <c r="G520" s="84">
        <f t="shared" si="34"/>
        <v>1783.3795199999997</v>
      </c>
      <c r="H520" s="85" t="s">
        <v>289</v>
      </c>
      <c r="I520" s="99"/>
      <c r="J520" s="99"/>
    </row>
    <row r="521" spans="1:10" ht="14.25" customHeight="1" x14ac:dyDescent="0.25">
      <c r="A521" s="97">
        <v>5</v>
      </c>
      <c r="B521" s="97"/>
      <c r="C521" s="85" t="s">
        <v>203</v>
      </c>
      <c r="D521" s="98">
        <f>(114.59)*10.764</f>
        <v>1233.44676</v>
      </c>
      <c r="E521" s="98"/>
      <c r="F521" s="84">
        <v>0</v>
      </c>
      <c r="G521" s="84">
        <f t="shared" si="34"/>
        <v>1973.5148160000001</v>
      </c>
      <c r="H521" s="85" t="s">
        <v>289</v>
      </c>
      <c r="I521" s="99"/>
      <c r="J521" s="99"/>
    </row>
    <row r="522" spans="1:10" ht="14.25" customHeight="1" x14ac:dyDescent="0.25">
      <c r="A522" s="97">
        <v>6</v>
      </c>
      <c r="B522" s="97"/>
      <c r="C522" s="85" t="s">
        <v>344</v>
      </c>
      <c r="D522" s="98">
        <f>(159.94)*10.764</f>
        <v>1721.5941599999999</v>
      </c>
      <c r="E522" s="98"/>
      <c r="F522" s="84">
        <v>0</v>
      </c>
      <c r="G522" s="84">
        <f t="shared" si="34"/>
        <v>2754.5506559999999</v>
      </c>
      <c r="H522" s="85" t="s">
        <v>289</v>
      </c>
      <c r="I522" s="99"/>
      <c r="J522" s="99"/>
    </row>
    <row r="523" spans="1:10" ht="14.25" customHeight="1" x14ac:dyDescent="0.25">
      <c r="A523" s="97">
        <v>8</v>
      </c>
      <c r="B523" s="97"/>
      <c r="C523" s="85" t="s">
        <v>208</v>
      </c>
      <c r="D523" s="98">
        <f>(76.67)*10.764</f>
        <v>825.27587999999992</v>
      </c>
      <c r="E523" s="98"/>
      <c r="F523" s="84">
        <v>0</v>
      </c>
      <c r="G523" s="84">
        <f t="shared" si="34"/>
        <v>1320.4414079999999</v>
      </c>
      <c r="H523" s="85" t="s">
        <v>289</v>
      </c>
      <c r="I523" s="99"/>
      <c r="J523" s="99"/>
    </row>
    <row r="524" spans="1:10" x14ac:dyDescent="0.25">
      <c r="A524" s="134" t="s">
        <v>324</v>
      </c>
      <c r="B524" s="135"/>
      <c r="C524" s="135"/>
      <c r="D524" s="135"/>
      <c r="E524" s="135"/>
      <c r="F524" s="135"/>
      <c r="G524" s="135"/>
      <c r="H524" s="135"/>
      <c r="I524" s="135"/>
      <c r="J524" s="136"/>
    </row>
    <row r="525" spans="1:10" ht="47.25" customHeight="1" x14ac:dyDescent="0.25">
      <c r="A525" s="83">
        <v>1</v>
      </c>
      <c r="B525" s="94" t="s">
        <v>355</v>
      </c>
      <c r="C525" s="94"/>
      <c r="D525" s="94"/>
      <c r="E525" s="94"/>
      <c r="F525" s="94"/>
      <c r="G525" s="94"/>
      <c r="H525" s="94"/>
      <c r="I525" s="94"/>
      <c r="J525" s="94"/>
    </row>
    <row r="526" spans="1:10" x14ac:dyDescent="0.25">
      <c r="A526" s="83">
        <f>A525+1</f>
        <v>2</v>
      </c>
      <c r="B526" s="94" t="s">
        <v>325</v>
      </c>
      <c r="C526" s="94"/>
      <c r="D526" s="94"/>
      <c r="E526" s="94"/>
      <c r="F526" s="94"/>
      <c r="G526" s="94"/>
      <c r="H526" s="94"/>
      <c r="I526" s="94"/>
      <c r="J526" s="94"/>
    </row>
    <row r="527" spans="1:10" x14ac:dyDescent="0.25">
      <c r="A527" s="83">
        <f t="shared" ref="A527:A532" si="35">A526+1</f>
        <v>3</v>
      </c>
      <c r="B527" s="94" t="s">
        <v>326</v>
      </c>
      <c r="C527" s="94"/>
      <c r="D527" s="94"/>
      <c r="E527" s="94"/>
      <c r="F527" s="94"/>
      <c r="G527" s="94"/>
      <c r="H527" s="94"/>
      <c r="I527" s="94"/>
      <c r="J527" s="94"/>
    </row>
    <row r="528" spans="1:10" x14ac:dyDescent="0.25">
      <c r="A528" s="83">
        <f t="shared" si="35"/>
        <v>4</v>
      </c>
      <c r="B528" s="94" t="s">
        <v>327</v>
      </c>
      <c r="C528" s="94"/>
      <c r="D528" s="94"/>
      <c r="E528" s="94"/>
      <c r="F528" s="94"/>
      <c r="G528" s="94"/>
      <c r="H528" s="94"/>
      <c r="I528" s="94"/>
      <c r="J528" s="94"/>
    </row>
    <row r="529" spans="1:10" x14ac:dyDescent="0.25">
      <c r="A529" s="83">
        <f t="shared" si="35"/>
        <v>5</v>
      </c>
      <c r="B529" s="94" t="s">
        <v>328</v>
      </c>
      <c r="C529" s="94"/>
      <c r="D529" s="94"/>
      <c r="E529" s="94"/>
      <c r="F529" s="94"/>
      <c r="G529" s="94"/>
      <c r="H529" s="94"/>
      <c r="I529" s="94"/>
      <c r="J529" s="94"/>
    </row>
    <row r="530" spans="1:10" x14ac:dyDescent="0.25">
      <c r="A530" s="83">
        <f t="shared" si="35"/>
        <v>6</v>
      </c>
      <c r="B530" s="94" t="s">
        <v>329</v>
      </c>
      <c r="C530" s="94"/>
      <c r="D530" s="94"/>
      <c r="E530" s="94"/>
      <c r="F530" s="94"/>
      <c r="G530" s="94"/>
      <c r="H530" s="94"/>
      <c r="I530" s="94"/>
      <c r="J530" s="94"/>
    </row>
    <row r="531" spans="1:10" x14ac:dyDescent="0.25">
      <c r="A531" s="83">
        <f t="shared" si="35"/>
        <v>7</v>
      </c>
      <c r="B531" s="94" t="s">
        <v>330</v>
      </c>
      <c r="C531" s="94"/>
      <c r="D531" s="94"/>
      <c r="E531" s="94"/>
      <c r="F531" s="94"/>
      <c r="G531" s="94"/>
      <c r="H531" s="94"/>
      <c r="I531" s="94"/>
      <c r="J531" s="94"/>
    </row>
    <row r="532" spans="1:10" x14ac:dyDescent="0.25">
      <c r="A532" s="83">
        <f t="shared" si="35"/>
        <v>8</v>
      </c>
      <c r="B532" s="94" t="s">
        <v>331</v>
      </c>
      <c r="C532" s="94"/>
      <c r="D532" s="94"/>
      <c r="E532" s="94"/>
      <c r="F532" s="94"/>
      <c r="G532" s="94"/>
      <c r="H532" s="94"/>
      <c r="I532" s="94"/>
      <c r="J532" s="94"/>
    </row>
    <row r="533" spans="1:10" x14ac:dyDescent="0.25">
      <c r="A533" s="83">
        <f t="shared" ref="A533:A537" si="36">A532+1</f>
        <v>9</v>
      </c>
      <c r="B533" s="94" t="s">
        <v>332</v>
      </c>
      <c r="C533" s="94"/>
      <c r="D533" s="94"/>
      <c r="E533" s="94"/>
      <c r="F533" s="94"/>
      <c r="G533" s="94"/>
      <c r="H533" s="94"/>
      <c r="I533" s="94"/>
      <c r="J533" s="94"/>
    </row>
    <row r="534" spans="1:10" x14ac:dyDescent="0.25">
      <c r="A534" s="83">
        <f t="shared" si="36"/>
        <v>10</v>
      </c>
      <c r="B534" s="94" t="s">
        <v>333</v>
      </c>
      <c r="C534" s="94"/>
      <c r="D534" s="94"/>
      <c r="E534" s="94"/>
      <c r="F534" s="94"/>
      <c r="G534" s="94"/>
      <c r="H534" s="94"/>
      <c r="I534" s="94"/>
      <c r="J534" s="94"/>
    </row>
    <row r="535" spans="1:10" x14ac:dyDescent="0.25">
      <c r="A535" s="83">
        <f t="shared" si="36"/>
        <v>11</v>
      </c>
      <c r="B535" s="94" t="s">
        <v>334</v>
      </c>
      <c r="C535" s="94"/>
      <c r="D535" s="94"/>
      <c r="E535" s="94"/>
      <c r="F535" s="94"/>
      <c r="G535" s="94"/>
      <c r="H535" s="94"/>
      <c r="I535" s="94"/>
      <c r="J535" s="94"/>
    </row>
    <row r="536" spans="1:10" ht="72" customHeight="1" x14ac:dyDescent="0.25">
      <c r="A536" s="83">
        <f t="shared" si="36"/>
        <v>12</v>
      </c>
      <c r="B536" s="94" t="s">
        <v>335</v>
      </c>
      <c r="C536" s="94"/>
      <c r="D536" s="94"/>
      <c r="E536" s="94"/>
      <c r="F536" s="94"/>
      <c r="G536" s="94"/>
      <c r="H536" s="94"/>
      <c r="I536" s="94"/>
      <c r="J536" s="94"/>
    </row>
    <row r="537" spans="1:10" ht="30.75" customHeight="1" x14ac:dyDescent="0.25">
      <c r="A537" s="83">
        <f t="shared" si="36"/>
        <v>13</v>
      </c>
      <c r="B537" s="94" t="s">
        <v>336</v>
      </c>
      <c r="C537" s="94"/>
      <c r="D537" s="94"/>
      <c r="E537" s="94"/>
      <c r="F537" s="94"/>
      <c r="G537" s="94"/>
      <c r="H537" s="94"/>
      <c r="I537" s="94"/>
      <c r="J537" s="94"/>
    </row>
    <row r="538" spans="1:10" x14ac:dyDescent="0.25">
      <c r="A538" s="83">
        <f t="shared" ref="A538" si="37">A537+1</f>
        <v>14</v>
      </c>
      <c r="B538" s="94" t="s">
        <v>337</v>
      </c>
      <c r="C538" s="94"/>
      <c r="D538" s="94"/>
      <c r="E538" s="94"/>
      <c r="F538" s="94"/>
      <c r="G538" s="94"/>
      <c r="H538" s="94"/>
      <c r="I538" s="94"/>
      <c r="J538" s="94"/>
    </row>
    <row r="539" spans="1:10" x14ac:dyDescent="0.25">
      <c r="A539" s="83">
        <f t="shared" ref="A539:A542" si="38">A538+1</f>
        <v>15</v>
      </c>
      <c r="B539" s="94" t="s">
        <v>349</v>
      </c>
      <c r="C539" s="94"/>
      <c r="D539" s="94"/>
      <c r="E539" s="94"/>
      <c r="F539" s="94"/>
      <c r="G539" s="94"/>
      <c r="H539" s="94"/>
      <c r="I539" s="94"/>
      <c r="J539" s="94"/>
    </row>
    <row r="540" spans="1:10" ht="28.5" customHeight="1" x14ac:dyDescent="0.25">
      <c r="A540" s="83">
        <f t="shared" si="38"/>
        <v>16</v>
      </c>
      <c r="B540" s="94" t="s">
        <v>345</v>
      </c>
      <c r="C540" s="94"/>
      <c r="D540" s="94"/>
      <c r="E540" s="94"/>
      <c r="F540" s="94"/>
      <c r="G540" s="94"/>
      <c r="H540" s="94"/>
      <c r="I540" s="94"/>
      <c r="J540" s="94"/>
    </row>
    <row r="541" spans="1:10" ht="57.6" customHeight="1" x14ac:dyDescent="0.25">
      <c r="A541" s="83">
        <f t="shared" si="38"/>
        <v>17</v>
      </c>
      <c r="B541" s="95" t="s">
        <v>352</v>
      </c>
      <c r="C541" s="95"/>
      <c r="D541" s="95"/>
      <c r="E541" s="95"/>
      <c r="F541" s="95"/>
      <c r="G541" s="95"/>
      <c r="H541" s="95"/>
      <c r="I541" s="95"/>
      <c r="J541" s="95"/>
    </row>
    <row r="542" spans="1:10" ht="17.25" customHeight="1" x14ac:dyDescent="0.25">
      <c r="A542" s="83">
        <f t="shared" si="38"/>
        <v>18</v>
      </c>
      <c r="B542" s="306" t="s">
        <v>356</v>
      </c>
      <c r="C542" s="306"/>
      <c r="D542" s="306"/>
      <c r="E542" s="306"/>
      <c r="F542" s="306"/>
      <c r="G542" s="306"/>
      <c r="H542" s="306"/>
      <c r="I542" s="306"/>
      <c r="J542" s="306"/>
    </row>
    <row r="543" spans="1:10" ht="14.25" customHeight="1" x14ac:dyDescent="0.25">
      <c r="A543" s="137" t="s">
        <v>25</v>
      </c>
      <c r="B543" s="138"/>
      <c r="C543" s="138"/>
      <c r="D543" s="138"/>
      <c r="E543" s="138"/>
      <c r="F543" s="138"/>
      <c r="G543" s="138"/>
      <c r="H543" s="138"/>
      <c r="I543" s="138"/>
      <c r="J543" s="139"/>
    </row>
    <row r="544" spans="1:10" ht="14.25" customHeight="1" x14ac:dyDescent="0.25">
      <c r="A544" s="142" t="s">
        <v>33</v>
      </c>
      <c r="B544" s="143"/>
      <c r="C544" s="143"/>
      <c r="D544" s="143"/>
      <c r="E544" s="143"/>
      <c r="F544" s="143"/>
      <c r="G544" s="143"/>
      <c r="H544" s="143"/>
      <c r="I544" s="143"/>
      <c r="J544" s="144"/>
    </row>
    <row r="545" spans="1:10" ht="14.25" customHeight="1" x14ac:dyDescent="0.25">
      <c r="A545" s="137" t="s">
        <v>27</v>
      </c>
      <c r="B545" s="138"/>
      <c r="C545" s="138"/>
      <c r="D545" s="138"/>
      <c r="E545" s="138"/>
      <c r="F545" s="138"/>
      <c r="G545" s="138"/>
      <c r="H545" s="138"/>
      <c r="I545" s="138"/>
      <c r="J545" s="139"/>
    </row>
    <row r="546" spans="1:10" ht="14.25" customHeight="1" x14ac:dyDescent="0.25">
      <c r="A546" s="145" t="s">
        <v>38</v>
      </c>
      <c r="B546" s="146"/>
      <c r="C546" s="146"/>
      <c r="D546" s="146"/>
      <c r="E546" s="146"/>
      <c r="F546" s="146"/>
      <c r="G546" s="146"/>
      <c r="H546" s="146"/>
      <c r="I546" s="146"/>
      <c r="J546" s="147"/>
    </row>
    <row r="547" spans="1:10" ht="14.25" customHeight="1" x14ac:dyDescent="0.25">
      <c r="A547" s="148" t="s">
        <v>58</v>
      </c>
      <c r="B547" s="149"/>
      <c r="C547" s="149"/>
      <c r="D547" s="149"/>
      <c r="E547" s="149"/>
      <c r="F547" s="149"/>
      <c r="G547" s="149"/>
      <c r="H547" s="149"/>
      <c r="I547" s="149"/>
      <c r="J547" s="150"/>
    </row>
    <row r="548" spans="1:10" ht="14.25" customHeight="1" x14ac:dyDescent="0.25">
      <c r="A548" s="151" t="s">
        <v>39</v>
      </c>
      <c r="B548" s="152"/>
      <c r="C548" s="152"/>
      <c r="D548" s="152"/>
      <c r="E548" s="152"/>
      <c r="F548" s="152"/>
      <c r="G548" s="152"/>
      <c r="H548" s="152"/>
      <c r="I548" s="152"/>
      <c r="J548" s="153"/>
    </row>
    <row r="549" spans="1:10" ht="14.25" customHeight="1" x14ac:dyDescent="0.25">
      <c r="A549" s="145" t="s">
        <v>40</v>
      </c>
      <c r="B549" s="146"/>
      <c r="C549" s="146"/>
      <c r="D549" s="146"/>
      <c r="E549" s="146"/>
      <c r="F549" s="146"/>
      <c r="G549" s="146"/>
      <c r="H549" s="146"/>
      <c r="I549" s="146"/>
      <c r="J549" s="147"/>
    </row>
    <row r="550" spans="1:10" ht="14.25" customHeight="1" x14ac:dyDescent="0.25">
      <c r="A550" s="122" t="s">
        <v>41</v>
      </c>
      <c r="B550" s="123"/>
      <c r="C550" s="123"/>
      <c r="D550" s="123"/>
      <c r="E550" s="123"/>
      <c r="F550" s="123"/>
      <c r="G550" s="123"/>
      <c r="H550" s="123"/>
      <c r="I550" s="123"/>
      <c r="J550" s="124"/>
    </row>
    <row r="551" spans="1:10" x14ac:dyDescent="0.25">
      <c r="A551" s="125" t="s">
        <v>26</v>
      </c>
      <c r="B551" s="126"/>
      <c r="C551" s="126"/>
      <c r="D551" s="126"/>
      <c r="E551" s="126"/>
      <c r="F551" s="126"/>
      <c r="G551" s="126"/>
      <c r="H551" s="126"/>
      <c r="I551" s="126"/>
      <c r="J551" s="127"/>
    </row>
    <row r="552" spans="1:10" x14ac:dyDescent="0.25">
      <c r="A552" s="128"/>
      <c r="B552" s="129"/>
      <c r="C552" s="129"/>
      <c r="D552" s="129"/>
      <c r="E552" s="129"/>
      <c r="F552" s="129"/>
      <c r="G552" s="129"/>
      <c r="H552" s="129"/>
      <c r="I552" s="129"/>
      <c r="J552" s="130"/>
    </row>
    <row r="553" spans="1:10" x14ac:dyDescent="0.25">
      <c r="A553" s="131"/>
      <c r="B553" s="132"/>
      <c r="C553" s="132"/>
      <c r="D553" s="132"/>
      <c r="E553" s="132"/>
      <c r="F553" s="132"/>
      <c r="G553" s="132"/>
      <c r="H553" s="132"/>
      <c r="I553" s="132"/>
      <c r="J553" s="133"/>
    </row>
    <row r="554" spans="1:10" x14ac:dyDescent="0.25">
      <c r="A554" s="140" t="s">
        <v>194</v>
      </c>
      <c r="B554" s="141"/>
      <c r="C554" s="141"/>
      <c r="D554" s="141"/>
      <c r="E554" s="141"/>
      <c r="F554" s="141"/>
      <c r="G554" s="141"/>
      <c r="H554" s="141"/>
    </row>
    <row r="594" spans="1:1" x14ac:dyDescent="0.25">
      <c r="A594" s="82"/>
    </row>
    <row r="597" spans="1:1" x14ac:dyDescent="0.25">
      <c r="A597" s="82"/>
    </row>
    <row r="598" spans="1:1" x14ac:dyDescent="0.25">
      <c r="A598" s="82" t="s">
        <v>322</v>
      </c>
    </row>
    <row r="619" spans="1:1" x14ac:dyDescent="0.25">
      <c r="A619" s="82"/>
    </row>
    <row r="633" spans="1:8" x14ac:dyDescent="0.25">
      <c r="A633" s="100"/>
      <c r="B633" s="100"/>
      <c r="C633" s="100"/>
      <c r="D633" s="100"/>
      <c r="E633" s="100"/>
      <c r="F633" s="100"/>
      <c r="G633" s="100"/>
      <c r="H633" s="100"/>
    </row>
    <row r="644" spans="1:1" x14ac:dyDescent="0.25">
      <c r="A644" s="82" t="s">
        <v>321</v>
      </c>
    </row>
    <row r="665" spans="1:1" x14ac:dyDescent="0.25">
      <c r="A665" s="82"/>
    </row>
    <row r="679" spans="1:8" x14ac:dyDescent="0.25">
      <c r="A679" s="100"/>
      <c r="B679" s="100"/>
      <c r="C679" s="100"/>
      <c r="D679" s="100"/>
      <c r="E679" s="100"/>
      <c r="F679" s="100"/>
      <c r="G679" s="100"/>
      <c r="H679" s="100"/>
    </row>
    <row r="690" spans="1:1" x14ac:dyDescent="0.25">
      <c r="A690" s="82" t="s">
        <v>320</v>
      </c>
    </row>
    <row r="711" spans="1:1" x14ac:dyDescent="0.25">
      <c r="A711" s="82"/>
    </row>
    <row r="725" spans="1:8" x14ac:dyDescent="0.25">
      <c r="A725" s="100"/>
      <c r="B725" s="100"/>
      <c r="C725" s="100"/>
      <c r="D725" s="100"/>
      <c r="E725" s="100"/>
      <c r="F725" s="100"/>
      <c r="G725" s="100"/>
      <c r="H725" s="100"/>
    </row>
    <row r="733" spans="1:8" x14ac:dyDescent="0.25">
      <c r="A733" s="82"/>
    </row>
    <row r="735" spans="1:8" x14ac:dyDescent="0.25">
      <c r="A735" s="82" t="s">
        <v>319</v>
      </c>
    </row>
  </sheetData>
  <mergeCells count="1082">
    <mergeCell ref="A50:B50"/>
    <mergeCell ref="C50:F50"/>
    <mergeCell ref="H50:J50"/>
    <mergeCell ref="B542:J542"/>
    <mergeCell ref="A633:H633"/>
    <mergeCell ref="A49:B49"/>
    <mergeCell ref="C49:F49"/>
    <mergeCell ref="H49:J49"/>
    <mergeCell ref="B525:J525"/>
    <mergeCell ref="B526:J526"/>
    <mergeCell ref="B527:J527"/>
    <mergeCell ref="B528:J528"/>
    <mergeCell ref="B529:J529"/>
    <mergeCell ref="B530:J530"/>
    <mergeCell ref="B531:J531"/>
    <mergeCell ref="B532:J532"/>
    <mergeCell ref="B533:J533"/>
    <mergeCell ref="B534:J534"/>
    <mergeCell ref="B535:J535"/>
    <mergeCell ref="B536:J536"/>
    <mergeCell ref="B537:J537"/>
    <mergeCell ref="B538:J538"/>
    <mergeCell ref="B539:J539"/>
    <mergeCell ref="A125:B125"/>
    <mergeCell ref="C125:D125"/>
    <mergeCell ref="E125:G125"/>
    <mergeCell ref="H125:J125"/>
    <mergeCell ref="A126:B126"/>
    <mergeCell ref="C126:D126"/>
    <mergeCell ref="E126:G126"/>
    <mergeCell ref="H126:J126"/>
    <mergeCell ref="D515:E515"/>
    <mergeCell ref="C128:D128"/>
    <mergeCell ref="E128:G128"/>
    <mergeCell ref="H128:J128"/>
    <mergeCell ref="D522:E522"/>
    <mergeCell ref="A523:B523"/>
    <mergeCell ref="D523:E523"/>
    <mergeCell ref="A519:B519"/>
    <mergeCell ref="A520:B520"/>
    <mergeCell ref="D520:E520"/>
    <mergeCell ref="A521:B521"/>
    <mergeCell ref="D521:E521"/>
    <mergeCell ref="A522:B522"/>
    <mergeCell ref="A500:J500"/>
    <mergeCell ref="A501:B501"/>
    <mergeCell ref="D501:E501"/>
    <mergeCell ref="A502:B502"/>
    <mergeCell ref="D502:E502"/>
    <mergeCell ref="A503:B503"/>
    <mergeCell ref="D503:E503"/>
    <mergeCell ref="A504:B504"/>
    <mergeCell ref="D504:E504"/>
    <mergeCell ref="A505:B505"/>
    <mergeCell ref="D505:E505"/>
    <mergeCell ref="A506:B506"/>
    <mergeCell ref="D506:E506"/>
    <mergeCell ref="A507:B507"/>
    <mergeCell ref="D507:E507"/>
    <mergeCell ref="I485:J491"/>
    <mergeCell ref="A480:B480"/>
    <mergeCell ref="D480:E480"/>
    <mergeCell ref="A481:B481"/>
    <mergeCell ref="D481:E481"/>
    <mergeCell ref="G114:J114"/>
    <mergeCell ref="I409:J416"/>
    <mergeCell ref="A123:J123"/>
    <mergeCell ref="A124:B124"/>
    <mergeCell ref="C124:D124"/>
    <mergeCell ref="E124:G124"/>
    <mergeCell ref="H124:J124"/>
    <mergeCell ref="A127:B127"/>
    <mergeCell ref="C127:D127"/>
    <mergeCell ref="E127:G127"/>
    <mergeCell ref="H127:J127"/>
    <mergeCell ref="A128:B128"/>
    <mergeCell ref="C370:H370"/>
    <mergeCell ref="A478:B478"/>
    <mergeCell ref="D478:E478"/>
    <mergeCell ref="A479:B479"/>
    <mergeCell ref="D479:E479"/>
    <mergeCell ref="A453:B453"/>
    <mergeCell ref="D453:E453"/>
    <mergeCell ref="I453:J459"/>
    <mergeCell ref="A454:B454"/>
    <mergeCell ref="D454:E454"/>
    <mergeCell ref="A455:B455"/>
    <mergeCell ref="A456:B456"/>
    <mergeCell ref="A457:B457"/>
    <mergeCell ref="D457:E457"/>
    <mergeCell ref="A458:B458"/>
    <mergeCell ref="D458:E458"/>
    <mergeCell ref="A459:B459"/>
    <mergeCell ref="D459:E459"/>
    <mergeCell ref="C455:H455"/>
    <mergeCell ref="C456:H456"/>
    <mergeCell ref="A468:J468"/>
    <mergeCell ref="A469:B469"/>
    <mergeCell ref="D469:E469"/>
    <mergeCell ref="I469:J475"/>
    <mergeCell ref="A470:B470"/>
    <mergeCell ref="D470:E470"/>
    <mergeCell ref="A471:B471"/>
    <mergeCell ref="D471:E471"/>
    <mergeCell ref="A472:B472"/>
    <mergeCell ref="D472:E472"/>
    <mergeCell ref="A473:B473"/>
    <mergeCell ref="D473:E473"/>
    <mergeCell ref="A474:B474"/>
    <mergeCell ref="D474:E474"/>
    <mergeCell ref="A475:B475"/>
    <mergeCell ref="D475:E475"/>
    <mergeCell ref="A444:J444"/>
    <mergeCell ref="A445:B445"/>
    <mergeCell ref="D445:E445"/>
    <mergeCell ref="I445:J451"/>
    <mergeCell ref="A446:B446"/>
    <mergeCell ref="D446:E446"/>
    <mergeCell ref="A447:B447"/>
    <mergeCell ref="D447:E447"/>
    <mergeCell ref="A448:B448"/>
    <mergeCell ref="D448:E448"/>
    <mergeCell ref="A449:B449"/>
    <mergeCell ref="D449:E449"/>
    <mergeCell ref="A450:B450"/>
    <mergeCell ref="D450:E450"/>
    <mergeCell ref="A451:B451"/>
    <mergeCell ref="D451:E451"/>
    <mergeCell ref="A452:J452"/>
    <mergeCell ref="A435:J435"/>
    <mergeCell ref="A436:B436"/>
    <mergeCell ref="D436:E436"/>
    <mergeCell ref="I436:J443"/>
    <mergeCell ref="A437:B437"/>
    <mergeCell ref="D437:E437"/>
    <mergeCell ref="A438:B438"/>
    <mergeCell ref="D438:E438"/>
    <mergeCell ref="A439:B439"/>
    <mergeCell ref="D439:E439"/>
    <mergeCell ref="A440:B440"/>
    <mergeCell ref="D440:E440"/>
    <mergeCell ref="A441:B441"/>
    <mergeCell ref="D441:E441"/>
    <mergeCell ref="A442:B442"/>
    <mergeCell ref="D442:E442"/>
    <mergeCell ref="A443:B443"/>
    <mergeCell ref="D443:E443"/>
    <mergeCell ref="A426:J426"/>
    <mergeCell ref="A427:B427"/>
    <mergeCell ref="D427:E427"/>
    <mergeCell ref="I427:J434"/>
    <mergeCell ref="A428:B428"/>
    <mergeCell ref="D428:E428"/>
    <mergeCell ref="A429:B429"/>
    <mergeCell ref="D429:E429"/>
    <mergeCell ref="A430:B430"/>
    <mergeCell ref="D430:E430"/>
    <mergeCell ref="A431:B431"/>
    <mergeCell ref="D431:E431"/>
    <mergeCell ref="A432:B432"/>
    <mergeCell ref="D432:E432"/>
    <mergeCell ref="A433:B433"/>
    <mergeCell ref="D433:E433"/>
    <mergeCell ref="A434:B434"/>
    <mergeCell ref="D434:E434"/>
    <mergeCell ref="A417:J417"/>
    <mergeCell ref="A418:B418"/>
    <mergeCell ref="D418:E418"/>
    <mergeCell ref="I418:J425"/>
    <mergeCell ref="A419:B419"/>
    <mergeCell ref="D419:E419"/>
    <mergeCell ref="A420:B420"/>
    <mergeCell ref="D420:E420"/>
    <mergeCell ref="A421:B421"/>
    <mergeCell ref="D421:E421"/>
    <mergeCell ref="A422:B422"/>
    <mergeCell ref="D422:E422"/>
    <mergeCell ref="A423:B423"/>
    <mergeCell ref="D423:E423"/>
    <mergeCell ref="A424:B424"/>
    <mergeCell ref="D424:E424"/>
    <mergeCell ref="A425:B425"/>
    <mergeCell ref="D425:E425"/>
    <mergeCell ref="A408:J408"/>
    <mergeCell ref="A409:B409"/>
    <mergeCell ref="D409:E409"/>
    <mergeCell ref="A410:B410"/>
    <mergeCell ref="D410:E410"/>
    <mergeCell ref="A411:B411"/>
    <mergeCell ref="D411:E411"/>
    <mergeCell ref="A412:B412"/>
    <mergeCell ref="D412:E412"/>
    <mergeCell ref="A413:B413"/>
    <mergeCell ref="D413:E413"/>
    <mergeCell ref="A414:B414"/>
    <mergeCell ref="D414:E414"/>
    <mergeCell ref="A415:B415"/>
    <mergeCell ref="D415:E415"/>
    <mergeCell ref="A416:B416"/>
    <mergeCell ref="D416:E416"/>
    <mergeCell ref="A399:J399"/>
    <mergeCell ref="A400:B400"/>
    <mergeCell ref="D400:E400"/>
    <mergeCell ref="I400:J407"/>
    <mergeCell ref="A401:B401"/>
    <mergeCell ref="D401:E401"/>
    <mergeCell ref="A402:B402"/>
    <mergeCell ref="A403:B403"/>
    <mergeCell ref="A404:B404"/>
    <mergeCell ref="D404:E404"/>
    <mergeCell ref="A405:B405"/>
    <mergeCell ref="D405:E405"/>
    <mergeCell ref="A406:B406"/>
    <mergeCell ref="D406:E406"/>
    <mergeCell ref="A407:B407"/>
    <mergeCell ref="D407:E407"/>
    <mergeCell ref="D402:E402"/>
    <mergeCell ref="D403:E403"/>
    <mergeCell ref="A390:J390"/>
    <mergeCell ref="A391:B391"/>
    <mergeCell ref="D391:E391"/>
    <mergeCell ref="I391:J398"/>
    <mergeCell ref="A392:B392"/>
    <mergeCell ref="D392:E392"/>
    <mergeCell ref="A393:B393"/>
    <mergeCell ref="A394:B394"/>
    <mergeCell ref="A395:B395"/>
    <mergeCell ref="D395:E395"/>
    <mergeCell ref="A396:B396"/>
    <mergeCell ref="D396:E396"/>
    <mergeCell ref="A397:B397"/>
    <mergeCell ref="D397:E397"/>
    <mergeCell ref="A398:B398"/>
    <mergeCell ref="D398:E398"/>
    <mergeCell ref="C393:H393"/>
    <mergeCell ref="C394:H394"/>
    <mergeCell ref="D348:E348"/>
    <mergeCell ref="I348:J355"/>
    <mergeCell ref="A349:B349"/>
    <mergeCell ref="D349:E349"/>
    <mergeCell ref="A350:B350"/>
    <mergeCell ref="D350:E350"/>
    <mergeCell ref="A351:B351"/>
    <mergeCell ref="D351:E351"/>
    <mergeCell ref="A352:B352"/>
    <mergeCell ref="A381:J381"/>
    <mergeCell ref="D352:E352"/>
    <mergeCell ref="A353:B353"/>
    <mergeCell ref="D353:E353"/>
    <mergeCell ref="A354:B354"/>
    <mergeCell ref="D354:E354"/>
    <mergeCell ref="A355:B355"/>
    <mergeCell ref="D355:E355"/>
    <mergeCell ref="A361:B361"/>
    <mergeCell ref="D361:E361"/>
    <mergeCell ref="A362:B362"/>
    <mergeCell ref="D362:E362"/>
    <mergeCell ref="A363:B363"/>
    <mergeCell ref="D363:E363"/>
    <mergeCell ref="D380:E380"/>
    <mergeCell ref="A240:J240"/>
    <mergeCell ref="D313:E313"/>
    <mergeCell ref="D314:E314"/>
    <mergeCell ref="A292:J292"/>
    <mergeCell ref="A293:B293"/>
    <mergeCell ref="D293:E293"/>
    <mergeCell ref="I293:J300"/>
    <mergeCell ref="A294:B294"/>
    <mergeCell ref="D294:E294"/>
    <mergeCell ref="A295:B295"/>
    <mergeCell ref="D295:E295"/>
    <mergeCell ref="A296:B296"/>
    <mergeCell ref="D296:E296"/>
    <mergeCell ref="A297:B297"/>
    <mergeCell ref="D297:E297"/>
    <mergeCell ref="A298:B298"/>
    <mergeCell ref="D298:E298"/>
    <mergeCell ref="A299:B299"/>
    <mergeCell ref="D299:E299"/>
    <mergeCell ref="A300:B300"/>
    <mergeCell ref="D300:E300"/>
    <mergeCell ref="A306:B306"/>
    <mergeCell ref="D306:E306"/>
    <mergeCell ref="A307:B307"/>
    <mergeCell ref="D307:E307"/>
    <mergeCell ref="A305:B305"/>
    <mergeCell ref="D305:E305"/>
    <mergeCell ref="A241:B241"/>
    <mergeCell ref="C241:H241"/>
    <mergeCell ref="I241:J244"/>
    <mergeCell ref="A242:B242"/>
    <mergeCell ref="D242:E242"/>
    <mergeCell ref="A83:B83"/>
    <mergeCell ref="D83:E83"/>
    <mergeCell ref="A84:B84"/>
    <mergeCell ref="D84:E84"/>
    <mergeCell ref="A100:B100"/>
    <mergeCell ref="D100:E100"/>
    <mergeCell ref="A90:B90"/>
    <mergeCell ref="D90:E90"/>
    <mergeCell ref="F90:G90"/>
    <mergeCell ref="H90:J90"/>
    <mergeCell ref="A91:B91"/>
    <mergeCell ref="D91:E91"/>
    <mergeCell ref="F91:G100"/>
    <mergeCell ref="H91:J100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97:B97"/>
    <mergeCell ref="D97:E97"/>
    <mergeCell ref="A98:B98"/>
    <mergeCell ref="D98:E98"/>
    <mergeCell ref="A99:B99"/>
    <mergeCell ref="D99:E99"/>
    <mergeCell ref="A48:B48"/>
    <mergeCell ref="C48:F48"/>
    <mergeCell ref="A39:E39"/>
    <mergeCell ref="A9:E9"/>
    <mergeCell ref="F8:J8"/>
    <mergeCell ref="F12:J12"/>
    <mergeCell ref="C26:D26"/>
    <mergeCell ref="C43:F43"/>
    <mergeCell ref="C44:F44"/>
    <mergeCell ref="D85:E85"/>
    <mergeCell ref="A86:B86"/>
    <mergeCell ref="D86:E86"/>
    <mergeCell ref="A87:B87"/>
    <mergeCell ref="C87:J87"/>
    <mergeCell ref="E88:F88"/>
    <mergeCell ref="I88:J88"/>
    <mergeCell ref="A89:B89"/>
    <mergeCell ref="C89:J89"/>
    <mergeCell ref="A77:B77"/>
    <mergeCell ref="D77:E77"/>
    <mergeCell ref="F77:G86"/>
    <mergeCell ref="H77:J86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73:B73"/>
    <mergeCell ref="C73:J73"/>
    <mergeCell ref="E74:F74"/>
    <mergeCell ref="I74:J74"/>
    <mergeCell ref="A75:B75"/>
    <mergeCell ref="C75:J75"/>
    <mergeCell ref="A76:B76"/>
    <mergeCell ref="D76:E76"/>
    <mergeCell ref="F76:G76"/>
    <mergeCell ref="H76:J76"/>
    <mergeCell ref="D67:E67"/>
    <mergeCell ref="A68:B68"/>
    <mergeCell ref="D68:E68"/>
    <mergeCell ref="A69:B69"/>
    <mergeCell ref="D69:E69"/>
    <mergeCell ref="A70:B70"/>
    <mergeCell ref="D70:E70"/>
    <mergeCell ref="A71:B71"/>
    <mergeCell ref="D71:E71"/>
    <mergeCell ref="A2:J2"/>
    <mergeCell ref="A3:E3"/>
    <mergeCell ref="F3:J3"/>
    <mergeCell ref="A4:E4"/>
    <mergeCell ref="F4:J4"/>
    <mergeCell ref="F9:J9"/>
    <mergeCell ref="C17:E17"/>
    <mergeCell ref="F23:J23"/>
    <mergeCell ref="A5:E5"/>
    <mergeCell ref="F5:J5"/>
    <mergeCell ref="A8:E8"/>
    <mergeCell ref="A22:E22"/>
    <mergeCell ref="F20:J21"/>
    <mergeCell ref="A20:E21"/>
    <mergeCell ref="F22:J22"/>
    <mergeCell ref="A6:E6"/>
    <mergeCell ref="F14:G14"/>
    <mergeCell ref="H14:J14"/>
    <mergeCell ref="F15:G15"/>
    <mergeCell ref="F16:G16"/>
    <mergeCell ref="H15:J15"/>
    <mergeCell ref="H16:J16"/>
    <mergeCell ref="A14:B14"/>
    <mergeCell ref="A15:B15"/>
    <mergeCell ref="F6:J6"/>
    <mergeCell ref="F18:J19"/>
    <mergeCell ref="A16:B16"/>
    <mergeCell ref="C14:E14"/>
    <mergeCell ref="C15:E15"/>
    <mergeCell ref="C16:E16"/>
    <mergeCell ref="G111:J111"/>
    <mergeCell ref="E26:F26"/>
    <mergeCell ref="G26:H26"/>
    <mergeCell ref="I26:J26"/>
    <mergeCell ref="G27:H27"/>
    <mergeCell ref="A27:B27"/>
    <mergeCell ref="E28:F28"/>
    <mergeCell ref="G28:H28"/>
    <mergeCell ref="C27:D27"/>
    <mergeCell ref="A36:E36"/>
    <mergeCell ref="G120:J120"/>
    <mergeCell ref="A102:J102"/>
    <mergeCell ref="A103:J109"/>
    <mergeCell ref="A110:J110"/>
    <mergeCell ref="A56:B56"/>
    <mergeCell ref="C56:J56"/>
    <mergeCell ref="F36:J36"/>
    <mergeCell ref="A58:J58"/>
    <mergeCell ref="H51:J51"/>
    <mergeCell ref="C55:J55"/>
    <mergeCell ref="A55:B55"/>
    <mergeCell ref="D54:E54"/>
    <mergeCell ref="A63:B63"/>
    <mergeCell ref="C59:J59"/>
    <mergeCell ref="E60:F60"/>
    <mergeCell ref="I60:J60"/>
    <mergeCell ref="A61:B61"/>
    <mergeCell ref="C61:J61"/>
    <mergeCell ref="A62:B62"/>
    <mergeCell ref="D62:E62"/>
    <mergeCell ref="H62:J62"/>
    <mergeCell ref="G116:J116"/>
    <mergeCell ref="A239:J239"/>
    <mergeCell ref="A112:F112"/>
    <mergeCell ref="G112:J112"/>
    <mergeCell ref="A116:F116"/>
    <mergeCell ref="A53:J53"/>
    <mergeCell ref="F52:G52"/>
    <mergeCell ref="A41:E41"/>
    <mergeCell ref="I54:J54"/>
    <mergeCell ref="A238:J238"/>
    <mergeCell ref="A113:F113"/>
    <mergeCell ref="A121:F121"/>
    <mergeCell ref="G121:J121"/>
    <mergeCell ref="A111:F111"/>
    <mergeCell ref="A135:J135"/>
    <mergeCell ref="A119:F119"/>
    <mergeCell ref="G119:J119"/>
    <mergeCell ref="A120:F120"/>
    <mergeCell ref="F54:H54"/>
    <mergeCell ref="H43:J43"/>
    <mergeCell ref="H44:J44"/>
    <mergeCell ref="A134:J134"/>
    <mergeCell ref="A101:J101"/>
    <mergeCell ref="H52:J52"/>
    <mergeCell ref="A51:B51"/>
    <mergeCell ref="C51:F51"/>
    <mergeCell ref="H63:J72"/>
    <mergeCell ref="A64:B64"/>
    <mergeCell ref="D64:E64"/>
    <mergeCell ref="A59:B59"/>
    <mergeCell ref="A44:B44"/>
    <mergeCell ref="A85:B85"/>
    <mergeCell ref="A72:B72"/>
    <mergeCell ref="A122:F122"/>
    <mergeCell ref="G122:J122"/>
    <mergeCell ref="D72:E72"/>
    <mergeCell ref="A1:J1"/>
    <mergeCell ref="A29:J29"/>
    <mergeCell ref="A30:J30"/>
    <mergeCell ref="A33:J33"/>
    <mergeCell ref="A28:B28"/>
    <mergeCell ref="C28:D28"/>
    <mergeCell ref="A31:B31"/>
    <mergeCell ref="F17:G17"/>
    <mergeCell ref="A18:E19"/>
    <mergeCell ref="H17:J17"/>
    <mergeCell ref="A23:E23"/>
    <mergeCell ref="A17:B17"/>
    <mergeCell ref="A10:E10"/>
    <mergeCell ref="F10:J10"/>
    <mergeCell ref="A37:E37"/>
    <mergeCell ref="F37:J37"/>
    <mergeCell ref="A34:J35"/>
    <mergeCell ref="A7:E7"/>
    <mergeCell ref="F7:J7"/>
    <mergeCell ref="A11:E11"/>
    <mergeCell ref="F11:J11"/>
    <mergeCell ref="A38:E38"/>
    <mergeCell ref="A12:E12"/>
    <mergeCell ref="A32:B32"/>
    <mergeCell ref="C32:J32"/>
    <mergeCell ref="C31:J31"/>
    <mergeCell ref="F25:J25"/>
    <mergeCell ref="A24:E24"/>
    <mergeCell ref="A25:E25"/>
    <mergeCell ref="A114:F114"/>
    <mergeCell ref="A13:B13"/>
    <mergeCell ref="C13:J13"/>
    <mergeCell ref="A43:B43"/>
    <mergeCell ref="F41:J41"/>
    <mergeCell ref="F40:J40"/>
    <mergeCell ref="E27:F27"/>
    <mergeCell ref="I28:J28"/>
    <mergeCell ref="F38:J38"/>
    <mergeCell ref="F62:G62"/>
    <mergeCell ref="A42:J42"/>
    <mergeCell ref="D52:E52"/>
    <mergeCell ref="F39:J39"/>
    <mergeCell ref="A40:E40"/>
    <mergeCell ref="A115:F115"/>
    <mergeCell ref="G115:J115"/>
    <mergeCell ref="I27:J27"/>
    <mergeCell ref="A26:B26"/>
    <mergeCell ref="D63:E63"/>
    <mergeCell ref="F63:G72"/>
    <mergeCell ref="A52:C52"/>
    <mergeCell ref="H48:J48"/>
    <mergeCell ref="A54:C54"/>
    <mergeCell ref="E57:J57"/>
    <mergeCell ref="A57:D57"/>
    <mergeCell ref="A65:B65"/>
    <mergeCell ref="D65:E65"/>
    <mergeCell ref="A66:B66"/>
    <mergeCell ref="D66:E66"/>
    <mergeCell ref="A67:B67"/>
    <mergeCell ref="F24:J24"/>
    <mergeCell ref="A45:B45"/>
    <mergeCell ref="A129:J129"/>
    <mergeCell ref="A130:J130"/>
    <mergeCell ref="A131:B131"/>
    <mergeCell ref="A141:B141"/>
    <mergeCell ref="A142:B142"/>
    <mergeCell ref="A137:B137"/>
    <mergeCell ref="A143:B143"/>
    <mergeCell ref="D131:E131"/>
    <mergeCell ref="A132:J132"/>
    <mergeCell ref="D142:E142"/>
    <mergeCell ref="A136:J136"/>
    <mergeCell ref="C137:H137"/>
    <mergeCell ref="I137:J144"/>
    <mergeCell ref="D139:E139"/>
    <mergeCell ref="A140:B140"/>
    <mergeCell ref="D140:E140"/>
    <mergeCell ref="C144:H144"/>
    <mergeCell ref="D143:E143"/>
    <mergeCell ref="D138:E138"/>
    <mergeCell ref="D141:E141"/>
    <mergeCell ref="A138:B138"/>
    <mergeCell ref="A139:B139"/>
    <mergeCell ref="A144:B144"/>
    <mergeCell ref="I131:J131"/>
    <mergeCell ref="A133:J133"/>
    <mergeCell ref="D180:E180"/>
    <mergeCell ref="A181:B181"/>
    <mergeCell ref="D181:E181"/>
    <mergeCell ref="A178:B178"/>
    <mergeCell ref="D178:E178"/>
    <mergeCell ref="A182:J182"/>
    <mergeCell ref="I183:J190"/>
    <mergeCell ref="A183:B183"/>
    <mergeCell ref="C183:H183"/>
    <mergeCell ref="A185:B185"/>
    <mergeCell ref="D185:E185"/>
    <mergeCell ref="A186:B186"/>
    <mergeCell ref="D186:E186"/>
    <mergeCell ref="A188:B188"/>
    <mergeCell ref="D188:E188"/>
    <mergeCell ref="A184:B184"/>
    <mergeCell ref="D184:E184"/>
    <mergeCell ref="C190:H190"/>
    <mergeCell ref="A179:B179"/>
    <mergeCell ref="D179:E179"/>
    <mergeCell ref="D221:E221"/>
    <mergeCell ref="A223:J223"/>
    <mergeCell ref="I224:J229"/>
    <mergeCell ref="A229:B229"/>
    <mergeCell ref="D228:E228"/>
    <mergeCell ref="A224:B224"/>
    <mergeCell ref="D224:E224"/>
    <mergeCell ref="D229:E229"/>
    <mergeCell ref="A225:B225"/>
    <mergeCell ref="A222:B222"/>
    <mergeCell ref="A226:B226"/>
    <mergeCell ref="D226:E226"/>
    <mergeCell ref="D222:E222"/>
    <mergeCell ref="A217:B217"/>
    <mergeCell ref="D217:E217"/>
    <mergeCell ref="A218:B218"/>
    <mergeCell ref="D218:E218"/>
    <mergeCell ref="A221:B221"/>
    <mergeCell ref="D225:E225"/>
    <mergeCell ref="A216:J216"/>
    <mergeCell ref="I217:J222"/>
    <mergeCell ref="A220:B220"/>
    <mergeCell ref="D220:E220"/>
    <mergeCell ref="A219:B219"/>
    <mergeCell ref="D219:E219"/>
    <mergeCell ref="A145:J145"/>
    <mergeCell ref="A150:B150"/>
    <mergeCell ref="D150:E150"/>
    <mergeCell ref="A151:B151"/>
    <mergeCell ref="D153:E153"/>
    <mergeCell ref="D148:E148"/>
    <mergeCell ref="A149:B149"/>
    <mergeCell ref="A153:B153"/>
    <mergeCell ref="D151:E151"/>
    <mergeCell ref="A148:B148"/>
    <mergeCell ref="A146:B146"/>
    <mergeCell ref="D146:E146"/>
    <mergeCell ref="A214:B214"/>
    <mergeCell ref="D168:E168"/>
    <mergeCell ref="A171:B171"/>
    <mergeCell ref="A164:B164"/>
    <mergeCell ref="D162:E162"/>
    <mergeCell ref="C171:H171"/>
    <mergeCell ref="C164:H164"/>
    <mergeCell ref="A167:B167"/>
    <mergeCell ref="D167:E167"/>
    <mergeCell ref="A159:B159"/>
    <mergeCell ref="D159:E159"/>
    <mergeCell ref="A160:B160"/>
    <mergeCell ref="D160:E160"/>
    <mergeCell ref="D161:E161"/>
    <mergeCell ref="A237:J237"/>
    <mergeCell ref="D234:E234"/>
    <mergeCell ref="A235:B235"/>
    <mergeCell ref="D235:E235"/>
    <mergeCell ref="A236:B236"/>
    <mergeCell ref="D236:E236"/>
    <mergeCell ref="A227:B227"/>
    <mergeCell ref="D227:E227"/>
    <mergeCell ref="A228:B228"/>
    <mergeCell ref="A231:B231"/>
    <mergeCell ref="D231:E231"/>
    <mergeCell ref="I231:J236"/>
    <mergeCell ref="A230:J230"/>
    <mergeCell ref="A232:B232"/>
    <mergeCell ref="D232:E232"/>
    <mergeCell ref="A233:B233"/>
    <mergeCell ref="D233:E233"/>
    <mergeCell ref="A234:B234"/>
    <mergeCell ref="A152:B152"/>
    <mergeCell ref="D152:E152"/>
    <mergeCell ref="A154:J154"/>
    <mergeCell ref="I146:J153"/>
    <mergeCell ref="A147:B147"/>
    <mergeCell ref="D147:E147"/>
    <mergeCell ref="D149:E149"/>
    <mergeCell ref="D176:E176"/>
    <mergeCell ref="A176:B176"/>
    <mergeCell ref="A177:B177"/>
    <mergeCell ref="D177:E177"/>
    <mergeCell ref="A172:J172"/>
    <mergeCell ref="A173:J173"/>
    <mergeCell ref="I174:J181"/>
    <mergeCell ref="A174:B174"/>
    <mergeCell ref="D174:E174"/>
    <mergeCell ref="I155:J162"/>
    <mergeCell ref="A156:B156"/>
    <mergeCell ref="D156:E156"/>
    <mergeCell ref="D157:E157"/>
    <mergeCell ref="A163:J163"/>
    <mergeCell ref="I164:J171"/>
    <mergeCell ref="A165:B165"/>
    <mergeCell ref="D165:E165"/>
    <mergeCell ref="A166:B166"/>
    <mergeCell ref="D166:E166"/>
    <mergeCell ref="A169:B169"/>
    <mergeCell ref="D169:E169"/>
    <mergeCell ref="A170:B170"/>
    <mergeCell ref="D170:E170"/>
    <mergeCell ref="A175:B175"/>
    <mergeCell ref="A180:B180"/>
    <mergeCell ref="D175:E175"/>
    <mergeCell ref="A155:B155"/>
    <mergeCell ref="D155:E155"/>
    <mergeCell ref="A157:B157"/>
    <mergeCell ref="A158:B158"/>
    <mergeCell ref="D158:E158"/>
    <mergeCell ref="A161:B161"/>
    <mergeCell ref="A168:B168"/>
    <mergeCell ref="A191:J191"/>
    <mergeCell ref="I192:J199"/>
    <mergeCell ref="A193:B193"/>
    <mergeCell ref="D193:E193"/>
    <mergeCell ref="D194:E194"/>
    <mergeCell ref="A197:B197"/>
    <mergeCell ref="D197:E197"/>
    <mergeCell ref="A189:B189"/>
    <mergeCell ref="D189:E189"/>
    <mergeCell ref="A190:B190"/>
    <mergeCell ref="A192:B192"/>
    <mergeCell ref="D192:E192"/>
    <mergeCell ref="A194:B194"/>
    <mergeCell ref="A195:B195"/>
    <mergeCell ref="A162:B162"/>
    <mergeCell ref="D195:E195"/>
    <mergeCell ref="A199:B199"/>
    <mergeCell ref="D199:E199"/>
    <mergeCell ref="A198:B198"/>
    <mergeCell ref="D198:E198"/>
    <mergeCell ref="A196:B196"/>
    <mergeCell ref="D196:E196"/>
    <mergeCell ref="A187:B187"/>
    <mergeCell ref="D187:E187"/>
    <mergeCell ref="I210:J215"/>
    <mergeCell ref="A211:B211"/>
    <mergeCell ref="D211:E211"/>
    <mergeCell ref="C208:H208"/>
    <mergeCell ref="A209:J209"/>
    <mergeCell ref="D206:E206"/>
    <mergeCell ref="A205:B205"/>
    <mergeCell ref="D205:E205"/>
    <mergeCell ref="A206:B206"/>
    <mergeCell ref="D213:E213"/>
    <mergeCell ref="A213:B213"/>
    <mergeCell ref="A203:B203"/>
    <mergeCell ref="D203:E203"/>
    <mergeCell ref="A200:J200"/>
    <mergeCell ref="I201:J208"/>
    <mergeCell ref="A202:B202"/>
    <mergeCell ref="D202:E202"/>
    <mergeCell ref="A215:B215"/>
    <mergeCell ref="D215:E215"/>
    <mergeCell ref="A208:B208"/>
    <mergeCell ref="A210:B210"/>
    <mergeCell ref="D210:E210"/>
    <mergeCell ref="A201:B201"/>
    <mergeCell ref="A207:B207"/>
    <mergeCell ref="D207:E207"/>
    <mergeCell ref="A204:B204"/>
    <mergeCell ref="D204:E204"/>
    <mergeCell ref="A212:B212"/>
    <mergeCell ref="D212:E212"/>
    <mergeCell ref="D214:E214"/>
    <mergeCell ref="C201:H201"/>
    <mergeCell ref="A243:B243"/>
    <mergeCell ref="D243:E243"/>
    <mergeCell ref="A244:B244"/>
    <mergeCell ref="D244:E244"/>
    <mergeCell ref="A246:B246"/>
    <mergeCell ref="D246:E246"/>
    <mergeCell ref="I246:J249"/>
    <mergeCell ref="A247:B247"/>
    <mergeCell ref="D247:E247"/>
    <mergeCell ref="A248:B248"/>
    <mergeCell ref="D248:E248"/>
    <mergeCell ref="A249:B249"/>
    <mergeCell ref="D249:E249"/>
    <mergeCell ref="A245:J245"/>
    <mergeCell ref="A250:J250"/>
    <mergeCell ref="A251:B251"/>
    <mergeCell ref="D251:E251"/>
    <mergeCell ref="I251:J254"/>
    <mergeCell ref="A252:B252"/>
    <mergeCell ref="D252:E252"/>
    <mergeCell ref="A253:B253"/>
    <mergeCell ref="D253:E253"/>
    <mergeCell ref="A254:B254"/>
    <mergeCell ref="D254:E254"/>
    <mergeCell ref="A255:J255"/>
    <mergeCell ref="A256:B256"/>
    <mergeCell ref="C256:H256"/>
    <mergeCell ref="I256:J259"/>
    <mergeCell ref="A257:B257"/>
    <mergeCell ref="D257:E257"/>
    <mergeCell ref="A258:B258"/>
    <mergeCell ref="D258:E258"/>
    <mergeCell ref="A259:B259"/>
    <mergeCell ref="D259:E259"/>
    <mergeCell ref="D290:E290"/>
    <mergeCell ref="A283:J283"/>
    <mergeCell ref="A284:B284"/>
    <mergeCell ref="D284:E284"/>
    <mergeCell ref="I284:J291"/>
    <mergeCell ref="A285:B285"/>
    <mergeCell ref="D285:E285"/>
    <mergeCell ref="A286:B286"/>
    <mergeCell ref="D286:E286"/>
    <mergeCell ref="A287:B287"/>
    <mergeCell ref="A260:J260"/>
    <mergeCell ref="A261:J261"/>
    <mergeCell ref="A262:B262"/>
    <mergeCell ref="D262:E262"/>
    <mergeCell ref="I262:J265"/>
    <mergeCell ref="A263:B263"/>
    <mergeCell ref="D263:E263"/>
    <mergeCell ref="A264:B264"/>
    <mergeCell ref="D264:E264"/>
    <mergeCell ref="A265:B265"/>
    <mergeCell ref="D265:E265"/>
    <mergeCell ref="A266:J266"/>
    <mergeCell ref="A267:B267"/>
    <mergeCell ref="C267:H267"/>
    <mergeCell ref="I267:J270"/>
    <mergeCell ref="A268:B268"/>
    <mergeCell ref="D268:E268"/>
    <mergeCell ref="A269:B269"/>
    <mergeCell ref="D269:E269"/>
    <mergeCell ref="A270:B270"/>
    <mergeCell ref="D270:E270"/>
    <mergeCell ref="A271:J271"/>
    <mergeCell ref="A272:J272"/>
    <mergeCell ref="A273:J273"/>
    <mergeCell ref="A274:J274"/>
    <mergeCell ref="A275:B275"/>
    <mergeCell ref="D275:E275"/>
    <mergeCell ref="I275:J282"/>
    <mergeCell ref="A276:B276"/>
    <mergeCell ref="D276:E276"/>
    <mergeCell ref="A280:B280"/>
    <mergeCell ref="D280:E280"/>
    <mergeCell ref="A281:B281"/>
    <mergeCell ref="D281:E281"/>
    <mergeCell ref="A282:B282"/>
    <mergeCell ref="D282:E282"/>
    <mergeCell ref="A277:B277"/>
    <mergeCell ref="C277:H277"/>
    <mergeCell ref="A278:B278"/>
    <mergeCell ref="C278:H278"/>
    <mergeCell ref="A279:B279"/>
    <mergeCell ref="D279:E279"/>
    <mergeCell ref="A302:B302"/>
    <mergeCell ref="D302:E302"/>
    <mergeCell ref="I302:J309"/>
    <mergeCell ref="A303:B303"/>
    <mergeCell ref="D303:E303"/>
    <mergeCell ref="A304:B304"/>
    <mergeCell ref="D304:E304"/>
    <mergeCell ref="A308:B308"/>
    <mergeCell ref="D308:E308"/>
    <mergeCell ref="A309:B309"/>
    <mergeCell ref="D309:E309"/>
    <mergeCell ref="D316:E316"/>
    <mergeCell ref="A725:H725"/>
    <mergeCell ref="A544:J544"/>
    <mergeCell ref="A545:J545"/>
    <mergeCell ref="A546:J546"/>
    <mergeCell ref="A547:J547"/>
    <mergeCell ref="A548:J548"/>
    <mergeCell ref="A549:J549"/>
    <mergeCell ref="A356:J356"/>
    <mergeCell ref="A357:B357"/>
    <mergeCell ref="D357:E357"/>
    <mergeCell ref="I357:J363"/>
    <mergeCell ref="A358:B358"/>
    <mergeCell ref="D358:E358"/>
    <mergeCell ref="A359:B359"/>
    <mergeCell ref="D359:E359"/>
    <mergeCell ref="A360:B360"/>
    <mergeCell ref="D360:E360"/>
    <mergeCell ref="D321:E321"/>
    <mergeCell ref="A328:J328"/>
    <mergeCell ref="D332:E332"/>
    <mergeCell ref="A550:J550"/>
    <mergeCell ref="A551:J553"/>
    <mergeCell ref="A336:B336"/>
    <mergeCell ref="D336:E336"/>
    <mergeCell ref="A337:B337"/>
    <mergeCell ref="D337:E337"/>
    <mergeCell ref="A524:J524"/>
    <mergeCell ref="A543:J543"/>
    <mergeCell ref="A333:B333"/>
    <mergeCell ref="A334:B334"/>
    <mergeCell ref="D334:E334"/>
    <mergeCell ref="A331:B331"/>
    <mergeCell ref="A554:H554"/>
    <mergeCell ref="D331:E331"/>
    <mergeCell ref="A332:B332"/>
    <mergeCell ref="A338:J338"/>
    <mergeCell ref="A339:B339"/>
    <mergeCell ref="D339:E339"/>
    <mergeCell ref="I339:J346"/>
    <mergeCell ref="A340:B340"/>
    <mergeCell ref="A345:B345"/>
    <mergeCell ref="D345:E345"/>
    <mergeCell ref="A346:B346"/>
    <mergeCell ref="D346:E346"/>
    <mergeCell ref="A372:J372"/>
    <mergeCell ref="A373:B373"/>
    <mergeCell ref="D340:E340"/>
    <mergeCell ref="D333:E333"/>
    <mergeCell ref="C341:H341"/>
    <mergeCell ref="C342:H342"/>
    <mergeCell ref="A347:J347"/>
    <mergeCell ref="A348:B348"/>
    <mergeCell ref="C45:F45"/>
    <mergeCell ref="H45:J45"/>
    <mergeCell ref="A335:B335"/>
    <mergeCell ref="D335:E335"/>
    <mergeCell ref="A327:B327"/>
    <mergeCell ref="D327:E327"/>
    <mergeCell ref="A329:J329"/>
    <mergeCell ref="A330:B330"/>
    <mergeCell ref="D330:E330"/>
    <mergeCell ref="I330:J337"/>
    <mergeCell ref="D324:E324"/>
    <mergeCell ref="A324:B324"/>
    <mergeCell ref="A325:B325"/>
    <mergeCell ref="D325:E325"/>
    <mergeCell ref="A326:B326"/>
    <mergeCell ref="A322:B322"/>
    <mergeCell ref="A323:B323"/>
    <mergeCell ref="A310:J310"/>
    <mergeCell ref="A311:B311"/>
    <mergeCell ref="D311:E311"/>
    <mergeCell ref="I311:J318"/>
    <mergeCell ref="A312:B312"/>
    <mergeCell ref="D312:E312"/>
    <mergeCell ref="A316:B316"/>
    <mergeCell ref="C46:F46"/>
    <mergeCell ref="H46:J46"/>
    <mergeCell ref="A46:B47"/>
    <mergeCell ref="C47:J47"/>
    <mergeCell ref="A117:F117"/>
    <mergeCell ref="G117:J117"/>
    <mergeCell ref="A118:F118"/>
    <mergeCell ref="G118:J118"/>
    <mergeCell ref="N274:O274"/>
    <mergeCell ref="A341:B341"/>
    <mergeCell ref="A342:B342"/>
    <mergeCell ref="A343:B343"/>
    <mergeCell ref="D343:E343"/>
    <mergeCell ref="A344:B344"/>
    <mergeCell ref="D344:E344"/>
    <mergeCell ref="A317:B317"/>
    <mergeCell ref="D317:E317"/>
    <mergeCell ref="A318:B318"/>
    <mergeCell ref="D318:E318"/>
    <mergeCell ref="A313:B313"/>
    <mergeCell ref="A314:B314"/>
    <mergeCell ref="A315:B315"/>
    <mergeCell ref="D315:E315"/>
    <mergeCell ref="C322:H322"/>
    <mergeCell ref="C323:H323"/>
    <mergeCell ref="I320:J327"/>
    <mergeCell ref="A321:B321"/>
    <mergeCell ref="D326:E326"/>
    <mergeCell ref="A319:J319"/>
    <mergeCell ref="A320:B320"/>
    <mergeCell ref="D320:E320"/>
    <mergeCell ref="A288:B288"/>
    <mergeCell ref="D288:E288"/>
    <mergeCell ref="A289:B289"/>
    <mergeCell ref="D289:E289"/>
    <mergeCell ref="D287:E287"/>
    <mergeCell ref="A290:B290"/>
    <mergeCell ref="A291:B291"/>
    <mergeCell ref="D291:E291"/>
    <mergeCell ref="A301:J301"/>
    <mergeCell ref="A679:H679"/>
    <mergeCell ref="D373:E373"/>
    <mergeCell ref="I373:J380"/>
    <mergeCell ref="A374:B374"/>
    <mergeCell ref="D374:E374"/>
    <mergeCell ref="A375:B375"/>
    <mergeCell ref="D375:E375"/>
    <mergeCell ref="A376:B376"/>
    <mergeCell ref="D376:E376"/>
    <mergeCell ref="A377:B377"/>
    <mergeCell ref="D377:E377"/>
    <mergeCell ref="A378:B378"/>
    <mergeCell ref="D378:E378"/>
    <mergeCell ref="A379:B379"/>
    <mergeCell ref="D379:E379"/>
    <mergeCell ref="A380:B380"/>
    <mergeCell ref="A364:J364"/>
    <mergeCell ref="A365:B365"/>
    <mergeCell ref="D365:E365"/>
    <mergeCell ref="I365:J371"/>
    <mergeCell ref="A366:B366"/>
    <mergeCell ref="D366:E366"/>
    <mergeCell ref="A367:B367"/>
    <mergeCell ref="D367:E367"/>
    <mergeCell ref="A368:B368"/>
    <mergeCell ref="D368:E368"/>
    <mergeCell ref="A369:B369"/>
    <mergeCell ref="D369:E369"/>
    <mergeCell ref="A370:B370"/>
    <mergeCell ref="A371:B371"/>
    <mergeCell ref="D371:E371"/>
    <mergeCell ref="A460:J460"/>
    <mergeCell ref="A382:B382"/>
    <mergeCell ref="D382:E382"/>
    <mergeCell ref="I382:J389"/>
    <mergeCell ref="A383:B383"/>
    <mergeCell ref="D383:E383"/>
    <mergeCell ref="A384:B384"/>
    <mergeCell ref="D384:E384"/>
    <mergeCell ref="A385:B385"/>
    <mergeCell ref="D385:E385"/>
    <mergeCell ref="A386:B386"/>
    <mergeCell ref="D386:E386"/>
    <mergeCell ref="A387:B387"/>
    <mergeCell ref="D387:E387"/>
    <mergeCell ref="A388:B388"/>
    <mergeCell ref="A461:B461"/>
    <mergeCell ref="D461:E461"/>
    <mergeCell ref="I461:J467"/>
    <mergeCell ref="A462:B462"/>
    <mergeCell ref="D462:E462"/>
    <mergeCell ref="A463:B463"/>
    <mergeCell ref="D463:E463"/>
    <mergeCell ref="A464:B464"/>
    <mergeCell ref="D464:E464"/>
    <mergeCell ref="A465:B465"/>
    <mergeCell ref="D465:E465"/>
    <mergeCell ref="A466:B466"/>
    <mergeCell ref="D466:E466"/>
    <mergeCell ref="A467:B467"/>
    <mergeCell ref="D467:E467"/>
    <mergeCell ref="D388:E388"/>
    <mergeCell ref="A389:B389"/>
    <mergeCell ref="D389:E389"/>
    <mergeCell ref="A476:J476"/>
    <mergeCell ref="A477:B477"/>
    <mergeCell ref="D477:E477"/>
    <mergeCell ref="I509:J515"/>
    <mergeCell ref="C511:H511"/>
    <mergeCell ref="A516:J516"/>
    <mergeCell ref="A517:B517"/>
    <mergeCell ref="D517:E517"/>
    <mergeCell ref="I517:J523"/>
    <mergeCell ref="A518:B518"/>
    <mergeCell ref="D518:E518"/>
    <mergeCell ref="D519:E519"/>
    <mergeCell ref="A482:B482"/>
    <mergeCell ref="D482:E482"/>
    <mergeCell ref="A483:B483"/>
    <mergeCell ref="D483:E483"/>
    <mergeCell ref="A484:J484"/>
    <mergeCell ref="A485:B485"/>
    <mergeCell ref="D485:E485"/>
    <mergeCell ref="A486:B486"/>
    <mergeCell ref="D486:E486"/>
    <mergeCell ref="I477:J483"/>
    <mergeCell ref="A487:B487"/>
    <mergeCell ref="D487:E487"/>
    <mergeCell ref="A488:B488"/>
    <mergeCell ref="D488:E488"/>
    <mergeCell ref="A489:B489"/>
    <mergeCell ref="D489:E489"/>
    <mergeCell ref="A490:B490"/>
    <mergeCell ref="D490:E490"/>
    <mergeCell ref="A491:B491"/>
    <mergeCell ref="D491:E491"/>
    <mergeCell ref="B540:J540"/>
    <mergeCell ref="B541:J541"/>
    <mergeCell ref="A492:J492"/>
    <mergeCell ref="A493:B493"/>
    <mergeCell ref="D493:E493"/>
    <mergeCell ref="I493:J499"/>
    <mergeCell ref="A494:B494"/>
    <mergeCell ref="D494:E494"/>
    <mergeCell ref="A495:B495"/>
    <mergeCell ref="D495:E495"/>
    <mergeCell ref="A496:B496"/>
    <mergeCell ref="D496:E496"/>
    <mergeCell ref="A497:B497"/>
    <mergeCell ref="D497:E497"/>
    <mergeCell ref="A498:B498"/>
    <mergeCell ref="D498:E498"/>
    <mergeCell ref="A499:B499"/>
    <mergeCell ref="D499:E499"/>
    <mergeCell ref="I501:J507"/>
    <mergeCell ref="A508:J508"/>
    <mergeCell ref="A509:B509"/>
    <mergeCell ref="D509:E509"/>
    <mergeCell ref="A510:B510"/>
    <mergeCell ref="D510:E510"/>
    <mergeCell ref="A511:B511"/>
    <mergeCell ref="A512:B512"/>
    <mergeCell ref="D512:E512"/>
    <mergeCell ref="A513:B513"/>
    <mergeCell ref="D513:E513"/>
    <mergeCell ref="A514:B514"/>
    <mergeCell ref="D514:E514"/>
    <mergeCell ref="A515:B515"/>
  </mergeCells>
  <phoneticPr fontId="0" type="noConversion"/>
  <hyperlinks>
    <hyperlink ref="C32" r:id="rId1"/>
  </hyperlinks>
  <printOptions horizontalCentered="1"/>
  <pageMargins left="0.43307086614173229" right="0.43307086614173229" top="0.78740157480314965" bottom="0.78740157480314965" header="0.19685039370078741" footer="0.19685039370078741"/>
  <pageSetup paperSize="9" fitToHeight="0" orientation="portrait" r:id="rId2"/>
  <headerFooter>
    <oddHeader>&amp;C&amp;G</oddHeader>
    <oddFooter>&amp;L&amp;"Times New Roman,Bold"Ref No: &amp;F&amp;C&amp;G&amp;R&amp;P</oddFooter>
  </headerFooter>
  <rowBreaks count="5" manualBreakCount="5">
    <brk id="553" max="16383" man="1"/>
    <brk id="597" max="9" man="1"/>
    <brk id="643" max="16383" man="1"/>
    <brk id="689" max="16383" man="1"/>
    <brk id="73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D1" workbookViewId="0">
      <selection activeCell="H10" sqref="H10"/>
    </sheetView>
  </sheetViews>
  <sheetFormatPr defaultColWidth="8.7109375" defaultRowHeight="15" x14ac:dyDescent="0.25"/>
  <cols>
    <col min="1" max="1" width="8.7109375" style="39"/>
    <col min="2" max="2" width="22.140625" style="39" customWidth="1"/>
    <col min="3" max="3" width="37" style="39" customWidth="1"/>
    <col min="4" max="5" width="11.42578125" style="39" customWidth="1"/>
    <col min="6" max="6" width="14" style="39" customWidth="1"/>
    <col min="7" max="7" width="20" style="39" customWidth="1"/>
    <col min="8" max="8" width="16.42578125" style="39" customWidth="1"/>
    <col min="9" max="16384" width="8.7109375" style="39"/>
  </cols>
  <sheetData>
    <row r="1" spans="1:9" ht="15" customHeight="1" x14ac:dyDescent="0.25">
      <c r="A1" s="38"/>
      <c r="B1" s="38"/>
      <c r="C1" s="38"/>
      <c r="D1" s="38"/>
      <c r="E1" s="38"/>
      <c r="F1" s="38"/>
      <c r="G1" s="38"/>
      <c r="H1" s="38"/>
    </row>
    <row r="2" spans="1:9" ht="15" customHeight="1" x14ac:dyDescent="0.25">
      <c r="A2" s="40"/>
      <c r="B2" s="40"/>
      <c r="C2" s="40"/>
      <c r="D2" s="40"/>
      <c r="E2" s="40"/>
      <c r="F2" s="40"/>
      <c r="G2" s="40"/>
      <c r="H2" s="40"/>
    </row>
    <row r="3" spans="1:9" ht="15.75" customHeight="1" x14ac:dyDescent="0.25">
      <c r="A3" s="40"/>
      <c r="B3" s="307" t="s">
        <v>196</v>
      </c>
      <c r="C3" s="307"/>
      <c r="D3" s="307"/>
      <c r="E3" s="307"/>
      <c r="F3" s="307"/>
      <c r="G3" s="307"/>
      <c r="H3" s="307"/>
    </row>
    <row r="4" spans="1:9" x14ac:dyDescent="0.25">
      <c r="A4" s="40"/>
      <c r="B4" s="41" t="s">
        <v>197</v>
      </c>
      <c r="C4" s="41" t="s">
        <v>198</v>
      </c>
      <c r="D4" s="41" t="s">
        <v>96</v>
      </c>
      <c r="E4" s="41" t="s">
        <v>199</v>
      </c>
      <c r="F4" s="41" t="s">
        <v>200</v>
      </c>
      <c r="G4" s="41" t="s">
        <v>201</v>
      </c>
      <c r="H4" s="41" t="s">
        <v>202</v>
      </c>
    </row>
    <row r="5" spans="1:9" ht="15" customHeight="1" x14ac:dyDescent="0.25">
      <c r="A5" s="40"/>
      <c r="B5" s="42" t="s">
        <v>204</v>
      </c>
      <c r="C5" s="50" t="s">
        <v>207</v>
      </c>
      <c r="D5" s="51" t="s">
        <v>208</v>
      </c>
      <c r="E5" s="42">
        <v>762</v>
      </c>
      <c r="F5" s="43">
        <f>E5*1.6</f>
        <v>1219.2</v>
      </c>
      <c r="G5" s="43">
        <f>H5/F5</f>
        <v>26656.824146981628</v>
      </c>
      <c r="H5" s="44">
        <v>32500000</v>
      </c>
    </row>
    <row r="6" spans="1:9" x14ac:dyDescent="0.25">
      <c r="A6" s="40"/>
      <c r="B6" s="42" t="s">
        <v>204</v>
      </c>
      <c r="C6" s="50" t="s">
        <v>207</v>
      </c>
      <c r="D6" s="51" t="s">
        <v>208</v>
      </c>
      <c r="E6" s="42">
        <v>760</v>
      </c>
      <c r="F6" s="43">
        <f>E6*1.6</f>
        <v>1216</v>
      </c>
      <c r="G6" s="43">
        <f t="shared" ref="G6:G11" si="0">H6/F6</f>
        <v>29605.263157894737</v>
      </c>
      <c r="H6" s="44">
        <v>36000000</v>
      </c>
    </row>
    <row r="7" spans="1:9" ht="15" customHeight="1" x14ac:dyDescent="0.25">
      <c r="A7" s="40"/>
      <c r="B7" s="42" t="s">
        <v>204</v>
      </c>
      <c r="C7" s="50" t="s">
        <v>207</v>
      </c>
      <c r="D7" s="51" t="s">
        <v>203</v>
      </c>
      <c r="E7" s="42">
        <v>1128</v>
      </c>
      <c r="F7" s="43">
        <f>E7*1.6</f>
        <v>1804.8000000000002</v>
      </c>
      <c r="G7" s="43">
        <f t="shared" si="0"/>
        <v>31804.078014184393</v>
      </c>
      <c r="H7" s="44">
        <v>57400000</v>
      </c>
    </row>
    <row r="8" spans="1:9" x14ac:dyDescent="0.25">
      <c r="A8" s="40"/>
      <c r="B8" s="42" t="s">
        <v>204</v>
      </c>
      <c r="C8" s="50" t="s">
        <v>207</v>
      </c>
      <c r="D8" s="51" t="s">
        <v>209</v>
      </c>
      <c r="E8" s="42">
        <v>1765</v>
      </c>
      <c r="F8" s="43">
        <f>E8*1.6</f>
        <v>2824</v>
      </c>
      <c r="G8" s="43">
        <f t="shared" si="0"/>
        <v>29390.934844192634</v>
      </c>
      <c r="H8" s="44">
        <v>83000000</v>
      </c>
    </row>
    <row r="9" spans="1:9" ht="15" customHeight="1" x14ac:dyDescent="0.25">
      <c r="A9" s="40"/>
      <c r="B9" s="42" t="s">
        <v>204</v>
      </c>
      <c r="C9" s="50" t="s">
        <v>207</v>
      </c>
      <c r="D9" s="51" t="s">
        <v>203</v>
      </c>
      <c r="E9" s="42">
        <v>900</v>
      </c>
      <c r="F9" s="43">
        <f>E9*1.6</f>
        <v>1440</v>
      </c>
      <c r="G9" s="43">
        <f t="shared" si="0"/>
        <v>35347.222222222219</v>
      </c>
      <c r="H9" s="44">
        <v>50900000</v>
      </c>
    </row>
    <row r="10" spans="1:9" ht="15" customHeight="1" x14ac:dyDescent="0.25">
      <c r="A10" s="40"/>
      <c r="B10" s="42" t="s">
        <v>204</v>
      </c>
      <c r="C10" s="50" t="s">
        <v>207</v>
      </c>
      <c r="D10" s="51" t="s">
        <v>208</v>
      </c>
      <c r="E10" s="42">
        <v>1219</v>
      </c>
      <c r="F10" s="42">
        <v>1219</v>
      </c>
      <c r="G10" s="43">
        <f t="shared" si="0"/>
        <v>26333.059885151764</v>
      </c>
      <c r="H10" s="44">
        <v>32100000</v>
      </c>
    </row>
    <row r="11" spans="1:9" ht="15" customHeight="1" x14ac:dyDescent="0.25">
      <c r="A11" s="40"/>
      <c r="B11" s="42" t="s">
        <v>204</v>
      </c>
      <c r="C11" s="50" t="s">
        <v>207</v>
      </c>
      <c r="D11" s="51" t="s">
        <v>209</v>
      </c>
      <c r="E11" s="42">
        <v>1900</v>
      </c>
      <c r="F11" s="43">
        <v>1900</v>
      </c>
      <c r="G11" s="43">
        <f t="shared" si="0"/>
        <v>52631.57894736842</v>
      </c>
      <c r="H11" s="44">
        <v>100000000</v>
      </c>
    </row>
    <row r="12" spans="1:9" ht="15" customHeight="1" x14ac:dyDescent="0.25">
      <c r="A12" s="40"/>
      <c r="B12" s="45" t="s">
        <v>205</v>
      </c>
      <c r="C12" s="42"/>
      <c r="D12" s="42"/>
      <c r="E12" s="42"/>
      <c r="F12" s="42"/>
      <c r="G12" s="46">
        <f>AVERAGE(G5:G11)</f>
        <v>33109.85160257083</v>
      </c>
      <c r="H12" s="42"/>
    </row>
    <row r="13" spans="1:9" ht="15" customHeight="1" x14ac:dyDescent="0.25">
      <c r="A13" s="38"/>
      <c r="B13" s="45" t="s">
        <v>206</v>
      </c>
      <c r="C13" s="47"/>
      <c r="D13" s="47"/>
      <c r="E13" s="47"/>
      <c r="F13" s="48"/>
      <c r="G13" s="45">
        <v>33100</v>
      </c>
      <c r="H13" s="45"/>
      <c r="I13" s="49"/>
    </row>
    <row r="14" spans="1:9" ht="15" customHeight="1" x14ac:dyDescent="0.25">
      <c r="B14" s="38"/>
      <c r="C14" s="38"/>
      <c r="D14" s="38"/>
      <c r="E14" s="38"/>
    </row>
    <row r="15" spans="1:9" ht="15" customHeight="1" x14ac:dyDescent="0.25">
      <c r="B15" s="38"/>
      <c r="C15" s="38"/>
      <c r="D15" s="38"/>
      <c r="E15" s="38"/>
    </row>
    <row r="16" spans="1:9" ht="15" customHeight="1" x14ac:dyDescent="0.25">
      <c r="B16" s="38"/>
      <c r="C16" s="38"/>
      <c r="D16" s="38"/>
      <c r="E16" s="38"/>
    </row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2"/>
  <sheetViews>
    <sheetView topLeftCell="B61" zoomScale="85" zoomScaleNormal="85" workbookViewId="0">
      <selection activeCell="C68" sqref="C68"/>
    </sheetView>
  </sheetViews>
  <sheetFormatPr defaultRowHeight="15" x14ac:dyDescent="0.25"/>
  <cols>
    <col min="1" max="1" width="12.140625" customWidth="1"/>
    <col min="2" max="2" width="11.42578125" customWidth="1"/>
    <col min="3" max="3" width="15" customWidth="1"/>
  </cols>
  <sheetData>
    <row r="2" spans="1:2" x14ac:dyDescent="0.25">
      <c r="A2" t="s">
        <v>186</v>
      </c>
      <c r="B2" t="s">
        <v>187</v>
      </c>
    </row>
    <row r="44" spans="2:2" x14ac:dyDescent="0.25">
      <c r="B44" s="36">
        <v>44130</v>
      </c>
    </row>
    <row r="67" spans="2:11" x14ac:dyDescent="0.25">
      <c r="B67" s="36">
        <v>44188</v>
      </c>
      <c r="D67" s="308" t="s">
        <v>193</v>
      </c>
      <c r="E67" s="309"/>
      <c r="F67" s="309"/>
      <c r="G67" s="309"/>
      <c r="H67" s="309"/>
      <c r="I67" s="309"/>
      <c r="J67" s="309"/>
      <c r="K67" s="309"/>
    </row>
    <row r="68" spans="2:11" x14ac:dyDescent="0.25">
      <c r="D68" s="309"/>
      <c r="E68" s="309"/>
      <c r="F68" s="309"/>
      <c r="G68" s="309"/>
      <c r="H68" s="309"/>
      <c r="I68" s="309"/>
      <c r="J68" s="309"/>
      <c r="K68" s="309"/>
    </row>
    <row r="69" spans="2:11" x14ac:dyDescent="0.25">
      <c r="D69" s="309"/>
      <c r="E69" s="309"/>
      <c r="F69" s="309"/>
      <c r="G69" s="309"/>
      <c r="H69" s="309"/>
      <c r="I69" s="309"/>
      <c r="J69" s="309"/>
      <c r="K69" s="309"/>
    </row>
    <row r="70" spans="2:11" x14ac:dyDescent="0.25">
      <c r="D70" s="309"/>
      <c r="E70" s="309"/>
      <c r="F70" s="309"/>
      <c r="G70" s="309"/>
      <c r="H70" s="309"/>
      <c r="I70" s="309"/>
      <c r="J70" s="309"/>
      <c r="K70" s="309"/>
    </row>
    <row r="71" spans="2:11" x14ac:dyDescent="0.25">
      <c r="D71" s="309"/>
      <c r="E71" s="309"/>
      <c r="F71" s="309"/>
      <c r="G71" s="309"/>
      <c r="H71" s="309"/>
      <c r="I71" s="309"/>
      <c r="J71" s="309"/>
      <c r="K71" s="309"/>
    </row>
    <row r="72" spans="2:11" x14ac:dyDescent="0.25">
      <c r="D72" s="309"/>
      <c r="E72" s="309"/>
      <c r="F72" s="309"/>
      <c r="G72" s="309"/>
      <c r="H72" s="309"/>
      <c r="I72" s="309"/>
      <c r="J72" s="309"/>
      <c r="K72" s="309"/>
    </row>
  </sheetData>
  <mergeCells count="1">
    <mergeCell ref="D67:K7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workbookViewId="0">
      <selection activeCell="C10" sqref="C10"/>
    </sheetView>
  </sheetViews>
  <sheetFormatPr defaultColWidth="9.140625" defaultRowHeight="15" x14ac:dyDescent="0.25"/>
  <cols>
    <col min="1" max="1" width="20.5703125" style="15" customWidth="1"/>
    <col min="2" max="2" width="11.7109375" style="15" customWidth="1"/>
    <col min="3" max="4" width="9.140625" style="15"/>
    <col min="5" max="5" width="10.140625" style="15" customWidth="1"/>
    <col min="6" max="6" width="10.7109375" style="15" customWidth="1"/>
    <col min="7" max="7" width="9.140625" style="15"/>
    <col min="8" max="8" width="10.42578125" style="15" customWidth="1"/>
    <col min="9" max="9" width="15.42578125" style="15" customWidth="1"/>
    <col min="10" max="16384" width="9.140625" style="15"/>
  </cols>
  <sheetData>
    <row r="2" spans="1:13" x14ac:dyDescent="0.25">
      <c r="A2" s="14" t="s">
        <v>148</v>
      </c>
      <c r="B2" s="14" t="s">
        <v>149</v>
      </c>
      <c r="C2" s="14" t="s">
        <v>150</v>
      </c>
      <c r="D2" s="310" t="s">
        <v>151</v>
      </c>
      <c r="E2" s="310"/>
    </row>
    <row r="3" spans="1:13" x14ac:dyDescent="0.25">
      <c r="A3" s="16">
        <v>2</v>
      </c>
      <c r="B3" s="16">
        <v>10</v>
      </c>
      <c r="C3" s="16">
        <v>1</v>
      </c>
      <c r="D3" s="312">
        <v>63</v>
      </c>
      <c r="E3" s="312"/>
    </row>
    <row r="6" spans="1:13" x14ac:dyDescent="0.25">
      <c r="A6" s="15" t="s">
        <v>134</v>
      </c>
      <c r="B6" s="17">
        <v>10</v>
      </c>
      <c r="C6" s="18">
        <v>10</v>
      </c>
      <c r="D6" s="19">
        <f>((100/B6)*C6)/100</f>
        <v>1</v>
      </c>
      <c r="E6" s="20"/>
      <c r="J6" s="20"/>
    </row>
    <row r="7" spans="1:13" x14ac:dyDescent="0.25">
      <c r="A7" s="15" t="s">
        <v>135</v>
      </c>
      <c r="B7" s="17">
        <f>B3+C3+D3</f>
        <v>74</v>
      </c>
      <c r="C7" s="18">
        <f>B3+C3+14</f>
        <v>25</v>
      </c>
      <c r="D7" s="19">
        <f t="shared" ref="D7:D12" si="0">((100/B7)*C7)/100</f>
        <v>0.33783783783783783</v>
      </c>
      <c r="F7" s="313" t="s">
        <v>152</v>
      </c>
      <c r="G7" s="313"/>
      <c r="H7" s="21" t="s">
        <v>153</v>
      </c>
      <c r="J7" s="22"/>
    </row>
    <row r="8" spans="1:13" x14ac:dyDescent="0.25">
      <c r="A8" s="15" t="s">
        <v>140</v>
      </c>
      <c r="B8" s="17">
        <f>B3+D3</f>
        <v>73</v>
      </c>
      <c r="C8" s="18">
        <v>14</v>
      </c>
      <c r="D8" s="19">
        <f t="shared" si="0"/>
        <v>0.19178082191780821</v>
      </c>
      <c r="E8" s="20"/>
      <c r="F8" s="311" t="s">
        <v>154</v>
      </c>
      <c r="G8" s="311"/>
      <c r="H8" s="17" t="s">
        <v>155</v>
      </c>
      <c r="J8" s="20"/>
    </row>
    <row r="9" spans="1:13" x14ac:dyDescent="0.25">
      <c r="A9" s="15" t="s">
        <v>142</v>
      </c>
      <c r="B9" s="17">
        <f>B3+D3</f>
        <v>73</v>
      </c>
      <c r="C9" s="18">
        <f>C8/2</f>
        <v>7</v>
      </c>
      <c r="D9" s="19">
        <f t="shared" si="0"/>
        <v>9.5890410958904104E-2</v>
      </c>
      <c r="E9" s="20"/>
      <c r="F9" s="311" t="s">
        <v>156</v>
      </c>
      <c r="G9" s="311"/>
      <c r="H9" s="17" t="s">
        <v>157</v>
      </c>
      <c r="J9" s="20"/>
    </row>
    <row r="10" spans="1:13" x14ac:dyDescent="0.25">
      <c r="A10" s="15" t="s">
        <v>43</v>
      </c>
      <c r="B10" s="17">
        <f>B3+D3</f>
        <v>73</v>
      </c>
      <c r="C10" s="18">
        <v>0</v>
      </c>
      <c r="D10" s="19">
        <f t="shared" si="0"/>
        <v>0</v>
      </c>
      <c r="E10" s="20"/>
      <c r="F10" s="311" t="s">
        <v>158</v>
      </c>
      <c r="G10" s="311"/>
      <c r="H10" s="17" t="s">
        <v>159</v>
      </c>
      <c r="J10" s="20"/>
    </row>
    <row r="11" spans="1:13" x14ac:dyDescent="0.25">
      <c r="A11" s="23" t="s">
        <v>138</v>
      </c>
      <c r="B11" s="17">
        <f>B3+D3</f>
        <v>73</v>
      </c>
      <c r="C11" s="18">
        <v>0</v>
      </c>
      <c r="D11" s="19">
        <f t="shared" si="0"/>
        <v>0</v>
      </c>
      <c r="E11" s="20"/>
      <c r="F11" s="311" t="s">
        <v>160</v>
      </c>
      <c r="G11" s="311"/>
      <c r="H11" s="17" t="s">
        <v>161</v>
      </c>
    </row>
    <row r="12" spans="1:13" x14ac:dyDescent="0.25">
      <c r="A12" s="15" t="s">
        <v>44</v>
      </c>
      <c r="B12" s="17">
        <f>B3+D3</f>
        <v>73</v>
      </c>
      <c r="C12" s="18">
        <v>0</v>
      </c>
      <c r="D12" s="19">
        <f t="shared" si="0"/>
        <v>0</v>
      </c>
      <c r="E12" s="20"/>
      <c r="F12" s="311" t="s">
        <v>162</v>
      </c>
      <c r="G12" s="311"/>
      <c r="H12" s="17" t="s">
        <v>130</v>
      </c>
    </row>
    <row r="13" spans="1:13" x14ac:dyDescent="0.25">
      <c r="F13" s="311" t="s">
        <v>163</v>
      </c>
      <c r="G13" s="311"/>
      <c r="H13" s="17" t="s">
        <v>164</v>
      </c>
    </row>
    <row r="14" spans="1:13" x14ac:dyDescent="0.25">
      <c r="A14" s="14" t="s">
        <v>144</v>
      </c>
      <c r="B14" s="24">
        <f>(B39+B40+B41+B42+B43+B44+B45)/100</f>
        <v>0.27349129951869683</v>
      </c>
      <c r="C14" s="24">
        <f>(C39+C40+C41+C42+C43+C44+C45)/100</f>
        <v>0.43970751573491301</v>
      </c>
      <c r="F14" s="311" t="s">
        <v>165</v>
      </c>
      <c r="G14" s="311"/>
      <c r="H14" s="17" t="s">
        <v>157</v>
      </c>
      <c r="M14" s="20"/>
    </row>
    <row r="15" spans="1:13" x14ac:dyDescent="0.25">
      <c r="F15" s="311" t="s">
        <v>166</v>
      </c>
      <c r="G15" s="311"/>
      <c r="H15" s="17" t="s">
        <v>167</v>
      </c>
    </row>
    <row r="16" spans="1:13" x14ac:dyDescent="0.25">
      <c r="A16" s="25" t="s">
        <v>168</v>
      </c>
      <c r="B16" s="26">
        <v>0.01</v>
      </c>
      <c r="C16" s="26">
        <v>0.02</v>
      </c>
      <c r="F16" s="311" t="s">
        <v>169</v>
      </c>
      <c r="G16" s="311"/>
      <c r="H16" s="17" t="s">
        <v>170</v>
      </c>
    </row>
    <row r="17" spans="1:3" x14ac:dyDescent="0.25">
      <c r="A17" s="25" t="s">
        <v>171</v>
      </c>
      <c r="B17" s="26">
        <v>0.01</v>
      </c>
      <c r="C17" s="26">
        <v>0.03</v>
      </c>
    </row>
    <row r="18" spans="1:3" x14ac:dyDescent="0.25">
      <c r="A18" s="25" t="s">
        <v>172</v>
      </c>
      <c r="B18" s="26">
        <v>0.03</v>
      </c>
      <c r="C18" s="26">
        <v>0.08</v>
      </c>
    </row>
    <row r="19" spans="1:3" x14ac:dyDescent="0.25">
      <c r="A19" s="25" t="s">
        <v>173</v>
      </c>
      <c r="B19" s="26">
        <v>0.05</v>
      </c>
      <c r="C19" s="26">
        <v>0.15</v>
      </c>
    </row>
    <row r="20" spans="1:3" x14ac:dyDescent="0.25">
      <c r="A20" s="25" t="s">
        <v>174</v>
      </c>
      <c r="B20" s="26">
        <v>7.0000000000000007E-2</v>
      </c>
      <c r="C20" s="26">
        <v>0.2</v>
      </c>
    </row>
    <row r="21" spans="1:3" x14ac:dyDescent="0.25">
      <c r="A21" s="25" t="s">
        <v>175</v>
      </c>
      <c r="B21" s="26">
        <v>0.1</v>
      </c>
      <c r="C21" s="26">
        <v>0.3</v>
      </c>
    </row>
    <row r="36" spans="1:13" x14ac:dyDescent="0.25">
      <c r="A36" s="15" t="s">
        <v>133</v>
      </c>
      <c r="B36" s="27" t="s">
        <v>176</v>
      </c>
      <c r="C36" s="27">
        <f>D3</f>
        <v>63</v>
      </c>
      <c r="D36" s="28"/>
    </row>
    <row r="38" spans="1:13" x14ac:dyDescent="0.25">
      <c r="A38" s="14"/>
      <c r="B38" s="14" t="s">
        <v>139</v>
      </c>
      <c r="C38" s="14" t="s">
        <v>143</v>
      </c>
      <c r="G38" s="14" t="s">
        <v>134</v>
      </c>
      <c r="H38" s="14" t="s">
        <v>136</v>
      </c>
      <c r="I38" s="14" t="s">
        <v>137</v>
      </c>
      <c r="J38" s="14" t="s">
        <v>37</v>
      </c>
      <c r="K38" s="14" t="s">
        <v>43</v>
      </c>
      <c r="L38" s="14" t="s">
        <v>138</v>
      </c>
      <c r="M38" s="14" t="s">
        <v>44</v>
      </c>
    </row>
    <row r="39" spans="1:13" x14ac:dyDescent="0.25">
      <c r="A39" s="14" t="s">
        <v>35</v>
      </c>
      <c r="B39" s="14">
        <f>G39</f>
        <v>10</v>
      </c>
      <c r="C39" s="14">
        <f>G40</f>
        <v>30</v>
      </c>
      <c r="E39" s="310" t="s">
        <v>139</v>
      </c>
      <c r="F39" s="310"/>
      <c r="G39" s="29">
        <f>C6</f>
        <v>10</v>
      </c>
      <c r="H39" s="29">
        <f>40/B7*C7</f>
        <v>13.513513513513514</v>
      </c>
      <c r="I39" s="29">
        <f>15/B8*C8</f>
        <v>2.8767123287671232</v>
      </c>
      <c r="J39" s="29">
        <f>10/B9*C9</f>
        <v>0.95890410958904104</v>
      </c>
      <c r="K39" s="29">
        <f>10/B10*C10</f>
        <v>0</v>
      </c>
      <c r="L39" s="29">
        <f>5/B11*C11</f>
        <v>0</v>
      </c>
      <c r="M39" s="29">
        <f>5/B12*C12</f>
        <v>0</v>
      </c>
    </row>
    <row r="40" spans="1:13" x14ac:dyDescent="0.25">
      <c r="A40" s="14" t="s">
        <v>36</v>
      </c>
      <c r="B40" s="14">
        <f>H39</f>
        <v>13.513513513513514</v>
      </c>
      <c r="C40" s="14">
        <f>H40</f>
        <v>10.135135135135135</v>
      </c>
      <c r="E40" s="310" t="s">
        <v>141</v>
      </c>
      <c r="F40" s="310"/>
      <c r="G40" s="14">
        <f>G39+20</f>
        <v>30</v>
      </c>
      <c r="H40" s="14">
        <f>30/B7*C7</f>
        <v>10.135135135135135</v>
      </c>
      <c r="I40" s="14">
        <f>15/B8*C8</f>
        <v>2.8767123287671232</v>
      </c>
      <c r="J40" s="14">
        <f>10/B9*C9</f>
        <v>0.95890410958904104</v>
      </c>
      <c r="K40" s="14">
        <f>5/B10*C10</f>
        <v>0</v>
      </c>
      <c r="L40" s="14">
        <f>5/B11*C11</f>
        <v>0</v>
      </c>
      <c r="M40" s="14">
        <f>5/B12*C12</f>
        <v>0</v>
      </c>
    </row>
    <row r="41" spans="1:13" x14ac:dyDescent="0.25">
      <c r="A41" s="14" t="s">
        <v>137</v>
      </c>
      <c r="B41" s="14">
        <f>I39</f>
        <v>2.8767123287671232</v>
      </c>
      <c r="C41" s="14">
        <f>I40</f>
        <v>2.8767123287671232</v>
      </c>
      <c r="M41" s="20"/>
    </row>
    <row r="42" spans="1:13" x14ac:dyDescent="0.25">
      <c r="A42" s="14" t="s">
        <v>37</v>
      </c>
      <c r="B42" s="14">
        <f>J39</f>
        <v>0.95890410958904104</v>
      </c>
      <c r="C42" s="14">
        <f>J40</f>
        <v>0.95890410958904104</v>
      </c>
      <c r="M42" s="20"/>
    </row>
    <row r="43" spans="1:13" x14ac:dyDescent="0.25">
      <c r="A43" s="14" t="s">
        <v>43</v>
      </c>
      <c r="B43" s="14">
        <f>K39</f>
        <v>0</v>
      </c>
      <c r="C43" s="14">
        <f>K40</f>
        <v>0</v>
      </c>
      <c r="M43" s="20"/>
    </row>
    <row r="44" spans="1:13" x14ac:dyDescent="0.25">
      <c r="A44" s="30" t="s">
        <v>138</v>
      </c>
      <c r="B44" s="14">
        <f>L39</f>
        <v>0</v>
      </c>
      <c r="C44" s="14">
        <f>L40</f>
        <v>0</v>
      </c>
      <c r="M44" s="20"/>
    </row>
    <row r="45" spans="1:13" x14ac:dyDescent="0.25">
      <c r="A45" s="14" t="s">
        <v>44</v>
      </c>
      <c r="B45" s="14">
        <f>M39</f>
        <v>0</v>
      </c>
      <c r="C45" s="14">
        <f>M40</f>
        <v>0</v>
      </c>
      <c r="M45" s="20"/>
    </row>
  </sheetData>
  <mergeCells count="14">
    <mergeCell ref="F10:G10"/>
    <mergeCell ref="D2:E2"/>
    <mergeCell ref="D3:E3"/>
    <mergeCell ref="F7:G7"/>
    <mergeCell ref="F8:G8"/>
    <mergeCell ref="F9:G9"/>
    <mergeCell ref="E39:F39"/>
    <mergeCell ref="E40:F40"/>
    <mergeCell ref="F11:G11"/>
    <mergeCell ref="F12:G12"/>
    <mergeCell ref="F13:G13"/>
    <mergeCell ref="F14:G14"/>
    <mergeCell ref="F15:G15"/>
    <mergeCell ref="F16:G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workbookViewId="0">
      <selection activeCell="C7" sqref="C7"/>
    </sheetView>
  </sheetViews>
  <sheetFormatPr defaultColWidth="9.140625" defaultRowHeight="15" x14ac:dyDescent="0.25"/>
  <cols>
    <col min="1" max="1" width="20.5703125" style="15" customWidth="1"/>
    <col min="2" max="2" width="11.7109375" style="15" customWidth="1"/>
    <col min="3" max="4" width="9.140625" style="15"/>
    <col min="5" max="5" width="10.140625" style="15" customWidth="1"/>
    <col min="6" max="6" width="10.7109375" style="15" customWidth="1"/>
    <col min="7" max="7" width="9.140625" style="15"/>
    <col min="8" max="8" width="10.42578125" style="15" customWidth="1"/>
    <col min="9" max="9" width="15.42578125" style="15" customWidth="1"/>
    <col min="10" max="16384" width="9.140625" style="15"/>
  </cols>
  <sheetData>
    <row r="2" spans="1:13" x14ac:dyDescent="0.25">
      <c r="A2" s="14" t="s">
        <v>148</v>
      </c>
      <c r="B2" s="14" t="s">
        <v>149</v>
      </c>
      <c r="C2" s="14" t="s">
        <v>150</v>
      </c>
      <c r="D2" s="310" t="s">
        <v>151</v>
      </c>
      <c r="E2" s="310"/>
    </row>
    <row r="3" spans="1:13" x14ac:dyDescent="0.25">
      <c r="A3" s="16">
        <v>2</v>
      </c>
      <c r="B3" s="16">
        <v>10</v>
      </c>
      <c r="C3" s="16">
        <v>1</v>
      </c>
      <c r="D3" s="312">
        <v>63</v>
      </c>
      <c r="E3" s="312"/>
    </row>
    <row r="6" spans="1:13" x14ac:dyDescent="0.25">
      <c r="A6" s="15" t="s">
        <v>134</v>
      </c>
      <c r="B6" s="37">
        <v>10</v>
      </c>
      <c r="C6" s="32">
        <v>10</v>
      </c>
      <c r="D6" s="19">
        <f>((100/B6)*C6)/100</f>
        <v>1</v>
      </c>
      <c r="E6" s="20"/>
      <c r="J6" s="20"/>
    </row>
    <row r="7" spans="1:13" x14ac:dyDescent="0.25">
      <c r="A7" s="15" t="s">
        <v>135</v>
      </c>
      <c r="B7" s="37">
        <f>B3+C3+D3</f>
        <v>74</v>
      </c>
      <c r="C7" s="32">
        <f>9</f>
        <v>9</v>
      </c>
      <c r="D7" s="19">
        <f t="shared" ref="D7:D12" si="0">((100/B7)*C7)/100</f>
        <v>0.12162162162162161</v>
      </c>
      <c r="F7" s="313" t="s">
        <v>152</v>
      </c>
      <c r="G7" s="313"/>
      <c r="H7" s="33" t="s">
        <v>153</v>
      </c>
      <c r="J7" s="22"/>
    </row>
    <row r="8" spans="1:13" x14ac:dyDescent="0.25">
      <c r="A8" s="15" t="s">
        <v>140</v>
      </c>
      <c r="B8" s="37">
        <f>B3+D3</f>
        <v>73</v>
      </c>
      <c r="C8" s="32">
        <v>0</v>
      </c>
      <c r="D8" s="19">
        <f t="shared" si="0"/>
        <v>0</v>
      </c>
      <c r="E8" s="20"/>
      <c r="F8" s="311" t="s">
        <v>154</v>
      </c>
      <c r="G8" s="311"/>
      <c r="H8" s="31" t="s">
        <v>155</v>
      </c>
      <c r="J8" s="20"/>
    </row>
    <row r="9" spans="1:13" x14ac:dyDescent="0.25">
      <c r="A9" s="15" t="s">
        <v>142</v>
      </c>
      <c r="B9" s="37">
        <f>B3+D3</f>
        <v>73</v>
      </c>
      <c r="C9" s="32">
        <v>0</v>
      </c>
      <c r="D9" s="19">
        <f t="shared" si="0"/>
        <v>0</v>
      </c>
      <c r="E9" s="20"/>
      <c r="F9" s="311" t="s">
        <v>156</v>
      </c>
      <c r="G9" s="311"/>
      <c r="H9" s="31" t="s">
        <v>157</v>
      </c>
      <c r="J9" s="20"/>
    </row>
    <row r="10" spans="1:13" x14ac:dyDescent="0.25">
      <c r="A10" s="15" t="s">
        <v>43</v>
      </c>
      <c r="B10" s="37">
        <f>B3+D3</f>
        <v>73</v>
      </c>
      <c r="C10" s="32">
        <v>0</v>
      </c>
      <c r="D10" s="19">
        <f t="shared" si="0"/>
        <v>0</v>
      </c>
      <c r="E10" s="20"/>
      <c r="F10" s="311" t="s">
        <v>158</v>
      </c>
      <c r="G10" s="311"/>
      <c r="H10" s="31" t="s">
        <v>159</v>
      </c>
      <c r="J10" s="20"/>
    </row>
    <row r="11" spans="1:13" x14ac:dyDescent="0.25">
      <c r="A11" s="23" t="s">
        <v>138</v>
      </c>
      <c r="B11" s="37">
        <f>B3+D3</f>
        <v>73</v>
      </c>
      <c r="C11" s="32">
        <v>0</v>
      </c>
      <c r="D11" s="19">
        <f t="shared" si="0"/>
        <v>0</v>
      </c>
      <c r="E11" s="20"/>
      <c r="F11" s="311" t="s">
        <v>160</v>
      </c>
      <c r="G11" s="311"/>
      <c r="H11" s="31" t="s">
        <v>161</v>
      </c>
    </row>
    <row r="12" spans="1:13" x14ac:dyDescent="0.25">
      <c r="A12" s="15" t="s">
        <v>44</v>
      </c>
      <c r="B12" s="37">
        <f>B3+D3</f>
        <v>73</v>
      </c>
      <c r="C12" s="32">
        <v>0</v>
      </c>
      <c r="D12" s="19">
        <f t="shared" si="0"/>
        <v>0</v>
      </c>
      <c r="E12" s="20"/>
      <c r="F12" s="311" t="s">
        <v>162</v>
      </c>
      <c r="G12" s="311"/>
      <c r="H12" s="31" t="s">
        <v>130</v>
      </c>
    </row>
    <row r="13" spans="1:13" x14ac:dyDescent="0.25">
      <c r="F13" s="311" t="s">
        <v>163</v>
      </c>
      <c r="G13" s="311"/>
      <c r="H13" s="31" t="s">
        <v>164</v>
      </c>
    </row>
    <row r="14" spans="1:13" x14ac:dyDescent="0.25">
      <c r="A14" s="14" t="s">
        <v>144</v>
      </c>
      <c r="B14" s="24">
        <f>(B39+B40+B41+B42+B43+B44+B45)/100</f>
        <v>0.14864864864864866</v>
      </c>
      <c r="C14" s="24">
        <f>(C39+C40+C41+C42+C43+C44+C45)/100</f>
        <v>0.33648648648648644</v>
      </c>
      <c r="F14" s="311" t="s">
        <v>165</v>
      </c>
      <c r="G14" s="311"/>
      <c r="H14" s="31" t="s">
        <v>157</v>
      </c>
      <c r="M14" s="20"/>
    </row>
    <row r="15" spans="1:13" x14ac:dyDescent="0.25">
      <c r="F15" s="311" t="s">
        <v>166</v>
      </c>
      <c r="G15" s="311"/>
      <c r="H15" s="31" t="s">
        <v>167</v>
      </c>
    </row>
    <row r="16" spans="1:13" x14ac:dyDescent="0.25">
      <c r="A16" s="25" t="s">
        <v>168</v>
      </c>
      <c r="B16" s="26">
        <v>0.01</v>
      </c>
      <c r="C16" s="26">
        <v>0.02</v>
      </c>
      <c r="F16" s="311" t="s">
        <v>169</v>
      </c>
      <c r="G16" s="311"/>
      <c r="H16" s="31" t="s">
        <v>170</v>
      </c>
    </row>
    <row r="17" spans="1:3" x14ac:dyDescent="0.25">
      <c r="A17" s="25" t="s">
        <v>171</v>
      </c>
      <c r="B17" s="26">
        <v>0.01</v>
      </c>
      <c r="C17" s="26">
        <v>0.03</v>
      </c>
    </row>
    <row r="18" spans="1:3" x14ac:dyDescent="0.25">
      <c r="A18" s="25" t="s">
        <v>172</v>
      </c>
      <c r="B18" s="26">
        <v>0.03</v>
      </c>
      <c r="C18" s="26">
        <v>0.08</v>
      </c>
    </row>
    <row r="19" spans="1:3" x14ac:dyDescent="0.25">
      <c r="A19" s="25" t="s">
        <v>173</v>
      </c>
      <c r="B19" s="26">
        <v>0.05</v>
      </c>
      <c r="C19" s="26">
        <v>0.15</v>
      </c>
    </row>
    <row r="20" spans="1:3" x14ac:dyDescent="0.25">
      <c r="A20" s="25" t="s">
        <v>174</v>
      </c>
      <c r="B20" s="26">
        <v>7.0000000000000007E-2</v>
      </c>
      <c r="C20" s="26">
        <v>0.2</v>
      </c>
    </row>
    <row r="21" spans="1:3" x14ac:dyDescent="0.25">
      <c r="A21" s="25" t="s">
        <v>175</v>
      </c>
      <c r="B21" s="26">
        <v>0.1</v>
      </c>
      <c r="C21" s="26">
        <v>0.3</v>
      </c>
    </row>
    <row r="36" spans="1:13" x14ac:dyDescent="0.25">
      <c r="A36" s="15" t="s">
        <v>133</v>
      </c>
      <c r="B36" s="27" t="s">
        <v>176</v>
      </c>
      <c r="C36" s="27">
        <f>D3</f>
        <v>63</v>
      </c>
      <c r="D36" s="28"/>
    </row>
    <row r="38" spans="1:13" x14ac:dyDescent="0.25">
      <c r="A38" s="14"/>
      <c r="B38" s="14" t="s">
        <v>139</v>
      </c>
      <c r="C38" s="14" t="s">
        <v>143</v>
      </c>
      <c r="G38" s="14" t="s">
        <v>134</v>
      </c>
      <c r="H38" s="14" t="s">
        <v>136</v>
      </c>
      <c r="I38" s="14" t="s">
        <v>137</v>
      </c>
      <c r="J38" s="14" t="s">
        <v>37</v>
      </c>
      <c r="K38" s="14" t="s">
        <v>43</v>
      </c>
      <c r="L38" s="14" t="s">
        <v>138</v>
      </c>
      <c r="M38" s="14" t="s">
        <v>44</v>
      </c>
    </row>
    <row r="39" spans="1:13" x14ac:dyDescent="0.25">
      <c r="A39" s="14" t="s">
        <v>35</v>
      </c>
      <c r="B39" s="14">
        <f>G39</f>
        <v>10</v>
      </c>
      <c r="C39" s="14">
        <f>G40</f>
        <v>30</v>
      </c>
      <c r="E39" s="310" t="s">
        <v>139</v>
      </c>
      <c r="F39" s="310"/>
      <c r="G39" s="29">
        <f>C6</f>
        <v>10</v>
      </c>
      <c r="H39" s="29">
        <f>40/B7*C7</f>
        <v>4.8648648648648649</v>
      </c>
      <c r="I39" s="29">
        <f>15/B8*C8</f>
        <v>0</v>
      </c>
      <c r="J39" s="29">
        <f>10/B9*C9</f>
        <v>0</v>
      </c>
      <c r="K39" s="29">
        <f>10/B10*C10</f>
        <v>0</v>
      </c>
      <c r="L39" s="29">
        <f>5/B11*C11</f>
        <v>0</v>
      </c>
      <c r="M39" s="29">
        <f>5/B12*C12</f>
        <v>0</v>
      </c>
    </row>
    <row r="40" spans="1:13" x14ac:dyDescent="0.25">
      <c r="A40" s="14" t="s">
        <v>36</v>
      </c>
      <c r="B40" s="14">
        <f>H39</f>
        <v>4.8648648648648649</v>
      </c>
      <c r="C40" s="14">
        <f>H40</f>
        <v>3.6486486486486487</v>
      </c>
      <c r="E40" s="310" t="s">
        <v>141</v>
      </c>
      <c r="F40" s="310"/>
      <c r="G40" s="14">
        <f>G39+20</f>
        <v>30</v>
      </c>
      <c r="H40" s="14">
        <f>30/B7*C7</f>
        <v>3.6486486486486487</v>
      </c>
      <c r="I40" s="14">
        <f>15/B8*C8</f>
        <v>0</v>
      </c>
      <c r="J40" s="14">
        <f>10/B9*C9</f>
        <v>0</v>
      </c>
      <c r="K40" s="14">
        <f>5/B10*C10</f>
        <v>0</v>
      </c>
      <c r="L40" s="14">
        <f>5/B11*C11</f>
        <v>0</v>
      </c>
      <c r="M40" s="14">
        <f>5/B12*C12</f>
        <v>0</v>
      </c>
    </row>
    <row r="41" spans="1:13" x14ac:dyDescent="0.25">
      <c r="A41" s="14" t="s">
        <v>137</v>
      </c>
      <c r="B41" s="14">
        <f>I39</f>
        <v>0</v>
      </c>
      <c r="C41" s="14">
        <f>I40</f>
        <v>0</v>
      </c>
      <c r="M41" s="20"/>
    </row>
    <row r="42" spans="1:13" x14ac:dyDescent="0.25">
      <c r="A42" s="14" t="s">
        <v>37</v>
      </c>
      <c r="B42" s="14">
        <f>J39</f>
        <v>0</v>
      </c>
      <c r="C42" s="14">
        <f>J40</f>
        <v>0</v>
      </c>
      <c r="M42" s="20"/>
    </row>
    <row r="43" spans="1:13" x14ac:dyDescent="0.25">
      <c r="A43" s="14" t="s">
        <v>43</v>
      </c>
      <c r="B43" s="14">
        <f>K39</f>
        <v>0</v>
      </c>
      <c r="C43" s="14">
        <f>K40</f>
        <v>0</v>
      </c>
      <c r="M43" s="20"/>
    </row>
    <row r="44" spans="1:13" x14ac:dyDescent="0.25">
      <c r="A44" s="30" t="s">
        <v>138</v>
      </c>
      <c r="B44" s="14">
        <f>L39</f>
        <v>0</v>
      </c>
      <c r="C44" s="14">
        <f>L40</f>
        <v>0</v>
      </c>
      <c r="M44" s="20"/>
    </row>
    <row r="45" spans="1:13" x14ac:dyDescent="0.25">
      <c r="A45" s="14" t="s">
        <v>44</v>
      </c>
      <c r="B45" s="14">
        <f>M39</f>
        <v>0</v>
      </c>
      <c r="C45" s="14">
        <f>M40</f>
        <v>0</v>
      </c>
      <c r="M45" s="20"/>
    </row>
  </sheetData>
  <mergeCells count="14">
    <mergeCell ref="F10:G10"/>
    <mergeCell ref="D2:E2"/>
    <mergeCell ref="D3:E3"/>
    <mergeCell ref="F7:G7"/>
    <mergeCell ref="F8:G8"/>
    <mergeCell ref="F9:G9"/>
    <mergeCell ref="E39:F39"/>
    <mergeCell ref="E40:F40"/>
    <mergeCell ref="F11:G11"/>
    <mergeCell ref="F12:G12"/>
    <mergeCell ref="F13:G13"/>
    <mergeCell ref="F14:G14"/>
    <mergeCell ref="F15:G15"/>
    <mergeCell ref="F16:G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workbookViewId="0">
      <selection activeCell="C7" sqref="C7"/>
    </sheetView>
  </sheetViews>
  <sheetFormatPr defaultColWidth="9.140625" defaultRowHeight="15" x14ac:dyDescent="0.25"/>
  <cols>
    <col min="1" max="1" width="20.5703125" style="15" customWidth="1"/>
    <col min="2" max="2" width="11.7109375" style="15" customWidth="1"/>
    <col min="3" max="4" width="9.140625" style="15"/>
    <col min="5" max="5" width="10.140625" style="15" customWidth="1"/>
    <col min="6" max="6" width="10.7109375" style="15" customWidth="1"/>
    <col min="7" max="7" width="9.140625" style="15"/>
    <col min="8" max="8" width="10.42578125" style="15" customWidth="1"/>
    <col min="9" max="9" width="15.42578125" style="15" customWidth="1"/>
    <col min="10" max="16384" width="9.140625" style="15"/>
  </cols>
  <sheetData>
    <row r="2" spans="1:13" x14ac:dyDescent="0.25">
      <c r="A2" s="14" t="s">
        <v>148</v>
      </c>
      <c r="B2" s="14" t="s">
        <v>149</v>
      </c>
      <c r="C2" s="14" t="s">
        <v>150</v>
      </c>
      <c r="D2" s="310" t="s">
        <v>151</v>
      </c>
      <c r="E2" s="310"/>
    </row>
    <row r="3" spans="1:13" x14ac:dyDescent="0.25">
      <c r="A3" s="16">
        <v>2</v>
      </c>
      <c r="B3" s="16">
        <v>10</v>
      </c>
      <c r="C3" s="16">
        <v>1</v>
      </c>
      <c r="D3" s="312">
        <v>63</v>
      </c>
      <c r="E3" s="312"/>
    </row>
    <row r="6" spans="1:13" x14ac:dyDescent="0.25">
      <c r="A6" s="15" t="s">
        <v>134</v>
      </c>
      <c r="B6" s="37">
        <v>10</v>
      </c>
      <c r="C6" s="32">
        <v>10</v>
      </c>
      <c r="D6" s="19">
        <f>((100/B6)*C6)/100</f>
        <v>1</v>
      </c>
      <c r="E6" s="20"/>
      <c r="J6" s="20"/>
    </row>
    <row r="7" spans="1:13" x14ac:dyDescent="0.25">
      <c r="A7" s="15" t="s">
        <v>135</v>
      </c>
      <c r="B7" s="37">
        <f>B3+C3+D3</f>
        <v>74</v>
      </c>
      <c r="C7" s="32">
        <v>0</v>
      </c>
      <c r="D7" s="19">
        <f t="shared" ref="D7:D12" si="0">((100/B7)*C7)/100</f>
        <v>0</v>
      </c>
      <c r="F7" s="313" t="s">
        <v>152</v>
      </c>
      <c r="G7" s="313"/>
      <c r="H7" s="33" t="s">
        <v>153</v>
      </c>
      <c r="J7" s="22"/>
    </row>
    <row r="8" spans="1:13" x14ac:dyDescent="0.25">
      <c r="A8" s="15" t="s">
        <v>140</v>
      </c>
      <c r="B8" s="37">
        <f>B3+D3</f>
        <v>73</v>
      </c>
      <c r="C8" s="32">
        <v>0</v>
      </c>
      <c r="D8" s="19">
        <f t="shared" si="0"/>
        <v>0</v>
      </c>
      <c r="E8" s="20"/>
      <c r="F8" s="311" t="s">
        <v>154</v>
      </c>
      <c r="G8" s="311"/>
      <c r="H8" s="31" t="s">
        <v>155</v>
      </c>
      <c r="J8" s="20"/>
    </row>
    <row r="9" spans="1:13" x14ac:dyDescent="0.25">
      <c r="A9" s="15" t="s">
        <v>142</v>
      </c>
      <c r="B9" s="37">
        <f>B3+D3</f>
        <v>73</v>
      </c>
      <c r="C9" s="32">
        <v>0</v>
      </c>
      <c r="D9" s="19">
        <f t="shared" si="0"/>
        <v>0</v>
      </c>
      <c r="E9" s="20"/>
      <c r="F9" s="311" t="s">
        <v>156</v>
      </c>
      <c r="G9" s="311"/>
      <c r="H9" s="31" t="s">
        <v>157</v>
      </c>
      <c r="J9" s="20"/>
    </row>
    <row r="10" spans="1:13" x14ac:dyDescent="0.25">
      <c r="A10" s="15" t="s">
        <v>43</v>
      </c>
      <c r="B10" s="37">
        <f>B3+D3</f>
        <v>73</v>
      </c>
      <c r="C10" s="32">
        <v>0</v>
      </c>
      <c r="D10" s="19">
        <f t="shared" si="0"/>
        <v>0</v>
      </c>
      <c r="E10" s="20"/>
      <c r="F10" s="311" t="s">
        <v>158</v>
      </c>
      <c r="G10" s="311"/>
      <c r="H10" s="31" t="s">
        <v>159</v>
      </c>
      <c r="J10" s="20"/>
    </row>
    <row r="11" spans="1:13" x14ac:dyDescent="0.25">
      <c r="A11" s="23" t="s">
        <v>138</v>
      </c>
      <c r="B11" s="37">
        <f>B3+D3</f>
        <v>73</v>
      </c>
      <c r="C11" s="32">
        <v>0</v>
      </c>
      <c r="D11" s="19">
        <f t="shared" si="0"/>
        <v>0</v>
      </c>
      <c r="E11" s="20"/>
      <c r="F11" s="311" t="s">
        <v>160</v>
      </c>
      <c r="G11" s="311"/>
      <c r="H11" s="31" t="s">
        <v>161</v>
      </c>
    </row>
    <row r="12" spans="1:13" x14ac:dyDescent="0.25">
      <c r="A12" s="15" t="s">
        <v>44</v>
      </c>
      <c r="B12" s="37">
        <f>B3+D3</f>
        <v>73</v>
      </c>
      <c r="C12" s="32">
        <v>0</v>
      </c>
      <c r="D12" s="19">
        <f t="shared" si="0"/>
        <v>0</v>
      </c>
      <c r="E12" s="20"/>
      <c r="F12" s="311" t="s">
        <v>162</v>
      </c>
      <c r="G12" s="311"/>
      <c r="H12" s="31" t="s">
        <v>130</v>
      </c>
    </row>
    <row r="13" spans="1:13" x14ac:dyDescent="0.25">
      <c r="F13" s="311" t="s">
        <v>163</v>
      </c>
      <c r="G13" s="311"/>
      <c r="H13" s="31" t="s">
        <v>164</v>
      </c>
    </row>
    <row r="14" spans="1:13" x14ac:dyDescent="0.25">
      <c r="A14" s="14" t="s">
        <v>144</v>
      </c>
      <c r="B14" s="24">
        <f>(B39+B40+B41+B42+B43+B44+B45)/100</f>
        <v>0.1</v>
      </c>
      <c r="C14" s="24">
        <f>(C39+C40+C41+C42+C43+C44+C45)/100</f>
        <v>0.3</v>
      </c>
      <c r="F14" s="311" t="s">
        <v>165</v>
      </c>
      <c r="G14" s="311"/>
      <c r="H14" s="31" t="s">
        <v>157</v>
      </c>
      <c r="M14" s="20"/>
    </row>
    <row r="15" spans="1:13" x14ac:dyDescent="0.25">
      <c r="F15" s="311" t="s">
        <v>166</v>
      </c>
      <c r="G15" s="311"/>
      <c r="H15" s="31" t="s">
        <v>167</v>
      </c>
    </row>
    <row r="16" spans="1:13" x14ac:dyDescent="0.25">
      <c r="A16" s="25" t="s">
        <v>168</v>
      </c>
      <c r="B16" s="26">
        <v>0.01</v>
      </c>
      <c r="C16" s="26">
        <v>0.02</v>
      </c>
      <c r="F16" s="311" t="s">
        <v>169</v>
      </c>
      <c r="G16" s="311"/>
      <c r="H16" s="31" t="s">
        <v>170</v>
      </c>
    </row>
    <row r="17" spans="1:3" x14ac:dyDescent="0.25">
      <c r="A17" s="25" t="s">
        <v>171</v>
      </c>
      <c r="B17" s="26">
        <v>0.01</v>
      </c>
      <c r="C17" s="26">
        <v>0.03</v>
      </c>
    </row>
    <row r="18" spans="1:3" x14ac:dyDescent="0.25">
      <c r="A18" s="25" t="s">
        <v>172</v>
      </c>
      <c r="B18" s="26">
        <v>0.03</v>
      </c>
      <c r="C18" s="26">
        <v>0.08</v>
      </c>
    </row>
    <row r="19" spans="1:3" x14ac:dyDescent="0.25">
      <c r="A19" s="25" t="s">
        <v>173</v>
      </c>
      <c r="B19" s="26">
        <v>0.05</v>
      </c>
      <c r="C19" s="26">
        <v>0.15</v>
      </c>
    </row>
    <row r="20" spans="1:3" x14ac:dyDescent="0.25">
      <c r="A20" s="25" t="s">
        <v>174</v>
      </c>
      <c r="B20" s="26">
        <v>7.0000000000000007E-2</v>
      </c>
      <c r="C20" s="26">
        <v>0.2</v>
      </c>
    </row>
    <row r="21" spans="1:3" x14ac:dyDescent="0.25">
      <c r="A21" s="25" t="s">
        <v>175</v>
      </c>
      <c r="B21" s="26">
        <v>0.1</v>
      </c>
      <c r="C21" s="26">
        <v>0.3</v>
      </c>
    </row>
    <row r="36" spans="1:13" x14ac:dyDescent="0.25">
      <c r="A36" s="15" t="s">
        <v>133</v>
      </c>
      <c r="B36" s="27" t="s">
        <v>176</v>
      </c>
      <c r="C36" s="27">
        <f>D3</f>
        <v>63</v>
      </c>
      <c r="D36" s="28"/>
    </row>
    <row r="38" spans="1:13" x14ac:dyDescent="0.25">
      <c r="A38" s="14"/>
      <c r="B38" s="14" t="s">
        <v>139</v>
      </c>
      <c r="C38" s="14" t="s">
        <v>143</v>
      </c>
      <c r="G38" s="14" t="s">
        <v>134</v>
      </c>
      <c r="H38" s="14" t="s">
        <v>136</v>
      </c>
      <c r="I38" s="14" t="s">
        <v>137</v>
      </c>
      <c r="J38" s="14" t="s">
        <v>37</v>
      </c>
      <c r="K38" s="14" t="s">
        <v>43</v>
      </c>
      <c r="L38" s="14" t="s">
        <v>138</v>
      </c>
      <c r="M38" s="14" t="s">
        <v>44</v>
      </c>
    </row>
    <row r="39" spans="1:13" x14ac:dyDescent="0.25">
      <c r="A39" s="14" t="s">
        <v>35</v>
      </c>
      <c r="B39" s="14">
        <f>G39</f>
        <v>10</v>
      </c>
      <c r="C39" s="14">
        <f>G40</f>
        <v>30</v>
      </c>
      <c r="E39" s="310" t="s">
        <v>139</v>
      </c>
      <c r="F39" s="310"/>
      <c r="G39" s="29">
        <f>C6</f>
        <v>10</v>
      </c>
      <c r="H39" s="29">
        <f>40/B7*C7</f>
        <v>0</v>
      </c>
      <c r="I39" s="29">
        <f>15/B8*C8</f>
        <v>0</v>
      </c>
      <c r="J39" s="29">
        <f>10/B9*C9</f>
        <v>0</v>
      </c>
      <c r="K39" s="29">
        <f>10/B10*C10</f>
        <v>0</v>
      </c>
      <c r="L39" s="29">
        <f>5/B11*C11</f>
        <v>0</v>
      </c>
      <c r="M39" s="29">
        <f>5/B12*C12</f>
        <v>0</v>
      </c>
    </row>
    <row r="40" spans="1:13" x14ac:dyDescent="0.25">
      <c r="A40" s="14" t="s">
        <v>36</v>
      </c>
      <c r="B40" s="14">
        <f>H39</f>
        <v>0</v>
      </c>
      <c r="C40" s="14">
        <f>H40</f>
        <v>0</v>
      </c>
      <c r="E40" s="310" t="s">
        <v>141</v>
      </c>
      <c r="F40" s="310"/>
      <c r="G40" s="14">
        <f>G39+20</f>
        <v>30</v>
      </c>
      <c r="H40" s="14">
        <f>30/B7*C7</f>
        <v>0</v>
      </c>
      <c r="I40" s="14">
        <f>15/B8*C8</f>
        <v>0</v>
      </c>
      <c r="J40" s="14">
        <f>10/B9*C9</f>
        <v>0</v>
      </c>
      <c r="K40" s="14">
        <f>5/B10*C10</f>
        <v>0</v>
      </c>
      <c r="L40" s="14">
        <f>5/B11*C11</f>
        <v>0</v>
      </c>
      <c r="M40" s="14">
        <f>5/B12*C12</f>
        <v>0</v>
      </c>
    </row>
    <row r="41" spans="1:13" x14ac:dyDescent="0.25">
      <c r="A41" s="14" t="s">
        <v>137</v>
      </c>
      <c r="B41" s="14">
        <f>I39</f>
        <v>0</v>
      </c>
      <c r="C41" s="14">
        <f>I40</f>
        <v>0</v>
      </c>
      <c r="M41" s="20"/>
    </row>
    <row r="42" spans="1:13" x14ac:dyDescent="0.25">
      <c r="A42" s="14" t="s">
        <v>37</v>
      </c>
      <c r="B42" s="14">
        <f>J39</f>
        <v>0</v>
      </c>
      <c r="C42" s="14">
        <f>J40</f>
        <v>0</v>
      </c>
      <c r="M42" s="20"/>
    </row>
    <row r="43" spans="1:13" x14ac:dyDescent="0.25">
      <c r="A43" s="14" t="s">
        <v>43</v>
      </c>
      <c r="B43" s="14">
        <f>K39</f>
        <v>0</v>
      </c>
      <c r="C43" s="14">
        <f>K40</f>
        <v>0</v>
      </c>
      <c r="M43" s="20"/>
    </row>
    <row r="44" spans="1:13" x14ac:dyDescent="0.25">
      <c r="A44" s="30" t="s">
        <v>138</v>
      </c>
      <c r="B44" s="14">
        <f>L39</f>
        <v>0</v>
      </c>
      <c r="C44" s="14">
        <f>L40</f>
        <v>0</v>
      </c>
      <c r="M44" s="20"/>
    </row>
    <row r="45" spans="1:13" x14ac:dyDescent="0.25">
      <c r="A45" s="14" t="s">
        <v>44</v>
      </c>
      <c r="B45" s="14">
        <f>M39</f>
        <v>0</v>
      </c>
      <c r="C45" s="14">
        <f>M40</f>
        <v>0</v>
      </c>
      <c r="M45" s="20"/>
    </row>
  </sheetData>
  <mergeCells count="14">
    <mergeCell ref="F10:G10"/>
    <mergeCell ref="E39:F39"/>
    <mergeCell ref="E40:F40"/>
    <mergeCell ref="F11:G11"/>
    <mergeCell ref="F12:G12"/>
    <mergeCell ref="F13:G13"/>
    <mergeCell ref="F14:G14"/>
    <mergeCell ref="F15:G15"/>
    <mergeCell ref="F16:G16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workbookViewId="0">
      <selection activeCell="F36" sqref="F36"/>
    </sheetView>
  </sheetViews>
  <sheetFormatPr defaultRowHeight="15" x14ac:dyDescent="0.25"/>
  <sheetData>
    <row r="2" spans="2:13" x14ac:dyDescent="0.25">
      <c r="C2" s="7" t="s">
        <v>95</v>
      </c>
      <c r="D2" s="314"/>
      <c r="E2" s="314"/>
    </row>
    <row r="3" spans="2:13" x14ac:dyDescent="0.25">
      <c r="E3" s="6"/>
      <c r="F3" s="6"/>
      <c r="G3" s="6"/>
      <c r="H3" s="6"/>
      <c r="I3" s="6"/>
      <c r="J3" s="6"/>
    </row>
    <row r="4" spans="2:13" x14ac:dyDescent="0.25">
      <c r="B4" s="7" t="s">
        <v>96</v>
      </c>
      <c r="C4" s="5" t="s">
        <v>76</v>
      </c>
      <c r="D4" s="315" t="s">
        <v>77</v>
      </c>
      <c r="E4" s="315"/>
      <c r="F4" s="315"/>
      <c r="G4" s="8"/>
      <c r="H4" s="315" t="s">
        <v>78</v>
      </c>
      <c r="I4" s="315"/>
      <c r="J4" s="315"/>
      <c r="K4" s="315" t="s">
        <v>79</v>
      </c>
      <c r="L4" s="315"/>
      <c r="M4" s="315"/>
    </row>
    <row r="5" spans="2:13" x14ac:dyDescent="0.25">
      <c r="B5" s="7">
        <v>1</v>
      </c>
      <c r="C5" s="5"/>
      <c r="D5" s="5" t="s">
        <v>80</v>
      </c>
      <c r="E5" s="5" t="s">
        <v>81</v>
      </c>
      <c r="F5" s="5" t="s">
        <v>82</v>
      </c>
      <c r="G5" s="5"/>
      <c r="H5" s="5" t="s">
        <v>80</v>
      </c>
      <c r="I5" s="5" t="s">
        <v>81</v>
      </c>
      <c r="J5" s="5" t="s">
        <v>82</v>
      </c>
      <c r="K5" s="5" t="s">
        <v>80</v>
      </c>
      <c r="L5" s="5" t="s">
        <v>81</v>
      </c>
      <c r="M5" s="5" t="s">
        <v>82</v>
      </c>
    </row>
    <row r="6" spans="2:13" x14ac:dyDescent="0.25">
      <c r="C6" s="4" t="s">
        <v>83</v>
      </c>
      <c r="D6" s="4">
        <v>3.35</v>
      </c>
      <c r="E6" s="4">
        <v>4.5199999999999996</v>
      </c>
      <c r="F6" s="4">
        <f>D6*E6</f>
        <v>15.141999999999999</v>
      </c>
      <c r="G6" s="4" t="s">
        <v>98</v>
      </c>
      <c r="H6" s="4">
        <v>1.99</v>
      </c>
      <c r="I6" s="4">
        <v>0.99</v>
      </c>
      <c r="J6" s="4">
        <f>H6*I6</f>
        <v>1.9701</v>
      </c>
      <c r="K6" s="4"/>
      <c r="L6" s="4"/>
      <c r="M6" s="4">
        <f>K6*L6</f>
        <v>0</v>
      </c>
    </row>
    <row r="7" spans="2:13" x14ac:dyDescent="0.25">
      <c r="C7" s="4"/>
      <c r="D7" s="4"/>
      <c r="E7" s="4"/>
      <c r="F7" s="4">
        <f t="shared" ref="F7:F33" si="0">D7*E7</f>
        <v>0</v>
      </c>
      <c r="G7" s="4" t="s">
        <v>99</v>
      </c>
      <c r="H7" s="4"/>
      <c r="I7" s="4"/>
      <c r="J7" s="4">
        <f t="shared" ref="J7:J29" si="1">H7*I7</f>
        <v>0</v>
      </c>
      <c r="K7" s="4"/>
      <c r="L7" s="4"/>
      <c r="M7" s="4">
        <f t="shared" ref="M7:M29" si="2">K7*L7</f>
        <v>0</v>
      </c>
    </row>
    <row r="8" spans="2:13" x14ac:dyDescent="0.25">
      <c r="C8" s="4"/>
      <c r="D8" s="4"/>
      <c r="E8" s="4"/>
      <c r="F8" s="4">
        <f t="shared" si="0"/>
        <v>0</v>
      </c>
      <c r="G8" s="4"/>
      <c r="H8" s="4"/>
      <c r="I8" s="4"/>
      <c r="J8" s="4">
        <f t="shared" si="1"/>
        <v>0</v>
      </c>
      <c r="K8" s="4"/>
      <c r="L8" s="4"/>
      <c r="M8" s="4">
        <f t="shared" si="2"/>
        <v>0</v>
      </c>
    </row>
    <row r="9" spans="2:13" x14ac:dyDescent="0.25">
      <c r="C9" s="4" t="s">
        <v>86</v>
      </c>
      <c r="D9" s="4">
        <v>2.44</v>
      </c>
      <c r="E9" s="4">
        <v>2.44</v>
      </c>
      <c r="F9" s="4">
        <f t="shared" si="0"/>
        <v>5.9535999999999998</v>
      </c>
      <c r="G9" s="4" t="s">
        <v>98</v>
      </c>
      <c r="H9" s="4"/>
      <c r="I9" s="4"/>
      <c r="J9" s="4">
        <f t="shared" si="1"/>
        <v>0</v>
      </c>
      <c r="K9" s="4"/>
      <c r="L9" s="4"/>
      <c r="M9" s="4">
        <f t="shared" si="2"/>
        <v>0</v>
      </c>
    </row>
    <row r="10" spans="2:13" x14ac:dyDescent="0.25">
      <c r="C10" s="4"/>
      <c r="D10" s="4"/>
      <c r="E10" s="4"/>
      <c r="F10" s="4">
        <f t="shared" si="0"/>
        <v>0</v>
      </c>
      <c r="G10" s="4" t="s">
        <v>99</v>
      </c>
      <c r="H10" s="4"/>
      <c r="I10" s="4"/>
      <c r="J10" s="4">
        <f t="shared" si="1"/>
        <v>0</v>
      </c>
      <c r="K10" s="4"/>
      <c r="L10" s="4"/>
      <c r="M10" s="4">
        <f t="shared" si="2"/>
        <v>0</v>
      </c>
    </row>
    <row r="11" spans="2:13" x14ac:dyDescent="0.25">
      <c r="C11" s="4"/>
      <c r="D11" s="4"/>
      <c r="E11" s="4"/>
      <c r="F11" s="4">
        <f t="shared" si="0"/>
        <v>0</v>
      </c>
      <c r="G11" s="4"/>
      <c r="H11" s="4"/>
      <c r="I11" s="4"/>
      <c r="J11" s="4">
        <f t="shared" si="1"/>
        <v>0</v>
      </c>
      <c r="K11" s="4"/>
      <c r="L11" s="4"/>
      <c r="M11" s="4">
        <f t="shared" si="2"/>
        <v>0</v>
      </c>
    </row>
    <row r="12" spans="2:13" x14ac:dyDescent="0.25">
      <c r="C12" s="4"/>
      <c r="D12" s="4"/>
      <c r="E12" s="4"/>
      <c r="F12" s="4">
        <f t="shared" si="0"/>
        <v>0</v>
      </c>
      <c r="G12" s="4"/>
      <c r="H12" s="4"/>
      <c r="I12" s="4"/>
      <c r="J12" s="4">
        <f t="shared" si="1"/>
        <v>0</v>
      </c>
      <c r="K12" s="4"/>
      <c r="L12" s="4"/>
      <c r="M12" s="4">
        <f t="shared" si="2"/>
        <v>0</v>
      </c>
    </row>
    <row r="13" spans="2:13" x14ac:dyDescent="0.25">
      <c r="C13" s="4" t="s">
        <v>84</v>
      </c>
      <c r="D13" s="4">
        <v>3.76</v>
      </c>
      <c r="E13" s="4">
        <v>3.25</v>
      </c>
      <c r="F13" s="4">
        <f t="shared" si="0"/>
        <v>12.219999999999999</v>
      </c>
      <c r="G13" s="4" t="s">
        <v>98</v>
      </c>
      <c r="H13" s="4"/>
      <c r="I13" s="4"/>
      <c r="J13" s="4">
        <f t="shared" si="1"/>
        <v>0</v>
      </c>
      <c r="K13" s="4"/>
      <c r="L13" s="4"/>
      <c r="M13" s="4">
        <f t="shared" si="2"/>
        <v>0</v>
      </c>
    </row>
    <row r="14" spans="2:13" x14ac:dyDescent="0.25">
      <c r="C14" s="4"/>
      <c r="D14" s="4"/>
      <c r="E14" s="4"/>
      <c r="F14" s="4">
        <f t="shared" si="0"/>
        <v>0</v>
      </c>
      <c r="G14" s="4" t="s">
        <v>99</v>
      </c>
      <c r="H14" s="4"/>
      <c r="I14" s="4"/>
      <c r="J14" s="4">
        <f t="shared" si="1"/>
        <v>0</v>
      </c>
      <c r="K14" s="4"/>
      <c r="L14" s="4"/>
      <c r="M14" s="4">
        <f t="shared" si="2"/>
        <v>0</v>
      </c>
    </row>
    <row r="15" spans="2:13" x14ac:dyDescent="0.25">
      <c r="C15" s="4"/>
      <c r="D15" s="4"/>
      <c r="E15" s="4"/>
      <c r="F15" s="4">
        <f t="shared" si="0"/>
        <v>0</v>
      </c>
      <c r="G15" s="4"/>
      <c r="H15" s="4"/>
      <c r="I15" s="4"/>
      <c r="J15" s="4">
        <f t="shared" si="1"/>
        <v>0</v>
      </c>
      <c r="K15" s="4"/>
      <c r="L15" s="4"/>
      <c r="M15" s="4">
        <f t="shared" si="2"/>
        <v>0</v>
      </c>
    </row>
    <row r="16" spans="2:13" x14ac:dyDescent="0.25">
      <c r="C16" s="4"/>
      <c r="D16" s="4"/>
      <c r="E16" s="4"/>
      <c r="F16" s="4">
        <f t="shared" si="0"/>
        <v>0</v>
      </c>
      <c r="G16" s="4"/>
      <c r="H16" s="4"/>
      <c r="I16" s="4"/>
      <c r="J16" s="4">
        <f t="shared" si="1"/>
        <v>0</v>
      </c>
      <c r="K16" s="4"/>
      <c r="L16" s="4"/>
      <c r="M16" s="4">
        <f t="shared" si="2"/>
        <v>0</v>
      </c>
    </row>
    <row r="17" spans="3:13" x14ac:dyDescent="0.25">
      <c r="C17" s="4" t="s">
        <v>85</v>
      </c>
      <c r="D17" s="4">
        <v>3.2</v>
      </c>
      <c r="E17" s="4">
        <v>3.46</v>
      </c>
      <c r="F17" s="4">
        <f t="shared" si="0"/>
        <v>11.072000000000001</v>
      </c>
      <c r="G17" s="4" t="s">
        <v>98</v>
      </c>
      <c r="H17" s="4"/>
      <c r="I17" s="4"/>
      <c r="J17" s="4">
        <f t="shared" si="1"/>
        <v>0</v>
      </c>
      <c r="K17" s="4"/>
      <c r="L17" s="4"/>
      <c r="M17" s="4">
        <f t="shared" si="2"/>
        <v>0</v>
      </c>
    </row>
    <row r="18" spans="3:13" x14ac:dyDescent="0.25">
      <c r="C18" s="4"/>
      <c r="D18" s="4"/>
      <c r="E18" s="4"/>
      <c r="F18" s="4">
        <f t="shared" si="0"/>
        <v>0</v>
      </c>
      <c r="G18" s="4" t="s">
        <v>99</v>
      </c>
      <c r="H18" s="4"/>
      <c r="I18" s="4"/>
      <c r="J18" s="4">
        <f t="shared" si="1"/>
        <v>0</v>
      </c>
      <c r="K18" s="4"/>
      <c r="L18" s="4"/>
      <c r="M18" s="4">
        <f t="shared" si="2"/>
        <v>0</v>
      </c>
    </row>
    <row r="19" spans="3:13" x14ac:dyDescent="0.25">
      <c r="C19" s="4"/>
      <c r="D19" s="4"/>
      <c r="E19" s="4"/>
      <c r="F19" s="4">
        <f t="shared" si="0"/>
        <v>0</v>
      </c>
      <c r="G19" s="4"/>
      <c r="H19" s="4"/>
      <c r="I19" s="4"/>
      <c r="J19" s="4">
        <f t="shared" si="1"/>
        <v>0</v>
      </c>
      <c r="K19" s="4"/>
      <c r="L19" s="4"/>
      <c r="M19" s="4">
        <f t="shared" si="2"/>
        <v>0</v>
      </c>
    </row>
    <row r="20" spans="3:13" x14ac:dyDescent="0.25">
      <c r="C20" s="4" t="s">
        <v>85</v>
      </c>
      <c r="D20" s="4"/>
      <c r="E20" s="4"/>
      <c r="F20" s="4">
        <f t="shared" si="0"/>
        <v>0</v>
      </c>
      <c r="G20" s="4" t="s">
        <v>98</v>
      </c>
      <c r="H20" s="4"/>
      <c r="I20" s="4"/>
      <c r="J20" s="4">
        <f t="shared" si="1"/>
        <v>0</v>
      </c>
      <c r="K20" s="4"/>
      <c r="L20" s="4"/>
      <c r="M20" s="4">
        <f t="shared" si="2"/>
        <v>0</v>
      </c>
    </row>
    <row r="21" spans="3:13" x14ac:dyDescent="0.25">
      <c r="C21" s="4"/>
      <c r="D21" s="4"/>
      <c r="E21" s="4"/>
      <c r="F21" s="4">
        <f t="shared" si="0"/>
        <v>0</v>
      </c>
      <c r="G21" s="4" t="s">
        <v>99</v>
      </c>
      <c r="H21" s="4"/>
      <c r="I21" s="4"/>
      <c r="J21" s="4">
        <f t="shared" si="1"/>
        <v>0</v>
      </c>
      <c r="K21" s="4"/>
      <c r="L21" s="4"/>
      <c r="M21" s="4">
        <f t="shared" si="2"/>
        <v>0</v>
      </c>
    </row>
    <row r="22" spans="3:13" x14ac:dyDescent="0.25">
      <c r="C22" s="4"/>
      <c r="D22" s="4"/>
      <c r="E22" s="4"/>
      <c r="F22" s="4">
        <f t="shared" si="0"/>
        <v>0</v>
      </c>
      <c r="G22" s="4"/>
      <c r="H22" s="4"/>
      <c r="I22" s="4"/>
      <c r="J22" s="4">
        <f t="shared" si="1"/>
        <v>0</v>
      </c>
      <c r="K22" s="4"/>
      <c r="L22" s="4"/>
      <c r="M22" s="4">
        <f t="shared" si="2"/>
        <v>0</v>
      </c>
    </row>
    <row r="23" spans="3:13" x14ac:dyDescent="0.25">
      <c r="C23" s="4" t="s">
        <v>91</v>
      </c>
      <c r="D23" s="4">
        <v>1.52</v>
      </c>
      <c r="E23" s="4">
        <v>2.44</v>
      </c>
      <c r="F23" s="4">
        <f t="shared" si="0"/>
        <v>3.7088000000000001</v>
      </c>
      <c r="G23" s="4" t="s">
        <v>100</v>
      </c>
      <c r="H23" s="4"/>
      <c r="I23" s="4"/>
      <c r="J23" s="4">
        <f t="shared" si="1"/>
        <v>0</v>
      </c>
      <c r="K23" s="4"/>
      <c r="L23" s="4"/>
      <c r="M23" s="4">
        <f t="shared" si="2"/>
        <v>0</v>
      </c>
    </row>
    <row r="24" spans="3:13" x14ac:dyDescent="0.25">
      <c r="C24" s="4" t="s">
        <v>92</v>
      </c>
      <c r="D24" s="4">
        <v>2.44</v>
      </c>
      <c r="E24" s="4">
        <v>1.53</v>
      </c>
      <c r="F24" s="4">
        <f t="shared" si="0"/>
        <v>3.7332000000000001</v>
      </c>
      <c r="G24" s="4" t="s">
        <v>100</v>
      </c>
      <c r="H24" s="4"/>
      <c r="I24" s="4"/>
      <c r="J24" s="4">
        <f t="shared" si="1"/>
        <v>0</v>
      </c>
      <c r="K24" s="4"/>
      <c r="L24" s="4"/>
      <c r="M24" s="4">
        <f t="shared" si="2"/>
        <v>0</v>
      </c>
    </row>
    <row r="25" spans="3:13" x14ac:dyDescent="0.25">
      <c r="C25" s="4" t="s">
        <v>93</v>
      </c>
      <c r="D25" s="4"/>
      <c r="E25" s="4"/>
      <c r="F25" s="4">
        <f t="shared" si="0"/>
        <v>0</v>
      </c>
      <c r="G25" s="4" t="s">
        <v>100</v>
      </c>
      <c r="H25" s="4"/>
      <c r="I25" s="4"/>
      <c r="J25" s="4">
        <f t="shared" si="1"/>
        <v>0</v>
      </c>
      <c r="K25" s="4"/>
      <c r="L25" s="4"/>
      <c r="M25" s="4">
        <f t="shared" si="2"/>
        <v>0</v>
      </c>
    </row>
    <row r="26" spans="3:13" x14ac:dyDescent="0.25">
      <c r="C26" s="4"/>
      <c r="D26" s="4"/>
      <c r="E26" s="4"/>
      <c r="F26" s="4">
        <f t="shared" si="0"/>
        <v>0</v>
      </c>
      <c r="G26" s="4"/>
      <c r="H26" s="4"/>
      <c r="I26" s="4"/>
      <c r="J26" s="4">
        <f t="shared" si="1"/>
        <v>0</v>
      </c>
      <c r="K26" s="4"/>
      <c r="L26" s="4"/>
      <c r="M26" s="4">
        <f t="shared" si="2"/>
        <v>0</v>
      </c>
    </row>
    <row r="27" spans="3:13" x14ac:dyDescent="0.25">
      <c r="C27" s="4" t="s">
        <v>87</v>
      </c>
      <c r="D27" s="4">
        <v>1</v>
      </c>
      <c r="E27" s="4">
        <v>1.99</v>
      </c>
      <c r="F27" s="4">
        <f t="shared" si="0"/>
        <v>1.99</v>
      </c>
      <c r="G27" s="4"/>
      <c r="H27" s="4"/>
      <c r="I27" s="4"/>
      <c r="J27" s="4">
        <f t="shared" si="1"/>
        <v>0</v>
      </c>
      <c r="K27" s="4"/>
      <c r="L27" s="4"/>
      <c r="M27" s="4">
        <f t="shared" si="2"/>
        <v>0</v>
      </c>
    </row>
    <row r="28" spans="3:13" x14ac:dyDescent="0.25">
      <c r="C28" s="4" t="s">
        <v>88</v>
      </c>
      <c r="D28" s="4">
        <v>1.54</v>
      </c>
      <c r="E28" s="4">
        <v>0.99</v>
      </c>
      <c r="F28" s="4">
        <f t="shared" si="0"/>
        <v>1.5246</v>
      </c>
      <c r="G28" s="4"/>
      <c r="H28" s="4"/>
      <c r="I28" s="4"/>
      <c r="J28" s="4">
        <f t="shared" si="1"/>
        <v>0</v>
      </c>
      <c r="K28" s="4"/>
      <c r="L28" s="4"/>
      <c r="M28" s="4">
        <f t="shared" si="2"/>
        <v>0</v>
      </c>
    </row>
    <row r="29" spans="3:13" x14ac:dyDescent="0.25">
      <c r="C29" s="4" t="s">
        <v>89</v>
      </c>
      <c r="D29" s="4">
        <v>1.35</v>
      </c>
      <c r="E29" s="4">
        <v>0.57999999999999996</v>
      </c>
      <c r="F29" s="4">
        <f t="shared" si="0"/>
        <v>0.78300000000000003</v>
      </c>
      <c r="G29" s="4"/>
      <c r="H29" s="4"/>
      <c r="I29" s="4"/>
      <c r="J29" s="4">
        <f t="shared" si="1"/>
        <v>0</v>
      </c>
      <c r="K29" s="4"/>
      <c r="L29" s="4"/>
      <c r="M29" s="4">
        <f t="shared" si="2"/>
        <v>0</v>
      </c>
    </row>
    <row r="30" spans="3:13" x14ac:dyDescent="0.25">
      <c r="C30" s="4" t="s">
        <v>90</v>
      </c>
      <c r="D30" s="4">
        <v>3.39</v>
      </c>
      <c r="E30" s="4">
        <v>0.91</v>
      </c>
      <c r="F30" s="4">
        <f t="shared" si="0"/>
        <v>3.0849000000000002</v>
      </c>
      <c r="G30" s="4"/>
      <c r="H30" s="4"/>
      <c r="I30" s="4"/>
      <c r="J30" s="4">
        <f>H30*I30</f>
        <v>0</v>
      </c>
      <c r="K30" s="4"/>
      <c r="L30" s="4"/>
      <c r="M30" s="4">
        <f>K30*L30</f>
        <v>0</v>
      </c>
    </row>
    <row r="31" spans="3:13" x14ac:dyDescent="0.25">
      <c r="C31" s="4"/>
      <c r="D31" s="4">
        <v>1.23</v>
      </c>
      <c r="E31" s="4">
        <v>0.94</v>
      </c>
      <c r="F31" s="4">
        <f t="shared" si="0"/>
        <v>1.1561999999999999</v>
      </c>
      <c r="G31" s="4"/>
      <c r="H31" s="4"/>
      <c r="I31" s="4"/>
      <c r="J31" s="4">
        <f>H31*I31</f>
        <v>0</v>
      </c>
      <c r="K31" s="4"/>
      <c r="L31" s="4"/>
      <c r="M31" s="4">
        <f>K31*L31</f>
        <v>0</v>
      </c>
    </row>
    <row r="32" spans="3:13" x14ac:dyDescent="0.25">
      <c r="C32" s="4"/>
      <c r="D32" s="4">
        <v>0.92</v>
      </c>
      <c r="E32" s="4">
        <v>0.71</v>
      </c>
      <c r="F32" s="4">
        <f t="shared" si="0"/>
        <v>0.6532</v>
      </c>
      <c r="G32" s="4"/>
      <c r="H32" s="4"/>
      <c r="I32" s="4"/>
      <c r="J32" s="4">
        <f>H32*I32</f>
        <v>0</v>
      </c>
      <c r="K32" s="4"/>
      <c r="L32" s="4"/>
      <c r="M32" s="4">
        <f>K32*L32</f>
        <v>0</v>
      </c>
    </row>
    <row r="33" spans="3:13" x14ac:dyDescent="0.25">
      <c r="C33" s="4"/>
      <c r="D33" s="4">
        <v>1.07</v>
      </c>
      <c r="E33" s="4">
        <v>0.28999999999999998</v>
      </c>
      <c r="F33" s="4">
        <f t="shared" si="0"/>
        <v>0.31030000000000002</v>
      </c>
      <c r="G33" s="4"/>
      <c r="H33" s="4"/>
      <c r="I33" s="4"/>
      <c r="J33" s="4">
        <f>H33*I33</f>
        <v>0</v>
      </c>
      <c r="K33" s="4"/>
      <c r="L33" s="4"/>
      <c r="M33" s="4">
        <f>K33*L33</f>
        <v>0</v>
      </c>
    </row>
    <row r="34" spans="3:13" x14ac:dyDescent="0.25">
      <c r="C34" s="4" t="s">
        <v>94</v>
      </c>
      <c r="D34" s="4"/>
      <c r="E34" s="4">
        <f>F34*10.764</f>
        <v>660.17549519999989</v>
      </c>
      <c r="F34" s="4">
        <f>SUM(F6:F33)</f>
        <v>61.331799999999994</v>
      </c>
      <c r="G34" s="4"/>
      <c r="H34" s="4"/>
      <c r="I34" s="4">
        <f>J34*10.764</f>
        <v>21.206156399999998</v>
      </c>
      <c r="J34" s="4">
        <f>SUM(J6:J33)</f>
        <v>1.9701</v>
      </c>
      <c r="K34" s="4"/>
      <c r="L34" s="4">
        <f>M34*10.764</f>
        <v>0</v>
      </c>
      <c r="M34" s="4">
        <f>SUM(M6:M33)</f>
        <v>0</v>
      </c>
    </row>
    <row r="36" spans="3:13" x14ac:dyDescent="0.25">
      <c r="F36">
        <f>E34+I34</f>
        <v>681.38165159999994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5"/>
  <sheetViews>
    <sheetView workbookViewId="0">
      <selection activeCell="D7" sqref="D7"/>
    </sheetView>
  </sheetViews>
  <sheetFormatPr defaultRowHeight="15" x14ac:dyDescent="0.25"/>
  <sheetData>
    <row r="3" spans="2:13" x14ac:dyDescent="0.25">
      <c r="C3" s="7" t="s">
        <v>95</v>
      </c>
      <c r="D3" s="314"/>
      <c r="E3" s="314"/>
    </row>
    <row r="4" spans="2:13" x14ac:dyDescent="0.25">
      <c r="E4" s="6"/>
      <c r="F4" s="6"/>
      <c r="G4" s="6"/>
      <c r="H4" s="6"/>
      <c r="I4" s="6"/>
      <c r="J4" s="6"/>
    </row>
    <row r="5" spans="2:13" x14ac:dyDescent="0.25">
      <c r="B5" s="7" t="s">
        <v>96</v>
      </c>
      <c r="C5" s="5" t="s">
        <v>76</v>
      </c>
      <c r="D5" s="315" t="s">
        <v>77</v>
      </c>
      <c r="E5" s="315"/>
      <c r="F5" s="315"/>
      <c r="G5" s="8"/>
      <c r="H5" s="315" t="s">
        <v>78</v>
      </c>
      <c r="I5" s="315"/>
      <c r="J5" s="315"/>
      <c r="K5" s="315" t="s">
        <v>79</v>
      </c>
      <c r="L5" s="315"/>
      <c r="M5" s="315"/>
    </row>
    <row r="6" spans="2:13" x14ac:dyDescent="0.25">
      <c r="B6" s="7">
        <v>1</v>
      </c>
      <c r="C6" s="5"/>
      <c r="D6" s="5" t="s">
        <v>80</v>
      </c>
      <c r="E6" s="5" t="s">
        <v>81</v>
      </c>
      <c r="F6" s="5" t="s">
        <v>82</v>
      </c>
      <c r="G6" s="5"/>
      <c r="H6" s="5" t="s">
        <v>80</v>
      </c>
      <c r="I6" s="5" t="s">
        <v>81</v>
      </c>
      <c r="J6" s="5" t="s">
        <v>82</v>
      </c>
      <c r="K6" s="5" t="s">
        <v>80</v>
      </c>
      <c r="L6" s="5" t="s">
        <v>81</v>
      </c>
      <c r="M6" s="5" t="s">
        <v>82</v>
      </c>
    </row>
    <row r="7" spans="2:13" x14ac:dyDescent="0.25">
      <c r="C7" s="4" t="s">
        <v>83</v>
      </c>
      <c r="D7" s="4"/>
      <c r="E7" s="4"/>
      <c r="F7" s="4">
        <f>D7*E7</f>
        <v>0</v>
      </c>
      <c r="G7" s="4" t="s">
        <v>98</v>
      </c>
      <c r="H7" s="4"/>
      <c r="I7" s="4"/>
      <c r="J7" s="4">
        <f>H7*I7</f>
        <v>0</v>
      </c>
      <c r="K7" s="4"/>
      <c r="L7" s="4"/>
      <c r="M7" s="4">
        <f>K7*L7</f>
        <v>0</v>
      </c>
    </row>
    <row r="8" spans="2:13" x14ac:dyDescent="0.25">
      <c r="C8" s="4"/>
      <c r="D8" s="4"/>
      <c r="E8" s="4"/>
      <c r="F8" s="4">
        <f t="shared" ref="F8:F34" si="0">D8*E8</f>
        <v>0</v>
      </c>
      <c r="G8" s="4" t="s">
        <v>99</v>
      </c>
      <c r="H8" s="4"/>
      <c r="I8" s="4"/>
      <c r="J8" s="4">
        <f t="shared" ref="J8:J34" si="1">H8*I8</f>
        <v>0</v>
      </c>
      <c r="K8" s="4"/>
      <c r="L8" s="4"/>
      <c r="M8" s="4">
        <f t="shared" ref="M8:M34" si="2">K8*L8</f>
        <v>0</v>
      </c>
    </row>
    <row r="9" spans="2:13" x14ac:dyDescent="0.25">
      <c r="C9" s="4"/>
      <c r="D9" s="4"/>
      <c r="E9" s="4"/>
      <c r="F9" s="4">
        <f t="shared" si="0"/>
        <v>0</v>
      </c>
      <c r="G9" s="4"/>
      <c r="H9" s="4"/>
      <c r="I9" s="4"/>
      <c r="J9" s="4">
        <f t="shared" si="1"/>
        <v>0</v>
      </c>
      <c r="K9" s="4"/>
      <c r="L9" s="4"/>
      <c r="M9" s="4">
        <f t="shared" si="2"/>
        <v>0</v>
      </c>
    </row>
    <row r="10" spans="2:13" x14ac:dyDescent="0.25">
      <c r="C10" s="4" t="s">
        <v>86</v>
      </c>
      <c r="D10" s="4"/>
      <c r="E10" s="4"/>
      <c r="F10" s="4">
        <f t="shared" si="0"/>
        <v>0</v>
      </c>
      <c r="G10" s="4" t="s">
        <v>98</v>
      </c>
      <c r="H10" s="4"/>
      <c r="I10" s="4"/>
      <c r="J10" s="4">
        <f t="shared" si="1"/>
        <v>0</v>
      </c>
      <c r="K10" s="4"/>
      <c r="L10" s="4"/>
      <c r="M10" s="4">
        <f t="shared" si="2"/>
        <v>0</v>
      </c>
    </row>
    <row r="11" spans="2:13" x14ac:dyDescent="0.25">
      <c r="C11" s="4"/>
      <c r="D11" s="4"/>
      <c r="E11" s="4"/>
      <c r="F11" s="4">
        <f t="shared" si="0"/>
        <v>0</v>
      </c>
      <c r="G11" s="4" t="s">
        <v>99</v>
      </c>
      <c r="H11" s="4"/>
      <c r="I11" s="4"/>
      <c r="J11" s="4">
        <f t="shared" si="1"/>
        <v>0</v>
      </c>
      <c r="K11" s="4"/>
      <c r="L11" s="4"/>
      <c r="M11" s="4">
        <f t="shared" si="2"/>
        <v>0</v>
      </c>
    </row>
    <row r="12" spans="2:13" x14ac:dyDescent="0.25">
      <c r="C12" s="4"/>
      <c r="D12" s="4"/>
      <c r="E12" s="4"/>
      <c r="F12" s="4">
        <f t="shared" si="0"/>
        <v>0</v>
      </c>
      <c r="G12" s="4"/>
      <c r="H12" s="4"/>
      <c r="I12" s="4"/>
      <c r="J12" s="4">
        <f t="shared" si="1"/>
        <v>0</v>
      </c>
      <c r="K12" s="4"/>
      <c r="L12" s="4"/>
      <c r="M12" s="4">
        <f t="shared" si="2"/>
        <v>0</v>
      </c>
    </row>
    <row r="13" spans="2:13" x14ac:dyDescent="0.25">
      <c r="C13" s="4"/>
      <c r="D13" s="4"/>
      <c r="E13" s="4"/>
      <c r="F13" s="4">
        <f t="shared" si="0"/>
        <v>0</v>
      </c>
      <c r="G13" s="4"/>
      <c r="H13" s="4"/>
      <c r="I13" s="4"/>
      <c r="J13" s="4">
        <f t="shared" si="1"/>
        <v>0</v>
      </c>
      <c r="K13" s="4"/>
      <c r="L13" s="4"/>
      <c r="M13" s="4">
        <f t="shared" si="2"/>
        <v>0</v>
      </c>
    </row>
    <row r="14" spans="2:13" x14ac:dyDescent="0.25">
      <c r="C14" s="4" t="s">
        <v>84</v>
      </c>
      <c r="D14" s="4"/>
      <c r="E14" s="4"/>
      <c r="F14" s="4">
        <f t="shared" si="0"/>
        <v>0</v>
      </c>
      <c r="G14" s="4" t="s">
        <v>98</v>
      </c>
      <c r="H14" s="4"/>
      <c r="I14" s="4"/>
      <c r="J14" s="4">
        <f t="shared" si="1"/>
        <v>0</v>
      </c>
      <c r="K14" s="4"/>
      <c r="L14" s="4"/>
      <c r="M14" s="4">
        <f t="shared" si="2"/>
        <v>0</v>
      </c>
    </row>
    <row r="15" spans="2:13" x14ac:dyDescent="0.25">
      <c r="C15" s="4"/>
      <c r="D15" s="4"/>
      <c r="E15" s="4"/>
      <c r="F15" s="4">
        <f t="shared" si="0"/>
        <v>0</v>
      </c>
      <c r="G15" s="4" t="s">
        <v>99</v>
      </c>
      <c r="H15" s="4"/>
      <c r="I15" s="4"/>
      <c r="J15" s="4">
        <f t="shared" si="1"/>
        <v>0</v>
      </c>
      <c r="K15" s="4"/>
      <c r="L15" s="4"/>
      <c r="M15" s="4">
        <f t="shared" si="2"/>
        <v>0</v>
      </c>
    </row>
    <row r="16" spans="2:13" x14ac:dyDescent="0.25">
      <c r="C16" s="4"/>
      <c r="D16" s="4"/>
      <c r="E16" s="4"/>
      <c r="F16" s="4">
        <f t="shared" si="0"/>
        <v>0</v>
      </c>
      <c r="G16" s="4"/>
      <c r="H16" s="4"/>
      <c r="I16" s="4"/>
      <c r="J16" s="4">
        <f t="shared" si="1"/>
        <v>0</v>
      </c>
      <c r="K16" s="4"/>
      <c r="L16" s="4"/>
      <c r="M16" s="4">
        <f t="shared" si="2"/>
        <v>0</v>
      </c>
    </row>
    <row r="17" spans="3:13" x14ac:dyDescent="0.25">
      <c r="C17" s="4"/>
      <c r="D17" s="4"/>
      <c r="E17" s="4"/>
      <c r="F17" s="4">
        <f t="shared" si="0"/>
        <v>0</v>
      </c>
      <c r="G17" s="4"/>
      <c r="H17" s="4"/>
      <c r="I17" s="4"/>
      <c r="J17" s="4">
        <f t="shared" si="1"/>
        <v>0</v>
      </c>
      <c r="K17" s="4"/>
      <c r="L17" s="4"/>
      <c r="M17" s="4">
        <f t="shared" si="2"/>
        <v>0</v>
      </c>
    </row>
    <row r="18" spans="3:13" x14ac:dyDescent="0.25">
      <c r="C18" s="4" t="s">
        <v>85</v>
      </c>
      <c r="D18" s="4"/>
      <c r="E18" s="4"/>
      <c r="F18" s="4">
        <f t="shared" si="0"/>
        <v>0</v>
      </c>
      <c r="G18" s="4" t="s">
        <v>98</v>
      </c>
      <c r="H18" s="4"/>
      <c r="I18" s="4"/>
      <c r="J18" s="4">
        <f t="shared" si="1"/>
        <v>0</v>
      </c>
      <c r="K18" s="4"/>
      <c r="L18" s="4"/>
      <c r="M18" s="4">
        <f t="shared" si="2"/>
        <v>0</v>
      </c>
    </row>
    <row r="19" spans="3:13" x14ac:dyDescent="0.25">
      <c r="C19" s="4"/>
      <c r="D19" s="4"/>
      <c r="E19" s="4"/>
      <c r="F19" s="4">
        <f t="shared" si="0"/>
        <v>0</v>
      </c>
      <c r="G19" s="4" t="s">
        <v>99</v>
      </c>
      <c r="H19" s="4"/>
      <c r="I19" s="4"/>
      <c r="J19" s="4">
        <f t="shared" si="1"/>
        <v>0</v>
      </c>
      <c r="K19" s="4"/>
      <c r="L19" s="4"/>
      <c r="M19" s="4">
        <f t="shared" si="2"/>
        <v>0</v>
      </c>
    </row>
    <row r="20" spans="3:13" x14ac:dyDescent="0.25">
      <c r="C20" s="4"/>
      <c r="D20" s="4"/>
      <c r="E20" s="4"/>
      <c r="F20" s="4">
        <f t="shared" si="0"/>
        <v>0</v>
      </c>
      <c r="G20" s="4"/>
      <c r="H20" s="4"/>
      <c r="I20" s="4"/>
      <c r="J20" s="4">
        <f t="shared" si="1"/>
        <v>0</v>
      </c>
      <c r="K20" s="4"/>
      <c r="L20" s="4"/>
      <c r="M20" s="4">
        <f t="shared" si="2"/>
        <v>0</v>
      </c>
    </row>
    <row r="21" spans="3:13" x14ac:dyDescent="0.25">
      <c r="C21" s="4" t="s">
        <v>85</v>
      </c>
      <c r="D21" s="4"/>
      <c r="E21" s="4"/>
      <c r="F21" s="4">
        <f t="shared" si="0"/>
        <v>0</v>
      </c>
      <c r="G21" s="4" t="s">
        <v>98</v>
      </c>
      <c r="H21" s="4"/>
      <c r="I21" s="4"/>
      <c r="J21" s="4">
        <f t="shared" si="1"/>
        <v>0</v>
      </c>
      <c r="K21" s="4"/>
      <c r="L21" s="4"/>
      <c r="M21" s="4">
        <f t="shared" si="2"/>
        <v>0</v>
      </c>
    </row>
    <row r="22" spans="3:13" x14ac:dyDescent="0.25">
      <c r="C22" s="4"/>
      <c r="D22" s="4"/>
      <c r="E22" s="4"/>
      <c r="F22" s="4">
        <f t="shared" si="0"/>
        <v>0</v>
      </c>
      <c r="G22" s="4" t="s">
        <v>99</v>
      </c>
      <c r="H22" s="4"/>
      <c r="I22" s="4"/>
      <c r="J22" s="4">
        <f t="shared" si="1"/>
        <v>0</v>
      </c>
      <c r="K22" s="4"/>
      <c r="L22" s="4"/>
      <c r="M22" s="4">
        <f t="shared" si="2"/>
        <v>0</v>
      </c>
    </row>
    <row r="23" spans="3:13" x14ac:dyDescent="0.25">
      <c r="C23" s="4"/>
      <c r="D23" s="4"/>
      <c r="E23" s="4"/>
      <c r="F23" s="4">
        <f t="shared" si="0"/>
        <v>0</v>
      </c>
      <c r="G23" s="4"/>
      <c r="H23" s="4"/>
      <c r="I23" s="4"/>
      <c r="J23" s="4">
        <f t="shared" si="1"/>
        <v>0</v>
      </c>
      <c r="K23" s="4"/>
      <c r="L23" s="4"/>
      <c r="M23" s="4">
        <f t="shared" si="2"/>
        <v>0</v>
      </c>
    </row>
    <row r="24" spans="3:13" x14ac:dyDescent="0.25">
      <c r="C24" s="4" t="s">
        <v>91</v>
      </c>
      <c r="D24" s="4"/>
      <c r="E24" s="4"/>
      <c r="F24" s="4">
        <f t="shared" si="0"/>
        <v>0</v>
      </c>
      <c r="G24" s="4" t="s">
        <v>100</v>
      </c>
      <c r="H24" s="4"/>
      <c r="I24" s="4"/>
      <c r="J24" s="4">
        <f t="shared" si="1"/>
        <v>0</v>
      </c>
      <c r="K24" s="4"/>
      <c r="L24" s="4"/>
      <c r="M24" s="4">
        <f t="shared" si="2"/>
        <v>0</v>
      </c>
    </row>
    <row r="25" spans="3:13" x14ac:dyDescent="0.25">
      <c r="C25" s="4" t="s">
        <v>92</v>
      </c>
      <c r="D25" s="4"/>
      <c r="E25" s="4"/>
      <c r="F25" s="4">
        <f t="shared" si="0"/>
        <v>0</v>
      </c>
      <c r="G25" s="4" t="s">
        <v>100</v>
      </c>
      <c r="H25" s="4"/>
      <c r="I25" s="4"/>
      <c r="J25" s="4">
        <f t="shared" si="1"/>
        <v>0</v>
      </c>
      <c r="K25" s="4"/>
      <c r="L25" s="4"/>
      <c r="M25" s="4">
        <f t="shared" si="2"/>
        <v>0</v>
      </c>
    </row>
    <row r="26" spans="3:13" x14ac:dyDescent="0.25">
      <c r="C26" s="4" t="s">
        <v>93</v>
      </c>
      <c r="D26" s="4"/>
      <c r="E26" s="4"/>
      <c r="F26" s="4">
        <f t="shared" si="0"/>
        <v>0</v>
      </c>
      <c r="G26" s="4" t="s">
        <v>100</v>
      </c>
      <c r="H26" s="4"/>
      <c r="I26" s="4"/>
      <c r="J26" s="4">
        <f t="shared" si="1"/>
        <v>0</v>
      </c>
      <c r="K26" s="4"/>
      <c r="L26" s="4"/>
      <c r="M26" s="4">
        <f t="shared" si="2"/>
        <v>0</v>
      </c>
    </row>
    <row r="27" spans="3:13" x14ac:dyDescent="0.25">
      <c r="C27" s="4"/>
      <c r="D27" s="4"/>
      <c r="E27" s="4"/>
      <c r="F27" s="4">
        <f t="shared" si="0"/>
        <v>0</v>
      </c>
      <c r="G27" s="4"/>
      <c r="H27" s="4"/>
      <c r="I27" s="4"/>
      <c r="J27" s="4">
        <f t="shared" si="1"/>
        <v>0</v>
      </c>
      <c r="K27" s="4"/>
      <c r="L27" s="4"/>
      <c r="M27" s="4">
        <f t="shared" si="2"/>
        <v>0</v>
      </c>
    </row>
    <row r="28" spans="3:13" x14ac:dyDescent="0.25">
      <c r="C28" s="4" t="s">
        <v>87</v>
      </c>
      <c r="D28" s="4"/>
      <c r="E28" s="4"/>
      <c r="F28" s="4">
        <f t="shared" si="0"/>
        <v>0</v>
      </c>
      <c r="G28" s="4"/>
      <c r="H28" s="4"/>
      <c r="I28" s="4"/>
      <c r="J28" s="4">
        <f t="shared" si="1"/>
        <v>0</v>
      </c>
      <c r="K28" s="4"/>
      <c r="L28" s="4"/>
      <c r="M28" s="4">
        <f t="shared" si="2"/>
        <v>0</v>
      </c>
    </row>
    <row r="29" spans="3:13" x14ac:dyDescent="0.25">
      <c r="C29" s="4" t="s">
        <v>88</v>
      </c>
      <c r="D29" s="4"/>
      <c r="E29" s="4"/>
      <c r="F29" s="4">
        <f t="shared" si="0"/>
        <v>0</v>
      </c>
      <c r="G29" s="4"/>
      <c r="H29" s="4"/>
      <c r="I29" s="4"/>
      <c r="J29" s="4">
        <f t="shared" si="1"/>
        <v>0</v>
      </c>
      <c r="K29" s="4"/>
      <c r="L29" s="4"/>
      <c r="M29" s="4">
        <f t="shared" si="2"/>
        <v>0</v>
      </c>
    </row>
    <row r="30" spans="3:13" x14ac:dyDescent="0.25">
      <c r="C30" s="4" t="s">
        <v>89</v>
      </c>
      <c r="D30" s="4"/>
      <c r="E30" s="4"/>
      <c r="F30" s="4">
        <f t="shared" si="0"/>
        <v>0</v>
      </c>
      <c r="G30" s="4"/>
      <c r="H30" s="4"/>
      <c r="I30" s="4"/>
      <c r="J30" s="4">
        <f t="shared" si="1"/>
        <v>0</v>
      </c>
      <c r="K30" s="4"/>
      <c r="L30" s="4"/>
      <c r="M30" s="4">
        <f t="shared" si="2"/>
        <v>0</v>
      </c>
    </row>
    <row r="31" spans="3:13" x14ac:dyDescent="0.25">
      <c r="C31" s="4" t="s">
        <v>90</v>
      </c>
      <c r="D31" s="4"/>
      <c r="E31" s="4"/>
      <c r="F31" s="4">
        <f t="shared" si="0"/>
        <v>0</v>
      </c>
      <c r="G31" s="4"/>
      <c r="H31" s="4"/>
      <c r="I31" s="4"/>
      <c r="J31" s="4">
        <f t="shared" si="1"/>
        <v>0</v>
      </c>
      <c r="K31" s="4"/>
      <c r="L31" s="4"/>
      <c r="M31" s="4">
        <f t="shared" si="2"/>
        <v>0</v>
      </c>
    </row>
    <row r="32" spans="3:13" x14ac:dyDescent="0.25">
      <c r="C32" s="4"/>
      <c r="D32" s="4"/>
      <c r="E32" s="4"/>
      <c r="F32" s="4">
        <f t="shared" si="0"/>
        <v>0</v>
      </c>
      <c r="G32" s="4"/>
      <c r="H32" s="4"/>
      <c r="I32" s="4"/>
      <c r="J32" s="4">
        <f t="shared" si="1"/>
        <v>0</v>
      </c>
      <c r="K32" s="4"/>
      <c r="L32" s="4"/>
      <c r="M32" s="4">
        <f t="shared" si="2"/>
        <v>0</v>
      </c>
    </row>
    <row r="33" spans="3:13" x14ac:dyDescent="0.25">
      <c r="C33" s="4"/>
      <c r="D33" s="4"/>
      <c r="E33" s="4"/>
      <c r="F33" s="4">
        <f t="shared" si="0"/>
        <v>0</v>
      </c>
      <c r="G33" s="4"/>
      <c r="H33" s="4"/>
      <c r="I33" s="4"/>
      <c r="J33" s="4">
        <f t="shared" si="1"/>
        <v>0</v>
      </c>
      <c r="K33" s="4"/>
      <c r="L33" s="4"/>
      <c r="M33" s="4">
        <f t="shared" si="2"/>
        <v>0</v>
      </c>
    </row>
    <row r="34" spans="3:13" x14ac:dyDescent="0.25">
      <c r="C34" s="4"/>
      <c r="D34" s="4"/>
      <c r="E34" s="4"/>
      <c r="F34" s="4">
        <f t="shared" si="0"/>
        <v>0</v>
      </c>
      <c r="G34" s="4"/>
      <c r="H34" s="4"/>
      <c r="I34" s="4"/>
      <c r="J34" s="4">
        <f t="shared" si="1"/>
        <v>0</v>
      </c>
      <c r="K34" s="4"/>
      <c r="L34" s="4"/>
      <c r="M34" s="4">
        <f t="shared" si="2"/>
        <v>0</v>
      </c>
    </row>
    <row r="35" spans="3:13" x14ac:dyDescent="0.25">
      <c r="C35" s="4" t="s">
        <v>94</v>
      </c>
      <c r="D35" s="4"/>
      <c r="E35" s="4">
        <f>F35*10.764</f>
        <v>0</v>
      </c>
      <c r="F35" s="4">
        <f>SUM(F7:F34)</f>
        <v>0</v>
      </c>
      <c r="G35" s="4"/>
      <c r="H35" s="4"/>
      <c r="I35" s="4">
        <f>J35*10.764</f>
        <v>0</v>
      </c>
      <c r="J35" s="4">
        <f>SUM(J7:J34)</f>
        <v>0</v>
      </c>
      <c r="K35" s="4"/>
      <c r="L35" s="4">
        <f>M35*10.764</f>
        <v>0</v>
      </c>
      <c r="M35" s="4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H7" sqref="H7:H8"/>
    </sheetView>
  </sheetViews>
  <sheetFormatPr defaultRowHeight="15" x14ac:dyDescent="0.25"/>
  <sheetData>
    <row r="3" spans="3:14" x14ac:dyDescent="0.25">
      <c r="D3" s="7" t="s">
        <v>95</v>
      </c>
      <c r="E3" s="314"/>
      <c r="F3" s="314"/>
    </row>
    <row r="4" spans="3:14" x14ac:dyDescent="0.25">
      <c r="F4" s="6"/>
      <c r="G4" s="6"/>
      <c r="H4" s="6"/>
      <c r="I4" s="6"/>
      <c r="J4" s="6"/>
      <c r="K4" s="6"/>
    </row>
    <row r="5" spans="3:14" x14ac:dyDescent="0.25">
      <c r="C5" s="7" t="s">
        <v>96</v>
      </c>
      <c r="D5" s="5" t="s">
        <v>76</v>
      </c>
      <c r="E5" s="315" t="s">
        <v>77</v>
      </c>
      <c r="F5" s="315"/>
      <c r="G5" s="315"/>
      <c r="H5" s="8"/>
      <c r="I5" s="315" t="s">
        <v>78</v>
      </c>
      <c r="J5" s="315"/>
      <c r="K5" s="315"/>
      <c r="L5" s="315" t="s">
        <v>79</v>
      </c>
      <c r="M5" s="315"/>
      <c r="N5" s="315"/>
    </row>
    <row r="6" spans="3:14" x14ac:dyDescent="0.25">
      <c r="C6" s="7">
        <v>1</v>
      </c>
      <c r="D6" s="5"/>
      <c r="E6" s="5" t="s">
        <v>80</v>
      </c>
      <c r="F6" s="5" t="s">
        <v>81</v>
      </c>
      <c r="G6" s="5" t="s">
        <v>82</v>
      </c>
      <c r="H6" s="5"/>
      <c r="I6" s="5" t="s">
        <v>80</v>
      </c>
      <c r="J6" s="5" t="s">
        <v>81</v>
      </c>
      <c r="K6" s="5" t="s">
        <v>82</v>
      </c>
      <c r="L6" s="5" t="s">
        <v>80</v>
      </c>
      <c r="M6" s="5" t="s">
        <v>81</v>
      </c>
      <c r="N6" s="5" t="s">
        <v>82</v>
      </c>
    </row>
    <row r="7" spans="3:14" x14ac:dyDescent="0.25">
      <c r="D7" s="4" t="s">
        <v>83</v>
      </c>
      <c r="E7" s="4"/>
      <c r="F7" s="4"/>
      <c r="G7" s="4">
        <f>E7*F7</f>
        <v>0</v>
      </c>
      <c r="H7" s="4" t="s">
        <v>98</v>
      </c>
      <c r="I7" s="4"/>
      <c r="J7" s="4"/>
      <c r="K7" s="4">
        <f>I7*J7</f>
        <v>0</v>
      </c>
      <c r="L7" s="4"/>
      <c r="M7" s="4"/>
      <c r="N7" s="4">
        <f>L7*M7</f>
        <v>0</v>
      </c>
    </row>
    <row r="8" spans="3:14" x14ac:dyDescent="0.25">
      <c r="D8" s="4"/>
      <c r="E8" s="4"/>
      <c r="F8" s="4"/>
      <c r="G8" s="4">
        <f t="shared" ref="G8:G34" si="0">E8*F8</f>
        <v>0</v>
      </c>
      <c r="H8" s="4" t="s">
        <v>99</v>
      </c>
      <c r="I8" s="4"/>
      <c r="J8" s="4"/>
      <c r="K8" s="4">
        <f t="shared" ref="K8:K34" si="1">I8*J8</f>
        <v>0</v>
      </c>
      <c r="L8" s="4"/>
      <c r="M8" s="4"/>
      <c r="N8" s="4">
        <f t="shared" ref="N8:N34" si="2">L8*M8</f>
        <v>0</v>
      </c>
    </row>
    <row r="9" spans="3:14" x14ac:dyDescent="0.25">
      <c r="D9" s="4"/>
      <c r="E9" s="4"/>
      <c r="F9" s="4"/>
      <c r="G9" s="4">
        <f t="shared" si="0"/>
        <v>0</v>
      </c>
      <c r="H9" s="4"/>
      <c r="I9" s="4"/>
      <c r="J9" s="4"/>
      <c r="K9" s="4">
        <f t="shared" si="1"/>
        <v>0</v>
      </c>
      <c r="L9" s="4"/>
      <c r="M9" s="4"/>
      <c r="N9" s="4">
        <f t="shared" si="2"/>
        <v>0</v>
      </c>
    </row>
    <row r="10" spans="3:14" x14ac:dyDescent="0.25">
      <c r="D10" s="4" t="s">
        <v>86</v>
      </c>
      <c r="E10" s="4"/>
      <c r="F10" s="4"/>
      <c r="G10" s="4">
        <f t="shared" si="0"/>
        <v>0</v>
      </c>
      <c r="H10" s="4" t="s">
        <v>98</v>
      </c>
      <c r="I10" s="4"/>
      <c r="J10" s="4"/>
      <c r="K10" s="4">
        <f t="shared" si="1"/>
        <v>0</v>
      </c>
      <c r="L10" s="4"/>
      <c r="M10" s="4"/>
      <c r="N10" s="4">
        <f t="shared" si="2"/>
        <v>0</v>
      </c>
    </row>
    <row r="11" spans="3:14" x14ac:dyDescent="0.25">
      <c r="D11" s="4"/>
      <c r="E11" s="4"/>
      <c r="F11" s="4"/>
      <c r="G11" s="4">
        <f t="shared" si="0"/>
        <v>0</v>
      </c>
      <c r="H11" s="4" t="s">
        <v>99</v>
      </c>
      <c r="I11" s="4"/>
      <c r="J11" s="4"/>
      <c r="K11" s="4">
        <f t="shared" si="1"/>
        <v>0</v>
      </c>
      <c r="L11" s="4"/>
      <c r="M11" s="4"/>
      <c r="N11" s="4">
        <f t="shared" si="2"/>
        <v>0</v>
      </c>
    </row>
    <row r="12" spans="3:14" x14ac:dyDescent="0.25">
      <c r="D12" s="4"/>
      <c r="E12" s="4"/>
      <c r="F12" s="4"/>
      <c r="G12" s="4">
        <f t="shared" si="0"/>
        <v>0</v>
      </c>
      <c r="H12" s="4"/>
      <c r="I12" s="4"/>
      <c r="J12" s="4"/>
      <c r="K12" s="4">
        <f t="shared" si="1"/>
        <v>0</v>
      </c>
      <c r="L12" s="4"/>
      <c r="M12" s="4"/>
      <c r="N12" s="4">
        <f t="shared" si="2"/>
        <v>0</v>
      </c>
    </row>
    <row r="13" spans="3:14" x14ac:dyDescent="0.25">
      <c r="D13" s="4"/>
      <c r="E13" s="4"/>
      <c r="F13" s="4"/>
      <c r="G13" s="4">
        <f t="shared" si="0"/>
        <v>0</v>
      </c>
      <c r="H13" s="4"/>
      <c r="I13" s="4"/>
      <c r="J13" s="4"/>
      <c r="K13" s="4">
        <f t="shared" si="1"/>
        <v>0</v>
      </c>
      <c r="L13" s="4"/>
      <c r="M13" s="4"/>
      <c r="N13" s="4">
        <f t="shared" si="2"/>
        <v>0</v>
      </c>
    </row>
    <row r="14" spans="3:14" x14ac:dyDescent="0.25">
      <c r="D14" s="4" t="s">
        <v>84</v>
      </c>
      <c r="E14" s="4"/>
      <c r="F14" s="4"/>
      <c r="G14" s="4">
        <f t="shared" si="0"/>
        <v>0</v>
      </c>
      <c r="H14" s="4" t="s">
        <v>98</v>
      </c>
      <c r="I14" s="4"/>
      <c r="J14" s="4"/>
      <c r="K14" s="4">
        <f t="shared" si="1"/>
        <v>0</v>
      </c>
      <c r="L14" s="4"/>
      <c r="M14" s="4"/>
      <c r="N14" s="4">
        <f t="shared" si="2"/>
        <v>0</v>
      </c>
    </row>
    <row r="15" spans="3:14" x14ac:dyDescent="0.25">
      <c r="D15" s="4"/>
      <c r="E15" s="4"/>
      <c r="F15" s="4"/>
      <c r="G15" s="4">
        <f t="shared" si="0"/>
        <v>0</v>
      </c>
      <c r="H15" s="4" t="s">
        <v>99</v>
      </c>
      <c r="I15" s="4"/>
      <c r="J15" s="4"/>
      <c r="K15" s="4">
        <f t="shared" si="1"/>
        <v>0</v>
      </c>
      <c r="L15" s="4"/>
      <c r="M15" s="4"/>
      <c r="N15" s="4">
        <f t="shared" si="2"/>
        <v>0</v>
      </c>
    </row>
    <row r="16" spans="3:14" x14ac:dyDescent="0.25">
      <c r="D16" s="4"/>
      <c r="E16" s="4"/>
      <c r="F16" s="4"/>
      <c r="G16" s="4">
        <f t="shared" si="0"/>
        <v>0</v>
      </c>
      <c r="H16" s="4"/>
      <c r="I16" s="4"/>
      <c r="J16" s="4"/>
      <c r="K16" s="4">
        <f t="shared" si="1"/>
        <v>0</v>
      </c>
      <c r="L16" s="4"/>
      <c r="M16" s="4"/>
      <c r="N16" s="4">
        <f t="shared" si="2"/>
        <v>0</v>
      </c>
    </row>
    <row r="17" spans="4:14" x14ac:dyDescent="0.25">
      <c r="D17" s="4"/>
      <c r="E17" s="4"/>
      <c r="F17" s="4"/>
      <c r="G17" s="4">
        <f t="shared" si="0"/>
        <v>0</v>
      </c>
      <c r="H17" s="4"/>
      <c r="I17" s="4"/>
      <c r="J17" s="4"/>
      <c r="K17" s="4">
        <f t="shared" si="1"/>
        <v>0</v>
      </c>
      <c r="L17" s="4"/>
      <c r="M17" s="4"/>
      <c r="N17" s="4">
        <f t="shared" si="2"/>
        <v>0</v>
      </c>
    </row>
    <row r="18" spans="4:14" x14ac:dyDescent="0.25">
      <c r="D18" s="4" t="s">
        <v>85</v>
      </c>
      <c r="E18" s="4"/>
      <c r="F18" s="4"/>
      <c r="G18" s="4">
        <f t="shared" si="0"/>
        <v>0</v>
      </c>
      <c r="H18" s="4" t="s">
        <v>98</v>
      </c>
      <c r="I18" s="4"/>
      <c r="J18" s="4"/>
      <c r="K18" s="4">
        <f t="shared" si="1"/>
        <v>0</v>
      </c>
      <c r="L18" s="4"/>
      <c r="M18" s="4"/>
      <c r="N18" s="4">
        <f t="shared" si="2"/>
        <v>0</v>
      </c>
    </row>
    <row r="19" spans="4:14" x14ac:dyDescent="0.25">
      <c r="D19" s="4"/>
      <c r="E19" s="4"/>
      <c r="F19" s="4"/>
      <c r="G19" s="4">
        <f t="shared" si="0"/>
        <v>0</v>
      </c>
      <c r="H19" s="4" t="s">
        <v>99</v>
      </c>
      <c r="I19" s="4"/>
      <c r="J19" s="4"/>
      <c r="K19" s="4">
        <f t="shared" si="1"/>
        <v>0</v>
      </c>
      <c r="L19" s="4"/>
      <c r="M19" s="4"/>
      <c r="N19" s="4">
        <f t="shared" si="2"/>
        <v>0</v>
      </c>
    </row>
    <row r="20" spans="4:14" x14ac:dyDescent="0.25">
      <c r="D20" s="4"/>
      <c r="E20" s="4"/>
      <c r="F20" s="4"/>
      <c r="G20" s="4">
        <f t="shared" si="0"/>
        <v>0</v>
      </c>
      <c r="H20" s="4"/>
      <c r="I20" s="4"/>
      <c r="J20" s="4"/>
      <c r="K20" s="4">
        <f t="shared" si="1"/>
        <v>0</v>
      </c>
      <c r="L20" s="4"/>
      <c r="M20" s="4"/>
      <c r="N20" s="4">
        <f t="shared" si="2"/>
        <v>0</v>
      </c>
    </row>
    <row r="21" spans="4:14" x14ac:dyDescent="0.25">
      <c r="D21" s="4" t="s">
        <v>85</v>
      </c>
      <c r="E21" s="4"/>
      <c r="F21" s="4"/>
      <c r="G21" s="4">
        <f t="shared" si="0"/>
        <v>0</v>
      </c>
      <c r="H21" s="4" t="s">
        <v>98</v>
      </c>
      <c r="I21" s="4"/>
      <c r="J21" s="4"/>
      <c r="K21" s="4">
        <f t="shared" si="1"/>
        <v>0</v>
      </c>
      <c r="L21" s="4"/>
      <c r="M21" s="4"/>
      <c r="N21" s="4">
        <f t="shared" si="2"/>
        <v>0</v>
      </c>
    </row>
    <row r="22" spans="4:14" x14ac:dyDescent="0.25">
      <c r="D22" s="4"/>
      <c r="E22" s="4"/>
      <c r="F22" s="4"/>
      <c r="G22" s="4">
        <f t="shared" si="0"/>
        <v>0</v>
      </c>
      <c r="H22" s="4" t="s">
        <v>99</v>
      </c>
      <c r="I22" s="4"/>
      <c r="J22" s="4"/>
      <c r="K22" s="4">
        <f t="shared" si="1"/>
        <v>0</v>
      </c>
      <c r="L22" s="4"/>
      <c r="M22" s="4"/>
      <c r="N22" s="4">
        <f t="shared" si="2"/>
        <v>0</v>
      </c>
    </row>
    <row r="23" spans="4:14" x14ac:dyDescent="0.25">
      <c r="D23" s="4"/>
      <c r="E23" s="4"/>
      <c r="F23" s="4"/>
      <c r="G23" s="4">
        <f t="shared" si="0"/>
        <v>0</v>
      </c>
      <c r="H23" s="4"/>
      <c r="I23" s="4"/>
      <c r="J23" s="4"/>
      <c r="K23" s="4">
        <f t="shared" si="1"/>
        <v>0</v>
      </c>
      <c r="L23" s="4"/>
      <c r="M23" s="4"/>
      <c r="N23" s="4">
        <f t="shared" si="2"/>
        <v>0</v>
      </c>
    </row>
    <row r="24" spans="4:14" x14ac:dyDescent="0.25">
      <c r="D24" s="4" t="s">
        <v>91</v>
      </c>
      <c r="E24" s="4"/>
      <c r="F24" s="4"/>
      <c r="G24" s="4">
        <f t="shared" si="0"/>
        <v>0</v>
      </c>
      <c r="H24" s="4" t="s">
        <v>100</v>
      </c>
      <c r="I24" s="4"/>
      <c r="J24" s="4"/>
      <c r="K24" s="4">
        <f t="shared" si="1"/>
        <v>0</v>
      </c>
      <c r="L24" s="4"/>
      <c r="M24" s="4"/>
      <c r="N24" s="4">
        <f t="shared" si="2"/>
        <v>0</v>
      </c>
    </row>
    <row r="25" spans="4:14" x14ac:dyDescent="0.25">
      <c r="D25" s="4" t="s">
        <v>92</v>
      </c>
      <c r="E25" s="4"/>
      <c r="F25" s="4"/>
      <c r="G25" s="4">
        <f t="shared" si="0"/>
        <v>0</v>
      </c>
      <c r="H25" s="4" t="s">
        <v>100</v>
      </c>
      <c r="I25" s="4"/>
      <c r="J25" s="4"/>
      <c r="K25" s="4">
        <f t="shared" si="1"/>
        <v>0</v>
      </c>
      <c r="L25" s="4"/>
      <c r="M25" s="4"/>
      <c r="N25" s="4">
        <f t="shared" si="2"/>
        <v>0</v>
      </c>
    </row>
    <row r="26" spans="4:14" x14ac:dyDescent="0.25">
      <c r="D26" s="4" t="s">
        <v>93</v>
      </c>
      <c r="E26" s="4"/>
      <c r="F26" s="4"/>
      <c r="G26" s="4">
        <f t="shared" si="0"/>
        <v>0</v>
      </c>
      <c r="H26" s="4" t="s">
        <v>100</v>
      </c>
      <c r="I26" s="4"/>
      <c r="J26" s="4"/>
      <c r="K26" s="4">
        <f t="shared" si="1"/>
        <v>0</v>
      </c>
      <c r="L26" s="4"/>
      <c r="M26" s="4"/>
      <c r="N26" s="4">
        <f t="shared" si="2"/>
        <v>0</v>
      </c>
    </row>
    <row r="27" spans="4:14" x14ac:dyDescent="0.25">
      <c r="D27" s="4"/>
      <c r="E27" s="4"/>
      <c r="F27" s="4"/>
      <c r="G27" s="4">
        <f t="shared" si="0"/>
        <v>0</v>
      </c>
      <c r="H27" s="4"/>
      <c r="I27" s="4"/>
      <c r="J27" s="4"/>
      <c r="K27" s="4">
        <f t="shared" si="1"/>
        <v>0</v>
      </c>
      <c r="L27" s="4"/>
      <c r="M27" s="4"/>
      <c r="N27" s="4">
        <f t="shared" si="2"/>
        <v>0</v>
      </c>
    </row>
    <row r="28" spans="4:14" x14ac:dyDescent="0.25">
      <c r="D28" s="4" t="s">
        <v>87</v>
      </c>
      <c r="E28" s="4"/>
      <c r="F28" s="4"/>
      <c r="G28" s="4">
        <f t="shared" si="0"/>
        <v>0</v>
      </c>
      <c r="H28" s="4"/>
      <c r="I28" s="4"/>
      <c r="J28" s="4"/>
      <c r="K28" s="4">
        <f t="shared" si="1"/>
        <v>0</v>
      </c>
      <c r="L28" s="4"/>
      <c r="M28" s="4"/>
      <c r="N28" s="4">
        <f t="shared" si="2"/>
        <v>0</v>
      </c>
    </row>
    <row r="29" spans="4:14" x14ac:dyDescent="0.25">
      <c r="D29" s="4" t="s">
        <v>88</v>
      </c>
      <c r="E29" s="4"/>
      <c r="F29" s="4"/>
      <c r="G29" s="4">
        <f t="shared" si="0"/>
        <v>0</v>
      </c>
      <c r="H29" s="4"/>
      <c r="I29" s="4"/>
      <c r="J29" s="4"/>
      <c r="K29" s="4">
        <f t="shared" si="1"/>
        <v>0</v>
      </c>
      <c r="L29" s="4"/>
      <c r="M29" s="4"/>
      <c r="N29" s="4">
        <f t="shared" si="2"/>
        <v>0</v>
      </c>
    </row>
    <row r="30" spans="4:14" x14ac:dyDescent="0.25">
      <c r="D30" s="4" t="s">
        <v>89</v>
      </c>
      <c r="E30" s="4"/>
      <c r="F30" s="4"/>
      <c r="G30" s="4">
        <f t="shared" si="0"/>
        <v>0</v>
      </c>
      <c r="H30" s="4"/>
      <c r="I30" s="4"/>
      <c r="J30" s="4"/>
      <c r="K30" s="4">
        <f t="shared" si="1"/>
        <v>0</v>
      </c>
      <c r="L30" s="4"/>
      <c r="M30" s="4"/>
      <c r="N30" s="4">
        <f t="shared" si="2"/>
        <v>0</v>
      </c>
    </row>
    <row r="31" spans="4:14" x14ac:dyDescent="0.25">
      <c r="D31" s="4" t="s">
        <v>90</v>
      </c>
      <c r="E31" s="4"/>
      <c r="F31" s="4"/>
      <c r="G31" s="4">
        <f t="shared" si="0"/>
        <v>0</v>
      </c>
      <c r="H31" s="4"/>
      <c r="I31" s="4"/>
      <c r="J31" s="4"/>
      <c r="K31" s="4">
        <f t="shared" si="1"/>
        <v>0</v>
      </c>
      <c r="L31" s="4"/>
      <c r="M31" s="4"/>
      <c r="N31" s="4">
        <f t="shared" si="2"/>
        <v>0</v>
      </c>
    </row>
    <row r="32" spans="4:14" x14ac:dyDescent="0.25">
      <c r="D32" s="4"/>
      <c r="E32" s="4"/>
      <c r="F32" s="4"/>
      <c r="G32" s="4">
        <f t="shared" si="0"/>
        <v>0</v>
      </c>
      <c r="H32" s="4"/>
      <c r="I32" s="4"/>
      <c r="J32" s="4"/>
      <c r="K32" s="4">
        <f t="shared" si="1"/>
        <v>0</v>
      </c>
      <c r="L32" s="4"/>
      <c r="M32" s="4"/>
      <c r="N32" s="4">
        <f t="shared" si="2"/>
        <v>0</v>
      </c>
    </row>
    <row r="33" spans="4:14" x14ac:dyDescent="0.25">
      <c r="D33" s="4"/>
      <c r="E33" s="4"/>
      <c r="F33" s="4"/>
      <c r="G33" s="4">
        <f t="shared" si="0"/>
        <v>0</v>
      </c>
      <c r="H33" s="4"/>
      <c r="I33" s="4"/>
      <c r="J33" s="4"/>
      <c r="K33" s="4">
        <f t="shared" si="1"/>
        <v>0</v>
      </c>
      <c r="L33" s="4"/>
      <c r="M33" s="4"/>
      <c r="N33" s="4">
        <f t="shared" si="2"/>
        <v>0</v>
      </c>
    </row>
    <row r="34" spans="4:14" x14ac:dyDescent="0.25">
      <c r="D34" s="4"/>
      <c r="E34" s="4"/>
      <c r="F34" s="4"/>
      <c r="G34" s="4">
        <f t="shared" si="0"/>
        <v>0</v>
      </c>
      <c r="H34" s="4"/>
      <c r="I34" s="4"/>
      <c r="J34" s="4"/>
      <c r="K34" s="4">
        <f t="shared" si="1"/>
        <v>0</v>
      </c>
      <c r="L34" s="4"/>
      <c r="M34" s="4"/>
      <c r="N34" s="4">
        <f t="shared" si="2"/>
        <v>0</v>
      </c>
    </row>
    <row r="35" spans="4:14" x14ac:dyDescent="0.25">
      <c r="D35" s="4" t="s">
        <v>94</v>
      </c>
      <c r="E35" s="4"/>
      <c r="F35" s="4">
        <f>G35*10.764</f>
        <v>0</v>
      </c>
      <c r="G35" s="4">
        <f>SUM(G7:G34)</f>
        <v>0</v>
      </c>
      <c r="H35" s="4"/>
      <c r="I35" s="4"/>
      <c r="J35" s="4">
        <f>K35*10.764</f>
        <v>0</v>
      </c>
      <c r="K35" s="4">
        <f>SUM(K7:K34)</f>
        <v>0</v>
      </c>
      <c r="L35" s="4"/>
      <c r="M35" s="4">
        <f>N35*10.764</f>
        <v>0</v>
      </c>
      <c r="N35" s="4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Sheet1</vt:lpstr>
      <vt:lpstr>VALUATION</vt:lpstr>
      <vt:lpstr>Note</vt:lpstr>
      <vt:lpstr>1%</vt:lpstr>
      <vt:lpstr>2%</vt:lpstr>
      <vt:lpstr>3%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PC-51</cp:lastModifiedBy>
  <cp:lastPrinted>2025-09-17T06:51:27Z</cp:lastPrinted>
  <dcterms:created xsi:type="dcterms:W3CDTF">2013-11-23T05:32:33Z</dcterms:created>
  <dcterms:modified xsi:type="dcterms:W3CDTF">2025-09-17T06:53:29Z</dcterms:modified>
</cp:coreProperties>
</file>