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A65943F1-2163-4BFD-83A8-97FA3CDA7337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Report!$A$1:$H$333</definedName>
  </definedNames>
  <calcPr calcId="191029"/>
</workbook>
</file>

<file path=xl/calcChain.xml><?xml version="1.0" encoding="utf-8"?>
<calcChain xmlns="http://schemas.openxmlformats.org/spreadsheetml/2006/main">
  <c r="F11" i="5" l="1"/>
  <c r="G11" i="5" s="1"/>
  <c r="G10" i="5"/>
  <c r="F10" i="5"/>
  <c r="F9" i="5"/>
  <c r="G9" i="5" s="1"/>
  <c r="F8" i="5"/>
  <c r="G8" i="5" s="1"/>
  <c r="F7" i="5"/>
  <c r="G7" i="5" s="1"/>
  <c r="G6" i="5"/>
  <c r="F6" i="5"/>
  <c r="F5" i="5"/>
  <c r="G5" i="5" s="1"/>
  <c r="G12" i="5" s="1"/>
  <c r="D250" i="1"/>
  <c r="B229" i="1"/>
  <c r="B228" i="1"/>
  <c r="D225" i="1"/>
  <c r="F225" i="1" s="1"/>
  <c r="D224" i="1"/>
  <c r="F224" i="1" s="1"/>
  <c r="D223" i="1"/>
  <c r="F223" i="1" s="1"/>
  <c r="D222" i="1"/>
  <c r="F222" i="1" s="1"/>
  <c r="D221" i="1"/>
  <c r="F221" i="1" s="1"/>
  <c r="D220" i="1"/>
  <c r="F220" i="1" s="1"/>
  <c r="D219" i="1"/>
  <c r="F219" i="1" s="1"/>
  <c r="A219" i="1"/>
  <c r="A220" i="1" s="1"/>
  <c r="A221" i="1" s="1"/>
  <c r="A222" i="1" s="1"/>
  <c r="A223" i="1" s="1"/>
  <c r="A224" i="1" s="1"/>
  <c r="A225" i="1" s="1"/>
  <c r="G218" i="1"/>
  <c r="D216" i="1"/>
  <c r="F216" i="1" s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F210" i="1" s="1"/>
  <c r="A210" i="1"/>
  <c r="A211" i="1" s="1"/>
  <c r="A212" i="1" s="1"/>
  <c r="A213" i="1" s="1"/>
  <c r="A214" i="1" s="1"/>
  <c r="A215" i="1" s="1"/>
  <c r="A216" i="1" s="1"/>
  <c r="G209" i="1"/>
  <c r="D209" i="1"/>
  <c r="F209" i="1" s="1"/>
  <c r="D207" i="1"/>
  <c r="F207" i="1" s="1"/>
  <c r="D206" i="1"/>
  <c r="F206" i="1" s="1"/>
  <c r="D205" i="1"/>
  <c r="F205" i="1" s="1"/>
  <c r="D204" i="1"/>
  <c r="F204" i="1" s="1"/>
  <c r="E203" i="1"/>
  <c r="D203" i="1"/>
  <c r="F203" i="1" s="1"/>
  <c r="E202" i="1"/>
  <c r="D202" i="1"/>
  <c r="D201" i="1"/>
  <c r="F201" i="1" s="1"/>
  <c r="A201" i="1"/>
  <c r="A202" i="1" s="1"/>
  <c r="A203" i="1" s="1"/>
  <c r="A204" i="1" s="1"/>
  <c r="A205" i="1" s="1"/>
  <c r="A206" i="1" s="1"/>
  <c r="A207" i="1" s="1"/>
  <c r="G200" i="1"/>
  <c r="D200" i="1"/>
  <c r="D197" i="1"/>
  <c r="F197" i="1" s="1"/>
  <c r="D196" i="1"/>
  <c r="F196" i="1" s="1"/>
  <c r="D195" i="1"/>
  <c r="F195" i="1" s="1"/>
  <c r="D194" i="1"/>
  <c r="F194" i="1" s="1"/>
  <c r="D192" i="1"/>
  <c r="F192" i="1" s="1"/>
  <c r="D191" i="1"/>
  <c r="F191" i="1" s="1"/>
  <c r="D190" i="1"/>
  <c r="F190" i="1" s="1"/>
  <c r="A190" i="1"/>
  <c r="A191" i="1" s="1"/>
  <c r="A192" i="1" s="1"/>
  <c r="A193" i="1" s="1"/>
  <c r="A194" i="1" s="1"/>
  <c r="A195" i="1" s="1"/>
  <c r="A196" i="1" s="1"/>
  <c r="A197" i="1" s="1"/>
  <c r="G189" i="1"/>
  <c r="D189" i="1"/>
  <c r="F189" i="1" s="1"/>
  <c r="D187" i="1"/>
  <c r="F187" i="1" s="1"/>
  <c r="D186" i="1"/>
  <c r="F186" i="1" s="1"/>
  <c r="D185" i="1"/>
  <c r="F185" i="1" s="1"/>
  <c r="D184" i="1"/>
  <c r="F184" i="1" s="1"/>
  <c r="D183" i="1"/>
  <c r="F183" i="1" s="1"/>
  <c r="D182" i="1"/>
  <c r="F182" i="1" s="1"/>
  <c r="D181" i="1"/>
  <c r="F181" i="1" s="1"/>
  <c r="D180" i="1"/>
  <c r="F180" i="1" s="1"/>
  <c r="A180" i="1"/>
  <c r="A181" i="1" s="1"/>
  <c r="A182" i="1" s="1"/>
  <c r="A183" i="1" s="1"/>
  <c r="A184" i="1" s="1"/>
  <c r="A185" i="1" s="1"/>
  <c r="A186" i="1" s="1"/>
  <c r="A187" i="1" s="1"/>
  <c r="G179" i="1"/>
  <c r="D179" i="1"/>
  <c r="F179" i="1" s="1"/>
  <c r="D177" i="1"/>
  <c r="F177" i="1" s="1"/>
  <c r="D176" i="1"/>
  <c r="F176" i="1" s="1"/>
  <c r="D175" i="1"/>
  <c r="F175" i="1" s="1"/>
  <c r="D174" i="1"/>
  <c r="F174" i="1" s="1"/>
  <c r="D173" i="1"/>
  <c r="F173" i="1" s="1"/>
  <c r="E172" i="1"/>
  <c r="D172" i="1"/>
  <c r="D171" i="1"/>
  <c r="F171" i="1" s="1"/>
  <c r="E170" i="1"/>
  <c r="D170" i="1"/>
  <c r="A170" i="1"/>
  <c r="A171" i="1" s="1"/>
  <c r="A172" i="1" s="1"/>
  <c r="A173" i="1" s="1"/>
  <c r="A174" i="1" s="1"/>
  <c r="A175" i="1" s="1"/>
  <c r="A176" i="1" s="1"/>
  <c r="A177" i="1" s="1"/>
  <c r="G169" i="1"/>
  <c r="E169" i="1"/>
  <c r="D169" i="1"/>
  <c r="D163" i="1"/>
  <c r="D162" i="1"/>
  <c r="D161" i="1"/>
  <c r="D160" i="1"/>
  <c r="D159" i="1"/>
  <c r="D158" i="1"/>
  <c r="D157" i="1"/>
  <c r="D156" i="1"/>
  <c r="D155" i="1"/>
  <c r="D154" i="1"/>
  <c r="A154" i="1"/>
  <c r="A155" i="1" s="1"/>
  <c r="A156" i="1" s="1"/>
  <c r="A157" i="1" s="1"/>
  <c r="A158" i="1" s="1"/>
  <c r="A159" i="1" s="1"/>
  <c r="A160" i="1" s="1"/>
  <c r="A161" i="1" s="1"/>
  <c r="A162" i="1" s="1"/>
  <c r="A163" i="1" s="1"/>
  <c r="I153" i="1"/>
  <c r="G153" i="1"/>
  <c r="D153" i="1"/>
  <c r="D150" i="1"/>
  <c r="D149" i="1"/>
  <c r="D148" i="1"/>
  <c r="D147" i="1"/>
  <c r="D146" i="1"/>
  <c r="D145" i="1"/>
  <c r="D144" i="1"/>
  <c r="D143" i="1"/>
  <c r="D142" i="1"/>
  <c r="D141" i="1"/>
  <c r="D140" i="1"/>
  <c r="A140" i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I139" i="1"/>
  <c r="G139" i="1"/>
  <c r="D139" i="1"/>
  <c r="G127" i="1"/>
  <c r="G126" i="1"/>
  <c r="F123" i="1"/>
  <c r="J107" i="1"/>
  <c r="J106" i="1"/>
  <c r="J105" i="1"/>
  <c r="J104" i="1"/>
  <c r="C96" i="1"/>
  <c r="D95" i="1"/>
  <c r="D94" i="1"/>
  <c r="J93" i="1"/>
  <c r="D93" i="1"/>
  <c r="J92" i="1"/>
  <c r="D92" i="1"/>
  <c r="J91" i="1"/>
  <c r="D91" i="1"/>
  <c r="J90" i="1"/>
  <c r="D90" i="1"/>
  <c r="D89" i="1"/>
  <c r="J88" i="1"/>
  <c r="J89" i="1" s="1"/>
  <c r="J94" i="1" s="1"/>
  <c r="J95" i="1" s="1"/>
  <c r="C87" i="1" s="1"/>
  <c r="D88" i="1"/>
  <c r="J87" i="1"/>
  <c r="C86" i="1" s="1"/>
  <c r="J86" i="1"/>
  <c r="J85" i="1"/>
  <c r="J82" i="1"/>
  <c r="J84" i="1" s="1"/>
  <c r="C82" i="1"/>
  <c r="D81" i="1"/>
  <c r="D80" i="1"/>
  <c r="J79" i="1"/>
  <c r="D79" i="1"/>
  <c r="J78" i="1"/>
  <c r="D78" i="1"/>
  <c r="J77" i="1"/>
  <c r="D77" i="1"/>
  <c r="J76" i="1"/>
  <c r="D76" i="1"/>
  <c r="J75" i="1"/>
  <c r="J80" i="1" s="1"/>
  <c r="J81" i="1" s="1"/>
  <c r="C73" i="1" s="1"/>
  <c r="D75" i="1"/>
  <c r="J74" i="1"/>
  <c r="D74" i="1"/>
  <c r="J73" i="1"/>
  <c r="C72" i="1" s="1"/>
  <c r="J72" i="1"/>
  <c r="J71" i="1"/>
  <c r="J68" i="1"/>
  <c r="J70" i="1" s="1"/>
  <c r="C68" i="1"/>
  <c r="D62" i="1"/>
  <c r="D55" i="1"/>
  <c r="C49" i="1"/>
  <c r="E42" i="1"/>
  <c r="E43" i="1" s="1"/>
  <c r="E29" i="1"/>
  <c r="E26" i="1"/>
  <c r="E24" i="1"/>
  <c r="C14" i="1"/>
  <c r="E7" i="1"/>
  <c r="E3" i="1"/>
  <c r="H97" i="1"/>
  <c r="E127" i="1" l="1"/>
  <c r="F169" i="1"/>
  <c r="G128" i="1"/>
  <c r="F172" i="1"/>
  <c r="F202" i="1"/>
  <c r="C132" i="1"/>
  <c r="C127" i="1"/>
  <c r="E126" i="1"/>
  <c r="E131" i="1"/>
  <c r="E133" i="1" s="1"/>
  <c r="E132" i="1"/>
  <c r="G72" i="1"/>
  <c r="D66" i="1" s="1"/>
  <c r="D72" i="1"/>
  <c r="E86" i="1"/>
  <c r="D87" i="1"/>
  <c r="G86" i="1"/>
  <c r="D86" i="1"/>
  <c r="I83" i="1" s="1"/>
  <c r="I84" i="1" s="1"/>
  <c r="E72" i="1"/>
  <c r="D73" i="1"/>
  <c r="F200" i="1"/>
  <c r="C131" i="1"/>
  <c r="F170" i="1"/>
  <c r="C126" i="1"/>
  <c r="D106" i="1"/>
  <c r="J100" i="1"/>
  <c r="D103" i="1"/>
  <c r="J102" i="1"/>
  <c r="J103" i="1" s="1"/>
  <c r="J108" i="1" s="1"/>
  <c r="J109" i="1" s="1"/>
  <c r="C101" i="1" s="1"/>
  <c r="C102" i="1"/>
  <c r="J96" i="1" s="1"/>
  <c r="J98" i="1" s="1"/>
  <c r="D109" i="1"/>
  <c r="D105" i="1"/>
  <c r="J101" i="1"/>
  <c r="C100" i="1" s="1"/>
  <c r="J99" i="1"/>
  <c r="D108" i="1"/>
  <c r="D104" i="1"/>
  <c r="D107" i="1"/>
  <c r="E128" i="1" l="1"/>
  <c r="J130" i="1" s="1"/>
  <c r="C133" i="1"/>
  <c r="C128" i="1"/>
  <c r="G131" i="1"/>
  <c r="I200" i="1"/>
  <c r="G132" i="1"/>
  <c r="G133" i="1" s="1"/>
  <c r="I69" i="1"/>
  <c r="J83" i="1"/>
  <c r="I82" i="1" s="1"/>
  <c r="C84" i="1" s="1"/>
  <c r="J69" i="1"/>
  <c r="F67" i="1"/>
  <c r="D67" i="1"/>
  <c r="E100" i="1"/>
  <c r="D101" i="1"/>
  <c r="G100" i="1"/>
  <c r="D100" i="1"/>
  <c r="D102" i="1"/>
  <c r="I70" i="1" l="1"/>
  <c r="I68" i="1" s="1"/>
  <c r="C70" i="1" s="1"/>
  <c r="I97" i="1"/>
  <c r="I98" i="1" s="1"/>
  <c r="J97" i="1"/>
  <c r="I96" i="1" l="1"/>
  <c r="C98" i="1" s="1"/>
</calcChain>
</file>

<file path=xl/sharedStrings.xml><?xml version="1.0" encoding="utf-8"?>
<sst xmlns="http://schemas.openxmlformats.org/spreadsheetml/2006/main" count="428" uniqueCount="225">
  <si>
    <t>Office No. 1031, Wing J, Akshar Business Park, Plot No. 03 Sector 25, Near APMC Market,
Vashi, Navi Mumbai, Maharashtra 400703 TEL: 022-46090378/79/80                                                                                             E mail : vsjcapf@gmail.com. Web site : www.vsjadon.com</t>
  </si>
  <si>
    <t xml:space="preserve">Valuation Report </t>
  </si>
  <si>
    <t>Date:</t>
  </si>
  <si>
    <t>CPC Name:</t>
  </si>
  <si>
    <t>Axis Sanpada</t>
  </si>
  <si>
    <t>Date Of Property Visit</t>
  </si>
  <si>
    <t>Name of the builder group</t>
  </si>
  <si>
    <t>M/s. Balaji Homes</t>
  </si>
  <si>
    <t>Name of the builder company</t>
  </si>
  <si>
    <t>Name of the Project</t>
  </si>
  <si>
    <t>Balaji Tulips</t>
  </si>
  <si>
    <t>Contact Details ( Name &amp; Contact No.)</t>
  </si>
  <si>
    <t>Site Meet Person Contact Details ( Name &amp; Contact No.)</t>
  </si>
  <si>
    <t>Mr. Rohan 738744141</t>
  </si>
  <si>
    <t>Name / No of the Building</t>
  </si>
  <si>
    <t>A &amp; B Wing</t>
  </si>
  <si>
    <t>Docouments Provided</t>
  </si>
  <si>
    <t>Approved Plans, CC, Builder Saleable Area, Cost Sheet.</t>
  </si>
  <si>
    <t>RERA No.</t>
  </si>
  <si>
    <t>P52000045608</t>
  </si>
  <si>
    <t xml:space="preserve">Project location details       </t>
  </si>
  <si>
    <t>Gut No</t>
  </si>
  <si>
    <t>172/6</t>
  </si>
  <si>
    <t>Locality</t>
  </si>
  <si>
    <t>Mohopada</t>
  </si>
  <si>
    <t>Road</t>
  </si>
  <si>
    <t>Internal Rd</t>
  </si>
  <si>
    <t>Village</t>
  </si>
  <si>
    <t>Rees</t>
  </si>
  <si>
    <t>City</t>
  </si>
  <si>
    <t>Khalapur</t>
  </si>
  <si>
    <t>District</t>
  </si>
  <si>
    <t>Raigad</t>
  </si>
  <si>
    <t>Taluka</t>
  </si>
  <si>
    <t>Pin Code</t>
  </si>
  <si>
    <t>Nearby Landmark</t>
  </si>
  <si>
    <t>Heramb Gurukrupa Complex</t>
  </si>
  <si>
    <t xml:space="preserve">Distance from city centre: </t>
  </si>
  <si>
    <t>5.8KM from Rasayani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</si>
  <si>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</si>
  <si>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</si>
  <si>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</si>
  <si>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</si>
  <si>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</si>
  <si>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</si>
  <si>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</si>
  <si>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</si>
  <si>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</si>
  <si>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</si>
  <si>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</si>
  <si>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</si>
  <si>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</si>
  <si>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</si>
  <si>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</si>
  <si>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</si>
  <si>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deed</t>
  </si>
  <si>
    <t>At site</t>
  </si>
  <si>
    <t>East</t>
  </si>
  <si>
    <t>NA</t>
  </si>
  <si>
    <t>West</t>
  </si>
  <si>
    <t>Open Plot</t>
  </si>
  <si>
    <t>North</t>
  </si>
  <si>
    <t>South</t>
  </si>
  <si>
    <t>Does the boundaries at site match, as mentioned in the Docoumentation: NA</t>
  </si>
  <si>
    <t>Latitude</t>
  </si>
  <si>
    <t>Longitude</t>
  </si>
  <si>
    <t>Location Link</t>
  </si>
  <si>
    <t>https://goo.gl/maps/KvmbkbhJ8xceivAQ8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</si>
  <si>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</si>
  <si>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</si>
  <si>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</si>
  <si>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</si>
  <si>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</si>
  <si>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</si>
  <si>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</si>
  <si>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>02 Buildings</t>
  </si>
  <si>
    <t xml:space="preserve">Approval Detail : Plan approval </t>
  </si>
  <si>
    <t>Name of Municipal Corporation/Authority</t>
  </si>
  <si>
    <t>MSRDC</t>
  </si>
  <si>
    <t xml:space="preserve">Layout Approval No     </t>
  </si>
  <si>
    <t>MSRDC/SPA/Rees/Khalapur/BP-320/CC/2021/1444</t>
  </si>
  <si>
    <t>Dated</t>
  </si>
  <si>
    <t>06/12/2024</t>
  </si>
  <si>
    <t xml:space="preserve">Approved Floor plan No.  </t>
  </si>
  <si>
    <t xml:space="preserve">Commencement-CC No
Valid Up to: </t>
  </si>
  <si>
    <t xml:space="preserve">O. Certificate No.: 
Approved upto : </t>
  </si>
  <si>
    <t>Building wise Construction details</t>
  </si>
  <si>
    <t>Approved area of building (Sq.Mt)</t>
  </si>
  <si>
    <t>Approved no of units</t>
  </si>
  <si>
    <t>Flats -134, Shops -23.</t>
  </si>
  <si>
    <t>Approved no of Floors</t>
  </si>
  <si>
    <t xml:space="preserve">A Wing = G + 1st to 8th Floor
B Wing = G + 1st to 8th Floor
</t>
  </si>
  <si>
    <t>Proposed no of Floors</t>
  </si>
  <si>
    <t>A Wing = G + 1st to 11 Floor</t>
  </si>
  <si>
    <t>B Wing = G + 1st to 11th Floor</t>
  </si>
  <si>
    <t>C Wing = G + 1st to 20th Floor</t>
  </si>
  <si>
    <t>Expected Completion</t>
  </si>
  <si>
    <t>As per RERA - 30/11/2025</t>
  </si>
  <si>
    <t>Projected life of the structure</t>
  </si>
  <si>
    <t xml:space="preserve">Quality of construction: </t>
  </si>
  <si>
    <r>
      <rPr>
        <sz val="12"/>
        <color indexed="8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</si>
  <si>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1.Vitrified tiles flooring 2. Granite Kitchen Platform  3. Decorative Enternace  etc. 
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</si>
  <si>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</si>
  <si>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</si>
  <si>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</si>
  <si>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</si>
  <si>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</si>
  <si>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</si>
  <si>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</si>
  <si>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</si>
  <si>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</si>
  <si>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</si>
  <si>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</si>
  <si>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</si>
  <si>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</si>
  <si>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</si>
  <si>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</si>
  <si>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</si>
  <si>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</si>
  <si>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</si>
  <si>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</si>
  <si>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</si>
  <si>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</si>
  <si>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</si>
  <si>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</si>
  <si>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</si>
  <si>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</si>
  <si>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</si>
  <si>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</si>
  <si>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</si>
  <si>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</si>
  <si>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</si>
  <si>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</si>
  <si>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</si>
  <si>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</si>
  <si>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</si>
  <si>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</si>
  <si>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</si>
  <si>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</si>
  <si>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 xml:space="preserve">Recommended Rates of the Property : </t>
  </si>
  <si>
    <t>On Saleable Area</t>
  </si>
  <si>
    <t>Recommended rate of the Flat Per Sq. Ft.</t>
  </si>
  <si>
    <t>Recommended rate of the Shop Per Sq. Ft.</t>
  </si>
  <si>
    <t>Recommended rate of the Office Per Sq. Ft.</t>
  </si>
  <si>
    <t>Floor Rise Rate</t>
  </si>
  <si>
    <t>Development Charges</t>
  </si>
  <si>
    <t>Club Charges</t>
  </si>
  <si>
    <t>Legal Charges</t>
  </si>
  <si>
    <t>Gas Connection Charges</t>
  </si>
  <si>
    <t>Water, Electricity, Drainages, Sewerage Connection</t>
  </si>
  <si>
    <t>Society Formation Charges</t>
  </si>
  <si>
    <t>Advance Maintenance Charges</t>
  </si>
  <si>
    <t xml:space="preserve">Recommended rate of Parking </t>
  </si>
  <si>
    <t>Distressed valuation of the Property</t>
  </si>
  <si>
    <t>Commercial Area Details :</t>
  </si>
  <si>
    <t>Building &amp; Wing</t>
  </si>
  <si>
    <t>No. of Units</t>
  </si>
  <si>
    <t>Total Carpet Area</t>
  </si>
  <si>
    <t>Total Saleable Area</t>
  </si>
  <si>
    <t>A Wing</t>
  </si>
  <si>
    <t>B Wing</t>
  </si>
  <si>
    <t>Total</t>
  </si>
  <si>
    <t>Residential Area Details :</t>
  </si>
  <si>
    <t>Building details Floor Wise</t>
  </si>
  <si>
    <t xml:space="preserve">Details of Flats in Building   </t>
  </si>
  <si>
    <r>
      <rPr>
        <b/>
        <sz val="12"/>
        <color indexed="8"/>
        <rFont val="Times New Roman"/>
        <family val="1"/>
      </rP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</si>
  <si>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</si>
  <si>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Description</t>
  </si>
  <si>
    <t>Gross Carpet area</t>
  </si>
  <si>
    <t>Attached Loft area</t>
  </si>
  <si>
    <t xml:space="preserve">Builder Saleable area </t>
  </si>
  <si>
    <t>Floor</t>
  </si>
  <si>
    <t>Ground Floor For Commercial &amp; Parking</t>
  </si>
  <si>
    <t>Shop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</si>
  <si>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</si>
  <si>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</si>
  <si>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Attached Terrace area</t>
  </si>
  <si>
    <t>Saleable area Loading :</t>
  </si>
  <si>
    <t>1st Floor For Residential</t>
  </si>
  <si>
    <t>2BHK</t>
  </si>
  <si>
    <t>1BHK</t>
  </si>
  <si>
    <t xml:space="preserve">2nd, 3rd, 4th, 5th, 6th &amp; 7th Floor </t>
  </si>
  <si>
    <t>8th Floor (Part Refuge Area)</t>
  </si>
  <si>
    <t>Fire Refuge Area</t>
  </si>
  <si>
    <t xml:space="preserve">Remarks:  </t>
  </si>
  <si>
    <t>*</t>
  </si>
  <si>
    <t xml:space="preserve">Wing A &amp; B = Construction work is in process at the time of Visit.
</t>
  </si>
  <si>
    <t>We considered Carpet area as per Approved Plan.</t>
  </si>
  <si>
    <t>We considered Gross carpet area = Net carpet + Enclose &amp; Open balcony + Chajja Area.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</si>
  <si>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</si>
  <si>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</si>
  <si>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</si>
  <si>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</si>
  <si>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On Site, we meet Mr. Ashok Tupe - 9321171817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</si>
  <si>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</si>
  <si>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</si>
  <si>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</si>
  <si>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</si>
  <si>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</si>
  <si>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</si>
  <si>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</si>
  <si>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</si>
  <si>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Report By :</t>
  </si>
  <si>
    <t>Authorized Signatory
Name &amp; Seal of the agency</t>
  </si>
  <si>
    <t xml:space="preserve">PHOTOGRAPHS OF PROPERTY : 
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</si>
  <si>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</si>
  <si>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</si>
  <si>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</si>
  <si>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</si>
  <si>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</si>
  <si>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</si>
  <si>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</si>
  <si>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</si>
  <si>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</si>
  <si>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</si>
  <si>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</si>
  <si>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</si>
  <si>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</si>
  <si>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07/09/2025</t>
  </si>
  <si>
    <t>Gaurav Panchal</t>
  </si>
  <si>
    <t>Mr. Nitesh</t>
  </si>
  <si>
    <t>MSRDC/SPA/BP-320/Revised CC/2025/162</t>
  </si>
  <si>
    <t>22/01/2025</t>
  </si>
  <si>
    <t>A Wing = G + 1st to 11th Floor
B Wing = G + 1st to 9th Floor</t>
  </si>
  <si>
    <t>We have updated Revised CC for Wing A &amp; B (On 08/09/2025)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</si>
</sst>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* #,##0_ ;_ * \-#,##0_ ;_ * &quot;-&quot;??_ ;_ @_ "/>
    <numFmt numFmtId="168" formatCode="[&gt;0]0&quot;BHK&quot;;&quot;1RK&quot;"/>
  </numFmts>
  <fonts count="25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000000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1">
    <xf numFmtId="0" fontId="0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2" fillId="0" borderId="0"/>
    <xf numFmtId="0" fontId="2" fillId="0" borderId="0"/>
  </cellStyleXfs>
  <cellXfs count="210">
    <xf numFmtId="0" fontId="0" fillId="0" borderId="0" xfId="0"/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8" fillId="0" borderId="0" xfId="8" applyFont="1"/>
    <xf numFmtId="0" fontId="9" fillId="0" borderId="0" xfId="5" applyFont="1"/>
    <xf numFmtId="0" fontId="10" fillId="0" borderId="0" xfId="0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0" xfId="8" applyFont="1" applyProtection="1">
      <protection locked="0"/>
    </xf>
    <xf numFmtId="0" fontId="10" fillId="0" borderId="0" xfId="8" applyFont="1"/>
    <xf numFmtId="0" fontId="7" fillId="0" borderId="1" xfId="8" applyFont="1" applyBorder="1" applyAlignment="1" applyProtection="1">
      <alignment horizontal="center" vertical="top"/>
      <protection locked="0"/>
    </xf>
    <xf numFmtId="0" fontId="9" fillId="0" borderId="1" xfId="8" applyFont="1" applyBorder="1" applyAlignment="1" applyProtection="1">
      <alignment horizontal="center" vertical="top"/>
      <protection locked="0"/>
    </xf>
    <xf numFmtId="0" fontId="9" fillId="0" borderId="1" xfId="8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1" fontId="10" fillId="0" borderId="0" xfId="8" applyNumberFormat="1" applyFont="1"/>
    <xf numFmtId="14" fontId="10" fillId="0" borderId="0" xfId="8" applyNumberFormat="1" applyFont="1"/>
    <xf numFmtId="0" fontId="10" fillId="0" borderId="0" xfId="8" applyFont="1" applyProtection="1">
      <protection hidden="1"/>
    </xf>
    <xf numFmtId="0" fontId="7" fillId="0" borderId="18" xfId="8" applyFont="1" applyBorder="1" applyAlignment="1" applyProtection="1">
      <alignment horizontal="center" vertical="top"/>
      <protection locked="0"/>
    </xf>
    <xf numFmtId="0" fontId="7" fillId="0" borderId="19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9" fontId="7" fillId="0" borderId="1" xfId="2" applyFont="1" applyFill="1" applyBorder="1" applyAlignment="1" applyProtection="1">
      <alignment horizontal="center" vertical="top" wrapText="1"/>
      <protection locked="0"/>
    </xf>
    <xf numFmtId="1" fontId="7" fillId="0" borderId="1" xfId="8" applyNumberFormat="1" applyFont="1" applyBorder="1" applyAlignment="1" applyProtection="1">
      <alignment horizontal="center" vertical="top" wrapText="1"/>
      <protection locked="0"/>
    </xf>
    <xf numFmtId="0" fontId="7" fillId="0" borderId="24" xfId="8" applyFont="1" applyBorder="1" applyAlignment="1" applyProtection="1">
      <alignment horizontal="center" vertical="top" wrapText="1"/>
      <protection locked="0"/>
    </xf>
    <xf numFmtId="9" fontId="7" fillId="0" borderId="24" xfId="2" applyFont="1" applyFill="1" applyBorder="1" applyAlignment="1" applyProtection="1">
      <alignment horizontal="center" vertical="top" wrapText="1"/>
      <protection locked="0"/>
    </xf>
    <xf numFmtId="0" fontId="6" fillId="0" borderId="1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9" fontId="10" fillId="0" borderId="1" xfId="2" applyFont="1" applyFill="1" applyBorder="1" applyAlignment="1" applyProtection="1">
      <alignment horizontal="center" vertical="top" wrapText="1"/>
      <protection locked="0"/>
    </xf>
    <xf numFmtId="0" fontId="10" fillId="0" borderId="24" xfId="8" applyFont="1" applyBorder="1" applyAlignment="1" applyProtection="1">
      <alignment horizontal="center" vertical="top" wrapText="1"/>
      <protection locked="0"/>
    </xf>
    <xf numFmtId="9" fontId="10" fillId="0" borderId="24" xfId="2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0" xfId="8" applyFont="1"/>
    <xf numFmtId="0" fontId="17" fillId="2" borderId="29" xfId="0" applyFont="1" applyFill="1" applyBorder="1"/>
    <xf numFmtId="0" fontId="18" fillId="0" borderId="30" xfId="0" applyFont="1" applyBorder="1"/>
    <xf numFmtId="0" fontId="18" fillId="0" borderId="1" xfId="0" applyFont="1" applyBorder="1"/>
    <xf numFmtId="0" fontId="18" fillId="0" borderId="19" xfId="0" applyFont="1" applyBorder="1"/>
    <xf numFmtId="0" fontId="19" fillId="0" borderId="0" xfId="0" applyFont="1" applyProtection="1">
      <protection hidden="1"/>
    </xf>
    <xf numFmtId="0" fontId="10" fillId="0" borderId="22" xfId="8" applyFont="1" applyBorder="1"/>
    <xf numFmtId="0" fontId="19" fillId="0" borderId="22" xfId="0" applyFont="1" applyBorder="1" applyProtection="1">
      <protection hidden="1"/>
    </xf>
    <xf numFmtId="1" fontId="0" fillId="0" borderId="22" xfId="0" applyNumberFormat="1" applyBorder="1"/>
    <xf numFmtId="1" fontId="0" fillId="0" borderId="22" xfId="0" applyNumberFormat="1" applyBorder="1" applyAlignment="1">
      <alignment horizontal="right"/>
    </xf>
    <xf numFmtId="0" fontId="19" fillId="0" borderId="31" xfId="0" applyFont="1" applyBorder="1" applyProtection="1">
      <protection hidden="1"/>
    </xf>
    <xf numFmtId="1" fontId="0" fillId="0" borderId="27" xfId="0" applyNumberFormat="1" applyBorder="1"/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1" fontId="20" fillId="0" borderId="10" xfId="8" applyNumberFormat="1" applyFont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0" fillId="0" borderId="1" xfId="8" applyNumberFormat="1" applyFont="1" applyBorder="1" applyAlignment="1">
      <alignment horizontal="center" vertical="center"/>
    </xf>
    <xf numFmtId="9" fontId="12" fillId="0" borderId="28" xfId="2" applyFont="1" applyFill="1" applyBorder="1" applyAlignment="1" applyProtection="1">
      <alignment horizontal="center" vertical="top" wrapText="1"/>
      <protection locked="0"/>
    </xf>
    <xf numFmtId="168" fontId="9" fillId="0" borderId="1" xfId="8" applyNumberFormat="1" applyFont="1" applyBorder="1" applyAlignment="1" applyProtection="1">
      <alignment horizontal="center" vertical="center" wrapText="1"/>
      <protection locked="0"/>
    </xf>
    <xf numFmtId="1" fontId="10" fillId="0" borderId="0" xfId="0" applyNumberFormat="1" applyFont="1" applyAlignment="1">
      <alignment horizontal="center" vertical="center"/>
    </xf>
    <xf numFmtId="1" fontId="10" fillId="0" borderId="0" xfId="8" applyNumberFormat="1" applyFont="1" applyAlignment="1">
      <alignment horizontal="center" vertical="center"/>
    </xf>
    <xf numFmtId="0" fontId="12" fillId="0" borderId="0" xfId="8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 wrapText="1"/>
      <protection locked="0"/>
    </xf>
    <xf numFmtId="0" fontId="15" fillId="0" borderId="0" xfId="8" applyFont="1" applyProtection="1"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1" fontId="9" fillId="0" borderId="5" xfId="8" applyNumberFormat="1" applyFont="1" applyBorder="1" applyAlignment="1" applyProtection="1">
      <alignment horizontal="center" vertical="center" wrapText="1"/>
      <protection locked="0"/>
    </xf>
    <xf numFmtId="1" fontId="9" fillId="0" borderId="6" xfId="8" applyNumberFormat="1" applyFont="1" applyBorder="1" applyAlignment="1" applyProtection="1">
      <alignment horizontal="center" vertical="center" wrapText="1"/>
      <protection locked="0"/>
    </xf>
    <xf numFmtId="1" fontId="9" fillId="0" borderId="11" xfId="8" applyNumberFormat="1" applyFont="1" applyBorder="1" applyAlignment="1" applyProtection="1">
      <alignment horizontal="center" vertical="center" wrapText="1"/>
      <protection locked="0"/>
    </xf>
    <xf numFmtId="1" fontId="9" fillId="0" borderId="21" xfId="8" applyNumberFormat="1" applyFont="1" applyBorder="1" applyAlignment="1" applyProtection="1">
      <alignment horizontal="center" vertical="center" wrapText="1"/>
      <protection locked="0"/>
    </xf>
    <xf numFmtId="1" fontId="9" fillId="0" borderId="7" xfId="8" applyNumberFormat="1" applyFont="1" applyBorder="1" applyAlignment="1" applyProtection="1">
      <alignment horizontal="center" vertical="center" wrapText="1"/>
      <protection locked="0"/>
    </xf>
    <xf numFmtId="1" fontId="9" fillId="0" borderId="8" xfId="8" applyNumberFormat="1" applyFont="1" applyBorder="1" applyAlignment="1" applyProtection="1">
      <alignment horizontal="center" vertical="center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12" fillId="0" borderId="6" xfId="8" applyNumberFormat="1" applyFont="1" applyBorder="1" applyAlignment="1" applyProtection="1">
      <alignment horizontal="center" vertical="top" wrapText="1"/>
      <protection locked="0"/>
    </xf>
    <xf numFmtId="1" fontId="12" fillId="0" borderId="7" xfId="8" applyNumberFormat="1" applyFont="1" applyBorder="1" applyAlignment="1" applyProtection="1">
      <alignment horizontal="center" vertical="top" wrapText="1"/>
      <protection locked="0"/>
    </xf>
    <xf numFmtId="1" fontId="12" fillId="0" borderId="8" xfId="8" applyNumberFormat="1" applyFont="1" applyBorder="1" applyAlignment="1" applyProtection="1">
      <alignment horizontal="center" vertical="top" wrapText="1"/>
      <protection locked="0"/>
    </xf>
    <xf numFmtId="0" fontId="21" fillId="0" borderId="1" xfId="8" applyFont="1" applyBorder="1" applyAlignment="1" applyProtection="1">
      <alignment horizontal="center" vertical="top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1" fontId="12" fillId="0" borderId="28" xfId="8" applyNumberFormat="1" applyFont="1" applyBorder="1" applyAlignment="1" applyProtection="1">
      <alignment horizontal="center" vertical="top" wrapText="1"/>
      <protection locked="0"/>
    </xf>
    <xf numFmtId="1" fontId="20" fillId="0" borderId="10" xfId="8" applyNumberFormat="1" applyFont="1" applyBorder="1" applyAlignment="1" applyProtection="1">
      <alignment horizontal="center" vertical="top" wrapText="1"/>
      <protection locked="0"/>
    </xf>
    <xf numFmtId="1" fontId="20" fillId="0" borderId="28" xfId="8" applyNumberFormat="1" applyFont="1" applyBorder="1" applyAlignment="1" applyProtection="1">
      <alignment horizontal="center" vertical="top" wrapText="1"/>
      <protection locked="0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0" fontId="9" fillId="0" borderId="1" xfId="8" applyFont="1" applyBorder="1" applyAlignment="1" applyProtection="1">
      <alignment horizontal="left" vertical="top"/>
      <protection locked="0"/>
    </xf>
    <xf numFmtId="0" fontId="9" fillId="0" borderId="1" xfId="8" applyFont="1" applyBorder="1" applyAlignment="1" applyProtection="1">
      <alignment vertical="top"/>
      <protection locked="0"/>
    </xf>
    <xf numFmtId="0" fontId="9" fillId="0" borderId="1" xfId="8" applyFont="1" applyBorder="1" applyAlignment="1" applyProtection="1">
      <alignment horizontal="left" vertical="top" wrapText="1"/>
      <protection locked="0"/>
    </xf>
    <xf numFmtId="1" fontId="9" fillId="0" borderId="2" xfId="8" applyNumberFormat="1" applyFont="1" applyBorder="1" applyAlignment="1" applyProtection="1">
      <alignment horizontal="center" vertical="center" wrapText="1"/>
      <protection locked="0"/>
    </xf>
    <xf numFmtId="1" fontId="9" fillId="0" borderId="3" xfId="8" applyNumberFormat="1" applyFont="1" applyBorder="1" applyAlignment="1" applyProtection="1">
      <alignment horizontal="center" vertical="center" wrapText="1"/>
      <protection locked="0"/>
    </xf>
    <xf numFmtId="0" fontId="10" fillId="0" borderId="0" xfId="8" applyFont="1" applyAlignment="1">
      <alignment horizontal="center" vertical="center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168" fontId="9" fillId="0" borderId="2" xfId="8" applyNumberFormat="1" applyFont="1" applyBorder="1" applyAlignment="1" applyProtection="1">
      <alignment horizontal="center" vertical="center" wrapText="1"/>
      <protection locked="0"/>
    </xf>
    <xf numFmtId="168" fontId="9" fillId="0" borderId="4" xfId="8" applyNumberFormat="1" applyFont="1" applyBorder="1" applyAlignment="1" applyProtection="1">
      <alignment horizontal="center" vertical="center" wrapText="1"/>
      <protection locked="0"/>
    </xf>
    <xf numFmtId="168" fontId="9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2" xfId="8" applyNumberFormat="1" applyFont="1" applyBorder="1" applyAlignment="1" applyProtection="1">
      <alignment horizontal="center" vertical="center" wrapText="1"/>
      <protection locked="0"/>
    </xf>
    <xf numFmtId="1" fontId="12" fillId="0" borderId="4" xfId="8" applyNumberFormat="1" applyFont="1" applyBorder="1" applyAlignment="1" applyProtection="1">
      <alignment horizontal="center" vertical="center" wrapText="1"/>
      <protection locked="0"/>
    </xf>
    <xf numFmtId="1" fontId="12" fillId="0" borderId="3" xfId="8" applyNumberFormat="1" applyFont="1" applyBorder="1" applyAlignment="1" applyProtection="1">
      <alignment horizontal="center" vertical="center" wrapText="1"/>
      <protection locked="0"/>
    </xf>
    <xf numFmtId="1" fontId="9" fillId="0" borderId="4" xfId="8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 vertical="top" wrapText="1"/>
      <protection locked="0"/>
    </xf>
    <xf numFmtId="0" fontId="15" fillId="0" borderId="1" xfId="0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8" applyFont="1" applyBorder="1" applyAlignment="1" applyProtection="1">
      <alignment horizontal="center" vertical="top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67" fontId="7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8" applyFont="1" applyBorder="1" applyAlignment="1" applyProtection="1">
      <alignment horizontal="left" vertical="top"/>
      <protection locked="0"/>
    </xf>
    <xf numFmtId="0" fontId="10" fillId="0" borderId="23" xfId="8" applyFont="1" applyBorder="1" applyAlignment="1" applyProtection="1">
      <alignment horizontal="center" vertical="top" wrapText="1"/>
      <protection locked="0"/>
    </xf>
    <xf numFmtId="0" fontId="10" fillId="0" borderId="24" xfId="8" applyFont="1" applyBorder="1" applyAlignment="1" applyProtection="1">
      <alignment horizontal="center" vertical="top" wrapText="1"/>
      <protection locked="0"/>
    </xf>
    <xf numFmtId="0" fontId="12" fillId="0" borderId="28" xfId="8" applyFont="1" applyBorder="1" applyAlignment="1" applyProtection="1">
      <alignment horizontal="left" vertical="top"/>
      <protection locked="0"/>
    </xf>
    <xf numFmtId="0" fontId="12" fillId="0" borderId="28" xfId="8" applyFont="1" applyBorder="1" applyAlignment="1" applyProtection="1">
      <alignment horizontal="center"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/>
      <protection locked="0"/>
    </xf>
    <xf numFmtId="9" fontId="10" fillId="0" borderId="5" xfId="2" applyFont="1" applyFill="1" applyBorder="1" applyAlignment="1" applyProtection="1">
      <alignment horizontal="center" vertical="center" wrapText="1"/>
      <protection locked="0"/>
    </xf>
    <xf numFmtId="9" fontId="10" fillId="0" borderId="6" xfId="2" applyFont="1" applyFill="1" applyBorder="1" applyAlignment="1" applyProtection="1">
      <alignment horizontal="center" vertical="center" wrapText="1"/>
      <protection locked="0"/>
    </xf>
    <xf numFmtId="9" fontId="10" fillId="0" borderId="11" xfId="2" applyFont="1" applyFill="1" applyBorder="1" applyAlignment="1" applyProtection="1">
      <alignment horizontal="center" vertical="center" wrapText="1"/>
      <protection locked="0"/>
    </xf>
    <xf numFmtId="9" fontId="10" fillId="0" borderId="21" xfId="2" applyFont="1" applyFill="1" applyBorder="1" applyAlignment="1" applyProtection="1">
      <alignment horizontal="center" vertical="center" wrapText="1"/>
      <protection locked="0"/>
    </xf>
    <xf numFmtId="9" fontId="10" fillId="0" borderId="25" xfId="2" applyFont="1" applyFill="1" applyBorder="1" applyAlignment="1" applyProtection="1">
      <alignment horizontal="center" vertical="center" wrapText="1"/>
      <protection locked="0"/>
    </xf>
    <xf numFmtId="9" fontId="10" fillId="0" borderId="26" xfId="2" applyFont="1" applyFill="1" applyBorder="1" applyAlignment="1" applyProtection="1">
      <alignment horizontal="center" vertical="center" wrapText="1"/>
      <protection locked="0"/>
    </xf>
    <xf numFmtId="9" fontId="10" fillId="0" borderId="20" xfId="2" applyFont="1" applyFill="1" applyBorder="1" applyAlignment="1" applyProtection="1">
      <alignment horizontal="center" vertical="center" wrapText="1"/>
      <protection locked="0"/>
    </xf>
    <xf numFmtId="9" fontId="10" fillId="0" borderId="22" xfId="2" applyFont="1" applyFill="1" applyBorder="1" applyAlignment="1" applyProtection="1">
      <alignment horizontal="center" vertical="center" wrapText="1"/>
      <protection locked="0"/>
    </xf>
    <xf numFmtId="9" fontId="10" fillId="0" borderId="27" xfId="2" applyFont="1" applyFill="1" applyBorder="1" applyAlignment="1" applyProtection="1">
      <alignment horizontal="center" vertical="center" wrapText="1"/>
      <protection locked="0"/>
    </xf>
    <xf numFmtId="0" fontId="10" fillId="0" borderId="18" xfId="8" applyFont="1" applyBorder="1" applyAlignment="1" applyProtection="1">
      <alignment horizontal="center" vertical="top" wrapText="1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0" fontId="7" fillId="0" borderId="18" xfId="8" applyFont="1" applyBorder="1" applyAlignment="1" applyProtection="1">
      <alignment horizontal="center" vertical="top" wrapText="1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0" fontId="7" fillId="0" borderId="23" xfId="8" applyFont="1" applyBorder="1" applyAlignment="1" applyProtection="1">
      <alignment horizontal="center" vertical="top" wrapText="1"/>
      <protection locked="0"/>
    </xf>
    <xf numFmtId="0" fontId="7" fillId="0" borderId="24" xfId="8" applyFont="1" applyBorder="1" applyAlignment="1" applyProtection="1">
      <alignment horizontal="center" vertical="top" wrapText="1"/>
      <protection locked="0"/>
    </xf>
    <xf numFmtId="0" fontId="12" fillId="0" borderId="13" xfId="8" applyFont="1" applyBorder="1" applyAlignment="1" applyProtection="1">
      <alignment horizontal="left" vertical="top" wrapText="1"/>
      <protection locked="0"/>
    </xf>
    <xf numFmtId="0" fontId="12" fillId="0" borderId="14" xfId="8" applyFont="1" applyBorder="1" applyAlignment="1" applyProtection="1">
      <alignment horizontal="left" vertical="top" wrapText="1"/>
      <protection locked="0"/>
    </xf>
    <xf numFmtId="0" fontId="12" fillId="0" borderId="15" xfId="8" applyFont="1" applyBorder="1" applyAlignment="1" applyProtection="1">
      <alignment horizontal="left" vertical="top" wrapText="1"/>
      <protection locked="0"/>
    </xf>
    <xf numFmtId="0" fontId="12" fillId="0" borderId="16" xfId="8" applyFont="1" applyBorder="1" applyAlignment="1" applyProtection="1">
      <alignment horizontal="left" vertical="top" wrapText="1"/>
      <protection locked="0"/>
    </xf>
    <xf numFmtId="0" fontId="12" fillId="0" borderId="17" xfId="8" applyFont="1" applyBorder="1" applyAlignment="1" applyProtection="1">
      <alignment horizontal="left" vertical="top" wrapText="1"/>
      <protection locked="0"/>
    </xf>
    <xf numFmtId="0" fontId="13" fillId="0" borderId="18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 wrapText="1"/>
      <protection locked="0"/>
    </xf>
    <xf numFmtId="0" fontId="13" fillId="0" borderId="19" xfId="8" applyFont="1" applyBorder="1" applyAlignment="1" applyProtection="1">
      <alignment horizontal="left" vertical="top" wrapText="1"/>
      <protection locked="0"/>
    </xf>
    <xf numFmtId="0" fontId="10" fillId="0" borderId="19" xfId="8" applyFont="1" applyBorder="1" applyAlignment="1" applyProtection="1">
      <alignment horizontal="center" vertical="top" wrapText="1"/>
      <protection locked="0"/>
    </xf>
    <xf numFmtId="9" fontId="7" fillId="0" borderId="5" xfId="2" applyFont="1" applyFill="1" applyBorder="1" applyAlignment="1" applyProtection="1">
      <alignment horizontal="center" vertical="center" wrapText="1"/>
      <protection locked="0"/>
    </xf>
    <xf numFmtId="9" fontId="7" fillId="0" borderId="6" xfId="2" applyFont="1" applyFill="1" applyBorder="1" applyAlignment="1" applyProtection="1">
      <alignment horizontal="center" vertical="center" wrapText="1"/>
      <protection locked="0"/>
    </xf>
    <xf numFmtId="9" fontId="7" fillId="0" borderId="11" xfId="2" applyFont="1" applyFill="1" applyBorder="1" applyAlignment="1" applyProtection="1">
      <alignment horizontal="center" vertical="center" wrapText="1"/>
      <protection locked="0"/>
    </xf>
    <xf numFmtId="9" fontId="7" fillId="0" borderId="21" xfId="2" applyFont="1" applyFill="1" applyBorder="1" applyAlignment="1" applyProtection="1">
      <alignment horizontal="center" vertical="center" wrapText="1"/>
      <protection locked="0"/>
    </xf>
    <xf numFmtId="9" fontId="7" fillId="0" borderId="25" xfId="2" applyFont="1" applyFill="1" applyBorder="1" applyAlignment="1" applyProtection="1">
      <alignment horizontal="center" vertical="center" wrapText="1"/>
      <protection locked="0"/>
    </xf>
    <xf numFmtId="9" fontId="7" fillId="0" borderId="26" xfId="2" applyFont="1" applyFill="1" applyBorder="1" applyAlignment="1" applyProtection="1">
      <alignment horizontal="center" vertical="center" wrapText="1"/>
      <protection locked="0"/>
    </xf>
    <xf numFmtId="9" fontId="7" fillId="0" borderId="20" xfId="2" applyFont="1" applyFill="1" applyBorder="1" applyAlignment="1" applyProtection="1">
      <alignment horizontal="center" vertical="center" wrapText="1"/>
      <protection locked="0"/>
    </xf>
    <xf numFmtId="9" fontId="7" fillId="0" borderId="22" xfId="2" applyFont="1" applyFill="1" applyBorder="1" applyAlignment="1" applyProtection="1">
      <alignment horizontal="center" vertical="center" wrapText="1"/>
      <protection locked="0"/>
    </xf>
    <xf numFmtId="9" fontId="7" fillId="0" borderId="27" xfId="2" applyFont="1" applyFill="1" applyBorder="1" applyAlignment="1" applyProtection="1">
      <alignment horizontal="center" vertical="center" wrapText="1"/>
      <protection locked="0"/>
    </xf>
    <xf numFmtId="0" fontId="7" fillId="0" borderId="19" xfId="8" applyFont="1" applyBorder="1" applyAlignment="1" applyProtection="1">
      <alignment horizontal="center" vertical="top" wrapText="1"/>
      <protection locked="0"/>
    </xf>
    <xf numFmtId="0" fontId="13" fillId="0" borderId="13" xfId="8" applyFont="1" applyBorder="1" applyAlignment="1" applyProtection="1">
      <alignment horizontal="left" vertical="top" wrapText="1"/>
      <protection locked="0"/>
    </xf>
    <xf numFmtId="0" fontId="13" fillId="0" borderId="14" xfId="8" applyFont="1" applyBorder="1" applyAlignment="1" applyProtection="1">
      <alignment horizontal="left" vertical="top" wrapText="1"/>
      <protection locked="0"/>
    </xf>
    <xf numFmtId="0" fontId="13" fillId="0" borderId="15" xfId="8" applyFont="1" applyBorder="1" applyAlignment="1" applyProtection="1">
      <alignment horizontal="left" vertical="top" wrapText="1"/>
      <protection locked="0"/>
    </xf>
    <xf numFmtId="0" fontId="13" fillId="0" borderId="16" xfId="8" applyFont="1" applyBorder="1" applyAlignment="1" applyProtection="1">
      <alignment horizontal="left" vertical="top" wrapText="1"/>
      <protection locked="0"/>
    </xf>
    <xf numFmtId="0" fontId="13" fillId="0" borderId="17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9" fillId="0" borderId="10" xfId="8" applyFont="1" applyBorder="1" applyAlignment="1" applyProtection="1">
      <alignment horizontal="left" vertical="top"/>
      <protection locked="0"/>
    </xf>
    <xf numFmtId="0" fontId="7" fillId="0" borderId="10" xfId="8" applyFont="1" applyBorder="1" applyAlignment="1" applyProtection="1">
      <alignment horizontal="left" vertical="top" wrapText="1"/>
      <protection locked="0"/>
    </xf>
    <xf numFmtId="0" fontId="9" fillId="0" borderId="10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0" fontId="6" fillId="0" borderId="1" xfId="8" applyFont="1" applyBorder="1" applyAlignment="1" applyProtection="1">
      <alignment horizontal="left" vertical="top"/>
      <protection locked="0"/>
    </xf>
    <xf numFmtId="1" fontId="9" fillId="0" borderId="1" xfId="8" applyNumberFormat="1" applyFont="1" applyBorder="1" applyAlignment="1" applyProtection="1">
      <alignment horizontal="left" vertical="top" wrapText="1"/>
      <protection locked="0"/>
    </xf>
    <xf numFmtId="0" fontId="7" fillId="0" borderId="5" xfId="8" applyFont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horizontal="left" vertical="top" wrapText="1"/>
      <protection locked="0"/>
    </xf>
    <xf numFmtId="0" fontId="7" fillId="0" borderId="11" xfId="8" applyFont="1" applyBorder="1" applyAlignment="1" applyProtection="1">
      <alignment horizontal="left" vertical="top" wrapText="1"/>
      <protection locked="0"/>
    </xf>
    <xf numFmtId="0" fontId="7" fillId="0" borderId="0" xfId="8" applyFont="1" applyAlignment="1" applyProtection="1">
      <alignment horizontal="left" vertical="top" wrapText="1"/>
      <protection locked="0"/>
    </xf>
    <xf numFmtId="0" fontId="7" fillId="0" borderId="7" xfId="8" applyFont="1" applyBorder="1" applyAlignment="1" applyProtection="1">
      <alignment horizontal="left" vertical="top" wrapText="1"/>
      <protection locked="0"/>
    </xf>
    <xf numFmtId="0" fontId="7" fillId="0" borderId="12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 wrapText="1"/>
      <protection locked="0"/>
    </xf>
    <xf numFmtId="0" fontId="12" fillId="0" borderId="4" xfId="8" applyFont="1" applyBorder="1" applyAlignment="1" applyProtection="1">
      <alignment horizontal="left" vertical="top" wrapText="1"/>
      <protection locked="0"/>
    </xf>
    <xf numFmtId="0" fontId="12" fillId="0" borderId="3" xfId="8" applyFont="1" applyBorder="1" applyAlignment="1" applyProtection="1">
      <alignment horizontal="left" vertical="top" wrapText="1"/>
      <protection locked="0"/>
    </xf>
    <xf numFmtId="14" fontId="12" fillId="0" borderId="2" xfId="8" applyNumberFormat="1" applyFont="1" applyBorder="1" applyAlignment="1" applyProtection="1">
      <alignment horizontal="left" vertical="top"/>
      <protection locked="0"/>
    </xf>
    <xf numFmtId="0" fontId="12" fillId="0" borderId="3" xfId="8" applyFont="1" applyBorder="1" applyAlignment="1" applyProtection="1">
      <alignment horizontal="left" vertical="top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0" fontId="7" fillId="0" borderId="10" xfId="8" applyFont="1" applyBorder="1" applyAlignment="1" applyProtection="1">
      <alignment horizontal="left" vertical="top"/>
      <protection locked="0"/>
    </xf>
    <xf numFmtId="0" fontId="12" fillId="0" borderId="5" xfId="8" applyFont="1" applyBorder="1" applyAlignment="1" applyProtection="1">
      <alignment horizontal="left" vertical="top" wrapText="1"/>
      <protection locked="0"/>
    </xf>
    <xf numFmtId="0" fontId="12" fillId="0" borderId="6" xfId="8" applyFont="1" applyBorder="1" applyAlignment="1" applyProtection="1">
      <alignment horizontal="left" vertical="top" wrapText="1"/>
      <protection locked="0"/>
    </xf>
    <xf numFmtId="0" fontId="12" fillId="0" borderId="7" xfId="8" applyFont="1" applyBorder="1" applyAlignment="1" applyProtection="1">
      <alignment horizontal="left" vertical="top" wrapText="1"/>
      <protection locked="0"/>
    </xf>
    <xf numFmtId="0" fontId="12" fillId="0" borderId="8" xfId="8" applyFont="1" applyBorder="1" applyAlignment="1" applyProtection="1">
      <alignment horizontal="left" vertical="top" wrapText="1"/>
      <protection locked="0"/>
    </xf>
    <xf numFmtId="0" fontId="9" fillId="0" borderId="2" xfId="8" applyFont="1" applyBorder="1" applyAlignment="1" applyProtection="1">
      <alignment horizontal="left" vertical="top" wrapText="1"/>
      <protection locked="0"/>
    </xf>
    <xf numFmtId="0" fontId="9" fillId="0" borderId="3" xfId="8" applyFont="1" applyBorder="1" applyAlignment="1" applyProtection="1">
      <alignment horizontal="left" vertical="top" wrapText="1"/>
      <protection locked="0"/>
    </xf>
    <xf numFmtId="0" fontId="9" fillId="0" borderId="4" xfId="8" applyFont="1" applyBorder="1" applyAlignment="1" applyProtection="1">
      <alignment horizontal="left" vertical="top" wrapText="1"/>
      <protection locked="0"/>
    </xf>
    <xf numFmtId="49" fontId="9" fillId="0" borderId="2" xfId="8" applyNumberFormat="1" applyFont="1" applyBorder="1" applyAlignment="1" applyProtection="1">
      <alignment horizontal="left" vertical="top" wrapText="1"/>
      <protection locked="0"/>
    </xf>
    <xf numFmtId="49" fontId="9" fillId="0" borderId="3" xfId="8" applyNumberFormat="1" applyFont="1" applyBorder="1" applyAlignment="1" applyProtection="1">
      <alignment horizontal="left" vertical="top" wrapText="1"/>
      <protection locked="0"/>
    </xf>
    <xf numFmtId="0" fontId="9" fillId="0" borderId="5" xfId="8" applyFont="1" applyBorder="1" applyAlignment="1" applyProtection="1">
      <alignment horizontal="left" vertical="top" wrapText="1"/>
      <protection locked="0"/>
    </xf>
    <xf numFmtId="0" fontId="9" fillId="0" borderId="6" xfId="8" applyFont="1" applyBorder="1" applyAlignment="1" applyProtection="1">
      <alignment horizontal="left" vertical="top" wrapText="1"/>
      <protection locked="0"/>
    </xf>
    <xf numFmtId="0" fontId="9" fillId="0" borderId="7" xfId="8" applyFont="1" applyBorder="1" applyAlignment="1" applyProtection="1">
      <alignment horizontal="left" vertical="top" wrapText="1"/>
      <protection locked="0"/>
    </xf>
    <xf numFmtId="0" fontId="9" fillId="0" borderId="8" xfId="8" applyFont="1" applyBorder="1" applyAlignment="1" applyProtection="1">
      <alignment horizontal="left" vertical="top" wrapText="1"/>
      <protection locked="0"/>
    </xf>
    <xf numFmtId="166" fontId="9" fillId="0" borderId="1" xfId="8" applyNumberFormat="1" applyFont="1" applyBorder="1" applyAlignment="1" applyProtection="1">
      <alignment horizontal="left" vertical="top"/>
      <protection locked="0"/>
    </xf>
    <xf numFmtId="2" fontId="7" fillId="0" borderId="1" xfId="8" applyNumberFormat="1" applyFont="1" applyBorder="1" applyAlignment="1" applyProtection="1">
      <alignment horizontal="left" vertical="top"/>
      <protection locked="0"/>
    </xf>
    <xf numFmtId="0" fontId="7" fillId="0" borderId="2" xfId="8" applyFont="1" applyBorder="1" applyAlignment="1" applyProtection="1">
      <alignment horizontal="left" vertical="top" wrapText="1"/>
      <protection locked="0"/>
    </xf>
    <xf numFmtId="0" fontId="7" fillId="0" borderId="3" xfId="8" applyFont="1" applyBorder="1" applyAlignment="1" applyProtection="1">
      <alignment horizontal="left" vertical="top" wrapText="1"/>
      <protection locked="0"/>
    </xf>
    <xf numFmtId="0" fontId="13" fillId="0" borderId="2" xfId="8" applyFont="1" applyBorder="1" applyAlignment="1" applyProtection="1">
      <alignment horizontal="left" vertical="top"/>
      <protection locked="0"/>
    </xf>
    <xf numFmtId="0" fontId="13" fillId="0" borderId="4" xfId="8" applyFont="1" applyBorder="1" applyAlignment="1" applyProtection="1">
      <alignment horizontal="left" vertical="top"/>
      <protection locked="0"/>
    </xf>
    <xf numFmtId="0" fontId="13" fillId="0" borderId="3" xfId="8" applyFont="1" applyBorder="1" applyAlignment="1" applyProtection="1">
      <alignment horizontal="left" vertical="top"/>
      <protection locked="0"/>
    </xf>
    <xf numFmtId="0" fontId="14" fillId="0" borderId="1" xfId="3" applyFill="1" applyBorder="1" applyAlignment="1" applyProtection="1">
      <alignment horizontal="left" vertical="top" wrapText="1"/>
      <protection locked="0"/>
    </xf>
    <xf numFmtId="2" fontId="9" fillId="0" borderId="1" xfId="8" applyNumberFormat="1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horizontal="center"/>
      <protection locked="0"/>
    </xf>
    <xf numFmtId="0" fontId="9" fillId="0" borderId="1" xfId="8" applyFont="1" applyBorder="1" applyAlignment="1" applyProtection="1">
      <alignment horizontal="center" vertical="top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left"/>
      <protection locked="0"/>
    </xf>
    <xf numFmtId="0" fontId="7" fillId="0" borderId="4" xfId="8" applyFont="1" applyBorder="1" applyAlignment="1" applyProtection="1">
      <alignment horizontal="left" vertical="top" wrapText="1"/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49" fontId="7" fillId="0" borderId="1" xfId="8" applyNumberFormat="1" applyFont="1" applyBorder="1" applyAlignment="1" applyProtection="1">
      <alignment horizontal="left" vertical="top"/>
      <protection locked="0"/>
    </xf>
    <xf numFmtId="0" fontId="3" fillId="0" borderId="1" xfId="10" applyFont="1" applyBorder="1" applyAlignment="1">
      <alignment horizontal="left"/>
    </xf>
  </cellXfs>
  <cellStyles count="11">
    <cellStyle name="Comma" xfId="1" builtinId="3"/>
    <cellStyle name="Comma 2" xfId="4" xr:uid="{00000000-0005-0000-0000-000001000000}"/>
    <cellStyle name="Excel Built-in Normal" xfId="5" xr:uid="{00000000-0005-0000-0000-000002000000}"/>
    <cellStyle name="Excel Built-in Normal 2" xfId="6" xr:uid="{00000000-0005-0000-0000-000003000000}"/>
    <cellStyle name="Hyperlink" xfId="3" builtinId="8"/>
    <cellStyle name="Normal" xfId="0" builtinId="0"/>
    <cellStyle name="Normal 2" xfId="7" xr:uid="{00000000-0005-0000-0000-000006000000}"/>
    <cellStyle name="Normal 3" xfId="8" xr:uid="{00000000-0005-0000-0000-000007000000}"/>
    <cellStyle name="Normal 3 3" xfId="9" xr:uid="{00000000-0005-0000-0000-000008000000}"/>
    <cellStyle name="Normal 4" xfId="10" xr:uid="{00000000-0005-0000-0000-000009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293</xdr:row>
      <xdr:rowOff>19050</xdr:rowOff>
    </xdr:from>
    <xdr:to>
      <xdr:col>7</xdr:col>
      <xdr:colOff>268348</xdr:colOff>
      <xdr:row>311</xdr:row>
      <xdr:rowOff>18600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rcRect/>
        <a:stretch>
          <a:fillRect/>
        </a:stretch>
      </xdr:blipFill>
      <xdr:spPr>
        <a:xfrm>
          <a:off x="533400" y="58076465"/>
          <a:ext cx="5430520" cy="3599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533400</xdr:colOff>
      <xdr:row>312</xdr:row>
      <xdr:rowOff>31451</xdr:rowOff>
    </xdr:from>
    <xdr:to>
      <xdr:col>7</xdr:col>
      <xdr:colOff>230112</xdr:colOff>
      <xdr:row>330</xdr:row>
      <xdr:rowOff>31002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533400" y="61889005"/>
          <a:ext cx="5392420" cy="3599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12</xdr:col>
      <xdr:colOff>78740</xdr:colOff>
      <xdr:row>249</xdr:row>
      <xdr:rowOff>134620</xdr:rowOff>
    </xdr:from>
    <xdr:to>
      <xdr:col>13</xdr:col>
      <xdr:colOff>40640</xdr:colOff>
      <xdr:row>253</xdr:row>
      <xdr:rowOff>53340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37115" y="49200435"/>
          <a:ext cx="752475" cy="7092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3200" b="1">
              <a:ln>
                <a:noFill/>
              </a:ln>
              <a:solidFill>
                <a:schemeClr val="tx1"/>
              </a:solidFill>
            </a:rPr>
            <a:t>A</a:t>
          </a:r>
        </a:p>
      </xdr:txBody>
    </xdr:sp>
    <xdr:clientData/>
  </xdr:twoCellAnchor>
  <xdr:twoCellAnchor>
    <xdr:from>
      <xdr:col>9</xdr:col>
      <xdr:colOff>0</xdr:colOff>
      <xdr:row>263</xdr:row>
      <xdr:rowOff>99646</xdr:rowOff>
    </xdr:from>
    <xdr:to>
      <xdr:col>9</xdr:col>
      <xdr:colOff>562841</xdr:colOff>
      <xdr:row>266</xdr:row>
      <xdr:rowOff>139478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7686675" y="51955700"/>
          <a:ext cx="562610" cy="6400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3200" b="1">
              <a:ln>
                <a:noFill/>
              </a:ln>
              <a:solidFill>
                <a:schemeClr val="tx1"/>
              </a:solidFill>
            </a:rPr>
            <a:t>B</a:t>
          </a:r>
        </a:p>
      </xdr:txBody>
    </xdr:sp>
    <xdr:clientData/>
  </xdr:twoCellAnchor>
  <xdr:twoCellAnchor>
    <xdr:from>
      <xdr:col>14</xdr:col>
      <xdr:colOff>669925</xdr:colOff>
      <xdr:row>270</xdr:row>
      <xdr:rowOff>128270</xdr:rowOff>
    </xdr:from>
    <xdr:to>
      <xdr:col>17</xdr:col>
      <xdr:colOff>236855</xdr:colOff>
      <xdr:row>281</xdr:row>
      <xdr:rowOff>109855</xdr:rowOff>
    </xdr:to>
    <xdr:pic>
      <xdr:nvPicPr>
        <xdr:cNvPr id="10" name="Picture 20" descr="https://vsjcllp.vsjadon.com/upload/insp-220618-1525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2473305" y="52912010"/>
          <a:ext cx="1670050" cy="216090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587375</xdr:colOff>
      <xdr:row>270</xdr:row>
      <xdr:rowOff>138430</xdr:rowOff>
    </xdr:from>
    <xdr:to>
      <xdr:col>14</xdr:col>
      <xdr:colOff>587375</xdr:colOff>
      <xdr:row>281</xdr:row>
      <xdr:rowOff>120015</xdr:rowOff>
    </xdr:to>
    <xdr:pic>
      <xdr:nvPicPr>
        <xdr:cNvPr id="13" name="Picture 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714355" y="52922170"/>
          <a:ext cx="1676400" cy="2160905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952500</xdr:colOff>
      <xdr:row>270</xdr:row>
      <xdr:rowOff>137160</xdr:rowOff>
    </xdr:from>
    <xdr:to>
      <xdr:col>12</xdr:col>
      <xdr:colOff>503555</xdr:colOff>
      <xdr:row>281</xdr:row>
      <xdr:rowOff>128270</xdr:rowOff>
    </xdr:to>
    <xdr:pic>
      <xdr:nvPicPr>
        <xdr:cNvPr id="17" name="Picture 2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650480" y="52920900"/>
          <a:ext cx="2980055" cy="217043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767715</xdr:colOff>
      <xdr:row>250</xdr:row>
      <xdr:rowOff>63500</xdr:rowOff>
    </xdr:from>
    <xdr:to>
      <xdr:col>17</xdr:col>
      <xdr:colOff>17145</xdr:colOff>
      <xdr:row>270</xdr:row>
      <xdr:rowOff>3810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10626090" y="49574450"/>
          <a:ext cx="2926080" cy="3931285"/>
          <a:chOff x="5145" y="78292"/>
          <a:chExt cx="4654" cy="6242"/>
        </a:xfrm>
      </xdr:grpSpPr>
      <xdr:pic>
        <xdr:nvPicPr>
          <xdr:cNvPr id="12" name="Picture 24" descr="https://vsjcllp.vsjadon.com/upload/insp-220618-844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>
          <a:xfrm>
            <a:off x="5145" y="78292"/>
            <a:ext cx="4655" cy="624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Rectangle 29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8603" y="78451"/>
            <a:ext cx="891" cy="101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>
            <a:defPPr>
              <a:defRPr lang="en-US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IN" sz="3200" b="1">
                <a:ln>
                  <a:noFill/>
                </a:ln>
                <a:solidFill>
                  <a:schemeClr val="tx1"/>
                </a:solidFill>
              </a:rPr>
              <a:t>B</a:t>
            </a:r>
          </a:p>
        </xdr:txBody>
      </xdr:sp>
    </xdr:grpSp>
    <xdr:clientData/>
  </xdr:twoCellAnchor>
  <xdr:twoCellAnchor>
    <xdr:from>
      <xdr:col>8</xdr:col>
      <xdr:colOff>1089660</xdr:colOff>
      <xdr:row>250</xdr:row>
      <xdr:rowOff>53340</xdr:rowOff>
    </xdr:from>
    <xdr:to>
      <xdr:col>12</xdr:col>
      <xdr:colOff>669925</xdr:colOff>
      <xdr:row>270</xdr:row>
      <xdr:rowOff>4445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7614285" y="49564290"/>
          <a:ext cx="2914015" cy="3942080"/>
          <a:chOff x="357" y="78276"/>
          <a:chExt cx="4634" cy="6259"/>
        </a:xfrm>
      </xdr:grpSpPr>
      <xdr:pic>
        <xdr:nvPicPr>
          <xdr:cNvPr id="14" name="Picture 26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>
          <a:xfrm>
            <a:off x="357" y="78293"/>
            <a:ext cx="4635" cy="6243"/>
          </a:xfrm>
          <a:prstGeom prst="rect">
            <a:avLst/>
          </a:prstGeom>
          <a:noFill/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sp macro="" textlink="">
        <xdr:nvSpPr>
          <xdr:cNvPr id="22" name="Rectangle 17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851" y="78276"/>
            <a:ext cx="1185" cy="112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>
            <a:defPPr>
              <a:defRPr lang="en-US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IN" sz="3200" b="1">
                <a:ln>
                  <a:noFill/>
                </a:ln>
                <a:solidFill>
                  <a:schemeClr val="tx1"/>
                </a:solidFill>
              </a:rPr>
              <a:t>A</a:t>
            </a:r>
          </a:p>
        </xdr:txBody>
      </xdr:sp>
    </xdr:grpSp>
    <xdr:clientData/>
  </xdr:twoCellAnchor>
  <xdr:twoCellAnchor>
    <xdr:from>
      <xdr:col>8</xdr:col>
      <xdr:colOff>733425</xdr:colOff>
      <xdr:row>251</xdr:row>
      <xdr:rowOff>102870</xdr:rowOff>
    </xdr:from>
    <xdr:to>
      <xdr:col>17</xdr:col>
      <xdr:colOff>43815</xdr:colOff>
      <xdr:row>289</xdr:row>
      <xdr:rowOff>163830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051B54E-77AA-7827-1F5B-32ED150AF772}"/>
            </a:ext>
          </a:extLst>
        </xdr:cNvPr>
        <xdr:cNvGrpSpPr/>
      </xdr:nvGrpSpPr>
      <xdr:grpSpPr>
        <a:xfrm>
          <a:off x="7258050" y="49813845"/>
          <a:ext cx="6320790" cy="7652385"/>
          <a:chOff x="435532" y="289560"/>
          <a:chExt cx="5986935" cy="7303860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C9D6F6F-D149-01D2-E55C-86E27846619E}"/>
              </a:ext>
            </a:extLst>
          </xdr:cNvPr>
          <xdr:cNvGrpSpPr/>
        </xdr:nvGrpSpPr>
        <xdr:grpSpPr>
          <a:xfrm>
            <a:off x="679409" y="3041490"/>
            <a:ext cx="5499181" cy="2520000"/>
            <a:chOff x="286702" y="2934810"/>
            <a:chExt cx="5499181" cy="2520000"/>
          </a:xfrm>
        </xdr:grpSpPr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6C326DC5-2B79-A199-82A6-D8D7A7E722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86702" y="2934810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4E931807-1E8E-9395-A8F8-F387E6C8836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30550" y="2934810"/>
              <a:ext cx="3355333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D46FC4B9-9B6D-4340-1D4D-68F753D9CFAA}"/>
              </a:ext>
            </a:extLst>
          </xdr:cNvPr>
          <xdr:cNvGrpSpPr/>
        </xdr:nvGrpSpPr>
        <xdr:grpSpPr>
          <a:xfrm>
            <a:off x="626068" y="5791950"/>
            <a:ext cx="5605862" cy="1801470"/>
            <a:chOff x="-222589" y="5685270"/>
            <a:chExt cx="5605862" cy="1801470"/>
          </a:xfrm>
        </xdr:grpSpPr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C7DBC379-E2A0-12BC-341A-1E9458046F3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30550" y="5685270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1FB4FE66-E146-A986-6550-0BB9B228C4A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222589" y="5686740"/>
              <a:ext cx="23966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911B4E1D-666C-211F-B94B-F79CEF2BC00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35148" y="5685270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ED9FF120-7135-E59D-5426-6DA91C411FAA}"/>
              </a:ext>
            </a:extLst>
          </xdr:cNvPr>
          <xdr:cNvGrpSpPr/>
        </xdr:nvGrpSpPr>
        <xdr:grpSpPr>
          <a:xfrm>
            <a:off x="435532" y="289560"/>
            <a:ext cx="5986935" cy="2520000"/>
            <a:chOff x="286702" y="182880"/>
            <a:chExt cx="5986935" cy="2520000"/>
          </a:xfrm>
        </xdr:grpSpPr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5631212E-C98F-175C-F5C4-E1DA4A5A8BB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86262" y="182880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9492395E-1267-475E-33FA-57F50A83D38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36482" y="182880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6B77BC5C-9BB1-87FE-F498-76FCDF1555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86702" y="182880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171451</xdr:colOff>
      <xdr:row>250</xdr:row>
      <xdr:rowOff>178079</xdr:rowOff>
    </xdr:from>
    <xdr:to>
      <xdr:col>7</xdr:col>
      <xdr:colOff>800101</xdr:colOff>
      <xdr:row>289</xdr:row>
      <xdr:rowOff>171450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45358826-C0CC-496C-A4D3-05AC8BF4D130}"/>
            </a:ext>
          </a:extLst>
        </xdr:cNvPr>
        <xdr:cNvGrpSpPr/>
      </xdr:nvGrpSpPr>
      <xdr:grpSpPr>
        <a:xfrm>
          <a:off x="171451" y="49689029"/>
          <a:ext cx="6324600" cy="7784821"/>
          <a:chOff x="91282" y="271714"/>
          <a:chExt cx="6744365" cy="8798333"/>
        </a:xfrm>
      </xdr:grpSpPr>
      <xdr:grpSp>
        <xdr:nvGrpSpPr>
          <xdr:cNvPr id="28" name="Group 27">
            <a:extLst>
              <a:ext uri="{FF2B5EF4-FFF2-40B4-BE49-F238E27FC236}">
                <a16:creationId xmlns:a16="http://schemas.microsoft.com/office/drawing/2014/main" id="{72E62BDF-D7AC-4274-A829-7AD2226EFD4D}"/>
              </a:ext>
            </a:extLst>
          </xdr:cNvPr>
          <xdr:cNvGrpSpPr/>
        </xdr:nvGrpSpPr>
        <xdr:grpSpPr>
          <a:xfrm>
            <a:off x="91282" y="285751"/>
            <a:ext cx="6663108" cy="8784296"/>
            <a:chOff x="91282" y="285751"/>
            <a:chExt cx="6663108" cy="8784296"/>
          </a:xfrm>
        </xdr:grpSpPr>
        <xdr:pic>
          <xdr:nvPicPr>
            <xdr:cNvPr id="39" name="Picture 38">
              <a:extLst>
                <a:ext uri="{FF2B5EF4-FFF2-40B4-BE49-F238E27FC236}">
                  <a16:creationId xmlns:a16="http://schemas.microsoft.com/office/drawing/2014/main" id="{DE7DA6AA-7CDA-4C3D-A5BE-EA62C883DA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79947" y="285751"/>
              <a:ext cx="2426625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0" name="Picture 39">
              <a:extLst>
                <a:ext uri="{FF2B5EF4-FFF2-40B4-BE49-F238E27FC236}">
                  <a16:creationId xmlns:a16="http://schemas.microsoft.com/office/drawing/2014/main" id="{59CE5C9E-E714-45D6-ADDF-F7F06AD8BED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2837" y="285751"/>
              <a:ext cx="2426625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1" name="Picture 40">
              <a:extLst>
                <a:ext uri="{FF2B5EF4-FFF2-40B4-BE49-F238E27FC236}">
                  <a16:creationId xmlns:a16="http://schemas.microsoft.com/office/drawing/2014/main" id="{E2439FAA-5D9F-4863-9414-04CCDEC7882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842390" y="3638250"/>
              <a:ext cx="2636334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2" name="Picture 41">
              <a:extLst>
                <a:ext uri="{FF2B5EF4-FFF2-40B4-BE49-F238E27FC236}">
                  <a16:creationId xmlns:a16="http://schemas.microsoft.com/office/drawing/2014/main" id="{80788A4F-29F1-479F-B4BF-A93BED7BEAE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97390" y="5717548"/>
              <a:ext cx="2157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3" name="Picture 42">
              <a:extLst>
                <a:ext uri="{FF2B5EF4-FFF2-40B4-BE49-F238E27FC236}">
                  <a16:creationId xmlns:a16="http://schemas.microsoft.com/office/drawing/2014/main" id="{4732E757-EFF4-421C-8171-B72143EDB90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44336" y="5717548"/>
              <a:ext cx="2157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4" name="Picture 43">
              <a:extLst>
                <a:ext uri="{FF2B5EF4-FFF2-40B4-BE49-F238E27FC236}">
                  <a16:creationId xmlns:a16="http://schemas.microsoft.com/office/drawing/2014/main" id="{1C73F780-6E43-4307-812D-6EB7E7E8F2C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95056" y="3625049"/>
              <a:ext cx="1617750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5" name="Picture 44">
              <a:extLst>
                <a:ext uri="{FF2B5EF4-FFF2-40B4-BE49-F238E27FC236}">
                  <a16:creationId xmlns:a16="http://schemas.microsoft.com/office/drawing/2014/main" id="{463B3AAD-7043-4A4B-A6AF-7417FCAE15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03101" y="7450047"/>
              <a:ext cx="1213313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6" name="Picture 45">
              <a:extLst>
                <a:ext uri="{FF2B5EF4-FFF2-40B4-BE49-F238E27FC236}">
                  <a16:creationId xmlns:a16="http://schemas.microsoft.com/office/drawing/2014/main" id="{9F24E9E3-187C-4E69-8F1D-F7BAAF27455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636149" y="7450047"/>
              <a:ext cx="1213313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7" name="Picture 46">
              <a:extLst>
                <a:ext uri="{FF2B5EF4-FFF2-40B4-BE49-F238E27FC236}">
                  <a16:creationId xmlns:a16="http://schemas.microsoft.com/office/drawing/2014/main" id="{C5FEC31C-D4F7-4625-B786-74860A015B0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1282" y="5717548"/>
              <a:ext cx="2157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8" name="Picture 47">
              <a:extLst>
                <a:ext uri="{FF2B5EF4-FFF2-40B4-BE49-F238E27FC236}">
                  <a16:creationId xmlns:a16="http://schemas.microsoft.com/office/drawing/2014/main" id="{7B1CBB77-AFAD-4A5D-9370-3A530FB6B52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68723" y="3625049"/>
              <a:ext cx="1617750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9" name="Picture 48">
              <a:extLst>
                <a:ext uri="{FF2B5EF4-FFF2-40B4-BE49-F238E27FC236}">
                  <a16:creationId xmlns:a16="http://schemas.microsoft.com/office/drawing/2014/main" id="{D605E62B-0F4A-4CD7-BB28-63281C67F1E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27729" y="7450047"/>
              <a:ext cx="2157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29" name="TextBox 54">
            <a:extLst>
              <a:ext uri="{FF2B5EF4-FFF2-40B4-BE49-F238E27FC236}">
                <a16:creationId xmlns:a16="http://schemas.microsoft.com/office/drawing/2014/main" id="{C6F5008B-CA40-4367-A6A0-F04D270DE227}"/>
              </a:ext>
            </a:extLst>
          </xdr:cNvPr>
          <xdr:cNvSpPr txBox="1"/>
        </xdr:nvSpPr>
        <xdr:spPr>
          <a:xfrm>
            <a:off x="873385" y="271714"/>
            <a:ext cx="929459" cy="42285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1" name="TextBox 55">
            <a:extLst>
              <a:ext uri="{FF2B5EF4-FFF2-40B4-BE49-F238E27FC236}">
                <a16:creationId xmlns:a16="http://schemas.microsoft.com/office/drawing/2014/main" id="{B90DEEA1-F3C3-4675-A2A2-CDA3161996D3}"/>
              </a:ext>
            </a:extLst>
          </xdr:cNvPr>
          <xdr:cNvSpPr txBox="1"/>
        </xdr:nvSpPr>
        <xdr:spPr>
          <a:xfrm>
            <a:off x="4753425" y="531735"/>
            <a:ext cx="1037581" cy="42285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2" name="TextBox 56">
            <a:extLst>
              <a:ext uri="{FF2B5EF4-FFF2-40B4-BE49-F238E27FC236}">
                <a16:creationId xmlns:a16="http://schemas.microsoft.com/office/drawing/2014/main" id="{1A1A41E0-F1D5-410A-BEE7-3DE57AB68691}"/>
              </a:ext>
            </a:extLst>
          </xdr:cNvPr>
          <xdr:cNvSpPr txBox="1"/>
        </xdr:nvSpPr>
        <xdr:spPr>
          <a:xfrm>
            <a:off x="847958" y="5185984"/>
            <a:ext cx="1051300" cy="42285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3" name="TextBox 57">
            <a:extLst>
              <a:ext uri="{FF2B5EF4-FFF2-40B4-BE49-F238E27FC236}">
                <a16:creationId xmlns:a16="http://schemas.microsoft.com/office/drawing/2014/main" id="{99D5B227-18D4-46B2-BFE3-32B14D22FCE5}"/>
              </a:ext>
            </a:extLst>
          </xdr:cNvPr>
          <xdr:cNvSpPr txBox="1"/>
        </xdr:nvSpPr>
        <xdr:spPr>
          <a:xfrm>
            <a:off x="2104329" y="5215838"/>
            <a:ext cx="1044262" cy="42285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4" name="TextBox 58">
            <a:extLst>
              <a:ext uri="{FF2B5EF4-FFF2-40B4-BE49-F238E27FC236}">
                <a16:creationId xmlns:a16="http://schemas.microsoft.com/office/drawing/2014/main" id="{F8281979-B3D6-4DD3-B277-BE3987F28E11}"/>
              </a:ext>
            </a:extLst>
          </xdr:cNvPr>
          <xdr:cNvSpPr txBox="1"/>
        </xdr:nvSpPr>
        <xdr:spPr>
          <a:xfrm>
            <a:off x="3940851" y="4980597"/>
            <a:ext cx="973456" cy="42285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5" name="TextBox 59">
            <a:extLst>
              <a:ext uri="{FF2B5EF4-FFF2-40B4-BE49-F238E27FC236}">
                <a16:creationId xmlns:a16="http://schemas.microsoft.com/office/drawing/2014/main" id="{B913668C-F828-4157-BD6E-80862DAB9892}"/>
              </a:ext>
            </a:extLst>
          </xdr:cNvPr>
          <xdr:cNvSpPr txBox="1"/>
        </xdr:nvSpPr>
        <xdr:spPr>
          <a:xfrm>
            <a:off x="1015584" y="5973550"/>
            <a:ext cx="1053141" cy="42285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6" name="TextBox 60">
            <a:extLst>
              <a:ext uri="{FF2B5EF4-FFF2-40B4-BE49-F238E27FC236}">
                <a16:creationId xmlns:a16="http://schemas.microsoft.com/office/drawing/2014/main" id="{CFC98F7D-C576-4108-B726-05377A266E85}"/>
              </a:ext>
            </a:extLst>
          </xdr:cNvPr>
          <xdr:cNvSpPr txBox="1"/>
        </xdr:nvSpPr>
        <xdr:spPr>
          <a:xfrm>
            <a:off x="3026705" y="5980149"/>
            <a:ext cx="1055428" cy="42285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7" name="TextBox 61">
            <a:extLst>
              <a:ext uri="{FF2B5EF4-FFF2-40B4-BE49-F238E27FC236}">
                <a16:creationId xmlns:a16="http://schemas.microsoft.com/office/drawing/2014/main" id="{36457EB1-89EB-4EFB-B6CA-7E914BA0455D}"/>
              </a:ext>
            </a:extLst>
          </xdr:cNvPr>
          <xdr:cNvSpPr txBox="1"/>
        </xdr:nvSpPr>
        <xdr:spPr>
          <a:xfrm>
            <a:off x="5686252" y="5873326"/>
            <a:ext cx="1149395" cy="42285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8" name="TextBox 62">
            <a:extLst>
              <a:ext uri="{FF2B5EF4-FFF2-40B4-BE49-F238E27FC236}">
                <a16:creationId xmlns:a16="http://schemas.microsoft.com/office/drawing/2014/main" id="{C014F81B-38B2-4481-BD62-5AB19013C45A}"/>
              </a:ext>
            </a:extLst>
          </xdr:cNvPr>
          <xdr:cNvSpPr txBox="1"/>
        </xdr:nvSpPr>
        <xdr:spPr>
          <a:xfrm>
            <a:off x="1574229" y="8540233"/>
            <a:ext cx="1044724" cy="42285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8</xdr:col>
      <xdr:colOff>228600</xdr:colOff>
      <xdr:row>43</xdr:row>
      <xdr:rowOff>142875</xdr:rowOff>
    </xdr:from>
    <xdr:to>
      <xdr:col>15</xdr:col>
      <xdr:colOff>8850</xdr:colOff>
      <xdr:row>55</xdr:row>
      <xdr:rowOff>34470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9B150E7-1FA9-429E-8533-693D7F9CB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753225" y="9801225"/>
          <a:ext cx="5400000" cy="3215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vmbkbhJ8xceivAQ8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92"/>
  <sheetViews>
    <sheetView tabSelected="1" view="pageBreakPreview" topLeftCell="A4" zoomScaleNormal="100" zoomScaleSheetLayoutView="100" workbookViewId="0">
      <selection activeCell="J12" sqref="J12"/>
    </sheetView>
  </sheetViews>
  <sheetFormatPr defaultColWidth="9.140625" defaultRowHeight="15.75"/>
  <cols>
    <col min="1" max="1" width="11.42578125" style="19" customWidth="1"/>
    <col min="2" max="2" width="12" style="19" customWidth="1"/>
    <col min="3" max="3" width="12.7109375" style="19" customWidth="1"/>
    <col min="4" max="4" width="14.140625" style="19" customWidth="1"/>
    <col min="5" max="7" width="11.7109375" style="19" customWidth="1"/>
    <col min="8" max="8" width="12.42578125" style="19" customWidth="1"/>
    <col min="9" max="9" width="17.42578125" style="20" customWidth="1"/>
    <col min="10" max="10" width="11.42578125" style="20" customWidth="1"/>
    <col min="11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12" ht="46.5" customHeight="1">
      <c r="A1" s="207" t="s">
        <v>0</v>
      </c>
      <c r="B1" s="207"/>
      <c r="C1" s="207"/>
      <c r="D1" s="207"/>
      <c r="E1" s="207"/>
      <c r="F1" s="207"/>
      <c r="G1" s="207"/>
      <c r="H1" s="207"/>
    </row>
    <row r="2" spans="1:12" ht="16.5" customHeight="1">
      <c r="A2" s="104" t="s">
        <v>1</v>
      </c>
      <c r="B2" s="104"/>
      <c r="C2" s="104"/>
      <c r="D2" s="104"/>
      <c r="E2" s="104"/>
      <c r="F2" s="104"/>
      <c r="G2" s="104"/>
      <c r="H2" s="104"/>
    </row>
    <row r="3" spans="1:12">
      <c r="A3" s="161" t="s">
        <v>2</v>
      </c>
      <c r="B3" s="161"/>
      <c r="C3" s="161"/>
      <c r="D3" s="161"/>
      <c r="E3" s="161" t="str">
        <f ca="1">TEXT(TODAY(),"DD/MM/YYYY")</f>
        <v>08/09/2025</v>
      </c>
      <c r="F3" s="161"/>
      <c r="G3" s="161"/>
      <c r="H3" s="161"/>
    </row>
    <row r="4" spans="1:12" ht="15" customHeight="1">
      <c r="A4" s="161" t="s">
        <v>3</v>
      </c>
      <c r="B4" s="161"/>
      <c r="C4" s="161"/>
      <c r="D4" s="161"/>
      <c r="E4" s="161" t="s">
        <v>4</v>
      </c>
      <c r="F4" s="161"/>
      <c r="G4" s="161"/>
      <c r="H4" s="161"/>
    </row>
    <row r="5" spans="1:12">
      <c r="A5" s="161" t="s">
        <v>5</v>
      </c>
      <c r="B5" s="161"/>
      <c r="C5" s="161"/>
      <c r="D5" s="161"/>
      <c r="E5" s="208" t="s">
        <v>218</v>
      </c>
      <c r="F5" s="208"/>
      <c r="G5" s="208"/>
      <c r="H5" s="208"/>
    </row>
    <row r="6" spans="1:12" ht="16.5" customHeight="1">
      <c r="A6" s="161" t="s">
        <v>6</v>
      </c>
      <c r="B6" s="161"/>
      <c r="C6" s="161"/>
      <c r="D6" s="161"/>
      <c r="E6" s="161" t="s">
        <v>7</v>
      </c>
      <c r="F6" s="161"/>
      <c r="G6" s="161"/>
      <c r="H6" s="161"/>
    </row>
    <row r="7" spans="1:12" ht="15" customHeight="1">
      <c r="A7" s="161" t="s">
        <v>8</v>
      </c>
      <c r="B7" s="161"/>
      <c r="C7" s="161"/>
      <c r="D7" s="161"/>
      <c r="E7" s="161" t="str">
        <f>E6</f>
        <v>M/s. Balaji Homes</v>
      </c>
      <c r="F7" s="161"/>
      <c r="G7" s="161"/>
      <c r="H7" s="161"/>
    </row>
    <row r="8" spans="1:12">
      <c r="A8" s="161" t="s">
        <v>9</v>
      </c>
      <c r="B8" s="161"/>
      <c r="C8" s="161"/>
      <c r="D8" s="161"/>
      <c r="E8" s="138" t="s">
        <v>10</v>
      </c>
      <c r="F8" s="161"/>
      <c r="G8" s="161"/>
      <c r="H8" s="161"/>
    </row>
    <row r="9" spans="1:12">
      <c r="A9" s="161" t="s">
        <v>11</v>
      </c>
      <c r="B9" s="161"/>
      <c r="C9" s="161"/>
      <c r="D9" s="161"/>
      <c r="E9" s="161">
        <v>9821583917</v>
      </c>
      <c r="F9" s="161"/>
      <c r="G9" s="161"/>
      <c r="H9" s="161"/>
    </row>
    <row r="10" spans="1:12">
      <c r="A10" s="161" t="s">
        <v>12</v>
      </c>
      <c r="B10" s="161"/>
      <c r="C10" s="161"/>
      <c r="D10" s="161"/>
      <c r="E10" s="161" t="s">
        <v>58</v>
      </c>
      <c r="F10" s="161"/>
      <c r="G10" s="161"/>
      <c r="H10" s="161"/>
      <c r="I10" s="161" t="s">
        <v>13</v>
      </c>
      <c r="J10" s="161"/>
      <c r="K10" s="161"/>
      <c r="L10" s="161"/>
    </row>
    <row r="11" spans="1:12">
      <c r="A11" s="161" t="s">
        <v>14</v>
      </c>
      <c r="B11" s="161"/>
      <c r="C11" s="161"/>
      <c r="D11" s="161"/>
      <c r="E11" s="161" t="s">
        <v>15</v>
      </c>
      <c r="F11" s="161"/>
      <c r="G11" s="161"/>
      <c r="H11" s="161"/>
    </row>
    <row r="12" spans="1:12" ht="32.25" customHeight="1">
      <c r="A12" s="84" t="s">
        <v>16</v>
      </c>
      <c r="B12" s="84"/>
      <c r="C12" s="84"/>
      <c r="D12" s="84"/>
      <c r="E12" s="157" t="s">
        <v>17</v>
      </c>
      <c r="F12" s="157"/>
      <c r="G12" s="157"/>
      <c r="H12" s="157"/>
    </row>
    <row r="13" spans="1:12">
      <c r="A13" s="84" t="s">
        <v>18</v>
      </c>
      <c r="B13" s="84"/>
      <c r="C13" s="84"/>
      <c r="D13" s="84"/>
      <c r="E13" s="157" t="s">
        <v>19</v>
      </c>
      <c r="F13" s="161"/>
      <c r="G13" s="161"/>
      <c r="H13" s="161"/>
    </row>
    <row r="14" spans="1:12" ht="35.25" customHeight="1">
      <c r="A14" s="157" t="s">
        <v>20</v>
      </c>
      <c r="B14" s="157"/>
      <c r="C14" s="15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Balaji Tulips, Gut No.172/6, near Heramb Gurukrupa Complex, Internal Rd, Mohopada, Rees, Khalapur, Khalapur, Raigad - 410222.</v>
      </c>
      <c r="D14" s="157"/>
      <c r="E14" s="157"/>
      <c r="F14" s="157"/>
      <c r="G14" s="157"/>
      <c r="H14" s="157"/>
    </row>
    <row r="15" spans="1:12">
      <c r="A15" s="157" t="s">
        <v>21</v>
      </c>
      <c r="B15" s="157"/>
      <c r="C15" s="157" t="s">
        <v>22</v>
      </c>
      <c r="D15" s="157"/>
      <c r="E15" s="157"/>
      <c r="F15" s="157"/>
      <c r="G15" s="157"/>
      <c r="H15" s="157"/>
    </row>
    <row r="16" spans="1:12" ht="15.75" customHeight="1">
      <c r="A16" s="192" t="s">
        <v>23</v>
      </c>
      <c r="B16" s="193"/>
      <c r="C16" s="192" t="s">
        <v>24</v>
      </c>
      <c r="D16" s="206"/>
      <c r="E16" s="206"/>
      <c r="F16" s="206"/>
      <c r="G16" s="206"/>
      <c r="H16" s="193"/>
    </row>
    <row r="17" spans="1:8" ht="15.75" customHeight="1">
      <c r="A17" s="157" t="s">
        <v>25</v>
      </c>
      <c r="B17" s="157"/>
      <c r="C17" s="161" t="s">
        <v>26</v>
      </c>
      <c r="D17" s="161"/>
      <c r="E17" s="157" t="s">
        <v>27</v>
      </c>
      <c r="F17" s="157"/>
      <c r="G17" s="157" t="s">
        <v>28</v>
      </c>
      <c r="H17" s="157"/>
    </row>
    <row r="18" spans="1:8">
      <c r="A18" s="161" t="s">
        <v>29</v>
      </c>
      <c r="B18" s="161"/>
      <c r="C18" s="157" t="s">
        <v>30</v>
      </c>
      <c r="D18" s="157"/>
      <c r="E18" s="157" t="s">
        <v>31</v>
      </c>
      <c r="F18" s="157"/>
      <c r="G18" s="205" t="s">
        <v>32</v>
      </c>
      <c r="H18" s="205"/>
    </row>
    <row r="19" spans="1:8">
      <c r="A19" s="161" t="s">
        <v>33</v>
      </c>
      <c r="B19" s="161"/>
      <c r="C19" s="157" t="s">
        <v>30</v>
      </c>
      <c r="D19" s="157"/>
      <c r="E19" s="157" t="s">
        <v>34</v>
      </c>
      <c r="F19" s="157"/>
      <c r="G19" s="157">
        <v>410222</v>
      </c>
      <c r="H19" s="157"/>
    </row>
    <row r="20" spans="1:8" ht="32.25" customHeight="1">
      <c r="A20" s="84" t="s">
        <v>35</v>
      </c>
      <c r="B20" s="84"/>
      <c r="C20" s="157" t="s">
        <v>36</v>
      </c>
      <c r="D20" s="157"/>
      <c r="E20" s="86" t="s">
        <v>37</v>
      </c>
      <c r="F20" s="86"/>
      <c r="G20" s="157" t="s">
        <v>38</v>
      </c>
      <c r="H20" s="157"/>
    </row>
    <row r="21" spans="1:8" ht="15" customHeight="1">
      <c r="A21" s="86" t="s">
        <v>39</v>
      </c>
      <c r="B21" s="86"/>
      <c r="C21" s="86"/>
      <c r="D21" s="86"/>
      <c r="E21" s="161" t="s">
        <v>40</v>
      </c>
      <c r="F21" s="161"/>
      <c r="G21" s="161"/>
      <c r="H21" s="161"/>
    </row>
    <row r="22" spans="1:8" ht="18.75" customHeight="1">
      <c r="A22" s="86"/>
      <c r="B22" s="86"/>
      <c r="C22" s="86"/>
      <c r="D22" s="86"/>
      <c r="E22" s="161"/>
      <c r="F22" s="161"/>
      <c r="G22" s="161"/>
      <c r="H22" s="161"/>
    </row>
    <row r="23" spans="1:8" ht="15" customHeight="1">
      <c r="A23" s="86" t="s">
        <v>41</v>
      </c>
      <c r="B23" s="86"/>
      <c r="C23" s="86"/>
      <c r="D23" s="86"/>
      <c r="E23" s="157" t="s">
        <v>42</v>
      </c>
      <c r="F23" s="157"/>
      <c r="G23" s="157"/>
      <c r="H23" s="157"/>
    </row>
    <row r="24" spans="1:8" ht="15" customHeight="1">
      <c r="A24" s="84" t="s">
        <v>43</v>
      </c>
      <c r="B24" s="84"/>
      <c r="C24" s="84"/>
      <c r="D24" s="84"/>
      <c r="E24" s="157" t="str">
        <f>IF(AND(G18="Mumbai"),"Upper Class","Middle Class")</f>
        <v>Middle Class</v>
      </c>
      <c r="F24" s="157"/>
      <c r="G24" s="157"/>
      <c r="H24" s="157"/>
    </row>
    <row r="25" spans="1:8">
      <c r="A25" s="84" t="s">
        <v>44</v>
      </c>
      <c r="B25" s="84"/>
      <c r="C25" s="84"/>
      <c r="D25" s="84"/>
      <c r="E25" s="157" t="s">
        <v>45</v>
      </c>
      <c r="F25" s="157"/>
      <c r="G25" s="157"/>
      <c r="H25" s="157"/>
    </row>
    <row r="26" spans="1:8" ht="15.75" customHeight="1">
      <c r="A26" s="84" t="s">
        <v>46</v>
      </c>
      <c r="B26" s="84"/>
      <c r="C26" s="84"/>
      <c r="D26" s="84"/>
      <c r="E26" s="157" t="str">
        <f>IF(AND(G18="Mumbai"),"Developed","Developing")</f>
        <v>Developing</v>
      </c>
      <c r="F26" s="157"/>
      <c r="G26" s="157"/>
      <c r="H26" s="157"/>
    </row>
    <row r="27" spans="1:8">
      <c r="A27" s="84" t="s">
        <v>47</v>
      </c>
      <c r="B27" s="84"/>
      <c r="C27" s="84"/>
      <c r="D27" s="84"/>
      <c r="E27" s="157" t="s">
        <v>48</v>
      </c>
      <c r="F27" s="157"/>
      <c r="G27" s="157"/>
      <c r="H27" s="157"/>
    </row>
    <row r="28" spans="1:8" ht="15.75" customHeight="1">
      <c r="A28" s="84" t="s">
        <v>49</v>
      </c>
      <c r="B28" s="84"/>
      <c r="C28" s="84"/>
      <c r="D28" s="84"/>
      <c r="E28" s="157" t="s">
        <v>50</v>
      </c>
      <c r="F28" s="157"/>
      <c r="G28" s="157"/>
      <c r="H28" s="157"/>
    </row>
    <row r="29" spans="1:8" ht="15" customHeight="1">
      <c r="A29" s="84" t="s">
        <v>51</v>
      </c>
      <c r="B29" s="84"/>
      <c r="C29" s="84"/>
      <c r="D29" s="84"/>
      <c r="E29" s="157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157"/>
      <c r="G29" s="157"/>
      <c r="H29" s="157"/>
    </row>
    <row r="30" spans="1:8" ht="15.75" customHeight="1">
      <c r="A30" s="84" t="s">
        <v>52</v>
      </c>
      <c r="B30" s="84"/>
      <c r="C30" s="84"/>
      <c r="D30" s="84"/>
      <c r="E30" s="157" t="s">
        <v>53</v>
      </c>
      <c r="F30" s="157"/>
      <c r="G30" s="157"/>
      <c r="H30" s="157"/>
    </row>
    <row r="31" spans="1:8" s="13" customFormat="1">
      <c r="A31" s="203" t="s">
        <v>54</v>
      </c>
      <c r="B31" s="203"/>
      <c r="C31" s="204" t="s">
        <v>55</v>
      </c>
      <c r="D31" s="204"/>
      <c r="E31" s="204"/>
      <c r="F31" s="204" t="s">
        <v>56</v>
      </c>
      <c r="G31" s="204"/>
      <c r="H31" s="204"/>
    </row>
    <row r="32" spans="1:8" s="13" customFormat="1">
      <c r="A32" s="199" t="s">
        <v>57</v>
      </c>
      <c r="B32" s="199" t="s">
        <v>58</v>
      </c>
      <c r="C32" s="200" t="s">
        <v>58</v>
      </c>
      <c r="D32" s="200"/>
      <c r="E32" s="200"/>
      <c r="F32" s="200" t="s">
        <v>26</v>
      </c>
      <c r="G32" s="200"/>
      <c r="H32" s="200"/>
    </row>
    <row r="33" spans="1:8">
      <c r="A33" s="199" t="s">
        <v>59</v>
      </c>
      <c r="B33" s="199" t="s">
        <v>58</v>
      </c>
      <c r="C33" s="200" t="s">
        <v>58</v>
      </c>
      <c r="D33" s="200"/>
      <c r="E33" s="200"/>
      <c r="F33" s="200" t="s">
        <v>60</v>
      </c>
      <c r="G33" s="200"/>
      <c r="H33" s="200"/>
    </row>
    <row r="34" spans="1:8" s="13" customFormat="1">
      <c r="A34" s="199" t="s">
        <v>61</v>
      </c>
      <c r="B34" s="199" t="s">
        <v>58</v>
      </c>
      <c r="C34" s="200" t="s">
        <v>58</v>
      </c>
      <c r="D34" s="200"/>
      <c r="E34" s="200"/>
      <c r="F34" s="200" t="s">
        <v>36</v>
      </c>
      <c r="G34" s="200"/>
      <c r="H34" s="200"/>
    </row>
    <row r="35" spans="1:8">
      <c r="A35" s="199" t="s">
        <v>62</v>
      </c>
      <c r="B35" s="199" t="s">
        <v>58</v>
      </c>
      <c r="C35" s="200" t="s">
        <v>58</v>
      </c>
      <c r="D35" s="200"/>
      <c r="E35" s="200"/>
      <c r="F35" s="200" t="s">
        <v>26</v>
      </c>
      <c r="G35" s="200"/>
      <c r="H35" s="200"/>
    </row>
    <row r="36" spans="1:8">
      <c r="A36" s="84" t="s">
        <v>63</v>
      </c>
      <c r="B36" s="84"/>
      <c r="C36" s="84"/>
      <c r="D36" s="84"/>
      <c r="E36" s="84"/>
      <c r="F36" s="84"/>
      <c r="G36" s="84"/>
      <c r="H36" s="84"/>
    </row>
    <row r="37" spans="1:8" ht="15.75" customHeight="1">
      <c r="A37" s="104" t="s">
        <v>64</v>
      </c>
      <c r="B37" s="104"/>
      <c r="C37" s="201">
        <v>18.891593700000001</v>
      </c>
      <c r="D37" s="201"/>
      <c r="E37" s="104" t="s">
        <v>65</v>
      </c>
      <c r="F37" s="104"/>
      <c r="G37" s="202">
        <v>73.194912599999995</v>
      </c>
      <c r="H37" s="202"/>
    </row>
    <row r="38" spans="1:8">
      <c r="A38" s="104" t="s">
        <v>66</v>
      </c>
      <c r="B38" s="104"/>
      <c r="C38" s="197" t="s">
        <v>67</v>
      </c>
      <c r="D38" s="157"/>
      <c r="E38" s="157"/>
      <c r="F38" s="157"/>
      <c r="G38" s="157"/>
      <c r="H38" s="157"/>
    </row>
    <row r="39" spans="1:8">
      <c r="A39" s="111" t="s">
        <v>68</v>
      </c>
      <c r="B39" s="111"/>
      <c r="C39" s="111"/>
      <c r="D39" s="111"/>
      <c r="E39" s="111"/>
      <c r="F39" s="111"/>
      <c r="G39" s="111"/>
      <c r="H39" s="111"/>
    </row>
    <row r="40" spans="1:8">
      <c r="A40" s="84" t="s">
        <v>69</v>
      </c>
      <c r="B40" s="84"/>
      <c r="C40" s="84"/>
      <c r="D40" s="84"/>
      <c r="E40" s="198">
        <v>3971.03</v>
      </c>
      <c r="F40" s="198"/>
      <c r="G40" s="198"/>
      <c r="H40" s="198"/>
    </row>
    <row r="41" spans="1:8">
      <c r="A41" s="84" t="s">
        <v>70</v>
      </c>
      <c r="B41" s="84"/>
      <c r="C41" s="84"/>
      <c r="D41" s="84"/>
      <c r="E41" s="190">
        <v>1.1000000000000001</v>
      </c>
      <c r="F41" s="190"/>
      <c r="G41" s="190"/>
      <c r="H41" s="190"/>
    </row>
    <row r="42" spans="1:8">
      <c r="A42" s="84" t="s">
        <v>71</v>
      </c>
      <c r="B42" s="84"/>
      <c r="C42" s="84"/>
      <c r="D42" s="84"/>
      <c r="E42" s="190">
        <f>E44/E40-E41</f>
        <v>1.0667416262279557</v>
      </c>
      <c r="F42" s="190"/>
      <c r="G42" s="190"/>
      <c r="H42" s="190"/>
    </row>
    <row r="43" spans="1:8">
      <c r="A43" s="84" t="s">
        <v>72</v>
      </c>
      <c r="B43" s="84"/>
      <c r="C43" s="84"/>
      <c r="D43" s="84"/>
      <c r="E43" s="190">
        <f>E41+E42</f>
        <v>2.1667416262279557</v>
      </c>
      <c r="F43" s="190"/>
      <c r="G43" s="190"/>
      <c r="H43" s="190"/>
    </row>
    <row r="44" spans="1:8">
      <c r="A44" s="161" t="s">
        <v>73</v>
      </c>
      <c r="B44" s="161"/>
      <c r="C44" s="161"/>
      <c r="D44" s="161"/>
      <c r="E44" s="191">
        <v>8604.1959999999999</v>
      </c>
      <c r="F44" s="191"/>
      <c r="G44" s="191"/>
      <c r="H44" s="191"/>
    </row>
    <row r="45" spans="1:8">
      <c r="A45" s="161" t="s">
        <v>74</v>
      </c>
      <c r="B45" s="161"/>
      <c r="C45" s="161"/>
      <c r="D45" s="161"/>
      <c r="E45" s="161" t="s">
        <v>75</v>
      </c>
      <c r="F45" s="161"/>
      <c r="G45" s="161"/>
      <c r="H45" s="161"/>
    </row>
    <row r="46" spans="1:8">
      <c r="A46" s="138" t="s">
        <v>76</v>
      </c>
      <c r="B46" s="138"/>
      <c r="C46" s="138"/>
      <c r="D46" s="138"/>
      <c r="E46" s="138"/>
      <c r="F46" s="138"/>
      <c r="G46" s="138"/>
      <c r="H46" s="138"/>
    </row>
    <row r="47" spans="1:8" ht="33.75" customHeight="1">
      <c r="A47" s="192" t="s">
        <v>77</v>
      </c>
      <c r="B47" s="193"/>
      <c r="C47" s="194" t="s">
        <v>78</v>
      </c>
      <c r="D47" s="195"/>
      <c r="E47" s="195"/>
      <c r="F47" s="195"/>
      <c r="G47" s="195"/>
      <c r="H47" s="196"/>
    </row>
    <row r="48" spans="1:8" ht="31.5" customHeight="1">
      <c r="A48" s="181" t="s">
        <v>79</v>
      </c>
      <c r="B48" s="182"/>
      <c r="C48" s="181" t="s">
        <v>80</v>
      </c>
      <c r="D48" s="183"/>
      <c r="E48" s="182"/>
      <c r="F48" s="23" t="s">
        <v>81</v>
      </c>
      <c r="G48" s="184" t="s">
        <v>82</v>
      </c>
      <c r="H48" s="185"/>
    </row>
    <row r="49" spans="1:14" ht="32.25" customHeight="1">
      <c r="A49" s="181" t="s">
        <v>83</v>
      </c>
      <c r="B49" s="182"/>
      <c r="C49" s="181" t="str">
        <f>C48</f>
        <v>MSRDC/SPA/Rees/Khalapur/BP-320/CC/2021/1444</v>
      </c>
      <c r="D49" s="183"/>
      <c r="E49" s="182"/>
      <c r="F49" s="23" t="s">
        <v>81</v>
      </c>
      <c r="G49" s="184" t="s">
        <v>82</v>
      </c>
      <c r="H49" s="185"/>
    </row>
    <row r="50" spans="1:14" s="14" customFormat="1" ht="35.25" customHeight="1">
      <c r="A50" s="186" t="s">
        <v>84</v>
      </c>
      <c r="B50" s="187"/>
      <c r="C50" s="181" t="s">
        <v>221</v>
      </c>
      <c r="D50" s="183"/>
      <c r="E50" s="182"/>
      <c r="F50" s="23" t="s">
        <v>81</v>
      </c>
      <c r="G50" s="184" t="s">
        <v>222</v>
      </c>
      <c r="H50" s="185"/>
      <c r="I50" s="181" t="s">
        <v>80</v>
      </c>
      <c r="J50" s="183"/>
      <c r="K50" s="182"/>
      <c r="L50" s="184" t="s">
        <v>82</v>
      </c>
      <c r="M50" s="185"/>
    </row>
    <row r="51" spans="1:14" s="14" customFormat="1" ht="34.5" customHeight="1">
      <c r="A51" s="188"/>
      <c r="B51" s="189"/>
      <c r="C51" s="181" t="s">
        <v>223</v>
      </c>
      <c r="D51" s="183"/>
      <c r="E51" s="183"/>
      <c r="F51" s="183"/>
      <c r="G51" s="183"/>
      <c r="H51" s="182"/>
    </row>
    <row r="52" spans="1:14">
      <c r="A52" s="177" t="s">
        <v>85</v>
      </c>
      <c r="B52" s="178"/>
      <c r="C52" s="170" t="s">
        <v>58</v>
      </c>
      <c r="D52" s="171"/>
      <c r="E52" s="172"/>
      <c r="F52" s="24" t="s">
        <v>81</v>
      </c>
      <c r="G52" s="173" t="s">
        <v>58</v>
      </c>
      <c r="H52" s="174"/>
    </row>
    <row r="53" spans="1:14" hidden="1">
      <c r="A53" s="179"/>
      <c r="B53" s="180"/>
      <c r="C53" s="170" t="s">
        <v>58</v>
      </c>
      <c r="D53" s="171"/>
      <c r="E53" s="171"/>
      <c r="F53" s="171"/>
      <c r="G53" s="171"/>
      <c r="H53" s="172"/>
    </row>
    <row r="54" spans="1:14">
      <c r="A54" s="83" t="s">
        <v>86</v>
      </c>
      <c r="B54" s="83"/>
      <c r="C54" s="83"/>
      <c r="D54" s="83"/>
      <c r="E54" s="83"/>
      <c r="F54" s="83"/>
      <c r="G54" s="83"/>
      <c r="H54" s="83"/>
    </row>
    <row r="55" spans="1:14">
      <c r="A55" s="86" t="s">
        <v>87</v>
      </c>
      <c r="B55" s="86"/>
      <c r="C55" s="86"/>
      <c r="D55" s="84">
        <f>E44</f>
        <v>8604.1959999999999</v>
      </c>
      <c r="E55" s="84"/>
      <c r="F55" s="84"/>
      <c r="G55" s="84"/>
      <c r="H55" s="84"/>
    </row>
    <row r="56" spans="1:14">
      <c r="A56" s="157" t="s">
        <v>88</v>
      </c>
      <c r="B56" s="161"/>
      <c r="C56" s="161"/>
      <c r="D56" s="161" t="s">
        <v>89</v>
      </c>
      <c r="E56" s="161"/>
      <c r="F56" s="161"/>
      <c r="G56" s="161"/>
      <c r="H56" s="161"/>
      <c r="I56" s="25"/>
    </row>
    <row r="57" spans="1:14" ht="31.5" customHeight="1">
      <c r="A57" s="164" t="s">
        <v>90</v>
      </c>
      <c r="B57" s="165"/>
      <c r="C57" s="175"/>
      <c r="D57" s="159" t="s">
        <v>91</v>
      </c>
      <c r="E57" s="176"/>
      <c r="F57" s="176"/>
      <c r="G57" s="176"/>
      <c r="H57" s="176"/>
    </row>
    <row r="58" spans="1:14" ht="15.75" customHeight="1">
      <c r="A58" s="164" t="s">
        <v>92</v>
      </c>
      <c r="B58" s="165"/>
      <c r="C58" s="165"/>
      <c r="D58" s="161" t="s">
        <v>93</v>
      </c>
      <c r="E58" s="161"/>
      <c r="F58" s="161"/>
      <c r="G58" s="161"/>
      <c r="H58" s="161"/>
    </row>
    <row r="59" spans="1:14" ht="15.75" customHeight="1">
      <c r="A59" s="166"/>
      <c r="B59" s="167"/>
      <c r="C59" s="167"/>
      <c r="D59" s="161" t="s">
        <v>94</v>
      </c>
      <c r="E59" s="161"/>
      <c r="F59" s="161"/>
      <c r="G59" s="161"/>
      <c r="H59" s="161"/>
    </row>
    <row r="60" spans="1:14" ht="15.75" hidden="1" customHeight="1">
      <c r="A60" s="168"/>
      <c r="B60" s="169"/>
      <c r="C60" s="169"/>
      <c r="D60" s="162" t="s">
        <v>95</v>
      </c>
      <c r="E60" s="162"/>
      <c r="F60" s="162"/>
      <c r="G60" s="162"/>
      <c r="H60" s="162"/>
    </row>
    <row r="61" spans="1:14" ht="15.75" customHeight="1">
      <c r="A61" s="84" t="s">
        <v>96</v>
      </c>
      <c r="B61" s="84"/>
      <c r="C61" s="84"/>
      <c r="D61" s="86" t="s">
        <v>97</v>
      </c>
      <c r="E61" s="86"/>
      <c r="F61" s="86"/>
      <c r="G61" s="86"/>
      <c r="H61" s="86"/>
      <c r="J61" s="26"/>
      <c r="K61" s="25"/>
      <c r="N61" s="25"/>
    </row>
    <row r="62" spans="1:14" ht="15.75" customHeight="1">
      <c r="A62" s="84" t="s">
        <v>98</v>
      </c>
      <c r="B62" s="84"/>
      <c r="C62" s="84"/>
      <c r="D62" s="163" t="str">
        <f>(IF(G52="NA","60 Years After Completion",IF(G52&lt;&gt;"NA",""&amp;60-ROUNDDOWN((E3-G52)/360,0)&amp;" Years"," ")))</f>
        <v>60 Years After Completion</v>
      </c>
      <c r="E62" s="163"/>
      <c r="F62" s="163"/>
      <c r="G62" s="163"/>
      <c r="H62" s="163"/>
      <c r="N62" s="25"/>
    </row>
    <row r="63" spans="1:14" ht="15.75" customHeight="1">
      <c r="A63" s="84" t="s">
        <v>99</v>
      </c>
      <c r="B63" s="84"/>
      <c r="C63" s="84"/>
      <c r="D63" s="86" t="s">
        <v>48</v>
      </c>
      <c r="E63" s="86"/>
      <c r="F63" s="86"/>
      <c r="G63" s="86"/>
      <c r="H63" s="86"/>
      <c r="J63" s="27"/>
      <c r="K63" s="27"/>
    </row>
    <row r="64" spans="1:14" ht="30.75" customHeight="1">
      <c r="A64" s="84" t="s">
        <v>100</v>
      </c>
      <c r="B64" s="84"/>
      <c r="C64" s="84"/>
      <c r="D64" s="157" t="s">
        <v>101</v>
      </c>
      <c r="E64" s="86"/>
      <c r="F64" s="86"/>
      <c r="G64" s="86"/>
      <c r="H64" s="86"/>
    </row>
    <row r="65" spans="1:14">
      <c r="A65" s="86" t="s">
        <v>102</v>
      </c>
      <c r="B65" s="86"/>
      <c r="C65" s="86"/>
      <c r="D65" s="86" t="s">
        <v>58</v>
      </c>
      <c r="E65" s="86"/>
      <c r="F65" s="86"/>
      <c r="G65" s="86"/>
      <c r="H65" s="86"/>
      <c r="I65" s="41"/>
      <c r="J65" s="41"/>
      <c r="K65" s="41"/>
      <c r="L65" s="41"/>
      <c r="M65" s="41"/>
      <c r="N65" s="41"/>
    </row>
    <row r="66" spans="1:14" ht="15.75" customHeight="1">
      <c r="A66" s="158" t="s">
        <v>103</v>
      </c>
      <c r="B66" s="158"/>
      <c r="C66" s="158"/>
      <c r="D66" s="159" t="str">
        <f>(IF(G72&gt;95%,"Nothing",IF(G72&gt;0%,"Cement, Aggregate, Steel, etc",IF(G72=0%,"Work not yet Started"))))</f>
        <v>Cement, Aggregate, Steel, etc</v>
      </c>
      <c r="E66" s="159"/>
      <c r="F66" s="159"/>
      <c r="G66" s="159"/>
      <c r="H66" s="159"/>
      <c r="J66" s="27"/>
    </row>
    <row r="67" spans="1:14" ht="33.75" customHeight="1">
      <c r="A67" s="160" t="s">
        <v>104</v>
      </c>
      <c r="B67" s="160"/>
      <c r="C67" s="160"/>
      <c r="D67" s="159" t="str">
        <f>(IF(D66="Nothing","Yes",IF(D66="Cement, Aggregate, Steel, etc","Under Construction",IF(D66="Work not yet Started","Work not yet Started"))))</f>
        <v>Under Construction</v>
      </c>
      <c r="E67" s="159"/>
      <c r="F67" s="159" t="str">
        <f>(IF(D66="Nothing","Yes",IF(D66="Cement, Aggregate, Steel, etc","Under Construction",IF(D66="Work not yet Started","Work not yet Started"))))</f>
        <v>Under Construction</v>
      </c>
      <c r="G67" s="159"/>
      <c r="H67" s="159"/>
    </row>
    <row r="68" spans="1:14" ht="15.75" customHeight="1">
      <c r="A68" s="152" t="s">
        <v>105</v>
      </c>
      <c r="B68" s="153"/>
      <c r="C68" s="154" t="str">
        <f>D58</f>
        <v>A Wing = G + 1st to 11 Floor</v>
      </c>
      <c r="D68" s="155"/>
      <c r="E68" s="155"/>
      <c r="F68" s="155"/>
      <c r="G68" s="155"/>
      <c r="H68" s="156"/>
      <c r="I68" s="42" t="str">
        <f>IF(D81=100%,"All work Completed. Possession granted to the Building.",IF(D80=100%,"All work Completed, Waiting for OC",I69&amp;""&amp;I70&amp;""&amp;J69&amp;""&amp;J68&amp;" "&amp;J70))</f>
        <v>Excavation, Plinth, RCC Slab, Brickwork Completed, Internal Plaster upto 10 Floor, External Plaster upto 7 Floor Completed</v>
      </c>
      <c r="J68" s="43" t="str">
        <f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Internal Plaster upto 10 Floor, External Plaster upto 7 Floor</v>
      </c>
    </row>
    <row r="69" spans="1:14">
      <c r="A69" s="28" t="s">
        <v>106</v>
      </c>
      <c r="B69" s="21">
        <v>0</v>
      </c>
      <c r="C69" s="21" t="s">
        <v>107</v>
      </c>
      <c r="D69" s="21">
        <v>1</v>
      </c>
      <c r="E69" s="21" t="s">
        <v>108</v>
      </c>
      <c r="F69" s="21">
        <v>0</v>
      </c>
      <c r="G69" s="21" t="s">
        <v>109</v>
      </c>
      <c r="H69" s="29">
        <v>11</v>
      </c>
      <c r="I69" s="44" t="str">
        <f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</v>
      </c>
      <c r="J69" s="45" t="str">
        <f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3.6" customHeight="1">
      <c r="A70" s="137" t="s">
        <v>110</v>
      </c>
      <c r="B70" s="138"/>
      <c r="C70" s="139" t="str">
        <f>(IF($C$53=C68,"All work Completed. OC Received.",I68))</f>
        <v>Excavation, Plinth, RCC Slab, Brickwork Completed, Internal Plaster upto 10 Floor, External Plaster upto 7 Floor Completed</v>
      </c>
      <c r="D70" s="139"/>
      <c r="E70" s="139"/>
      <c r="F70" s="139"/>
      <c r="G70" s="139"/>
      <c r="H70" s="140"/>
      <c r="I70" s="44" t="str">
        <f>IF(I69&lt;&gt;""," Completed","")</f>
        <v xml:space="preserve"> Completed</v>
      </c>
      <c r="J70" s="45" t="str">
        <f>IF(J68&lt;&gt;"","Completed","")</f>
        <v>Completed</v>
      </c>
    </row>
    <row r="71" spans="1:14" ht="15.75" customHeight="1">
      <c r="A71" s="128" t="s">
        <v>111</v>
      </c>
      <c r="B71" s="129"/>
      <c r="C71" s="30" t="s">
        <v>112</v>
      </c>
      <c r="D71" s="30" t="s">
        <v>113</v>
      </c>
      <c r="E71" s="129" t="s">
        <v>114</v>
      </c>
      <c r="F71" s="129"/>
      <c r="G71" s="129" t="s">
        <v>115</v>
      </c>
      <c r="H71" s="151"/>
      <c r="I71" s="46" t="s">
        <v>116</v>
      </c>
      <c r="J71" s="47">
        <f>H69*25%</f>
        <v>2.75</v>
      </c>
    </row>
    <row r="72" spans="1:14">
      <c r="A72" s="128" t="s">
        <v>117</v>
      </c>
      <c r="B72" s="129"/>
      <c r="C72" s="30">
        <f>J73</f>
        <v>11</v>
      </c>
      <c r="D72" s="31">
        <f>((100/H69)*C72)/100</f>
        <v>1.0000000000000002</v>
      </c>
      <c r="E72" s="142">
        <f>(((C73/H69*10)+(40/(D69+F69+H69)*C74)+(7.5/(H69)*C75)+(7.5/(H69)*C76)+(10/H69*C77)+(10/H69*C78)+(5/H69*C79)+(5/H69*C80)+(5/H69*C81))/100)</f>
        <v>0.70681818181818168</v>
      </c>
      <c r="F72" s="143"/>
      <c r="G72" s="142">
        <f>((((C72/H69)*20)+((C73/H69)*25)+(30/(H69+F69+D69)*C74)+(5/H69*C75)+(5/H69*C76)+(5/H69*C77)+(5/H69*C78)+(0/H69*C79)+(0/H69*C80)+(5/H69*C81))/100)</f>
        <v>0.87727272727272732</v>
      </c>
      <c r="H72" s="148"/>
      <c r="I72" s="46" t="s">
        <v>118</v>
      </c>
      <c r="J72" s="48">
        <f>H69*50%</f>
        <v>5.5</v>
      </c>
    </row>
    <row r="73" spans="1:14">
      <c r="A73" s="128" t="s">
        <v>119</v>
      </c>
      <c r="B73" s="129"/>
      <c r="C73" s="32">
        <f>J81</f>
        <v>11</v>
      </c>
      <c r="D73" s="31">
        <f>((100/H69)*C73)/100</f>
        <v>1.0000000000000002</v>
      </c>
      <c r="E73" s="144"/>
      <c r="F73" s="145"/>
      <c r="G73" s="144"/>
      <c r="H73" s="149"/>
      <c r="I73" s="46" t="s">
        <v>120</v>
      </c>
      <c r="J73" s="48">
        <f>H69</f>
        <v>11</v>
      </c>
    </row>
    <row r="74" spans="1:14" ht="15.75" customHeight="1">
      <c r="A74" s="128" t="s">
        <v>121</v>
      </c>
      <c r="B74" s="129"/>
      <c r="C74" s="30">
        <v>12</v>
      </c>
      <c r="D74" s="31">
        <f>((100/(D69+F69+H69))*C74)/100</f>
        <v>1</v>
      </c>
      <c r="E74" s="144"/>
      <c r="F74" s="145"/>
      <c r="G74" s="144"/>
      <c r="H74" s="149"/>
      <c r="I74" s="46" t="s">
        <v>122</v>
      </c>
      <c r="J74" s="49">
        <f>(IF(B69&gt;1,(H69/(B69+2)),H69/4))</f>
        <v>2.75</v>
      </c>
    </row>
    <row r="75" spans="1:14" ht="15.75" customHeight="1">
      <c r="A75" s="128" t="s">
        <v>123</v>
      </c>
      <c r="B75" s="129" t="s">
        <v>124</v>
      </c>
      <c r="C75" s="30">
        <v>11</v>
      </c>
      <c r="D75" s="31">
        <f>((100/H69)*C75)/100</f>
        <v>1.0000000000000002</v>
      </c>
      <c r="E75" s="144"/>
      <c r="F75" s="145"/>
      <c r="G75" s="144"/>
      <c r="H75" s="149"/>
      <c r="I75" s="46" t="s">
        <v>125</v>
      </c>
      <c r="J75" s="49">
        <f>(IF(B69&gt;1,(H69/(B69+2)+J74),H69/4+J74))</f>
        <v>5.5</v>
      </c>
    </row>
    <row r="76" spans="1:14" ht="15.75" customHeight="1">
      <c r="A76" s="128" t="s">
        <v>126</v>
      </c>
      <c r="B76" s="129" t="s">
        <v>124</v>
      </c>
      <c r="C76" s="30">
        <v>10</v>
      </c>
      <c r="D76" s="31">
        <f>((100/H69)*C76)/100</f>
        <v>0.90909090909090917</v>
      </c>
      <c r="E76" s="144"/>
      <c r="F76" s="145"/>
      <c r="G76" s="144"/>
      <c r="H76" s="149"/>
      <c r="I76" s="46" t="s">
        <v>127</v>
      </c>
      <c r="J76" s="49">
        <f>(IF(B69&gt;1,(H69/(B69+2)+J75),0))</f>
        <v>0</v>
      </c>
    </row>
    <row r="77" spans="1:14" ht="15" customHeight="1">
      <c r="A77" s="128" t="s">
        <v>128</v>
      </c>
      <c r="B77" s="129" t="s">
        <v>129</v>
      </c>
      <c r="C77" s="30">
        <v>7</v>
      </c>
      <c r="D77" s="31">
        <f>((100/(H69))*C77)/100</f>
        <v>0.63636363636363635</v>
      </c>
      <c r="E77" s="144"/>
      <c r="F77" s="145"/>
      <c r="G77" s="144"/>
      <c r="H77" s="149"/>
      <c r="I77" s="46" t="s">
        <v>130</v>
      </c>
      <c r="J77" s="49">
        <f>(IF(B69&gt;2,(H69/(B69+2)+J76),0))</f>
        <v>0</v>
      </c>
    </row>
    <row r="78" spans="1:14" ht="15.75" customHeight="1">
      <c r="A78" s="128" t="s">
        <v>131</v>
      </c>
      <c r="B78" s="129" t="s">
        <v>131</v>
      </c>
      <c r="C78" s="30">
        <v>0</v>
      </c>
      <c r="D78" s="31">
        <f>((100/H69)*C78)/100</f>
        <v>0</v>
      </c>
      <c r="E78" s="144"/>
      <c r="F78" s="145"/>
      <c r="G78" s="144"/>
      <c r="H78" s="149"/>
      <c r="I78" s="46" t="s">
        <v>132</v>
      </c>
      <c r="J78" s="50">
        <f>(IF(B69&gt;3,(H69/(B69+2)+J77),0))</f>
        <v>0</v>
      </c>
    </row>
    <row r="79" spans="1:14" ht="15.75" customHeight="1">
      <c r="A79" s="128" t="s">
        <v>133</v>
      </c>
      <c r="B79" s="129"/>
      <c r="C79" s="30">
        <v>0</v>
      </c>
      <c r="D79" s="31">
        <f>((100/H69)*C79)/100</f>
        <v>0</v>
      </c>
      <c r="E79" s="144"/>
      <c r="F79" s="145"/>
      <c r="G79" s="144"/>
      <c r="H79" s="149"/>
      <c r="I79" s="46" t="s">
        <v>134</v>
      </c>
      <c r="J79" s="49">
        <f>(IF(B69&gt;4,(H69/(B69+2)+J78),0))</f>
        <v>0</v>
      </c>
    </row>
    <row r="80" spans="1:14" ht="15.75" customHeight="1">
      <c r="A80" s="128" t="s">
        <v>135</v>
      </c>
      <c r="B80" s="129" t="s">
        <v>135</v>
      </c>
      <c r="C80" s="30">
        <v>0</v>
      </c>
      <c r="D80" s="31">
        <f>((100/(H69))*C80)/100</f>
        <v>0</v>
      </c>
      <c r="E80" s="144"/>
      <c r="F80" s="145"/>
      <c r="G80" s="144"/>
      <c r="H80" s="149"/>
      <c r="I80" s="46" t="s">
        <v>136</v>
      </c>
      <c r="J80" s="49">
        <f>(IF(B69=1,(H69/(B69+3)+J75),IF(B69=0,(H69/4+J75),IF(B69&gt;1,0))))</f>
        <v>8.25</v>
      </c>
    </row>
    <row r="81" spans="1:10">
      <c r="A81" s="130" t="s">
        <v>137</v>
      </c>
      <c r="B81" s="131"/>
      <c r="C81" s="33">
        <v>0</v>
      </c>
      <c r="D81" s="34">
        <f>((100/(H69))*C81)/100</f>
        <v>0</v>
      </c>
      <c r="E81" s="146"/>
      <c r="F81" s="147"/>
      <c r="G81" s="146"/>
      <c r="H81" s="150"/>
      <c r="I81" s="51" t="s">
        <v>138</v>
      </c>
      <c r="J81" s="52">
        <f>(IF(B69&gt;1.5,(H69/(B69+2)+J75+MAX(0,J76-J75)+MAX(0,J77-J76)+MAX(0,J78-J77)+MAX(0,J79-J78)+MAX(0,J80-J79)),IF(B69=1,(H69/(B69+3)+J80),IF(B69=0,H69/4+J80))))</f>
        <v>11</v>
      </c>
    </row>
    <row r="82" spans="1:10" ht="15.75" customHeight="1">
      <c r="A82" s="152" t="s">
        <v>105</v>
      </c>
      <c r="B82" s="153"/>
      <c r="C82" s="154" t="str">
        <f>D59</f>
        <v>B Wing = G + 1st to 11th Floor</v>
      </c>
      <c r="D82" s="155"/>
      <c r="E82" s="155"/>
      <c r="F82" s="155"/>
      <c r="G82" s="155"/>
      <c r="H82" s="156"/>
      <c r="I82" s="42" t="str">
        <f>IF(D95=100%,"All work Completed. Possession granted to the Building.",IF(D94=100%,"All work Completed, Waiting for OC",I83&amp;""&amp;I84&amp;""&amp;J83&amp;""&amp;J82&amp;" "&amp;J84))</f>
        <v>Excavation, Plinth Completed, RCC upto 8 Slab, Brickwork upto 6 Floor Completed</v>
      </c>
      <c r="J82" s="43" t="str">
        <f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RCC upto 8 Slab, Brickwork upto 6 Floor</v>
      </c>
    </row>
    <row r="83" spans="1:10">
      <c r="A83" s="28" t="s">
        <v>106</v>
      </c>
      <c r="B83" s="21">
        <v>0</v>
      </c>
      <c r="C83" s="21" t="s">
        <v>107</v>
      </c>
      <c r="D83" s="21">
        <v>1</v>
      </c>
      <c r="E83" s="21" t="s">
        <v>108</v>
      </c>
      <c r="F83" s="21">
        <v>0</v>
      </c>
      <c r="G83" s="21" t="s">
        <v>109</v>
      </c>
      <c r="H83" s="29">
        <v>11</v>
      </c>
      <c r="I83" s="44" t="str">
        <f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</v>
      </c>
      <c r="J83" s="45" t="str">
        <f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33" customHeight="1">
      <c r="A84" s="137" t="s">
        <v>110</v>
      </c>
      <c r="B84" s="138"/>
      <c r="C84" s="139" t="str">
        <f>(IF($C$53=C82,"All work Completed. OC Received.",I82))</f>
        <v>Excavation, Plinth Completed, RCC upto 8 Slab, Brickwork upto 6 Floor Completed</v>
      </c>
      <c r="D84" s="139"/>
      <c r="E84" s="139"/>
      <c r="F84" s="139"/>
      <c r="G84" s="139"/>
      <c r="H84" s="140"/>
      <c r="I84" s="44" t="str">
        <f>IF(I83&lt;&gt;""," Completed","")</f>
        <v xml:space="preserve"> Completed</v>
      </c>
      <c r="J84" s="45" t="str">
        <f>IF(J82&lt;&gt;"","Completed","")</f>
        <v>Completed</v>
      </c>
    </row>
    <row r="85" spans="1:10" ht="15.75" customHeight="1">
      <c r="A85" s="128" t="s">
        <v>111</v>
      </c>
      <c r="B85" s="129"/>
      <c r="C85" s="30" t="s">
        <v>112</v>
      </c>
      <c r="D85" s="30" t="s">
        <v>113</v>
      </c>
      <c r="E85" s="129" t="s">
        <v>114</v>
      </c>
      <c r="F85" s="129"/>
      <c r="G85" s="129" t="s">
        <v>115</v>
      </c>
      <c r="H85" s="151"/>
      <c r="I85" s="46" t="s">
        <v>116</v>
      </c>
      <c r="J85" s="47">
        <f>H83*25%</f>
        <v>2.75</v>
      </c>
    </row>
    <row r="86" spans="1:10">
      <c r="A86" s="128" t="s">
        <v>117</v>
      </c>
      <c r="B86" s="129"/>
      <c r="C86" s="30">
        <f>J87</f>
        <v>11</v>
      </c>
      <c r="D86" s="31">
        <f>((100/H83)*C86)/100</f>
        <v>1.0000000000000002</v>
      </c>
      <c r="E86" s="142">
        <f>(((C87/H83*10)+(40/(D83+F83+H83)*C88)+(7.5/(H83)*C89)+(7.5/(H83)*C90)+(10/H83*C91)+(10/H83*C92)+(5/H83*C93)+(5/H83*C94)+(5/H83*C95))/100)</f>
        <v>0.40757575757575765</v>
      </c>
      <c r="F86" s="143"/>
      <c r="G86" s="142">
        <f>((((C86/H83)*20)+((C87/H83)*25)+(30/(H83+F83+D83)*C88)+(5/H83*C89)+(5/H83*C90)+(5/H83*C91)+(5/H83*C92)+(0/H83*C93)+(0/H83*C94)+(5/H83*C95))/100)</f>
        <v>0.67727272727272736</v>
      </c>
      <c r="H86" s="148"/>
      <c r="I86" s="46" t="s">
        <v>118</v>
      </c>
      <c r="J86" s="48">
        <f>H83*50%</f>
        <v>5.5</v>
      </c>
    </row>
    <row r="87" spans="1:10">
      <c r="A87" s="128" t="s">
        <v>119</v>
      </c>
      <c r="B87" s="129"/>
      <c r="C87" s="32">
        <f>J95</f>
        <v>11</v>
      </c>
      <c r="D87" s="31">
        <f>((100/H83)*C87)/100</f>
        <v>1.0000000000000002</v>
      </c>
      <c r="E87" s="144"/>
      <c r="F87" s="145"/>
      <c r="G87" s="144"/>
      <c r="H87" s="149"/>
      <c r="I87" s="46" t="s">
        <v>120</v>
      </c>
      <c r="J87" s="48">
        <f>H83</f>
        <v>11</v>
      </c>
    </row>
    <row r="88" spans="1:10" ht="15.75" customHeight="1">
      <c r="A88" s="128" t="s">
        <v>121</v>
      </c>
      <c r="B88" s="129"/>
      <c r="C88" s="30">
        <v>8</v>
      </c>
      <c r="D88" s="31">
        <f>((100/(D83+F83+H83))*C88)/100</f>
        <v>0.66666666666666674</v>
      </c>
      <c r="E88" s="144"/>
      <c r="F88" s="145"/>
      <c r="G88" s="144"/>
      <c r="H88" s="149"/>
      <c r="I88" s="46" t="s">
        <v>122</v>
      </c>
      <c r="J88" s="49">
        <f>(IF(B83&gt;1,(H83/(B83+2)),H83/4))</f>
        <v>2.75</v>
      </c>
    </row>
    <row r="89" spans="1:10" ht="15.75" customHeight="1">
      <c r="A89" s="128" t="s">
        <v>123</v>
      </c>
      <c r="B89" s="129" t="s">
        <v>124</v>
      </c>
      <c r="C89" s="30">
        <v>6</v>
      </c>
      <c r="D89" s="31">
        <f>((100/H83)*C89)/100</f>
        <v>0.54545454545454541</v>
      </c>
      <c r="E89" s="144"/>
      <c r="F89" s="145"/>
      <c r="G89" s="144"/>
      <c r="H89" s="149"/>
      <c r="I89" s="46" t="s">
        <v>125</v>
      </c>
      <c r="J89" s="49">
        <f>(IF(B83&gt;1,(H83/(B83+2)+J88),H83/4+J88))</f>
        <v>5.5</v>
      </c>
    </row>
    <row r="90" spans="1:10" ht="15.75" customHeight="1">
      <c r="A90" s="128" t="s">
        <v>126</v>
      </c>
      <c r="B90" s="129" t="s">
        <v>124</v>
      </c>
      <c r="C90" s="30">
        <v>0</v>
      </c>
      <c r="D90" s="31">
        <f>((100/H83)*C90)/100</f>
        <v>0</v>
      </c>
      <c r="E90" s="144"/>
      <c r="F90" s="145"/>
      <c r="G90" s="144"/>
      <c r="H90" s="149"/>
      <c r="I90" s="46" t="s">
        <v>127</v>
      </c>
      <c r="J90" s="49">
        <f>(IF(B83&gt;1,(H83/(B83+2)+J89),0))</f>
        <v>0</v>
      </c>
    </row>
    <row r="91" spans="1:10" ht="15" customHeight="1">
      <c r="A91" s="128" t="s">
        <v>128</v>
      </c>
      <c r="B91" s="129" t="s">
        <v>129</v>
      </c>
      <c r="C91" s="30">
        <v>0</v>
      </c>
      <c r="D91" s="31">
        <f>((100/(H83))*C91)/100</f>
        <v>0</v>
      </c>
      <c r="E91" s="144"/>
      <c r="F91" s="145"/>
      <c r="G91" s="144"/>
      <c r="H91" s="149"/>
      <c r="I91" s="46" t="s">
        <v>130</v>
      </c>
      <c r="J91" s="49">
        <f>(IF(B83&gt;2,(H83/(B83+2)+J90),0))</f>
        <v>0</v>
      </c>
    </row>
    <row r="92" spans="1:10" ht="15.75" customHeight="1">
      <c r="A92" s="128" t="s">
        <v>131</v>
      </c>
      <c r="B92" s="129" t="s">
        <v>131</v>
      </c>
      <c r="C92" s="30">
        <v>0</v>
      </c>
      <c r="D92" s="31">
        <f>((100/H83)*C92)/100</f>
        <v>0</v>
      </c>
      <c r="E92" s="144"/>
      <c r="F92" s="145"/>
      <c r="G92" s="144"/>
      <c r="H92" s="149"/>
      <c r="I92" s="46" t="s">
        <v>132</v>
      </c>
      <c r="J92" s="50">
        <f>(IF(B83&gt;3,(H83/(B83+2)+J91),0))</f>
        <v>0</v>
      </c>
    </row>
    <row r="93" spans="1:10" ht="15.75" customHeight="1">
      <c r="A93" s="128" t="s">
        <v>133</v>
      </c>
      <c r="B93" s="129"/>
      <c r="C93" s="30">
        <v>0</v>
      </c>
      <c r="D93" s="31">
        <f>((100/H83)*C93)/100</f>
        <v>0</v>
      </c>
      <c r="E93" s="144"/>
      <c r="F93" s="145"/>
      <c r="G93" s="144"/>
      <c r="H93" s="149"/>
      <c r="I93" s="46" t="s">
        <v>134</v>
      </c>
      <c r="J93" s="49">
        <f>(IF(B83&gt;4,(H83/(B83+2)+J92),0))</f>
        <v>0</v>
      </c>
    </row>
    <row r="94" spans="1:10" ht="15.75" customHeight="1">
      <c r="A94" s="128" t="s">
        <v>135</v>
      </c>
      <c r="B94" s="129" t="s">
        <v>135</v>
      </c>
      <c r="C94" s="30">
        <v>0</v>
      </c>
      <c r="D94" s="31">
        <f>((100/(H83))*C94)/100</f>
        <v>0</v>
      </c>
      <c r="E94" s="144"/>
      <c r="F94" s="145"/>
      <c r="G94" s="144"/>
      <c r="H94" s="149"/>
      <c r="I94" s="46" t="s">
        <v>136</v>
      </c>
      <c r="J94" s="49">
        <f>(IF(B83=1,(H83/(B83+3)+J89),IF(B83=0,(H83/4+J89),IF(B83&gt;1,0))))</f>
        <v>8.25</v>
      </c>
    </row>
    <row r="95" spans="1:10">
      <c r="A95" s="130" t="s">
        <v>137</v>
      </c>
      <c r="B95" s="131"/>
      <c r="C95" s="33">
        <v>0</v>
      </c>
      <c r="D95" s="34">
        <f>((100/(H83))*C95)/100</f>
        <v>0</v>
      </c>
      <c r="E95" s="146"/>
      <c r="F95" s="147"/>
      <c r="G95" s="146"/>
      <c r="H95" s="150"/>
      <c r="I95" s="51" t="s">
        <v>138</v>
      </c>
      <c r="J95" s="52">
        <f>(IF(B83&gt;1.5,(H83/(B83+2)+J89+MAX(0,J90-J89)+MAX(0,J91-J90)+MAX(0,J92-J91)+MAX(0,J93-J92)+MAX(0,J94-J93)),IF(B83=1,(H83/(B83+3)+J94),IF(B83=0,H83/4+J94))))</f>
        <v>11</v>
      </c>
    </row>
    <row r="96" spans="1:10" ht="15.75" hidden="1" customHeight="1">
      <c r="A96" s="132" t="s">
        <v>105</v>
      </c>
      <c r="B96" s="133"/>
      <c r="C96" s="134" t="str">
        <f>D60</f>
        <v>C Wing = G + 1st to 20th Floor</v>
      </c>
      <c r="D96" s="135"/>
      <c r="E96" s="135"/>
      <c r="F96" s="135"/>
      <c r="G96" s="135"/>
      <c r="H96" s="136"/>
      <c r="I96" s="42" t="str">
        <f ca="1">IF(D109=100%,"All work Completed. Possession granted to the Building.",IF(D108=100%,"All work Completed, Waiting for OC",I97&amp;""&amp;I98&amp;""&amp;J97&amp;""&amp;J96&amp;" "&amp;J98))</f>
        <v xml:space="preserve">Excavation, Plinth, RCC Slab Completed </v>
      </c>
      <c r="J96" s="43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/>
      </c>
    </row>
    <row r="97" spans="1:10" hidden="1">
      <c r="A97" s="28" t="s">
        <v>106</v>
      </c>
      <c r="B97" s="35">
        <v>0</v>
      </c>
      <c r="C97" s="21" t="s">
        <v>107</v>
      </c>
      <c r="D97" s="21">
        <v>1</v>
      </c>
      <c r="E97" s="21" t="s">
        <v>108</v>
      </c>
      <c r="F97" s="35">
        <v>0</v>
      </c>
      <c r="G97" s="22" t="s">
        <v>109</v>
      </c>
      <c r="H97" s="29">
        <f ca="1">--TRIM(RIGHT(SUBSTITUTE(LEFT(C96,_xlfn.AGGREGATE(16,6,FIND({0,1,2,3,4,5,6,7,8,9},C96,ROW(INDIRECT("1:"&amp;LEN(C96)))),1))," ",REPT(" ",LEN(C96))),LEN(C96)))</f>
        <v>20</v>
      </c>
      <c r="I97" s="44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Plinth, RCC Slab</v>
      </c>
      <c r="J97" s="45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ht="33" hidden="1" customHeight="1">
      <c r="A98" s="137" t="s">
        <v>110</v>
      </c>
      <c r="B98" s="138"/>
      <c r="C98" s="139" t="str">
        <f ca="1">(IF($C$53=C96,"All work Completed. OC Received.",I96))</f>
        <v xml:space="preserve">Excavation, Plinth, RCC Slab Completed </v>
      </c>
      <c r="D98" s="139"/>
      <c r="E98" s="139"/>
      <c r="F98" s="139"/>
      <c r="G98" s="139"/>
      <c r="H98" s="140"/>
      <c r="I98" s="44" t="str">
        <f ca="1">IF(I97&lt;&gt;""," Completed","")</f>
        <v xml:space="preserve"> Completed</v>
      </c>
      <c r="J98" s="45" t="str">
        <f ca="1">IF(J96&lt;&gt;"","Completed","")</f>
        <v/>
      </c>
    </row>
    <row r="99" spans="1:10" ht="15.75" hidden="1" customHeight="1">
      <c r="A99" s="126" t="s">
        <v>111</v>
      </c>
      <c r="B99" s="127"/>
      <c r="C99" s="36" t="s">
        <v>112</v>
      </c>
      <c r="D99" s="36" t="s">
        <v>113</v>
      </c>
      <c r="E99" s="127" t="s">
        <v>114</v>
      </c>
      <c r="F99" s="127"/>
      <c r="G99" s="127" t="s">
        <v>115</v>
      </c>
      <c r="H99" s="141"/>
      <c r="I99" s="46" t="s">
        <v>116</v>
      </c>
      <c r="J99" s="47">
        <f ca="1">H97*25%</f>
        <v>5</v>
      </c>
    </row>
    <row r="100" spans="1:10" hidden="1">
      <c r="A100" s="126" t="s">
        <v>117</v>
      </c>
      <c r="B100" s="127"/>
      <c r="C100" s="36">
        <f ca="1">J101</f>
        <v>20</v>
      </c>
      <c r="D100" s="37">
        <f ca="1">((100/H97)*C100)/100</f>
        <v>1</v>
      </c>
      <c r="E100" s="117">
        <f ca="1">(((C101/H97*10)+(40/(D97+F97+H97)*C102)+(7.5/(H97)*C103)+(7.5/(H97)*C104)+(10/H97*C105)+(10/H97*C106)+(5/H97*C107)+(5/H97*C108)+(5/H97*C109))/100)</f>
        <v>0.5</v>
      </c>
      <c r="F100" s="118"/>
      <c r="G100" s="117">
        <f ca="1">((((C100/H97)*20)+((C101/H97)*25)+(30/(H97+F97+D97)*C102)+(5/H97*C103)+(5/H97*C104)+(5/H97*C105)+(5/H97*C106)+(0/H97*C107)+(0/H97*C108)+(5/H97*C109))/100)</f>
        <v>0.75</v>
      </c>
      <c r="H100" s="123"/>
      <c r="I100" s="46" t="s">
        <v>118</v>
      </c>
      <c r="J100" s="48">
        <f ca="1">H97*50%</f>
        <v>10</v>
      </c>
    </row>
    <row r="101" spans="1:10" hidden="1">
      <c r="A101" s="126" t="s">
        <v>119</v>
      </c>
      <c r="B101" s="127"/>
      <c r="C101" s="36">
        <f ca="1">J109</f>
        <v>20</v>
      </c>
      <c r="D101" s="37">
        <f ca="1">((100/H97)*C101)/100</f>
        <v>1</v>
      </c>
      <c r="E101" s="119"/>
      <c r="F101" s="120"/>
      <c r="G101" s="119"/>
      <c r="H101" s="124"/>
      <c r="I101" s="46" t="s">
        <v>120</v>
      </c>
      <c r="J101" s="48">
        <f ca="1">H97</f>
        <v>20</v>
      </c>
    </row>
    <row r="102" spans="1:10" ht="15.75" hidden="1" customHeight="1">
      <c r="A102" s="126" t="s">
        <v>121</v>
      </c>
      <c r="B102" s="127"/>
      <c r="C102" s="36">
        <f ca="1">D97+H97</f>
        <v>21</v>
      </c>
      <c r="D102" s="37">
        <f ca="1">((100/(D97+F97+H97))*C102)/100</f>
        <v>1</v>
      </c>
      <c r="E102" s="119"/>
      <c r="F102" s="120"/>
      <c r="G102" s="119"/>
      <c r="H102" s="124"/>
      <c r="I102" s="46" t="s">
        <v>122</v>
      </c>
      <c r="J102" s="49">
        <f ca="1">(IF(B97&gt;1,(H97/(B97+2)),H97/4))</f>
        <v>5</v>
      </c>
    </row>
    <row r="103" spans="1:10" ht="15.75" hidden="1" customHeight="1">
      <c r="A103" s="126" t="s">
        <v>123</v>
      </c>
      <c r="B103" s="127" t="s">
        <v>124</v>
      </c>
      <c r="C103" s="36">
        <v>0</v>
      </c>
      <c r="D103" s="37">
        <f ca="1">((100/H97)*C103)/100</f>
        <v>0</v>
      </c>
      <c r="E103" s="119"/>
      <c r="F103" s="120"/>
      <c r="G103" s="119"/>
      <c r="H103" s="124"/>
      <c r="I103" s="46" t="s">
        <v>125</v>
      </c>
      <c r="J103" s="49">
        <f ca="1">(IF(B97&gt;1,(H97/(B97+2)+J102),H97/4+J102))</f>
        <v>10</v>
      </c>
    </row>
    <row r="104" spans="1:10" ht="15.75" hidden="1" customHeight="1">
      <c r="A104" s="126" t="s">
        <v>126</v>
      </c>
      <c r="B104" s="127" t="s">
        <v>124</v>
      </c>
      <c r="C104" s="36">
        <v>0</v>
      </c>
      <c r="D104" s="37">
        <f ca="1">((100/H97)*C104)/100</f>
        <v>0</v>
      </c>
      <c r="E104" s="119"/>
      <c r="F104" s="120"/>
      <c r="G104" s="119"/>
      <c r="H104" s="124"/>
      <c r="I104" s="46" t="s">
        <v>127</v>
      </c>
      <c r="J104" s="49">
        <f>(IF(B97&gt;1,(H97/(B97+2)+J103),0))</f>
        <v>0</v>
      </c>
    </row>
    <row r="105" spans="1:10" ht="15" hidden="1" customHeight="1">
      <c r="A105" s="126" t="s">
        <v>128</v>
      </c>
      <c r="B105" s="127" t="s">
        <v>129</v>
      </c>
      <c r="C105" s="36">
        <v>0</v>
      </c>
      <c r="D105" s="37">
        <f ca="1">((100/(H97))*C105)/100</f>
        <v>0</v>
      </c>
      <c r="E105" s="119"/>
      <c r="F105" s="120"/>
      <c r="G105" s="119"/>
      <c r="H105" s="124"/>
      <c r="I105" s="46" t="s">
        <v>130</v>
      </c>
      <c r="J105" s="49">
        <f>(IF(B97&gt;2,(H97/(B97+2)+J104),0))</f>
        <v>0</v>
      </c>
    </row>
    <row r="106" spans="1:10" ht="15.75" hidden="1" customHeight="1">
      <c r="A106" s="126" t="s">
        <v>131</v>
      </c>
      <c r="B106" s="127" t="s">
        <v>131</v>
      </c>
      <c r="C106" s="36">
        <v>0</v>
      </c>
      <c r="D106" s="37">
        <f ca="1">((100/H97)*C106)/100</f>
        <v>0</v>
      </c>
      <c r="E106" s="119"/>
      <c r="F106" s="120"/>
      <c r="G106" s="119"/>
      <c r="H106" s="124"/>
      <c r="I106" s="46" t="s">
        <v>132</v>
      </c>
      <c r="J106" s="50">
        <f>(IF(B97&gt;3,(H97/(B97+2)+J105),0))</f>
        <v>0</v>
      </c>
    </row>
    <row r="107" spans="1:10" ht="15.75" hidden="1" customHeight="1">
      <c r="A107" s="126" t="s">
        <v>133</v>
      </c>
      <c r="B107" s="127"/>
      <c r="C107" s="36">
        <v>0</v>
      </c>
      <c r="D107" s="37">
        <f ca="1">((100/H97)*C107)/100</f>
        <v>0</v>
      </c>
      <c r="E107" s="119"/>
      <c r="F107" s="120"/>
      <c r="G107" s="119"/>
      <c r="H107" s="124"/>
      <c r="I107" s="46" t="s">
        <v>134</v>
      </c>
      <c r="J107" s="49">
        <f>(IF(B97&gt;4,(H97/(B97+2)+J106),0))</f>
        <v>0</v>
      </c>
    </row>
    <row r="108" spans="1:10" ht="15.75" hidden="1" customHeight="1">
      <c r="A108" s="126" t="s">
        <v>135</v>
      </c>
      <c r="B108" s="127" t="s">
        <v>135</v>
      </c>
      <c r="C108" s="36">
        <v>0</v>
      </c>
      <c r="D108" s="37">
        <f ca="1">((100/(H97))*C108)/100</f>
        <v>0</v>
      </c>
      <c r="E108" s="119"/>
      <c r="F108" s="120"/>
      <c r="G108" s="119"/>
      <c r="H108" s="124"/>
      <c r="I108" s="46" t="s">
        <v>136</v>
      </c>
      <c r="J108" s="49">
        <f ca="1">(IF(B97=1,(H97/(B97+3)+J103),IF(B97=0,(H97/4+J103),IF(B97&gt;1,0))))</f>
        <v>15</v>
      </c>
    </row>
    <row r="109" spans="1:10" hidden="1">
      <c r="A109" s="112" t="s">
        <v>137</v>
      </c>
      <c r="B109" s="113"/>
      <c r="C109" s="38">
        <v>0</v>
      </c>
      <c r="D109" s="39">
        <f ca="1">((100/(H97))*C109)/100</f>
        <v>0</v>
      </c>
      <c r="E109" s="121"/>
      <c r="F109" s="122"/>
      <c r="G109" s="121"/>
      <c r="H109" s="125"/>
      <c r="I109" s="51" t="s">
        <v>138</v>
      </c>
      <c r="J109" s="52">
        <f ca="1">(IF(B97&gt;1.5,(H97/(B97+2)+J103+MAX(0,J104-J103)+MAX(0,J105-J104)+MAX(0,J106-J105)+MAX(0,J107-J106)+MAX(0,J108-J107)),IF(B97=1,(H97/(B97+3)+J108),IF(B97=0,H97/4+J108))))</f>
        <v>20</v>
      </c>
    </row>
    <row r="110" spans="1:10">
      <c r="A110" s="114" t="s">
        <v>139</v>
      </c>
      <c r="B110" s="114"/>
      <c r="C110" s="114"/>
      <c r="D110" s="114"/>
      <c r="E110" s="114"/>
      <c r="F110" s="115" t="s">
        <v>140</v>
      </c>
      <c r="G110" s="115"/>
      <c r="H110" s="115"/>
    </row>
    <row r="111" spans="1:10">
      <c r="A111" s="84" t="s">
        <v>141</v>
      </c>
      <c r="B111" s="84"/>
      <c r="C111" s="84"/>
      <c r="D111" s="84"/>
      <c r="E111" s="84"/>
      <c r="F111" s="116">
        <v>3800</v>
      </c>
      <c r="G111" s="116"/>
      <c r="H111" s="116"/>
    </row>
    <row r="112" spans="1:10">
      <c r="A112" s="84" t="s">
        <v>142</v>
      </c>
      <c r="B112" s="84"/>
      <c r="C112" s="84"/>
      <c r="D112" s="84"/>
      <c r="E112" s="84"/>
      <c r="F112" s="110">
        <v>6000</v>
      </c>
      <c r="G112" s="110"/>
      <c r="H112" s="110"/>
    </row>
    <row r="113" spans="1:8" hidden="1">
      <c r="A113" s="84" t="s">
        <v>143</v>
      </c>
      <c r="B113" s="84"/>
      <c r="C113" s="84"/>
      <c r="D113" s="84"/>
      <c r="E113" s="84"/>
      <c r="F113" s="110"/>
      <c r="G113" s="110"/>
      <c r="H113" s="110"/>
    </row>
    <row r="114" spans="1:8" s="15" customFormat="1" hidden="1">
      <c r="A114" s="84" t="s">
        <v>144</v>
      </c>
      <c r="B114" s="84"/>
      <c r="C114" s="84"/>
      <c r="D114" s="84"/>
      <c r="E114" s="84"/>
      <c r="F114" s="110"/>
      <c r="G114" s="110"/>
      <c r="H114" s="110"/>
    </row>
    <row r="115" spans="1:8" s="15" customFormat="1">
      <c r="A115" s="84" t="s">
        <v>145</v>
      </c>
      <c r="B115" s="84"/>
      <c r="C115" s="84"/>
      <c r="D115" s="84"/>
      <c r="E115" s="84"/>
      <c r="F115" s="110">
        <v>200000</v>
      </c>
      <c r="G115" s="110"/>
      <c r="H115" s="110"/>
    </row>
    <row r="116" spans="1:8" s="15" customFormat="1" hidden="1">
      <c r="A116" s="84" t="s">
        <v>146</v>
      </c>
      <c r="B116" s="84"/>
      <c r="C116" s="84"/>
      <c r="D116" s="84"/>
      <c r="E116" s="84"/>
      <c r="F116" s="110"/>
      <c r="G116" s="110"/>
      <c r="H116" s="110"/>
    </row>
    <row r="117" spans="1:8" s="15" customFormat="1" hidden="1">
      <c r="A117" s="84" t="s">
        <v>147</v>
      </c>
      <c r="B117" s="84"/>
      <c r="C117" s="84"/>
      <c r="D117" s="84"/>
      <c r="E117" s="84"/>
      <c r="F117" s="110"/>
      <c r="G117" s="110"/>
      <c r="H117" s="110"/>
    </row>
    <row r="118" spans="1:8" s="15" customFormat="1" hidden="1">
      <c r="A118" s="84" t="s">
        <v>148</v>
      </c>
      <c r="B118" s="84"/>
      <c r="C118" s="84"/>
      <c r="D118" s="84"/>
      <c r="E118" s="84"/>
      <c r="F118" s="110"/>
      <c r="G118" s="110"/>
      <c r="H118" s="110"/>
    </row>
    <row r="119" spans="1:8" s="15" customFormat="1" hidden="1">
      <c r="A119" s="84" t="s">
        <v>149</v>
      </c>
      <c r="B119" s="84"/>
      <c r="C119" s="84"/>
      <c r="D119" s="84"/>
      <c r="E119" s="84"/>
      <c r="F119" s="110"/>
      <c r="G119" s="110"/>
      <c r="H119" s="110"/>
    </row>
    <row r="120" spans="1:8" s="15" customFormat="1" hidden="1">
      <c r="A120" s="84" t="s">
        <v>150</v>
      </c>
      <c r="B120" s="84"/>
      <c r="C120" s="84"/>
      <c r="D120" s="84"/>
      <c r="E120" s="84"/>
      <c r="F120" s="110"/>
      <c r="G120" s="110"/>
      <c r="H120" s="110"/>
    </row>
    <row r="121" spans="1:8" s="15" customFormat="1" hidden="1">
      <c r="A121" s="84" t="s">
        <v>151</v>
      </c>
      <c r="B121" s="84"/>
      <c r="C121" s="84"/>
      <c r="D121" s="84"/>
      <c r="E121" s="84"/>
      <c r="F121" s="110"/>
      <c r="G121" s="110"/>
      <c r="H121" s="110"/>
    </row>
    <row r="122" spans="1:8">
      <c r="A122" s="84" t="s">
        <v>152</v>
      </c>
      <c r="B122" s="84"/>
      <c r="C122" s="84"/>
      <c r="D122" s="84"/>
      <c r="E122" s="84"/>
      <c r="F122" s="110">
        <v>150000</v>
      </c>
      <c r="G122" s="110"/>
      <c r="H122" s="110"/>
    </row>
    <row r="123" spans="1:8" s="16" customFormat="1">
      <c r="A123" s="111" t="s">
        <v>153</v>
      </c>
      <c r="B123" s="111"/>
      <c r="C123" s="111"/>
      <c r="D123" s="111"/>
      <c r="E123" s="111"/>
      <c r="F123" s="110">
        <f>F111*0.8</f>
        <v>3040</v>
      </c>
      <c r="G123" s="110"/>
      <c r="H123" s="110"/>
    </row>
    <row r="124" spans="1:8" s="17" customFormat="1" ht="15.75" customHeight="1">
      <c r="A124" s="98" t="s">
        <v>154</v>
      </c>
      <c r="B124" s="98"/>
      <c r="C124" s="98"/>
      <c r="D124" s="98"/>
      <c r="E124" s="98"/>
      <c r="F124" s="98"/>
      <c r="G124" s="98"/>
      <c r="H124" s="98"/>
    </row>
    <row r="125" spans="1:8" s="17" customFormat="1" ht="15.75" customHeight="1">
      <c r="A125" s="103" t="s">
        <v>155</v>
      </c>
      <c r="B125" s="103"/>
      <c r="C125" s="100" t="s">
        <v>156</v>
      </c>
      <c r="D125" s="100"/>
      <c r="E125" s="102" t="s">
        <v>157</v>
      </c>
      <c r="F125" s="102"/>
      <c r="G125" s="103" t="s">
        <v>158</v>
      </c>
      <c r="H125" s="103"/>
    </row>
    <row r="126" spans="1:8" s="17" customFormat="1">
      <c r="A126" s="105" t="s">
        <v>159</v>
      </c>
      <c r="B126" s="105"/>
      <c r="C126" s="106">
        <f>COUNT(D139:D150)</f>
        <v>12</v>
      </c>
      <c r="D126" s="108"/>
      <c r="E126" s="107">
        <f>SUM(D139:D150)</f>
        <v>1783.5840360000002</v>
      </c>
      <c r="F126" s="109"/>
      <c r="G126" s="107">
        <f>SUM(F139:F150)</f>
        <v>3615</v>
      </c>
      <c r="H126" s="109"/>
    </row>
    <row r="127" spans="1:8" s="17" customFormat="1">
      <c r="A127" s="105" t="s">
        <v>160</v>
      </c>
      <c r="B127" s="105"/>
      <c r="C127" s="106">
        <f>COUNT(D153:D163)</f>
        <v>11</v>
      </c>
      <c r="D127" s="108"/>
      <c r="E127" s="107">
        <f>SUM(D153:D163)</f>
        <v>1228.247748</v>
      </c>
      <c r="F127" s="109"/>
      <c r="G127" s="107">
        <f>SUM(F153:F163)</f>
        <v>2495</v>
      </c>
      <c r="H127" s="109"/>
    </row>
    <row r="128" spans="1:8" s="17" customFormat="1">
      <c r="A128" s="98" t="s">
        <v>161</v>
      </c>
      <c r="B128" s="98"/>
      <c r="C128" s="99">
        <f>SUM(C126:C127)</f>
        <v>23</v>
      </c>
      <c r="D128" s="100"/>
      <c r="E128" s="101">
        <f>SUM(E126:E127)</f>
        <v>3011.831784</v>
      </c>
      <c r="F128" s="102"/>
      <c r="G128" s="103">
        <f>SUM(G126:G127)</f>
        <v>6110</v>
      </c>
      <c r="H128" s="103"/>
    </row>
    <row r="129" spans="1:14" s="17" customFormat="1">
      <c r="A129" s="98" t="s">
        <v>162</v>
      </c>
      <c r="B129" s="98"/>
      <c r="C129" s="98"/>
      <c r="D129" s="98"/>
      <c r="E129" s="98"/>
      <c r="F129" s="98"/>
      <c r="G129" s="98"/>
      <c r="H129" s="98"/>
    </row>
    <row r="130" spans="1:14" s="17" customFormat="1" ht="15.75" customHeight="1">
      <c r="A130" s="103" t="s">
        <v>155</v>
      </c>
      <c r="B130" s="103"/>
      <c r="C130" s="100" t="s">
        <v>156</v>
      </c>
      <c r="D130" s="100"/>
      <c r="E130" s="102" t="s">
        <v>157</v>
      </c>
      <c r="F130" s="102"/>
      <c r="G130" s="103" t="s">
        <v>158</v>
      </c>
      <c r="H130" s="103"/>
      <c r="J130" s="59">
        <f>E128+E133</f>
        <v>72960.065801999997</v>
      </c>
    </row>
    <row r="131" spans="1:14" s="17" customFormat="1">
      <c r="A131" s="105" t="s">
        <v>159</v>
      </c>
      <c r="B131" s="105"/>
      <c r="C131" s="106">
        <f>COUNT(D169:D177)+COUNT(D179:D187)*6+COUNT(D189:D192,D194:D197)</f>
        <v>71</v>
      </c>
      <c r="D131" s="106"/>
      <c r="E131" s="107">
        <f>SUM(D169:D177)+SUM(D179:D187)*6+SUM(D189:D192,D194:D197)</f>
        <v>34605.075959999995</v>
      </c>
      <c r="F131" s="107"/>
      <c r="G131" s="107">
        <f>SUM(F169:F177)+SUM(F179:F187)*6+SUM(F189:F192,F194:F197)</f>
        <v>50363.846441999995</v>
      </c>
      <c r="H131" s="107"/>
    </row>
    <row r="132" spans="1:14" s="17" customFormat="1">
      <c r="A132" s="105" t="s">
        <v>160</v>
      </c>
      <c r="B132" s="105"/>
      <c r="C132" s="106">
        <f>COUNT(D200:D207)+COUNT(D209:D216)*6+COUNT(D219:D225)</f>
        <v>63</v>
      </c>
      <c r="D132" s="106"/>
      <c r="E132" s="107">
        <f>SUM(D200:D207)+SUM(D209:D216)*6+SUM(D219:D225)</f>
        <v>35343.158058000008</v>
      </c>
      <c r="F132" s="107"/>
      <c r="G132" s="107">
        <f>SUM(F200:F207)+SUM(F209:F216)*6+SUM(F219:F225)</f>
        <v>51320.9358441</v>
      </c>
      <c r="H132" s="107"/>
    </row>
    <row r="133" spans="1:14" s="17" customFormat="1">
      <c r="A133" s="98" t="s">
        <v>161</v>
      </c>
      <c r="B133" s="98"/>
      <c r="C133" s="99">
        <f>SUM(C131:C132)</f>
        <v>134</v>
      </c>
      <c r="D133" s="100"/>
      <c r="E133" s="101">
        <f>SUM(E131:E132)</f>
        <v>69948.234018000003</v>
      </c>
      <c r="F133" s="102"/>
      <c r="G133" s="103">
        <f>SUM(G131:G132)</f>
        <v>101684.7822861</v>
      </c>
      <c r="H133" s="103"/>
    </row>
    <row r="134" spans="1:14" s="16" customFormat="1">
      <c r="A134" s="104" t="s">
        <v>163</v>
      </c>
      <c r="B134" s="104"/>
      <c r="C134" s="104"/>
      <c r="D134" s="104"/>
      <c r="E134" s="104"/>
      <c r="F134" s="104"/>
      <c r="G134" s="104"/>
      <c r="H134" s="104"/>
    </row>
    <row r="135" spans="1:14">
      <c r="A135" s="104" t="s">
        <v>164</v>
      </c>
      <c r="B135" s="104"/>
      <c r="C135" s="104"/>
      <c r="D135" s="104"/>
      <c r="E135" s="104"/>
      <c r="F135" s="104"/>
      <c r="G135" s="104"/>
      <c r="H135" s="104"/>
    </row>
    <row r="136" spans="1:14" ht="47.25" customHeight="1">
      <c r="A136" s="53" t="s">
        <v>165</v>
      </c>
      <c r="B136" s="53" t="s">
        <v>166</v>
      </c>
      <c r="C136" s="53" t="s">
        <v>167</v>
      </c>
      <c r="D136" s="53" t="s">
        <v>168</v>
      </c>
      <c r="E136" s="54" t="s">
        <v>169</v>
      </c>
      <c r="F136" s="53" t="s">
        <v>170</v>
      </c>
      <c r="G136" s="71" t="s">
        <v>171</v>
      </c>
      <c r="H136" s="72"/>
    </row>
    <row r="137" spans="1:14" s="18" customFormat="1">
      <c r="A137" s="94" t="s">
        <v>159</v>
      </c>
      <c r="B137" s="95"/>
      <c r="C137" s="95"/>
      <c r="D137" s="95"/>
      <c r="E137" s="95"/>
      <c r="F137" s="95"/>
      <c r="G137" s="95"/>
      <c r="H137" s="96"/>
      <c r="J137" s="60"/>
    </row>
    <row r="138" spans="1:14" s="18" customFormat="1">
      <c r="A138" s="94" t="s">
        <v>172</v>
      </c>
      <c r="B138" s="95"/>
      <c r="C138" s="95"/>
      <c r="D138" s="95"/>
      <c r="E138" s="95"/>
      <c r="F138" s="95"/>
      <c r="G138" s="95"/>
      <c r="H138" s="96"/>
      <c r="J138" s="60"/>
    </row>
    <row r="139" spans="1:14" s="18" customFormat="1" ht="15.75" customHeight="1">
      <c r="A139" s="87">
        <v>1</v>
      </c>
      <c r="B139" s="88"/>
      <c r="C139" s="55" t="s">
        <v>173</v>
      </c>
      <c r="D139" s="56">
        <f>(15.676)*10.764</f>
        <v>168.73646399999998</v>
      </c>
      <c r="E139" s="55">
        <v>0</v>
      </c>
      <c r="F139" s="55">
        <v>345</v>
      </c>
      <c r="G139" s="65" t="str">
        <f>A138</f>
        <v>Ground Floor For Commercial &amp; Parking</v>
      </c>
      <c r="H139" s="66"/>
      <c r="I139" s="55">
        <f>(5.85*2.75)</f>
        <v>16.087499999999999</v>
      </c>
      <c r="L139" s="89"/>
      <c r="M139" s="89"/>
      <c r="N139" s="60"/>
    </row>
    <row r="140" spans="1:14" s="18" customFormat="1" ht="15.75" customHeight="1">
      <c r="A140" s="87">
        <f t="shared" ref="A140:A150" si="0">A139+1</f>
        <v>2</v>
      </c>
      <c r="B140" s="88"/>
      <c r="C140" s="55" t="s">
        <v>173</v>
      </c>
      <c r="D140" s="56">
        <f>(12.27)*10.764</f>
        <v>132.07427999999999</v>
      </c>
      <c r="E140" s="55">
        <v>0</v>
      </c>
      <c r="F140" s="55">
        <v>265</v>
      </c>
      <c r="G140" s="67"/>
      <c r="H140" s="68"/>
      <c r="I140" s="60"/>
      <c r="L140" s="89"/>
      <c r="M140" s="89"/>
      <c r="N140" s="60"/>
    </row>
    <row r="141" spans="1:14" s="18" customFormat="1" ht="15.75" customHeight="1">
      <c r="A141" s="87">
        <f t="shared" si="0"/>
        <v>3</v>
      </c>
      <c r="B141" s="88"/>
      <c r="C141" s="55" t="s">
        <v>173</v>
      </c>
      <c r="D141" s="56">
        <f>(15.24)*10.764</f>
        <v>164.04335999999998</v>
      </c>
      <c r="E141" s="55">
        <v>0</v>
      </c>
      <c r="F141" s="55">
        <v>330</v>
      </c>
      <c r="G141" s="67"/>
      <c r="H141" s="68"/>
      <c r="I141" s="60"/>
      <c r="L141" s="89"/>
      <c r="M141" s="89"/>
      <c r="N141" s="60"/>
    </row>
    <row r="142" spans="1:14" s="18" customFormat="1" ht="15.75" customHeight="1">
      <c r="A142" s="87">
        <f t="shared" si="0"/>
        <v>4</v>
      </c>
      <c r="B142" s="88"/>
      <c r="C142" s="55" t="s">
        <v>173</v>
      </c>
      <c r="D142" s="56">
        <f>(14.895)*10.764</f>
        <v>160.32978</v>
      </c>
      <c r="E142" s="55">
        <v>0</v>
      </c>
      <c r="F142" s="55">
        <v>330</v>
      </c>
      <c r="G142" s="67"/>
      <c r="H142" s="68"/>
      <c r="I142" s="60"/>
      <c r="L142" s="89"/>
      <c r="M142" s="89"/>
      <c r="N142" s="60"/>
    </row>
    <row r="143" spans="1:14" s="18" customFormat="1" ht="15.75" customHeight="1">
      <c r="A143" s="87">
        <f t="shared" si="0"/>
        <v>5</v>
      </c>
      <c r="B143" s="88"/>
      <c r="C143" s="55" t="s">
        <v>173</v>
      </c>
      <c r="D143" s="56">
        <f>(13.153)*10.764</f>
        <v>141.578892</v>
      </c>
      <c r="E143" s="55">
        <v>0</v>
      </c>
      <c r="F143" s="55">
        <v>285</v>
      </c>
      <c r="G143" s="67"/>
      <c r="H143" s="68"/>
      <c r="I143" s="60"/>
      <c r="J143" s="60"/>
      <c r="L143" s="89"/>
      <c r="M143" s="89"/>
      <c r="N143" s="60"/>
    </row>
    <row r="144" spans="1:14" s="18" customFormat="1" ht="15.75" customHeight="1">
      <c r="A144" s="87">
        <f t="shared" si="0"/>
        <v>6</v>
      </c>
      <c r="B144" s="88"/>
      <c r="C144" s="55" t="s">
        <v>173</v>
      </c>
      <c r="D144" s="56">
        <f>(14.784)*10.764</f>
        <v>159.13497599999999</v>
      </c>
      <c r="E144" s="55">
        <v>0</v>
      </c>
      <c r="F144" s="55">
        <v>325</v>
      </c>
      <c r="G144" s="67"/>
      <c r="H144" s="68"/>
      <c r="I144" s="60"/>
      <c r="L144" s="89"/>
      <c r="M144" s="89"/>
      <c r="N144" s="60"/>
    </row>
    <row r="145" spans="1:14" s="18" customFormat="1" ht="15.75" customHeight="1">
      <c r="A145" s="87">
        <f t="shared" si="0"/>
        <v>7</v>
      </c>
      <c r="B145" s="88"/>
      <c r="C145" s="55" t="s">
        <v>173</v>
      </c>
      <c r="D145" s="56">
        <f>(14.784)*10.764</f>
        <v>159.13497599999999</v>
      </c>
      <c r="E145" s="55">
        <v>0</v>
      </c>
      <c r="F145" s="55">
        <v>325</v>
      </c>
      <c r="G145" s="67"/>
      <c r="H145" s="68"/>
      <c r="I145" s="60"/>
      <c r="L145" s="89"/>
      <c r="M145" s="89"/>
      <c r="N145" s="60"/>
    </row>
    <row r="146" spans="1:14" s="18" customFormat="1" ht="15.75" customHeight="1">
      <c r="A146" s="87">
        <f t="shared" si="0"/>
        <v>8</v>
      </c>
      <c r="B146" s="88"/>
      <c r="C146" s="55" t="s">
        <v>173</v>
      </c>
      <c r="D146" s="56">
        <f>(13.153)*10.764</f>
        <v>141.578892</v>
      </c>
      <c r="E146" s="55">
        <v>0</v>
      </c>
      <c r="F146" s="55">
        <v>285</v>
      </c>
      <c r="G146" s="67"/>
      <c r="H146" s="68"/>
      <c r="I146" s="60"/>
      <c r="L146" s="89"/>
      <c r="M146" s="89"/>
      <c r="N146" s="60"/>
    </row>
    <row r="147" spans="1:14" s="18" customFormat="1" ht="15.75" customHeight="1">
      <c r="A147" s="87">
        <f t="shared" si="0"/>
        <v>9</v>
      </c>
      <c r="B147" s="88"/>
      <c r="C147" s="55" t="s">
        <v>173</v>
      </c>
      <c r="D147" s="56">
        <f>(11.76)*10.764</f>
        <v>126.58463999999999</v>
      </c>
      <c r="E147" s="55">
        <v>0</v>
      </c>
      <c r="F147" s="55">
        <v>255</v>
      </c>
      <c r="G147" s="67"/>
      <c r="H147" s="68"/>
      <c r="I147" s="60"/>
      <c r="L147" s="89"/>
      <c r="M147" s="89"/>
      <c r="N147" s="60"/>
    </row>
    <row r="148" spans="1:14" s="18" customFormat="1" ht="15.75" customHeight="1">
      <c r="A148" s="87">
        <f t="shared" si="0"/>
        <v>10</v>
      </c>
      <c r="B148" s="88"/>
      <c r="C148" s="55" t="s">
        <v>173</v>
      </c>
      <c r="D148" s="56">
        <f>(11.8)*10.764</f>
        <v>127.01519999999999</v>
      </c>
      <c r="E148" s="55">
        <v>0</v>
      </c>
      <c r="F148" s="55">
        <v>255</v>
      </c>
      <c r="G148" s="67"/>
      <c r="H148" s="68"/>
      <c r="I148" s="60"/>
      <c r="L148" s="89"/>
      <c r="M148" s="89"/>
      <c r="N148" s="60"/>
    </row>
    <row r="149" spans="1:14" s="18" customFormat="1" ht="15.75" customHeight="1">
      <c r="A149" s="87">
        <f t="shared" si="0"/>
        <v>11</v>
      </c>
      <c r="B149" s="88"/>
      <c r="C149" s="55" t="s">
        <v>173</v>
      </c>
      <c r="D149" s="56">
        <f>(12.508)*10.764</f>
        <v>134.63611199999997</v>
      </c>
      <c r="E149" s="55">
        <v>0</v>
      </c>
      <c r="F149" s="55">
        <v>270</v>
      </c>
      <c r="G149" s="67"/>
      <c r="H149" s="68"/>
      <c r="I149" s="60"/>
      <c r="L149" s="89"/>
      <c r="M149" s="89"/>
      <c r="N149" s="60"/>
    </row>
    <row r="150" spans="1:14" s="18" customFormat="1" ht="15.75" customHeight="1">
      <c r="A150" s="87">
        <f t="shared" si="0"/>
        <v>12</v>
      </c>
      <c r="B150" s="88"/>
      <c r="C150" s="55" t="s">
        <v>173</v>
      </c>
      <c r="D150" s="56">
        <f>(15.676)*10.764</f>
        <v>168.73646399999998</v>
      </c>
      <c r="E150" s="55">
        <v>0</v>
      </c>
      <c r="F150" s="55">
        <v>345</v>
      </c>
      <c r="G150" s="69"/>
      <c r="H150" s="70"/>
      <c r="I150" s="60"/>
      <c r="L150" s="89"/>
      <c r="M150" s="89"/>
      <c r="N150" s="60"/>
    </row>
    <row r="151" spans="1:14" s="18" customFormat="1">
      <c r="A151" s="94" t="s">
        <v>160</v>
      </c>
      <c r="B151" s="95"/>
      <c r="C151" s="95"/>
      <c r="D151" s="95"/>
      <c r="E151" s="95"/>
      <c r="F151" s="95"/>
      <c r="G151" s="95"/>
      <c r="H151" s="96"/>
      <c r="J151" s="60"/>
    </row>
    <row r="152" spans="1:14" s="18" customFormat="1">
      <c r="A152" s="94" t="s">
        <v>172</v>
      </c>
      <c r="B152" s="95"/>
      <c r="C152" s="95"/>
      <c r="D152" s="95"/>
      <c r="E152" s="95"/>
      <c r="F152" s="95"/>
      <c r="G152" s="95"/>
      <c r="H152" s="96"/>
      <c r="J152" s="60"/>
    </row>
    <row r="153" spans="1:14" s="18" customFormat="1" ht="15.75" customHeight="1">
      <c r="A153" s="87">
        <v>13</v>
      </c>
      <c r="B153" s="88"/>
      <c r="C153" s="55" t="s">
        <v>173</v>
      </c>
      <c r="D153" s="56">
        <f>(8.431)*10.764</f>
        <v>90.751283999999984</v>
      </c>
      <c r="E153" s="55">
        <v>0</v>
      </c>
      <c r="F153" s="55">
        <v>185</v>
      </c>
      <c r="G153" s="65" t="str">
        <f>A152</f>
        <v>Ground Floor For Commercial &amp; Parking</v>
      </c>
      <c r="H153" s="66"/>
      <c r="I153" s="55">
        <f>(5.85*2.75)</f>
        <v>16.087499999999999</v>
      </c>
      <c r="L153" s="89"/>
      <c r="M153" s="89"/>
      <c r="N153" s="60"/>
    </row>
    <row r="154" spans="1:14" s="18" customFormat="1" ht="15.75" customHeight="1">
      <c r="A154" s="87">
        <f t="shared" ref="A154:A163" si="1">A153+1</f>
        <v>14</v>
      </c>
      <c r="B154" s="88"/>
      <c r="C154" s="55" t="s">
        <v>173</v>
      </c>
      <c r="D154" s="56">
        <f>(8.476)*10.764</f>
        <v>91.235664</v>
      </c>
      <c r="E154" s="55">
        <v>0</v>
      </c>
      <c r="F154" s="55">
        <v>185</v>
      </c>
      <c r="G154" s="67"/>
      <c r="H154" s="68"/>
      <c r="I154" s="60"/>
      <c r="L154" s="89"/>
      <c r="M154" s="89"/>
      <c r="N154" s="60"/>
    </row>
    <row r="155" spans="1:14" s="18" customFormat="1" ht="15.75" customHeight="1">
      <c r="A155" s="87">
        <f t="shared" si="1"/>
        <v>15</v>
      </c>
      <c r="B155" s="88"/>
      <c r="C155" s="55" t="s">
        <v>173</v>
      </c>
      <c r="D155" s="56">
        <f>(8.476)*10.764</f>
        <v>91.235664</v>
      </c>
      <c r="E155" s="55">
        <v>0</v>
      </c>
      <c r="F155" s="55">
        <v>185</v>
      </c>
      <c r="G155" s="67"/>
      <c r="H155" s="68"/>
      <c r="I155" s="60"/>
      <c r="L155" s="89"/>
      <c r="M155" s="89"/>
      <c r="N155" s="60"/>
    </row>
    <row r="156" spans="1:14" s="18" customFormat="1" ht="15.75" customHeight="1">
      <c r="A156" s="87">
        <f t="shared" si="1"/>
        <v>16</v>
      </c>
      <c r="B156" s="88"/>
      <c r="C156" s="55" t="s">
        <v>173</v>
      </c>
      <c r="D156" s="56">
        <f>(8.476)*10.764</f>
        <v>91.235664</v>
      </c>
      <c r="E156" s="55">
        <v>0</v>
      </c>
      <c r="F156" s="55">
        <v>185</v>
      </c>
      <c r="G156" s="67"/>
      <c r="H156" s="68"/>
      <c r="I156" s="60"/>
      <c r="L156" s="89"/>
      <c r="M156" s="89"/>
      <c r="N156" s="60"/>
    </row>
    <row r="157" spans="1:14" s="18" customFormat="1" ht="15.75" customHeight="1">
      <c r="A157" s="87">
        <f t="shared" si="1"/>
        <v>17</v>
      </c>
      <c r="B157" s="88"/>
      <c r="C157" s="55" t="s">
        <v>173</v>
      </c>
      <c r="D157" s="56">
        <f>(8.51)*10.764</f>
        <v>91.601639999999989</v>
      </c>
      <c r="E157" s="55">
        <v>0</v>
      </c>
      <c r="F157" s="55">
        <v>185</v>
      </c>
      <c r="G157" s="67"/>
      <c r="H157" s="68"/>
      <c r="I157" s="60"/>
      <c r="J157" s="60"/>
      <c r="L157" s="89"/>
      <c r="M157" s="89"/>
      <c r="N157" s="60"/>
    </row>
    <row r="158" spans="1:14" s="18" customFormat="1" ht="15.75" customHeight="1">
      <c r="A158" s="87">
        <f t="shared" si="1"/>
        <v>18</v>
      </c>
      <c r="B158" s="88"/>
      <c r="C158" s="55" t="s">
        <v>173</v>
      </c>
      <c r="D158" s="56">
        <f>(11.201)*10.764</f>
        <v>120.567564</v>
      </c>
      <c r="E158" s="55">
        <v>0</v>
      </c>
      <c r="F158" s="55">
        <v>245</v>
      </c>
      <c r="G158" s="67"/>
      <c r="H158" s="68"/>
      <c r="I158" s="60"/>
      <c r="J158" s="60"/>
      <c r="L158" s="89"/>
      <c r="M158" s="89"/>
      <c r="N158" s="60"/>
    </row>
    <row r="159" spans="1:14" s="18" customFormat="1" ht="15.75" customHeight="1">
      <c r="A159" s="87">
        <f t="shared" si="1"/>
        <v>19</v>
      </c>
      <c r="B159" s="88"/>
      <c r="C159" s="55" t="s">
        <v>173</v>
      </c>
      <c r="D159" s="56">
        <f>(11.291)*10.764</f>
        <v>121.53632399999999</v>
      </c>
      <c r="E159" s="55">
        <v>0</v>
      </c>
      <c r="F159" s="55">
        <v>245</v>
      </c>
      <c r="G159" s="67"/>
      <c r="H159" s="68"/>
      <c r="I159" s="60"/>
      <c r="L159" s="89"/>
      <c r="M159" s="89"/>
      <c r="N159" s="60"/>
    </row>
    <row r="160" spans="1:14" s="18" customFormat="1" ht="15.75" customHeight="1">
      <c r="A160" s="87">
        <f t="shared" si="1"/>
        <v>20</v>
      </c>
      <c r="B160" s="88"/>
      <c r="C160" s="55" t="s">
        <v>173</v>
      </c>
      <c r="D160" s="56">
        <f>(13.383)*10.764</f>
        <v>144.05461199999999</v>
      </c>
      <c r="E160" s="55">
        <v>0</v>
      </c>
      <c r="F160" s="55">
        <v>295</v>
      </c>
      <c r="G160" s="67"/>
      <c r="H160" s="68"/>
      <c r="I160" s="60"/>
      <c r="L160" s="89"/>
      <c r="M160" s="89"/>
      <c r="N160" s="60"/>
    </row>
    <row r="161" spans="1:14" s="18" customFormat="1" ht="15.75" customHeight="1">
      <c r="A161" s="87">
        <f t="shared" si="1"/>
        <v>21</v>
      </c>
      <c r="B161" s="88"/>
      <c r="C161" s="55" t="s">
        <v>173</v>
      </c>
      <c r="D161" s="56">
        <f>(13.383)*10.764</f>
        <v>144.05461199999999</v>
      </c>
      <c r="E161" s="55">
        <v>0</v>
      </c>
      <c r="F161" s="55">
        <v>295</v>
      </c>
      <c r="G161" s="67"/>
      <c r="H161" s="68"/>
      <c r="I161" s="60"/>
      <c r="L161" s="89"/>
      <c r="M161" s="89"/>
      <c r="N161" s="60"/>
    </row>
    <row r="162" spans="1:14" s="18" customFormat="1" ht="15.75" customHeight="1">
      <c r="A162" s="87">
        <f t="shared" si="1"/>
        <v>22</v>
      </c>
      <c r="B162" s="88"/>
      <c r="C162" s="55" t="s">
        <v>173</v>
      </c>
      <c r="D162" s="56">
        <f>(11.291)*10.764</f>
        <v>121.53632399999999</v>
      </c>
      <c r="E162" s="55">
        <v>0</v>
      </c>
      <c r="F162" s="55">
        <v>245</v>
      </c>
      <c r="G162" s="67"/>
      <c r="H162" s="68"/>
      <c r="I162" s="60"/>
      <c r="L162" s="89"/>
      <c r="M162" s="89"/>
      <c r="N162" s="60"/>
    </row>
    <row r="163" spans="1:14" s="18" customFormat="1" ht="15.75" customHeight="1">
      <c r="A163" s="87">
        <f t="shared" si="1"/>
        <v>23</v>
      </c>
      <c r="B163" s="88"/>
      <c r="C163" s="55" t="s">
        <v>173</v>
      </c>
      <c r="D163" s="56">
        <f>(11.189)*10.764</f>
        <v>120.438396</v>
      </c>
      <c r="E163" s="55">
        <v>0</v>
      </c>
      <c r="F163" s="55">
        <v>245</v>
      </c>
      <c r="G163" s="69"/>
      <c r="H163" s="70"/>
      <c r="I163" s="60"/>
      <c r="L163" s="89"/>
      <c r="M163" s="89"/>
      <c r="N163" s="60"/>
    </row>
    <row r="164" spans="1:14" s="18" customFormat="1">
      <c r="A164" s="87"/>
      <c r="B164" s="97"/>
      <c r="C164" s="97"/>
      <c r="D164" s="97"/>
      <c r="E164" s="97"/>
      <c r="F164" s="97"/>
      <c r="G164" s="97"/>
      <c r="H164" s="88"/>
      <c r="I164" s="60"/>
      <c r="N164" s="60"/>
    </row>
    <row r="165" spans="1:14" ht="47.25" customHeight="1">
      <c r="A165" s="71" t="s">
        <v>174</v>
      </c>
      <c r="B165" s="71" t="s">
        <v>175</v>
      </c>
      <c r="C165" s="76" t="s">
        <v>167</v>
      </c>
      <c r="D165" s="76" t="s">
        <v>168</v>
      </c>
      <c r="E165" s="78" t="s">
        <v>176</v>
      </c>
      <c r="F165" s="53" t="s">
        <v>177</v>
      </c>
      <c r="G165" s="71" t="s">
        <v>171</v>
      </c>
      <c r="H165" s="72"/>
      <c r="I165" s="60"/>
    </row>
    <row r="166" spans="1:14" s="18" customFormat="1">
      <c r="A166" s="73"/>
      <c r="B166" s="73"/>
      <c r="C166" s="77"/>
      <c r="D166" s="77"/>
      <c r="E166" s="79"/>
      <c r="F166" s="57">
        <v>0.45</v>
      </c>
      <c r="G166" s="73"/>
      <c r="H166" s="74"/>
      <c r="I166" s="60"/>
    </row>
    <row r="167" spans="1:14" s="18" customFormat="1" ht="15.75" customHeight="1">
      <c r="A167" s="94" t="s">
        <v>159</v>
      </c>
      <c r="B167" s="95"/>
      <c r="C167" s="95"/>
      <c r="D167" s="95"/>
      <c r="E167" s="95"/>
      <c r="F167" s="95"/>
      <c r="G167" s="95"/>
      <c r="H167" s="96"/>
      <c r="J167" s="60"/>
    </row>
    <row r="168" spans="1:14" s="18" customFormat="1" ht="15.75" customHeight="1">
      <c r="A168" s="94" t="s">
        <v>178</v>
      </c>
      <c r="B168" s="95"/>
      <c r="C168" s="95"/>
      <c r="D168" s="95"/>
      <c r="E168" s="95"/>
      <c r="F168" s="95"/>
      <c r="G168" s="95"/>
      <c r="H168" s="96"/>
      <c r="J168" s="60"/>
    </row>
    <row r="169" spans="1:14" s="18" customFormat="1" ht="15.75" customHeight="1">
      <c r="A169" s="87">
        <v>1</v>
      </c>
      <c r="B169" s="88"/>
      <c r="C169" s="58" t="s">
        <v>179</v>
      </c>
      <c r="D169" s="56">
        <f>(37.234+8.353+0.75*2.75)*10.764</f>
        <v>512.89921800000002</v>
      </c>
      <c r="E169" s="55">
        <f>(2.75*2.25)*10.764</f>
        <v>66.602249999999998</v>
      </c>
      <c r="F169" s="55">
        <f>D169*(($F$166)+1)+(IF(E169&lt;101,E169,IF(E169&lt;201,E169/2,IF(E169&lt;=301,E169/3,E169/4))))</f>
        <v>810.30611610000005</v>
      </c>
      <c r="G169" s="65" t="str">
        <f>A168</f>
        <v>1st Floor For Residential</v>
      </c>
      <c r="H169" s="66"/>
      <c r="I169" s="60"/>
      <c r="L169" s="89"/>
      <c r="M169" s="89"/>
      <c r="N169" s="60"/>
    </row>
    <row r="170" spans="1:14" s="18" customFormat="1" ht="15.75" customHeight="1">
      <c r="A170" s="87">
        <f t="shared" ref="A170:A177" si="2">A169+1</f>
        <v>2</v>
      </c>
      <c r="B170" s="88"/>
      <c r="C170" s="58" t="s">
        <v>180</v>
      </c>
      <c r="D170" s="56">
        <f>(32.379+8.72+0.75*2.825)*10.764</f>
        <v>465.19586099999992</v>
      </c>
      <c r="E170" s="55">
        <f>(2.75*2.25)*10.764</f>
        <v>66.602249999999998</v>
      </c>
      <c r="F170" s="55">
        <f t="shared" ref="F170:F177" si="3">D170*(($F$166)+1)+(IF(E170&lt;101,E170,IF(E170&lt;201,E170/2,IF(E170&lt;=301,E170/3,E170/4))))</f>
        <v>741.13624844999993</v>
      </c>
      <c r="G170" s="67"/>
      <c r="H170" s="68"/>
      <c r="I170" s="60"/>
      <c r="L170" s="89"/>
      <c r="M170" s="89"/>
      <c r="N170" s="60"/>
    </row>
    <row r="171" spans="1:14" s="18" customFormat="1" ht="15.75" customHeight="1">
      <c r="A171" s="87">
        <f t="shared" si="2"/>
        <v>3</v>
      </c>
      <c r="B171" s="88"/>
      <c r="C171" s="58" t="s">
        <v>180</v>
      </c>
      <c r="D171" s="56">
        <f>(32.243+8.69+0.75*2.825)*10.764</f>
        <v>463.40903699999996</v>
      </c>
      <c r="E171" s="55">
        <v>0</v>
      </c>
      <c r="F171" s="55">
        <f t="shared" si="3"/>
        <v>671.9431036499999</v>
      </c>
      <c r="G171" s="67"/>
      <c r="H171" s="68"/>
      <c r="I171" s="60"/>
      <c r="L171" s="89"/>
      <c r="M171" s="89"/>
      <c r="N171" s="60"/>
    </row>
    <row r="172" spans="1:14" s="18" customFormat="1" ht="15.75" customHeight="1">
      <c r="A172" s="87">
        <f t="shared" si="2"/>
        <v>4</v>
      </c>
      <c r="B172" s="88"/>
      <c r="C172" s="58" t="s">
        <v>179</v>
      </c>
      <c r="D172" s="56">
        <f>(37.728+10.953+0.75*(2.75+2.45))*10.764</f>
        <v>565.98188399999992</v>
      </c>
      <c r="E172" s="55">
        <f>(2.75*3.6)*10.764</f>
        <v>106.56359999999999</v>
      </c>
      <c r="F172" s="55">
        <f t="shared" si="3"/>
        <v>873.95553179999979</v>
      </c>
      <c r="G172" s="67"/>
      <c r="H172" s="68"/>
      <c r="I172" s="60"/>
      <c r="K172" s="60"/>
      <c r="L172" s="89"/>
      <c r="M172" s="89"/>
      <c r="N172" s="60"/>
    </row>
    <row r="173" spans="1:14" s="18" customFormat="1" ht="15.75" customHeight="1">
      <c r="A173" s="87">
        <f t="shared" si="2"/>
        <v>5</v>
      </c>
      <c r="B173" s="88"/>
      <c r="C173" s="58" t="s">
        <v>180</v>
      </c>
      <c r="D173" s="56">
        <f>(31.999+8.7+0.75*3.35)*10.764</f>
        <v>465.12858599999998</v>
      </c>
      <c r="E173" s="55">
        <v>0</v>
      </c>
      <c r="F173" s="55">
        <f t="shared" si="3"/>
        <v>674.43644969999991</v>
      </c>
      <c r="G173" s="67"/>
      <c r="H173" s="68"/>
      <c r="I173" s="60"/>
      <c r="L173" s="89"/>
      <c r="M173" s="89"/>
      <c r="N173" s="60"/>
    </row>
    <row r="174" spans="1:14" s="18" customFormat="1" ht="15.75" customHeight="1">
      <c r="A174" s="87">
        <f t="shared" si="2"/>
        <v>6</v>
      </c>
      <c r="B174" s="88"/>
      <c r="C174" s="58" t="s">
        <v>180</v>
      </c>
      <c r="D174" s="56">
        <f>(32.132+9.22+0.75*2.8)*10.764</f>
        <v>467.71732799999995</v>
      </c>
      <c r="E174" s="55">
        <v>0</v>
      </c>
      <c r="F174" s="55">
        <f t="shared" si="3"/>
        <v>678.19012559999987</v>
      </c>
      <c r="G174" s="67"/>
      <c r="H174" s="68"/>
      <c r="I174" s="60"/>
      <c r="L174" s="89"/>
      <c r="M174" s="89"/>
      <c r="N174" s="60"/>
    </row>
    <row r="175" spans="1:14" s="18" customFormat="1" ht="15.75" customHeight="1">
      <c r="A175" s="87">
        <f t="shared" si="2"/>
        <v>7</v>
      </c>
      <c r="B175" s="88"/>
      <c r="C175" s="58" t="s">
        <v>180</v>
      </c>
      <c r="D175" s="56">
        <f>(32.617+8.54+0.75*2.825)*10.764</f>
        <v>465.8201729999999</v>
      </c>
      <c r="E175" s="55">
        <v>0</v>
      </c>
      <c r="F175" s="55">
        <f t="shared" si="3"/>
        <v>675.43925084999978</v>
      </c>
      <c r="G175" s="67"/>
      <c r="H175" s="68"/>
      <c r="I175" s="60"/>
      <c r="L175" s="89"/>
      <c r="M175" s="89"/>
      <c r="N175" s="60"/>
    </row>
    <row r="176" spans="1:14" s="18" customFormat="1" ht="15.75" customHeight="1">
      <c r="A176" s="87">
        <f t="shared" si="2"/>
        <v>8</v>
      </c>
      <c r="B176" s="88"/>
      <c r="C176" s="58" t="s">
        <v>180</v>
      </c>
      <c r="D176" s="56">
        <f>(32.728+8.87+0.75*2.825)*10.764</f>
        <v>470.56709699999993</v>
      </c>
      <c r="E176" s="55">
        <v>0</v>
      </c>
      <c r="F176" s="55">
        <f t="shared" si="3"/>
        <v>682.3222906499999</v>
      </c>
      <c r="G176" s="67"/>
      <c r="H176" s="68"/>
      <c r="I176" s="60"/>
      <c r="L176" s="89"/>
      <c r="M176" s="89"/>
      <c r="N176" s="60"/>
    </row>
    <row r="177" spans="1:14" s="18" customFormat="1" ht="15.75" customHeight="1">
      <c r="A177" s="87">
        <f t="shared" si="2"/>
        <v>9</v>
      </c>
      <c r="B177" s="88"/>
      <c r="C177" s="58" t="s">
        <v>180</v>
      </c>
      <c r="D177" s="56">
        <f>(31.359+9.35+0.75*2.75)*10.764</f>
        <v>460.392426</v>
      </c>
      <c r="E177" s="55">
        <v>0</v>
      </c>
      <c r="F177" s="55">
        <f t="shared" si="3"/>
        <v>667.56901770000002</v>
      </c>
      <c r="G177" s="69"/>
      <c r="H177" s="70"/>
      <c r="I177" s="60"/>
      <c r="L177" s="89"/>
      <c r="M177" s="89"/>
      <c r="N177" s="60"/>
    </row>
    <row r="178" spans="1:14" s="18" customFormat="1" ht="15.75" customHeight="1">
      <c r="A178" s="94" t="s">
        <v>181</v>
      </c>
      <c r="B178" s="95"/>
      <c r="C178" s="95"/>
      <c r="D178" s="95"/>
      <c r="E178" s="95"/>
      <c r="F178" s="95"/>
      <c r="G178" s="95"/>
      <c r="H178" s="96"/>
      <c r="J178" s="60"/>
    </row>
    <row r="179" spans="1:14" s="18" customFormat="1" ht="15.75" customHeight="1">
      <c r="A179" s="87">
        <v>1</v>
      </c>
      <c r="B179" s="88"/>
      <c r="C179" s="58" t="s">
        <v>179</v>
      </c>
      <c r="D179" s="56">
        <f>(37.601+11.103+0.75*(2.45+2.75))*10.764</f>
        <v>566.22945599999991</v>
      </c>
      <c r="E179" s="55">
        <v>0</v>
      </c>
      <c r="F179" s="55">
        <f>D179*(($F$166)+1)+(IF(E179&lt;101,E179,IF(E179&lt;201,E179/2,IF(E179&lt;=301,E179/3,E179/4))))</f>
        <v>821.03271119999988</v>
      </c>
      <c r="G179" s="65" t="str">
        <f>A178</f>
        <v xml:space="preserve">2nd, 3rd, 4th, 5th, 6th &amp; 7th Floor </v>
      </c>
      <c r="H179" s="66"/>
      <c r="I179" s="60"/>
      <c r="L179" s="89"/>
      <c r="M179" s="89"/>
      <c r="N179" s="60"/>
    </row>
    <row r="180" spans="1:14" s="18" customFormat="1" ht="15.75" customHeight="1">
      <c r="A180" s="87">
        <f t="shared" ref="A180:A187" si="4">A179+1</f>
        <v>2</v>
      </c>
      <c r="B180" s="88"/>
      <c r="C180" s="58" t="s">
        <v>180</v>
      </c>
      <c r="D180" s="56">
        <f>(32.379+8.72+0.75*(2.825))*10.764</f>
        <v>465.19586099999992</v>
      </c>
      <c r="E180" s="55">
        <v>0</v>
      </c>
      <c r="F180" s="55">
        <f t="shared" ref="F180:F187" si="5">D180*(($F$166)+1)+(IF(E180&lt;101,E180,IF(E180&lt;201,E180/2,IF(E180&lt;=301,E180/3,E180/4))))</f>
        <v>674.5339984499999</v>
      </c>
      <c r="G180" s="67"/>
      <c r="H180" s="68"/>
      <c r="I180" s="60"/>
      <c r="L180" s="89"/>
      <c r="M180" s="89"/>
      <c r="N180" s="60"/>
    </row>
    <row r="181" spans="1:14" s="18" customFormat="1" ht="15.75" customHeight="1">
      <c r="A181" s="87">
        <f t="shared" si="4"/>
        <v>3</v>
      </c>
      <c r="B181" s="88"/>
      <c r="C181" s="58" t="s">
        <v>180</v>
      </c>
      <c r="D181" s="56">
        <f>(32.243+8.69+0.75*(2.825))*10.764</f>
        <v>463.40903699999996</v>
      </c>
      <c r="E181" s="55">
        <v>0</v>
      </c>
      <c r="F181" s="55">
        <f t="shared" si="5"/>
        <v>671.9431036499999</v>
      </c>
      <c r="G181" s="67"/>
      <c r="H181" s="68"/>
      <c r="I181" s="60"/>
      <c r="L181" s="89"/>
      <c r="M181" s="89"/>
      <c r="N181" s="60"/>
    </row>
    <row r="182" spans="1:14" s="18" customFormat="1" ht="15.75" customHeight="1">
      <c r="A182" s="87">
        <f t="shared" si="4"/>
        <v>4</v>
      </c>
      <c r="B182" s="88"/>
      <c r="C182" s="58" t="s">
        <v>179</v>
      </c>
      <c r="D182" s="56">
        <f>(37.728+10.953+0.75*(2.45+2.75))*10.764</f>
        <v>565.98188399999992</v>
      </c>
      <c r="E182" s="55">
        <v>0</v>
      </c>
      <c r="F182" s="55">
        <f t="shared" si="5"/>
        <v>820.67373179999981</v>
      </c>
      <c r="G182" s="67"/>
      <c r="H182" s="68"/>
      <c r="I182" s="60"/>
      <c r="J182" s="60"/>
      <c r="K182" s="60"/>
      <c r="L182" s="89"/>
      <c r="M182" s="89"/>
      <c r="N182" s="60"/>
    </row>
    <row r="183" spans="1:14" s="18" customFormat="1" ht="15.75" customHeight="1">
      <c r="A183" s="87">
        <f t="shared" si="4"/>
        <v>5</v>
      </c>
      <c r="B183" s="88"/>
      <c r="C183" s="58" t="s">
        <v>180</v>
      </c>
      <c r="D183" s="56">
        <f>(31.999+8.7+0.75*(3.35))*10.764</f>
        <v>465.12858599999998</v>
      </c>
      <c r="E183" s="55">
        <v>0</v>
      </c>
      <c r="F183" s="55">
        <f t="shared" si="5"/>
        <v>674.43644969999991</v>
      </c>
      <c r="G183" s="67"/>
      <c r="H183" s="68"/>
      <c r="I183" s="60"/>
      <c r="L183" s="89"/>
      <c r="M183" s="89"/>
      <c r="N183" s="60"/>
    </row>
    <row r="184" spans="1:14" s="18" customFormat="1" ht="15.75" customHeight="1">
      <c r="A184" s="87">
        <f t="shared" si="4"/>
        <v>6</v>
      </c>
      <c r="B184" s="88"/>
      <c r="C184" s="58" t="s">
        <v>180</v>
      </c>
      <c r="D184" s="56">
        <f>(32.132+9.22+0.75*(2.8))*10.764</f>
        <v>467.71732799999995</v>
      </c>
      <c r="E184" s="55">
        <v>0</v>
      </c>
      <c r="F184" s="55">
        <f t="shared" si="5"/>
        <v>678.19012559999987</v>
      </c>
      <c r="G184" s="67"/>
      <c r="H184" s="68"/>
      <c r="I184" s="60"/>
      <c r="L184" s="89"/>
      <c r="M184" s="89"/>
      <c r="N184" s="60"/>
    </row>
    <row r="185" spans="1:14" s="18" customFormat="1" ht="15.75" customHeight="1">
      <c r="A185" s="87">
        <f t="shared" si="4"/>
        <v>7</v>
      </c>
      <c r="B185" s="88"/>
      <c r="C185" s="58" t="s">
        <v>180</v>
      </c>
      <c r="D185" s="56">
        <f>(32.617+8.54+0.75*(2.825))*10.764</f>
        <v>465.8201729999999</v>
      </c>
      <c r="E185" s="55">
        <v>0</v>
      </c>
      <c r="F185" s="55">
        <f t="shared" si="5"/>
        <v>675.43925084999978</v>
      </c>
      <c r="G185" s="67"/>
      <c r="H185" s="68"/>
      <c r="I185" s="60"/>
      <c r="L185" s="89"/>
      <c r="M185" s="89"/>
      <c r="N185" s="60"/>
    </row>
    <row r="186" spans="1:14" s="18" customFormat="1" ht="15.75" customHeight="1">
      <c r="A186" s="87">
        <f t="shared" si="4"/>
        <v>8</v>
      </c>
      <c r="B186" s="88"/>
      <c r="C186" s="58" t="s">
        <v>180</v>
      </c>
      <c r="D186" s="56">
        <f>(32.728+8.87+0.75*(2.825))*10.764</f>
        <v>470.56709699999993</v>
      </c>
      <c r="E186" s="55">
        <v>0</v>
      </c>
      <c r="F186" s="55">
        <f t="shared" si="5"/>
        <v>682.3222906499999</v>
      </c>
      <c r="G186" s="67"/>
      <c r="H186" s="68"/>
      <c r="I186" s="60"/>
      <c r="L186" s="89"/>
      <c r="M186" s="89"/>
      <c r="N186" s="60"/>
    </row>
    <row r="187" spans="1:14" s="18" customFormat="1" ht="15.75" customHeight="1">
      <c r="A187" s="87">
        <f t="shared" si="4"/>
        <v>9</v>
      </c>
      <c r="B187" s="88"/>
      <c r="C187" s="58" t="s">
        <v>180</v>
      </c>
      <c r="D187" s="56">
        <f>(31.359+9.35+0.75*(2.75))*10.764</f>
        <v>460.392426</v>
      </c>
      <c r="E187" s="55">
        <v>0</v>
      </c>
      <c r="F187" s="55">
        <f t="shared" si="5"/>
        <v>667.56901770000002</v>
      </c>
      <c r="G187" s="69"/>
      <c r="H187" s="70"/>
      <c r="I187" s="60"/>
      <c r="L187" s="89"/>
      <c r="M187" s="89"/>
      <c r="N187" s="60"/>
    </row>
    <row r="188" spans="1:14" s="18" customFormat="1" ht="15.75" customHeight="1">
      <c r="A188" s="94" t="s">
        <v>182</v>
      </c>
      <c r="B188" s="95"/>
      <c r="C188" s="95"/>
      <c r="D188" s="95"/>
      <c r="E188" s="95"/>
      <c r="F188" s="95"/>
      <c r="G188" s="95"/>
      <c r="H188" s="96"/>
      <c r="J188" s="60"/>
    </row>
    <row r="189" spans="1:14" s="18" customFormat="1" ht="15.75" customHeight="1">
      <c r="A189" s="87">
        <v>1</v>
      </c>
      <c r="B189" s="88"/>
      <c r="C189" s="58" t="s">
        <v>179</v>
      </c>
      <c r="D189" s="56">
        <f>(37.601+11.103+0.75*(2.45+2.75))*10.764</f>
        <v>566.22945599999991</v>
      </c>
      <c r="E189" s="55">
        <v>0</v>
      </c>
      <c r="F189" s="55">
        <f>D189*(($F$166)+1)+(IF(E189&lt;101,E189,IF(E189&lt;201,E189/2,IF(E189&lt;=301,E189/3,E189/4))))</f>
        <v>821.03271119999988</v>
      </c>
      <c r="G189" s="65" t="str">
        <f>A188</f>
        <v>8th Floor (Part Refuge Area)</v>
      </c>
      <c r="H189" s="66"/>
      <c r="I189" s="60"/>
      <c r="L189" s="89"/>
      <c r="M189" s="89"/>
      <c r="N189" s="60"/>
    </row>
    <row r="190" spans="1:14" s="18" customFormat="1" ht="15.75" customHeight="1">
      <c r="A190" s="87">
        <f t="shared" ref="A190:A197" si="6">A189+1</f>
        <v>2</v>
      </c>
      <c r="B190" s="88"/>
      <c r="C190" s="58" t="s">
        <v>180</v>
      </c>
      <c r="D190" s="56">
        <f>(32.379+8.72+0.75*(2.825))*10.764</f>
        <v>465.19586099999992</v>
      </c>
      <c r="E190" s="55">
        <v>0</v>
      </c>
      <c r="F190" s="55">
        <f t="shared" ref="F190:F197" si="7">D190*(($F$166)+1)+(IF(E190&lt;101,E190,IF(E190&lt;201,E190/2,IF(E190&lt;=301,E190/3,E190/4))))</f>
        <v>674.5339984499999</v>
      </c>
      <c r="G190" s="67"/>
      <c r="H190" s="68"/>
      <c r="I190" s="60"/>
      <c r="L190" s="89"/>
      <c r="M190" s="89"/>
      <c r="N190" s="60"/>
    </row>
    <row r="191" spans="1:14" s="18" customFormat="1" ht="15.75" customHeight="1">
      <c r="A191" s="87">
        <f t="shared" si="6"/>
        <v>3</v>
      </c>
      <c r="B191" s="88"/>
      <c r="C191" s="58" t="s">
        <v>180</v>
      </c>
      <c r="D191" s="56">
        <f>(32.243+8.69+0.75*(2.825))*10.764</f>
        <v>463.40903699999996</v>
      </c>
      <c r="E191" s="55">
        <v>0</v>
      </c>
      <c r="F191" s="55">
        <f t="shared" si="7"/>
        <v>671.9431036499999</v>
      </c>
      <c r="G191" s="67"/>
      <c r="H191" s="68"/>
      <c r="I191" s="60"/>
      <c r="L191" s="89"/>
      <c r="M191" s="89"/>
      <c r="N191" s="60"/>
    </row>
    <row r="192" spans="1:14" s="18" customFormat="1" ht="15.75" customHeight="1">
      <c r="A192" s="87">
        <f t="shared" si="6"/>
        <v>4</v>
      </c>
      <c r="B192" s="88"/>
      <c r="C192" s="58" t="s">
        <v>179</v>
      </c>
      <c r="D192" s="56">
        <f>(37.728+10.953+0.75*(2.45+2.75))*10.764</f>
        <v>565.98188399999992</v>
      </c>
      <c r="E192" s="55">
        <v>0</v>
      </c>
      <c r="F192" s="55">
        <f t="shared" si="7"/>
        <v>820.67373179999981</v>
      </c>
      <c r="G192" s="67"/>
      <c r="H192" s="68"/>
      <c r="I192" s="60"/>
      <c r="J192" s="60"/>
      <c r="K192" s="60"/>
      <c r="L192" s="89"/>
      <c r="M192" s="89"/>
      <c r="N192" s="60"/>
    </row>
    <row r="193" spans="1:14" s="18" customFormat="1" ht="15.75" customHeight="1">
      <c r="A193" s="87">
        <f t="shared" si="6"/>
        <v>5</v>
      </c>
      <c r="B193" s="88"/>
      <c r="C193" s="91" t="s">
        <v>183</v>
      </c>
      <c r="D193" s="92"/>
      <c r="E193" s="92"/>
      <c r="F193" s="93"/>
      <c r="G193" s="67"/>
      <c r="H193" s="68"/>
      <c r="I193" s="60"/>
      <c r="L193" s="89"/>
      <c r="M193" s="89"/>
      <c r="N193" s="60"/>
    </row>
    <row r="194" spans="1:14" s="18" customFormat="1" ht="15.75" customHeight="1">
      <c r="A194" s="87">
        <f t="shared" si="6"/>
        <v>6</v>
      </c>
      <c r="B194" s="88"/>
      <c r="C194" s="58" t="s">
        <v>180</v>
      </c>
      <c r="D194" s="56">
        <f>(32.132+9.22+0.75*(2.8))*10.764</f>
        <v>467.71732799999995</v>
      </c>
      <c r="E194" s="55">
        <v>0</v>
      </c>
      <c r="F194" s="55">
        <f t="shared" si="7"/>
        <v>678.19012559999987</v>
      </c>
      <c r="G194" s="67"/>
      <c r="H194" s="68"/>
      <c r="I194" s="60"/>
      <c r="L194" s="89"/>
      <c r="M194" s="89"/>
      <c r="N194" s="60"/>
    </row>
    <row r="195" spans="1:14" s="18" customFormat="1" ht="15.75" customHeight="1">
      <c r="A195" s="87">
        <f t="shared" si="6"/>
        <v>7</v>
      </c>
      <c r="B195" s="88"/>
      <c r="C195" s="58" t="s">
        <v>180</v>
      </c>
      <c r="D195" s="56">
        <f>(32.617+8.54+0.75*(2.825))*10.764</f>
        <v>465.8201729999999</v>
      </c>
      <c r="E195" s="55">
        <v>0</v>
      </c>
      <c r="F195" s="55">
        <f t="shared" si="7"/>
        <v>675.43925084999978</v>
      </c>
      <c r="G195" s="67"/>
      <c r="H195" s="68"/>
      <c r="I195" s="60"/>
      <c r="L195" s="89"/>
      <c r="M195" s="89"/>
      <c r="N195" s="60"/>
    </row>
    <row r="196" spans="1:14" s="18" customFormat="1" ht="15.75" customHeight="1">
      <c r="A196" s="87">
        <f t="shared" si="6"/>
        <v>8</v>
      </c>
      <c r="B196" s="88"/>
      <c r="C196" s="58" t="s">
        <v>180</v>
      </c>
      <c r="D196" s="56">
        <f>(32.728+8.87+0.75*(2.825))*10.764</f>
        <v>470.56709699999993</v>
      </c>
      <c r="E196" s="55">
        <v>0</v>
      </c>
      <c r="F196" s="55">
        <f t="shared" si="7"/>
        <v>682.3222906499999</v>
      </c>
      <c r="G196" s="67"/>
      <c r="H196" s="68"/>
      <c r="I196" s="60"/>
      <c r="L196" s="89"/>
      <c r="M196" s="89"/>
      <c r="N196" s="60"/>
    </row>
    <row r="197" spans="1:14" s="18" customFormat="1" ht="15.75" customHeight="1">
      <c r="A197" s="87">
        <f t="shared" si="6"/>
        <v>9</v>
      </c>
      <c r="B197" s="88"/>
      <c r="C197" s="58" t="s">
        <v>180</v>
      </c>
      <c r="D197" s="56">
        <f>(31.359+9.35+0.75*(2.75))*10.764</f>
        <v>460.392426</v>
      </c>
      <c r="E197" s="55">
        <v>0</v>
      </c>
      <c r="F197" s="55">
        <f t="shared" si="7"/>
        <v>667.56901770000002</v>
      </c>
      <c r="G197" s="69"/>
      <c r="H197" s="70"/>
      <c r="I197" s="60"/>
      <c r="L197" s="89"/>
      <c r="M197" s="89"/>
      <c r="N197" s="60"/>
    </row>
    <row r="198" spans="1:14" s="18" customFormat="1" ht="15.75" customHeight="1">
      <c r="A198" s="94" t="s">
        <v>160</v>
      </c>
      <c r="B198" s="95"/>
      <c r="C198" s="95"/>
      <c r="D198" s="95"/>
      <c r="E198" s="95"/>
      <c r="F198" s="95"/>
      <c r="G198" s="95"/>
      <c r="H198" s="96"/>
      <c r="J198" s="60"/>
    </row>
    <row r="199" spans="1:14" s="18" customFormat="1" ht="15.75" customHeight="1">
      <c r="A199" s="94" t="s">
        <v>178</v>
      </c>
      <c r="B199" s="95"/>
      <c r="C199" s="95"/>
      <c r="D199" s="95"/>
      <c r="E199" s="95"/>
      <c r="F199" s="95"/>
      <c r="G199" s="95"/>
      <c r="H199" s="96"/>
      <c r="J199" s="60"/>
    </row>
    <row r="200" spans="1:14" s="18" customFormat="1" ht="15.75" customHeight="1">
      <c r="A200" s="87">
        <v>1</v>
      </c>
      <c r="B200" s="88"/>
      <c r="C200" s="58" t="s">
        <v>180</v>
      </c>
      <c r="D200" s="56">
        <f>(32.185+8.6+0.75*2.75)*10.764</f>
        <v>461.21048999999999</v>
      </c>
      <c r="E200" s="55">
        <v>0</v>
      </c>
      <c r="F200" s="55">
        <f t="shared" ref="F200:F207" si="8">D200*(($F$166)+1)+(IF(E200&lt;101,E200,IF(E200&lt;201,E200/2,IF(E200&lt;=301,E200/3,E200/4))))</f>
        <v>668.75521049999998</v>
      </c>
      <c r="G200" s="65" t="str">
        <f>A199</f>
        <v>1st Floor For Residential</v>
      </c>
      <c r="H200" s="66"/>
      <c r="I200" s="60">
        <f>2652000/F200</f>
        <v>3965.5765792347424</v>
      </c>
      <c r="L200" s="89"/>
      <c r="M200" s="89"/>
      <c r="N200" s="60"/>
    </row>
    <row r="201" spans="1:14" s="18" customFormat="1" ht="15.75" customHeight="1">
      <c r="A201" s="87">
        <f t="shared" ref="A201:A207" si="9">A200+1</f>
        <v>2</v>
      </c>
      <c r="B201" s="88"/>
      <c r="C201" s="58" t="s">
        <v>180</v>
      </c>
      <c r="D201" s="56">
        <f>(32.333+8.63+0.75*2.75)*10.764</f>
        <v>463.12648200000001</v>
      </c>
      <c r="E201" s="55">
        <v>0</v>
      </c>
      <c r="F201" s="55">
        <f t="shared" si="8"/>
        <v>671.53339889999995</v>
      </c>
      <c r="G201" s="67"/>
      <c r="H201" s="68"/>
      <c r="I201" s="60"/>
      <c r="L201" s="89"/>
      <c r="M201" s="89"/>
      <c r="N201" s="60"/>
    </row>
    <row r="202" spans="1:14" s="18" customFormat="1" ht="15.75" customHeight="1">
      <c r="A202" s="87">
        <f t="shared" si="9"/>
        <v>3</v>
      </c>
      <c r="B202" s="88"/>
      <c r="C202" s="58" t="s">
        <v>179</v>
      </c>
      <c r="D202" s="56">
        <f>(50.565+8.855+0.75*2)*10.764</f>
        <v>655.74288000000001</v>
      </c>
      <c r="E202" s="55">
        <f>(2.35*1.45)*10.764</f>
        <v>36.678330000000003</v>
      </c>
      <c r="F202" s="55">
        <f t="shared" si="8"/>
        <v>987.50550599999997</v>
      </c>
      <c r="G202" s="67"/>
      <c r="H202" s="68"/>
      <c r="I202" s="60"/>
      <c r="L202" s="89"/>
      <c r="M202" s="89"/>
      <c r="N202" s="60"/>
    </row>
    <row r="203" spans="1:14" s="18" customFormat="1" ht="15.75" customHeight="1">
      <c r="A203" s="87">
        <f t="shared" si="9"/>
        <v>4</v>
      </c>
      <c r="B203" s="88"/>
      <c r="C203" s="58" t="s">
        <v>179</v>
      </c>
      <c r="D203" s="56">
        <f>(50.749+8.855+0.75*2)*10.764</f>
        <v>657.72345599999994</v>
      </c>
      <c r="E203" s="55">
        <f>(2.35*1.45)*10.764</f>
        <v>36.678330000000003</v>
      </c>
      <c r="F203" s="55">
        <f t="shared" si="8"/>
        <v>990.37734119999982</v>
      </c>
      <c r="G203" s="67"/>
      <c r="H203" s="68"/>
      <c r="I203" s="60"/>
      <c r="K203" s="60"/>
      <c r="L203" s="89"/>
      <c r="M203" s="89"/>
      <c r="N203" s="60"/>
    </row>
    <row r="204" spans="1:14" s="18" customFormat="1" ht="15.75" customHeight="1">
      <c r="A204" s="87">
        <f t="shared" si="9"/>
        <v>5</v>
      </c>
      <c r="B204" s="88"/>
      <c r="C204" s="58" t="s">
        <v>180</v>
      </c>
      <c r="D204" s="56">
        <f>(32.333+8.63)*10.764</f>
        <v>440.92573199999998</v>
      </c>
      <c r="E204" s="55">
        <v>0</v>
      </c>
      <c r="F204" s="55">
        <f t="shared" si="8"/>
        <v>639.34231139999997</v>
      </c>
      <c r="G204" s="67"/>
      <c r="H204" s="68"/>
      <c r="I204" s="60"/>
      <c r="J204" s="60"/>
      <c r="L204" s="89"/>
      <c r="M204" s="89"/>
      <c r="N204" s="60"/>
    </row>
    <row r="205" spans="1:14" s="18" customFormat="1" ht="15.75" customHeight="1">
      <c r="A205" s="87">
        <f t="shared" si="9"/>
        <v>6</v>
      </c>
      <c r="B205" s="88"/>
      <c r="C205" s="58" t="s">
        <v>180</v>
      </c>
      <c r="D205" s="56">
        <f>(32.333+8.45)*10.764</f>
        <v>438.98821199999998</v>
      </c>
      <c r="E205" s="55">
        <v>0</v>
      </c>
      <c r="F205" s="55">
        <f t="shared" si="8"/>
        <v>636.5329074</v>
      </c>
      <c r="G205" s="67"/>
      <c r="H205" s="68"/>
      <c r="I205" s="60"/>
      <c r="L205" s="89"/>
      <c r="M205" s="89"/>
      <c r="N205" s="60"/>
    </row>
    <row r="206" spans="1:14" s="18" customFormat="1" ht="15.75" customHeight="1">
      <c r="A206" s="87">
        <f t="shared" si="9"/>
        <v>7</v>
      </c>
      <c r="B206" s="88"/>
      <c r="C206" s="58" t="s">
        <v>179</v>
      </c>
      <c r="D206" s="56">
        <f>(50.913+8.855+0.75*2)*10.764</f>
        <v>659.48875199999998</v>
      </c>
      <c r="E206" s="55">
        <v>0</v>
      </c>
      <c r="F206" s="55">
        <f t="shared" si="8"/>
        <v>956.25869039999998</v>
      </c>
      <c r="G206" s="67"/>
      <c r="H206" s="68"/>
      <c r="I206" s="60"/>
      <c r="L206" s="89"/>
      <c r="M206" s="89"/>
      <c r="N206" s="60"/>
    </row>
    <row r="207" spans="1:14" s="18" customFormat="1" ht="15.75" customHeight="1">
      <c r="A207" s="87">
        <f t="shared" si="9"/>
        <v>8</v>
      </c>
      <c r="B207" s="88"/>
      <c r="C207" s="58" t="s">
        <v>179</v>
      </c>
      <c r="D207" s="56">
        <f>(50.913+8.855+0.75*2)*10.764</f>
        <v>659.48875199999998</v>
      </c>
      <c r="E207" s="55">
        <v>0</v>
      </c>
      <c r="F207" s="55">
        <f t="shared" si="8"/>
        <v>956.25869039999998</v>
      </c>
      <c r="G207" s="69"/>
      <c r="H207" s="70"/>
      <c r="I207" s="60"/>
      <c r="L207" s="89"/>
      <c r="M207" s="89"/>
      <c r="N207" s="60"/>
    </row>
    <row r="208" spans="1:14" s="18" customFormat="1" ht="15.75" customHeight="1">
      <c r="A208" s="94" t="s">
        <v>181</v>
      </c>
      <c r="B208" s="95"/>
      <c r="C208" s="95"/>
      <c r="D208" s="95"/>
      <c r="E208" s="95"/>
      <c r="F208" s="95"/>
      <c r="G208" s="95"/>
      <c r="H208" s="96"/>
      <c r="J208" s="60"/>
    </row>
    <row r="209" spans="1:14" s="18" customFormat="1" ht="15.75" customHeight="1">
      <c r="A209" s="87">
        <v>1</v>
      </c>
      <c r="B209" s="88"/>
      <c r="C209" s="58" t="s">
        <v>180</v>
      </c>
      <c r="D209" s="56">
        <f>(32.185+8.6+0.75*2.75)*10.764</f>
        <v>461.21048999999999</v>
      </c>
      <c r="E209" s="55">
        <v>0</v>
      </c>
      <c r="F209" s="55">
        <f t="shared" ref="F209:F216" si="10">D209*(($F$166)+1)+(IF(E209&lt;101,E209,IF(E209&lt;201,E209/2,IF(E209&lt;=301,E209/3,E209/4))))</f>
        <v>668.75521049999998</v>
      </c>
      <c r="G209" s="65" t="str">
        <f>A208</f>
        <v xml:space="preserve">2nd, 3rd, 4th, 5th, 6th &amp; 7th Floor </v>
      </c>
      <c r="H209" s="66"/>
      <c r="I209" s="60"/>
      <c r="L209" s="89"/>
      <c r="M209" s="89"/>
      <c r="N209" s="60"/>
    </row>
    <row r="210" spans="1:14" s="18" customFormat="1" ht="15.75" customHeight="1">
      <c r="A210" s="87">
        <f t="shared" ref="A210:A216" si="11">A209+1</f>
        <v>2</v>
      </c>
      <c r="B210" s="88"/>
      <c r="C210" s="58" t="s">
        <v>180</v>
      </c>
      <c r="D210" s="56">
        <f>(32.333+8.63+0.75*2.75)*10.764</f>
        <v>463.12648200000001</v>
      </c>
      <c r="E210" s="55">
        <v>0</v>
      </c>
      <c r="F210" s="55">
        <f t="shared" si="10"/>
        <v>671.53339889999995</v>
      </c>
      <c r="G210" s="67"/>
      <c r="H210" s="68"/>
      <c r="I210" s="60"/>
      <c r="L210" s="89"/>
      <c r="M210" s="89"/>
      <c r="N210" s="60"/>
    </row>
    <row r="211" spans="1:14" s="18" customFormat="1" ht="15.75" customHeight="1">
      <c r="A211" s="87">
        <f t="shared" si="11"/>
        <v>3</v>
      </c>
      <c r="B211" s="88"/>
      <c r="C211" s="58" t="s">
        <v>179</v>
      </c>
      <c r="D211" s="56">
        <f>(50.565+8.855+0.75*2)*10.764</f>
        <v>655.74288000000001</v>
      </c>
      <c r="E211" s="55">
        <v>0</v>
      </c>
      <c r="F211" s="55">
        <f t="shared" si="10"/>
        <v>950.82717600000001</v>
      </c>
      <c r="G211" s="67"/>
      <c r="H211" s="68"/>
      <c r="I211" s="60"/>
      <c r="L211" s="89"/>
      <c r="M211" s="89"/>
      <c r="N211" s="60"/>
    </row>
    <row r="212" spans="1:14" s="18" customFormat="1" ht="15.75" customHeight="1">
      <c r="A212" s="87">
        <f t="shared" si="11"/>
        <v>4</v>
      </c>
      <c r="B212" s="88"/>
      <c r="C212" s="58" t="s">
        <v>179</v>
      </c>
      <c r="D212" s="56">
        <f>(50.749+8.855+0.75*2)*10.764</f>
        <v>657.72345599999994</v>
      </c>
      <c r="E212" s="55">
        <v>0</v>
      </c>
      <c r="F212" s="55">
        <f t="shared" si="10"/>
        <v>953.69901119999986</v>
      </c>
      <c r="G212" s="67"/>
      <c r="H212" s="68"/>
      <c r="I212" s="60"/>
      <c r="K212" s="60"/>
      <c r="L212" s="89"/>
      <c r="M212" s="89"/>
      <c r="N212" s="60"/>
    </row>
    <row r="213" spans="1:14" s="18" customFormat="1" ht="15.75" customHeight="1">
      <c r="A213" s="87">
        <f t="shared" si="11"/>
        <v>5</v>
      </c>
      <c r="B213" s="88"/>
      <c r="C213" s="58" t="s">
        <v>180</v>
      </c>
      <c r="D213" s="56">
        <f>(32.333+8.63+0.75*(2.75))*10.764</f>
        <v>463.12648200000001</v>
      </c>
      <c r="E213" s="55">
        <v>0</v>
      </c>
      <c r="F213" s="55">
        <f t="shared" si="10"/>
        <v>671.53339889999995</v>
      </c>
      <c r="G213" s="67"/>
      <c r="H213" s="68"/>
      <c r="I213" s="60"/>
      <c r="J213" s="60"/>
      <c r="L213" s="89"/>
      <c r="M213" s="89"/>
      <c r="N213" s="60"/>
    </row>
    <row r="214" spans="1:14" s="18" customFormat="1" ht="15.75" customHeight="1">
      <c r="A214" s="87">
        <f t="shared" si="11"/>
        <v>6</v>
      </c>
      <c r="B214" s="88"/>
      <c r="C214" s="58" t="s">
        <v>180</v>
      </c>
      <c r="D214" s="56">
        <f>(32.333+8.45+0.75*(2.75))*10.764</f>
        <v>461.188962</v>
      </c>
      <c r="E214" s="55">
        <v>0</v>
      </c>
      <c r="F214" s="55">
        <f t="shared" si="10"/>
        <v>668.72399489999998</v>
      </c>
      <c r="G214" s="67"/>
      <c r="H214" s="68"/>
      <c r="I214" s="60"/>
      <c r="L214" s="89"/>
      <c r="M214" s="89"/>
      <c r="N214" s="60"/>
    </row>
    <row r="215" spans="1:14" s="18" customFormat="1" ht="15.75" customHeight="1">
      <c r="A215" s="87">
        <f t="shared" si="11"/>
        <v>7</v>
      </c>
      <c r="B215" s="88"/>
      <c r="C215" s="58" t="s">
        <v>179</v>
      </c>
      <c r="D215" s="56">
        <f>(50.913+8.855+0.75*2)*10.764</f>
        <v>659.48875199999998</v>
      </c>
      <c r="E215" s="55">
        <v>0</v>
      </c>
      <c r="F215" s="55">
        <f t="shared" si="10"/>
        <v>956.25869039999998</v>
      </c>
      <c r="G215" s="67"/>
      <c r="H215" s="68"/>
      <c r="I215" s="60"/>
      <c r="L215" s="89"/>
      <c r="M215" s="89"/>
      <c r="N215" s="60"/>
    </row>
    <row r="216" spans="1:14" s="18" customFormat="1" ht="15.75" customHeight="1">
      <c r="A216" s="87">
        <f t="shared" si="11"/>
        <v>8</v>
      </c>
      <c r="B216" s="88"/>
      <c r="C216" s="58" t="s">
        <v>179</v>
      </c>
      <c r="D216" s="56">
        <f>(50.913+8.855+0.75*2)*10.764</f>
        <v>659.48875199999998</v>
      </c>
      <c r="E216" s="55">
        <v>0</v>
      </c>
      <c r="F216" s="55">
        <f t="shared" si="10"/>
        <v>956.25869039999998</v>
      </c>
      <c r="G216" s="69"/>
      <c r="H216" s="70"/>
      <c r="I216" s="60"/>
      <c r="L216" s="89"/>
      <c r="M216" s="89"/>
      <c r="N216" s="60"/>
    </row>
    <row r="217" spans="1:14" s="18" customFormat="1" ht="15.75" customHeight="1">
      <c r="A217" s="94" t="s">
        <v>182</v>
      </c>
      <c r="B217" s="95"/>
      <c r="C217" s="95"/>
      <c r="D217" s="95"/>
      <c r="E217" s="95"/>
      <c r="F217" s="95"/>
      <c r="G217" s="95"/>
      <c r="H217" s="96"/>
      <c r="J217" s="60"/>
    </row>
    <row r="218" spans="1:14" s="18" customFormat="1" ht="15.75" customHeight="1">
      <c r="A218" s="87">
        <v>1</v>
      </c>
      <c r="B218" s="88"/>
      <c r="C218" s="91" t="s">
        <v>183</v>
      </c>
      <c r="D218" s="92"/>
      <c r="E218" s="92"/>
      <c r="F218" s="93"/>
      <c r="G218" s="65" t="str">
        <f>A217</f>
        <v>8th Floor (Part Refuge Area)</v>
      </c>
      <c r="H218" s="66"/>
      <c r="I218" s="60"/>
      <c r="L218" s="89"/>
      <c r="M218" s="89"/>
      <c r="N218" s="60"/>
    </row>
    <row r="219" spans="1:14" s="18" customFormat="1" ht="15.75" customHeight="1">
      <c r="A219" s="87">
        <f t="shared" ref="A219:A225" si="12">A218+1</f>
        <v>2</v>
      </c>
      <c r="B219" s="88"/>
      <c r="C219" s="58" t="s">
        <v>180</v>
      </c>
      <c r="D219" s="56">
        <f>(32.333+8.63+0.75*2.75)*10.764</f>
        <v>463.12648200000001</v>
      </c>
      <c r="E219" s="55">
        <v>0</v>
      </c>
      <c r="F219" s="55">
        <f t="shared" ref="F219:F225" si="13">D219*(($F$166)+1)+(IF(E219&lt;101,E219,IF(E219&lt;201,E219/2,IF(E219&lt;=301,E219/3,E219/4))))</f>
        <v>671.53339889999995</v>
      </c>
      <c r="G219" s="67"/>
      <c r="H219" s="68"/>
      <c r="I219" s="60"/>
      <c r="L219" s="89"/>
      <c r="M219" s="89"/>
      <c r="N219" s="60"/>
    </row>
    <row r="220" spans="1:14" s="18" customFormat="1" ht="15.75" customHeight="1">
      <c r="A220" s="87">
        <f t="shared" si="12"/>
        <v>3</v>
      </c>
      <c r="B220" s="88"/>
      <c r="C220" s="58" t="s">
        <v>179</v>
      </c>
      <c r="D220" s="56">
        <f>(50.565+8.855+0.75*2)*10.764</f>
        <v>655.74288000000001</v>
      </c>
      <c r="E220" s="55">
        <v>0</v>
      </c>
      <c r="F220" s="55">
        <f t="shared" si="13"/>
        <v>950.82717600000001</v>
      </c>
      <c r="G220" s="67"/>
      <c r="H220" s="68"/>
      <c r="I220" s="60"/>
      <c r="L220" s="89"/>
      <c r="M220" s="89"/>
      <c r="N220" s="60"/>
    </row>
    <row r="221" spans="1:14" s="18" customFormat="1" ht="15.75" customHeight="1">
      <c r="A221" s="87">
        <f t="shared" si="12"/>
        <v>4</v>
      </c>
      <c r="B221" s="88"/>
      <c r="C221" s="58" t="s">
        <v>179</v>
      </c>
      <c r="D221" s="56">
        <f>(50.749+8.855+0.75*2)*10.764</f>
        <v>657.72345599999994</v>
      </c>
      <c r="E221" s="55">
        <v>0</v>
      </c>
      <c r="F221" s="55">
        <f t="shared" si="13"/>
        <v>953.69901119999986</v>
      </c>
      <c r="G221" s="67"/>
      <c r="H221" s="68"/>
      <c r="I221" s="60"/>
      <c r="K221" s="60"/>
      <c r="L221" s="89"/>
      <c r="M221" s="89"/>
      <c r="N221" s="60"/>
    </row>
    <row r="222" spans="1:14" s="18" customFormat="1" ht="15.75" customHeight="1">
      <c r="A222" s="87">
        <f t="shared" si="12"/>
        <v>5</v>
      </c>
      <c r="B222" s="88"/>
      <c r="C222" s="58" t="s">
        <v>180</v>
      </c>
      <c r="D222" s="56">
        <f>(32.333+8.63+0.75*(2.75))*10.764</f>
        <v>463.12648200000001</v>
      </c>
      <c r="E222" s="55">
        <v>0</v>
      </c>
      <c r="F222" s="55">
        <f t="shared" si="13"/>
        <v>671.53339889999995</v>
      </c>
      <c r="G222" s="67"/>
      <c r="H222" s="68"/>
      <c r="I222" s="60"/>
      <c r="J222" s="60"/>
      <c r="L222" s="89"/>
      <c r="M222" s="89"/>
      <c r="N222" s="60"/>
    </row>
    <row r="223" spans="1:14" s="18" customFormat="1" ht="15.75" customHeight="1">
      <c r="A223" s="87">
        <f t="shared" si="12"/>
        <v>6</v>
      </c>
      <c r="B223" s="88"/>
      <c r="C223" s="58" t="s">
        <v>180</v>
      </c>
      <c r="D223" s="56">
        <f>(32.333+8.45+0.75*(2.75))*10.764</f>
        <v>461.188962</v>
      </c>
      <c r="E223" s="55">
        <v>0</v>
      </c>
      <c r="F223" s="55">
        <f t="shared" si="13"/>
        <v>668.72399489999998</v>
      </c>
      <c r="G223" s="67"/>
      <c r="H223" s="68"/>
      <c r="I223" s="60"/>
      <c r="L223" s="89"/>
      <c r="M223" s="89"/>
      <c r="N223" s="60"/>
    </row>
    <row r="224" spans="1:14" s="18" customFormat="1" ht="15.75" customHeight="1">
      <c r="A224" s="87">
        <f t="shared" si="12"/>
        <v>7</v>
      </c>
      <c r="B224" s="88"/>
      <c r="C224" s="58" t="s">
        <v>179</v>
      </c>
      <c r="D224" s="56">
        <f>(50.913+8.855+0.75*2)*10.764</f>
        <v>659.48875199999998</v>
      </c>
      <c r="E224" s="55">
        <v>0</v>
      </c>
      <c r="F224" s="55">
        <f t="shared" si="13"/>
        <v>956.25869039999998</v>
      </c>
      <c r="G224" s="67"/>
      <c r="H224" s="68"/>
      <c r="I224" s="60"/>
      <c r="L224" s="89"/>
      <c r="M224" s="89"/>
      <c r="N224" s="60"/>
    </row>
    <row r="225" spans="1:14" s="18" customFormat="1" ht="15.75" customHeight="1">
      <c r="A225" s="87">
        <f t="shared" si="12"/>
        <v>8</v>
      </c>
      <c r="B225" s="88"/>
      <c r="C225" s="58" t="s">
        <v>179</v>
      </c>
      <c r="D225" s="56">
        <f>(50.913+8.855+0.75*2)*10.764</f>
        <v>659.48875199999998</v>
      </c>
      <c r="E225" s="55">
        <v>0</v>
      </c>
      <c r="F225" s="55">
        <f t="shared" si="13"/>
        <v>956.25869039999998</v>
      </c>
      <c r="G225" s="69"/>
      <c r="H225" s="70"/>
      <c r="I225" s="60"/>
      <c r="L225" s="89"/>
      <c r="M225" s="89"/>
      <c r="N225" s="60"/>
    </row>
    <row r="226" spans="1:14" s="17" customFormat="1">
      <c r="A226" s="90" t="s">
        <v>184</v>
      </c>
      <c r="B226" s="90"/>
      <c r="C226" s="90"/>
      <c r="D226" s="90"/>
      <c r="E226" s="90"/>
      <c r="F226" s="90"/>
      <c r="G226" s="90"/>
      <c r="H226" s="90"/>
    </row>
    <row r="227" spans="1:14" s="17" customFormat="1">
      <c r="A227" s="40" t="s">
        <v>185</v>
      </c>
      <c r="B227" s="80" t="s">
        <v>186</v>
      </c>
      <c r="C227" s="81"/>
      <c r="D227" s="81"/>
      <c r="E227" s="81"/>
      <c r="F227" s="81"/>
      <c r="G227" s="81"/>
      <c r="H227" s="82"/>
    </row>
    <row r="228" spans="1:14" s="17" customFormat="1" ht="15.75" customHeight="1">
      <c r="A228" s="40" t="s">
        <v>185</v>
      </c>
      <c r="B228" s="80" t="str">
        <f>(IF(F165="Saleable area Loading :","We have considered Saleable area of Flats as per our Calculation.","We considered Saleable area of Flat as per Builder area Sheet."))</f>
        <v>We have considered Saleable area of Flats as per our Calculation.</v>
      </c>
      <c r="C228" s="81"/>
      <c r="D228" s="81"/>
      <c r="E228" s="81"/>
      <c r="F228" s="81"/>
      <c r="G228" s="81"/>
      <c r="H228" s="82"/>
    </row>
    <row r="229" spans="1:14" s="17" customFormat="1">
      <c r="A229" s="40" t="s">
        <v>185</v>
      </c>
      <c r="B229" s="80" t="str">
        <f>(IF(F136="Saleable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229" s="81"/>
      <c r="D229" s="81"/>
      <c r="E229" s="81"/>
      <c r="F229" s="81"/>
      <c r="G229" s="81"/>
      <c r="H229" s="82"/>
    </row>
    <row r="230" spans="1:14" s="17" customFormat="1">
      <c r="A230" s="40" t="s">
        <v>185</v>
      </c>
      <c r="B230" s="80" t="s">
        <v>187</v>
      </c>
      <c r="C230" s="81"/>
      <c r="D230" s="81"/>
      <c r="E230" s="81"/>
      <c r="F230" s="81"/>
      <c r="G230" s="81"/>
      <c r="H230" s="82"/>
    </row>
    <row r="231" spans="1:14" s="17" customFormat="1">
      <c r="A231" s="40" t="s">
        <v>185</v>
      </c>
      <c r="B231" s="80" t="s">
        <v>188</v>
      </c>
      <c r="C231" s="81"/>
      <c r="D231" s="81"/>
      <c r="E231" s="81"/>
      <c r="F231" s="81"/>
      <c r="G231" s="81"/>
      <c r="H231" s="82"/>
    </row>
    <row r="232" spans="1:14" s="17" customFormat="1">
      <c r="A232" s="40" t="s">
        <v>185</v>
      </c>
      <c r="B232" s="80" t="s">
        <v>189</v>
      </c>
      <c r="C232" s="81"/>
      <c r="D232" s="81"/>
      <c r="E232" s="81"/>
      <c r="F232" s="81"/>
      <c r="G232" s="81"/>
      <c r="H232" s="82"/>
    </row>
    <row r="233" spans="1:14" s="17" customFormat="1">
      <c r="A233" s="40" t="s">
        <v>185</v>
      </c>
      <c r="B233" s="80" t="s">
        <v>190</v>
      </c>
      <c r="C233" s="81"/>
      <c r="D233" s="81"/>
      <c r="E233" s="81"/>
      <c r="F233" s="81"/>
      <c r="G233" s="81"/>
      <c r="H233" s="82"/>
    </row>
    <row r="234" spans="1:14" s="17" customFormat="1" ht="34.5" customHeight="1">
      <c r="A234" s="40" t="s">
        <v>185</v>
      </c>
      <c r="B234" s="80" t="s">
        <v>191</v>
      </c>
      <c r="C234" s="81"/>
      <c r="D234" s="81"/>
      <c r="E234" s="81"/>
      <c r="F234" s="81"/>
      <c r="G234" s="81"/>
      <c r="H234" s="82"/>
    </row>
    <row r="235" spans="1:14" s="17" customFormat="1">
      <c r="A235" s="40" t="s">
        <v>185</v>
      </c>
      <c r="B235" s="80" t="s">
        <v>192</v>
      </c>
      <c r="C235" s="81"/>
      <c r="D235" s="81"/>
      <c r="E235" s="81"/>
      <c r="F235" s="81"/>
      <c r="G235" s="81"/>
      <c r="H235" s="82"/>
    </row>
    <row r="236" spans="1:14" s="17" customFormat="1">
      <c r="A236" s="40" t="s">
        <v>185</v>
      </c>
      <c r="B236" s="80" t="s">
        <v>224</v>
      </c>
      <c r="C236" s="81"/>
      <c r="D236" s="81"/>
      <c r="E236" s="81"/>
      <c r="F236" s="81"/>
      <c r="G236" s="81"/>
      <c r="H236" s="82"/>
    </row>
    <row r="237" spans="1:14" s="17" customFormat="1" hidden="1">
      <c r="A237" s="40" t="s">
        <v>185</v>
      </c>
      <c r="B237" s="80" t="s">
        <v>193</v>
      </c>
      <c r="C237" s="81"/>
      <c r="D237" s="81"/>
      <c r="E237" s="81"/>
      <c r="F237" s="81"/>
      <c r="G237" s="81"/>
      <c r="H237" s="82"/>
    </row>
    <row r="238" spans="1:14">
      <c r="A238" s="83" t="s">
        <v>194</v>
      </c>
      <c r="B238" s="83"/>
      <c r="C238" s="83"/>
      <c r="D238" s="83"/>
      <c r="E238" s="83"/>
      <c r="F238" s="83"/>
      <c r="G238" s="83"/>
      <c r="H238" s="83"/>
    </row>
    <row r="239" spans="1:14">
      <c r="A239" s="84" t="s">
        <v>195</v>
      </c>
      <c r="B239" s="84"/>
      <c r="C239" s="84"/>
      <c r="D239" s="84"/>
      <c r="E239" s="84"/>
      <c r="F239" s="84"/>
      <c r="G239" s="84"/>
      <c r="H239" s="84"/>
    </row>
    <row r="240" spans="1:14" ht="15.75" customHeight="1">
      <c r="A240" s="85" t="s">
        <v>196</v>
      </c>
      <c r="B240" s="85"/>
      <c r="C240" s="85"/>
      <c r="D240" s="85"/>
      <c r="E240" s="85"/>
      <c r="F240" s="85"/>
      <c r="G240" s="85"/>
      <c r="H240" s="85"/>
    </row>
    <row r="241" spans="1:8">
      <c r="A241" s="84" t="s">
        <v>197</v>
      </c>
      <c r="B241" s="84"/>
      <c r="C241" s="84"/>
      <c r="D241" s="84"/>
      <c r="E241" s="84"/>
      <c r="F241" s="84"/>
      <c r="G241" s="84"/>
      <c r="H241" s="84"/>
    </row>
    <row r="242" spans="1:8">
      <c r="A242" s="84" t="s">
        <v>198</v>
      </c>
      <c r="B242" s="84"/>
      <c r="C242" s="84"/>
      <c r="D242" s="84"/>
      <c r="E242" s="84"/>
      <c r="F242" s="84"/>
      <c r="G242" s="84"/>
      <c r="H242" s="84"/>
    </row>
    <row r="243" spans="1:8">
      <c r="A243" s="84" t="s">
        <v>199</v>
      </c>
      <c r="B243" s="84"/>
      <c r="C243" s="84"/>
      <c r="D243" s="84"/>
      <c r="E243" s="84"/>
      <c r="F243" s="84"/>
      <c r="G243" s="84"/>
      <c r="H243" s="84"/>
    </row>
    <row r="244" spans="1:8" ht="35.25" customHeight="1">
      <c r="A244" s="86" t="s">
        <v>200</v>
      </c>
      <c r="B244" s="86"/>
      <c r="C244" s="86"/>
      <c r="D244" s="86"/>
      <c r="E244" s="86"/>
      <c r="F244" s="86"/>
      <c r="G244" s="86"/>
      <c r="H244" s="86"/>
    </row>
    <row r="245" spans="1:8">
      <c r="A245" s="75" t="s">
        <v>201</v>
      </c>
      <c r="B245" s="75"/>
      <c r="C245" s="75" t="s">
        <v>220</v>
      </c>
      <c r="D245" s="75"/>
      <c r="E245" s="75" t="s">
        <v>202</v>
      </c>
      <c r="F245" s="75"/>
      <c r="G245" s="75" t="s">
        <v>219</v>
      </c>
      <c r="H245" s="75"/>
    </row>
    <row r="246" spans="1:8">
      <c r="A246" s="64" t="s">
        <v>203</v>
      </c>
      <c r="B246" s="64"/>
      <c r="C246" s="64"/>
      <c r="D246" s="64"/>
      <c r="E246" s="64"/>
      <c r="F246" s="64"/>
      <c r="G246" s="64"/>
      <c r="H246" s="64"/>
    </row>
    <row r="247" spans="1:8">
      <c r="A247" s="64"/>
      <c r="B247" s="64"/>
      <c r="C247" s="64"/>
      <c r="D247" s="64"/>
      <c r="E247" s="64"/>
      <c r="F247" s="64"/>
      <c r="G247" s="64"/>
      <c r="H247" s="64"/>
    </row>
    <row r="248" spans="1:8">
      <c r="A248" s="64"/>
      <c r="B248" s="64"/>
      <c r="C248" s="64"/>
      <c r="D248" s="64"/>
      <c r="E248" s="64"/>
      <c r="F248" s="64"/>
      <c r="G248" s="64"/>
      <c r="H248" s="64"/>
    </row>
    <row r="249" spans="1:8">
      <c r="A249" s="64"/>
      <c r="B249" s="64"/>
      <c r="C249" s="64"/>
      <c r="D249" s="64"/>
      <c r="E249" s="64"/>
      <c r="F249" s="64"/>
      <c r="G249" s="64"/>
      <c r="H249" s="64"/>
    </row>
    <row r="250" spans="1:8">
      <c r="A250" s="61" t="s">
        <v>204</v>
      </c>
      <c r="B250" s="62"/>
      <c r="C250" s="62"/>
      <c r="D250" s="61" t="str">
        <f>E8</f>
        <v>Balaji Tulips</v>
      </c>
      <c r="F250" s="62"/>
      <c r="G250" s="62"/>
      <c r="H250" s="62"/>
    </row>
    <row r="251" spans="1:8">
      <c r="A251" s="62"/>
      <c r="B251" s="62"/>
      <c r="C251" s="62"/>
      <c r="D251" s="62"/>
      <c r="E251" s="62"/>
      <c r="F251" s="62"/>
      <c r="G251" s="62"/>
      <c r="H251" s="62"/>
    </row>
    <row r="252" spans="1:8">
      <c r="A252" s="62"/>
      <c r="B252" s="62"/>
      <c r="C252" s="62"/>
      <c r="D252" s="62"/>
      <c r="E252" s="62"/>
      <c r="F252" s="62"/>
      <c r="G252" s="62"/>
      <c r="H252" s="62"/>
    </row>
    <row r="253" spans="1:8" ht="15" customHeight="1"/>
    <row r="292" spans="1:1">
      <c r="A292" s="63" t="s">
        <v>205</v>
      </c>
    </row>
  </sheetData>
  <mergeCells count="467">
    <mergeCell ref="I10:L10"/>
    <mergeCell ref="I50:K50"/>
    <mergeCell ref="L50:M50"/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2:D12"/>
    <mergeCell ref="E12:H12"/>
    <mergeCell ref="A13:D13"/>
    <mergeCell ref="E13:H13"/>
    <mergeCell ref="A14:B14"/>
    <mergeCell ref="C14:H14"/>
    <mergeCell ref="A15:B15"/>
    <mergeCell ref="C15:H15"/>
    <mergeCell ref="A16:B16"/>
    <mergeCell ref="C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3:D23"/>
    <mergeCell ref="E23:H23"/>
    <mergeCell ref="A24:D24"/>
    <mergeCell ref="E24:H24"/>
    <mergeCell ref="A25:D25"/>
    <mergeCell ref="E25:H25"/>
    <mergeCell ref="A21:D22"/>
    <mergeCell ref="E21:H22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31:B31"/>
    <mergeCell ref="C31:E31"/>
    <mergeCell ref="F31:H31"/>
    <mergeCell ref="A32:B32"/>
    <mergeCell ref="C32:E32"/>
    <mergeCell ref="F32:H32"/>
    <mergeCell ref="A33:B33"/>
    <mergeCell ref="C33:E33"/>
    <mergeCell ref="F33:H33"/>
    <mergeCell ref="A34:B34"/>
    <mergeCell ref="C34:E34"/>
    <mergeCell ref="F34:H34"/>
    <mergeCell ref="A35:B35"/>
    <mergeCell ref="C35:E35"/>
    <mergeCell ref="F35:H35"/>
    <mergeCell ref="A36:H36"/>
    <mergeCell ref="A37:B37"/>
    <mergeCell ref="C37:D37"/>
    <mergeCell ref="E37:F37"/>
    <mergeCell ref="G37:H37"/>
    <mergeCell ref="A38:B38"/>
    <mergeCell ref="C38:H38"/>
    <mergeCell ref="A39:H39"/>
    <mergeCell ref="A40:D40"/>
    <mergeCell ref="E40:H40"/>
    <mergeCell ref="A41:D41"/>
    <mergeCell ref="E41:H41"/>
    <mergeCell ref="A42:D42"/>
    <mergeCell ref="E42:H42"/>
    <mergeCell ref="A43:D43"/>
    <mergeCell ref="E43:H43"/>
    <mergeCell ref="A44:D44"/>
    <mergeCell ref="E44:H44"/>
    <mergeCell ref="A45:D45"/>
    <mergeCell ref="E45:H45"/>
    <mergeCell ref="A46:H46"/>
    <mergeCell ref="A47:B47"/>
    <mergeCell ref="C47:H47"/>
    <mergeCell ref="A48:B48"/>
    <mergeCell ref="C48:E48"/>
    <mergeCell ref="G48:H48"/>
    <mergeCell ref="A49:B49"/>
    <mergeCell ref="C49:E49"/>
    <mergeCell ref="G49:H49"/>
    <mergeCell ref="C50:E50"/>
    <mergeCell ref="G50:H50"/>
    <mergeCell ref="C51:H51"/>
    <mergeCell ref="A50:B51"/>
    <mergeCell ref="C52:E52"/>
    <mergeCell ref="G52:H52"/>
    <mergeCell ref="C53:H53"/>
    <mergeCell ref="A54:H54"/>
    <mergeCell ref="A55:C55"/>
    <mergeCell ref="D55:H55"/>
    <mergeCell ref="A56:C56"/>
    <mergeCell ref="D56:H56"/>
    <mergeCell ref="A57:C57"/>
    <mergeCell ref="D57:H57"/>
    <mergeCell ref="A52:B53"/>
    <mergeCell ref="D58:H58"/>
    <mergeCell ref="D59:H59"/>
    <mergeCell ref="D60:H60"/>
    <mergeCell ref="A61:C61"/>
    <mergeCell ref="D61:H61"/>
    <mergeCell ref="A62:C62"/>
    <mergeCell ref="D62:H62"/>
    <mergeCell ref="A63:C63"/>
    <mergeCell ref="D63:H63"/>
    <mergeCell ref="A58:C60"/>
    <mergeCell ref="A64:C64"/>
    <mergeCell ref="D64:H64"/>
    <mergeCell ref="A65:C65"/>
    <mergeCell ref="D65:H65"/>
    <mergeCell ref="A66:C66"/>
    <mergeCell ref="D66:H66"/>
    <mergeCell ref="A67:C67"/>
    <mergeCell ref="D67:H67"/>
    <mergeCell ref="A68:B68"/>
    <mergeCell ref="C68:H68"/>
    <mergeCell ref="A70:B70"/>
    <mergeCell ref="C70:H70"/>
    <mergeCell ref="A71:B71"/>
    <mergeCell ref="E71:F71"/>
    <mergeCell ref="G71:H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C82:H82"/>
    <mergeCell ref="A84:B84"/>
    <mergeCell ref="C84:H84"/>
    <mergeCell ref="E72:F81"/>
    <mergeCell ref="G72:H81"/>
    <mergeCell ref="A85:B85"/>
    <mergeCell ref="E85:F85"/>
    <mergeCell ref="G85:H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C96:H96"/>
    <mergeCell ref="A98:B98"/>
    <mergeCell ref="C98:H98"/>
    <mergeCell ref="A99:B99"/>
    <mergeCell ref="E99:F99"/>
    <mergeCell ref="G99:H99"/>
    <mergeCell ref="E86:F95"/>
    <mergeCell ref="G86:H95"/>
    <mergeCell ref="A109:B109"/>
    <mergeCell ref="A110:E110"/>
    <mergeCell ref="F110:H110"/>
    <mergeCell ref="A111:E111"/>
    <mergeCell ref="F111:H111"/>
    <mergeCell ref="A112:E112"/>
    <mergeCell ref="F112:H112"/>
    <mergeCell ref="A113:E113"/>
    <mergeCell ref="F113:H113"/>
    <mergeCell ref="E100:F109"/>
    <mergeCell ref="G100:H10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14:E114"/>
    <mergeCell ref="F114:H114"/>
    <mergeCell ref="A115:E115"/>
    <mergeCell ref="F115:H115"/>
    <mergeCell ref="A116:E116"/>
    <mergeCell ref="F116:H116"/>
    <mergeCell ref="A117:E117"/>
    <mergeCell ref="F117:H117"/>
    <mergeCell ref="A118:E118"/>
    <mergeCell ref="F118:H118"/>
    <mergeCell ref="A119:E119"/>
    <mergeCell ref="F119:H119"/>
    <mergeCell ref="A120:E120"/>
    <mergeCell ref="F120:H120"/>
    <mergeCell ref="A121:E121"/>
    <mergeCell ref="F121:H121"/>
    <mergeCell ref="A122:E122"/>
    <mergeCell ref="F122:H122"/>
    <mergeCell ref="A123:E123"/>
    <mergeCell ref="F123:H123"/>
    <mergeCell ref="A124:H124"/>
    <mergeCell ref="A125:B125"/>
    <mergeCell ref="C125:D125"/>
    <mergeCell ref="E125:F125"/>
    <mergeCell ref="G125:H125"/>
    <mergeCell ref="A126:B126"/>
    <mergeCell ref="C126:D126"/>
    <mergeCell ref="E126:F126"/>
    <mergeCell ref="G126:H126"/>
    <mergeCell ref="A127:B127"/>
    <mergeCell ref="C127:D127"/>
    <mergeCell ref="E127:F127"/>
    <mergeCell ref="G127:H127"/>
    <mergeCell ref="A128:B128"/>
    <mergeCell ref="C128:D128"/>
    <mergeCell ref="E128:F128"/>
    <mergeCell ref="G128:H128"/>
    <mergeCell ref="A129:H129"/>
    <mergeCell ref="A130:B130"/>
    <mergeCell ref="C130:D130"/>
    <mergeCell ref="E130:F130"/>
    <mergeCell ref="G130:H130"/>
    <mergeCell ref="A131:B131"/>
    <mergeCell ref="C131:D131"/>
    <mergeCell ref="E131:F131"/>
    <mergeCell ref="G131:H131"/>
    <mergeCell ref="A132:B132"/>
    <mergeCell ref="C132:D132"/>
    <mergeCell ref="E132:F132"/>
    <mergeCell ref="G132:H132"/>
    <mergeCell ref="L140:M140"/>
    <mergeCell ref="A141:B141"/>
    <mergeCell ref="L141:M141"/>
    <mergeCell ref="A142:B142"/>
    <mergeCell ref="L142:M142"/>
    <mergeCell ref="A143:B143"/>
    <mergeCell ref="L143:M143"/>
    <mergeCell ref="A133:B133"/>
    <mergeCell ref="C133:D133"/>
    <mergeCell ref="E133:F133"/>
    <mergeCell ref="G133:H133"/>
    <mergeCell ref="A134:H134"/>
    <mergeCell ref="A135:H135"/>
    <mergeCell ref="G136:H136"/>
    <mergeCell ref="A137:H137"/>
    <mergeCell ref="A138:H138"/>
    <mergeCell ref="A149:B149"/>
    <mergeCell ref="L149:M149"/>
    <mergeCell ref="A150:B150"/>
    <mergeCell ref="L150:M150"/>
    <mergeCell ref="A151:H151"/>
    <mergeCell ref="A152:H152"/>
    <mergeCell ref="A153:B153"/>
    <mergeCell ref="L153:M153"/>
    <mergeCell ref="A154:B154"/>
    <mergeCell ref="L154:M154"/>
    <mergeCell ref="G139:H150"/>
    <mergeCell ref="A144:B144"/>
    <mergeCell ref="L144:M144"/>
    <mergeCell ref="A145:B145"/>
    <mergeCell ref="L145:M145"/>
    <mergeCell ref="A146:B146"/>
    <mergeCell ref="L146:M146"/>
    <mergeCell ref="A147:B147"/>
    <mergeCell ref="L147:M147"/>
    <mergeCell ref="A148:B148"/>
    <mergeCell ref="L148:M148"/>
    <mergeCell ref="A139:B139"/>
    <mergeCell ref="L139:M139"/>
    <mergeCell ref="A140:B140"/>
    <mergeCell ref="A155:B155"/>
    <mergeCell ref="L155:M155"/>
    <mergeCell ref="A156:B156"/>
    <mergeCell ref="L156:M156"/>
    <mergeCell ref="A157:B157"/>
    <mergeCell ref="L157:M157"/>
    <mergeCell ref="A158:B158"/>
    <mergeCell ref="L158:M158"/>
    <mergeCell ref="A159:B159"/>
    <mergeCell ref="L159:M159"/>
    <mergeCell ref="A160:B160"/>
    <mergeCell ref="L160:M160"/>
    <mergeCell ref="A161:B161"/>
    <mergeCell ref="L161:M161"/>
    <mergeCell ref="A162:B162"/>
    <mergeCell ref="L162:M162"/>
    <mergeCell ref="A163:B163"/>
    <mergeCell ref="L163:M163"/>
    <mergeCell ref="A164:H164"/>
    <mergeCell ref="A167:H167"/>
    <mergeCell ref="A168:H168"/>
    <mergeCell ref="A169:B169"/>
    <mergeCell ref="L169:M169"/>
    <mergeCell ref="A170:B170"/>
    <mergeCell ref="L170:M170"/>
    <mergeCell ref="A171:B171"/>
    <mergeCell ref="L171:M171"/>
    <mergeCell ref="A172:B172"/>
    <mergeCell ref="L172:M172"/>
    <mergeCell ref="A173:B173"/>
    <mergeCell ref="L173:M173"/>
    <mergeCell ref="A174:B174"/>
    <mergeCell ref="L174:M174"/>
    <mergeCell ref="A175:B175"/>
    <mergeCell ref="L175:M175"/>
    <mergeCell ref="A176:B176"/>
    <mergeCell ref="L176:M176"/>
    <mergeCell ref="A177:B177"/>
    <mergeCell ref="L177:M177"/>
    <mergeCell ref="A178:H178"/>
    <mergeCell ref="A179:B179"/>
    <mergeCell ref="L179:M179"/>
    <mergeCell ref="A180:B180"/>
    <mergeCell ref="L180:M180"/>
    <mergeCell ref="A181:B181"/>
    <mergeCell ref="L181:M181"/>
    <mergeCell ref="A182:B182"/>
    <mergeCell ref="L182:M182"/>
    <mergeCell ref="A183:B183"/>
    <mergeCell ref="L183:M183"/>
    <mergeCell ref="A184:B184"/>
    <mergeCell ref="L184:M184"/>
    <mergeCell ref="A185:B185"/>
    <mergeCell ref="L185:M185"/>
    <mergeCell ref="A186:B186"/>
    <mergeCell ref="L186:M186"/>
    <mergeCell ref="A187:B187"/>
    <mergeCell ref="L187:M187"/>
    <mergeCell ref="A188:H188"/>
    <mergeCell ref="A189:B189"/>
    <mergeCell ref="L189:M189"/>
    <mergeCell ref="A190:B190"/>
    <mergeCell ref="L190:M190"/>
    <mergeCell ref="A191:B191"/>
    <mergeCell ref="L191:M191"/>
    <mergeCell ref="A192:B192"/>
    <mergeCell ref="L192:M192"/>
    <mergeCell ref="A193:B193"/>
    <mergeCell ref="C193:F193"/>
    <mergeCell ref="L193:M193"/>
    <mergeCell ref="A194:B194"/>
    <mergeCell ref="L194:M194"/>
    <mergeCell ref="A195:B195"/>
    <mergeCell ref="L195:M195"/>
    <mergeCell ref="A196:B196"/>
    <mergeCell ref="L196:M196"/>
    <mergeCell ref="A197:B197"/>
    <mergeCell ref="L197:M197"/>
    <mergeCell ref="A198:H198"/>
    <mergeCell ref="A199:H199"/>
    <mergeCell ref="A200:B200"/>
    <mergeCell ref="L200:M200"/>
    <mergeCell ref="A201:B201"/>
    <mergeCell ref="L201:M201"/>
    <mergeCell ref="A202:B202"/>
    <mergeCell ref="L202:M202"/>
    <mergeCell ref="A203:B203"/>
    <mergeCell ref="L203:M203"/>
    <mergeCell ref="A204:B204"/>
    <mergeCell ref="L204:M204"/>
    <mergeCell ref="A205:B205"/>
    <mergeCell ref="L205:M205"/>
    <mergeCell ref="A206:B206"/>
    <mergeCell ref="L206:M206"/>
    <mergeCell ref="A207:B207"/>
    <mergeCell ref="L207:M207"/>
    <mergeCell ref="A208:H208"/>
    <mergeCell ref="A209:B209"/>
    <mergeCell ref="L209:M209"/>
    <mergeCell ref="A210:B210"/>
    <mergeCell ref="L210:M210"/>
    <mergeCell ref="A211:B211"/>
    <mergeCell ref="L211:M211"/>
    <mergeCell ref="A212:B212"/>
    <mergeCell ref="L212:M212"/>
    <mergeCell ref="A213:B213"/>
    <mergeCell ref="L213:M213"/>
    <mergeCell ref="A214:B214"/>
    <mergeCell ref="L214:M214"/>
    <mergeCell ref="A215:B215"/>
    <mergeCell ref="L215:M215"/>
    <mergeCell ref="A216:B216"/>
    <mergeCell ref="L216:M216"/>
    <mergeCell ref="A217:H217"/>
    <mergeCell ref="A218:B218"/>
    <mergeCell ref="C218:F218"/>
    <mergeCell ref="L218:M218"/>
    <mergeCell ref="A219:B219"/>
    <mergeCell ref="L219:M219"/>
    <mergeCell ref="A220:B220"/>
    <mergeCell ref="L220:M220"/>
    <mergeCell ref="A221:B221"/>
    <mergeCell ref="L221:M221"/>
    <mergeCell ref="A222:B222"/>
    <mergeCell ref="L222:M222"/>
    <mergeCell ref="A223:B223"/>
    <mergeCell ref="L223:M223"/>
    <mergeCell ref="A224:B224"/>
    <mergeCell ref="L224:M224"/>
    <mergeCell ref="A225:B225"/>
    <mergeCell ref="L225:M225"/>
    <mergeCell ref="A226:H226"/>
    <mergeCell ref="A242:H242"/>
    <mergeCell ref="A243:H243"/>
    <mergeCell ref="A244:H244"/>
    <mergeCell ref="B227:H227"/>
    <mergeCell ref="B228:H228"/>
    <mergeCell ref="B229:H229"/>
    <mergeCell ref="B230:H230"/>
    <mergeCell ref="B231:H231"/>
    <mergeCell ref="B232:H232"/>
    <mergeCell ref="B233:H233"/>
    <mergeCell ref="B234:H234"/>
    <mergeCell ref="B235:H235"/>
    <mergeCell ref="A246:H249"/>
    <mergeCell ref="G218:H225"/>
    <mergeCell ref="G209:H216"/>
    <mergeCell ref="G200:H207"/>
    <mergeCell ref="G189:H197"/>
    <mergeCell ref="G179:H187"/>
    <mergeCell ref="G169:H177"/>
    <mergeCell ref="G165:H166"/>
    <mergeCell ref="G153:H163"/>
    <mergeCell ref="A245:B245"/>
    <mergeCell ref="C245:D245"/>
    <mergeCell ref="E245:F245"/>
    <mergeCell ref="G245:H245"/>
    <mergeCell ref="A165:A166"/>
    <mergeCell ref="B165:B166"/>
    <mergeCell ref="C165:C166"/>
    <mergeCell ref="D165:D166"/>
    <mergeCell ref="E165:E166"/>
    <mergeCell ref="B236:H236"/>
    <mergeCell ref="B237:H237"/>
    <mergeCell ref="A238:H238"/>
    <mergeCell ref="A239:H239"/>
    <mergeCell ref="A240:H240"/>
    <mergeCell ref="A241:H241"/>
  </mergeCells>
  <hyperlinks>
    <hyperlink ref="C38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7" max="16383" man="1"/>
    <brk id="249" max="16383" man="1"/>
    <brk id="29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/>
    <row r="2" spans="1:9" ht="15" customHeight="1">
      <c r="A2" s="2"/>
      <c r="B2" s="2"/>
      <c r="C2" s="2"/>
      <c r="D2" s="2"/>
      <c r="E2" s="2"/>
      <c r="F2" s="2"/>
      <c r="G2" s="2"/>
      <c r="H2" s="2"/>
    </row>
    <row r="3" spans="1:9" ht="15.75" customHeight="1">
      <c r="A3" s="2"/>
      <c r="B3" s="209" t="s">
        <v>206</v>
      </c>
      <c r="C3" s="209"/>
      <c r="D3" s="209"/>
      <c r="E3" s="209"/>
      <c r="F3" s="209"/>
      <c r="G3" s="209"/>
      <c r="H3" s="209"/>
    </row>
    <row r="4" spans="1:9">
      <c r="A4" s="2"/>
      <c r="B4" s="3" t="s">
        <v>207</v>
      </c>
      <c r="C4" s="3" t="s">
        <v>208</v>
      </c>
      <c r="D4" s="3" t="s">
        <v>209</v>
      </c>
      <c r="E4" s="3" t="s">
        <v>210</v>
      </c>
      <c r="F4" s="3" t="s">
        <v>211</v>
      </c>
      <c r="G4" s="3" t="s">
        <v>212</v>
      </c>
      <c r="H4" s="3" t="s">
        <v>213</v>
      </c>
    </row>
    <row r="5" spans="1:9" ht="15" customHeight="1">
      <c r="A5" s="2"/>
      <c r="B5" s="4" t="s">
        <v>214</v>
      </c>
      <c r="C5" s="5"/>
      <c r="D5" s="4"/>
      <c r="E5" s="4"/>
      <c r="F5" s="6">
        <f>E5*1.6</f>
        <v>0</v>
      </c>
      <c r="G5" s="6" t="e">
        <f>H5/F5</f>
        <v>#DIV/0!</v>
      </c>
      <c r="H5" s="7"/>
    </row>
    <row r="6" spans="1:9">
      <c r="A6" s="2"/>
      <c r="B6" s="4" t="s">
        <v>214</v>
      </c>
      <c r="C6" s="8"/>
      <c r="D6" s="4"/>
      <c r="E6" s="4"/>
      <c r="F6" s="6">
        <f t="shared" ref="F6:F11" si="0">E6*1.6</f>
        <v>0</v>
      </c>
      <c r="G6" s="6" t="e">
        <f t="shared" ref="G6:G11" si="1">H6/F6</f>
        <v>#DIV/0!</v>
      </c>
      <c r="H6" s="7"/>
    </row>
    <row r="7" spans="1:9" ht="15" customHeight="1">
      <c r="A7" s="2"/>
      <c r="B7" s="4" t="s">
        <v>214</v>
      </c>
      <c r="C7" s="5"/>
      <c r="D7" s="4"/>
      <c r="E7" s="4"/>
      <c r="F7" s="6">
        <f t="shared" si="0"/>
        <v>0</v>
      </c>
      <c r="G7" s="6" t="e">
        <f t="shared" si="1"/>
        <v>#DIV/0!</v>
      </c>
      <c r="H7" s="7"/>
    </row>
    <row r="8" spans="1:9">
      <c r="A8" s="2"/>
      <c r="B8" s="4" t="s">
        <v>214</v>
      </c>
      <c r="C8" s="8"/>
      <c r="D8" s="4"/>
      <c r="E8" s="4"/>
      <c r="F8" s="6">
        <f t="shared" si="0"/>
        <v>0</v>
      </c>
      <c r="G8" s="6" t="e">
        <f t="shared" si="1"/>
        <v>#DIV/0!</v>
      </c>
      <c r="H8" s="7"/>
    </row>
    <row r="9" spans="1:9" ht="15" customHeight="1">
      <c r="A9" s="2"/>
      <c r="B9" s="4" t="s">
        <v>214</v>
      </c>
      <c r="C9" s="8"/>
      <c r="D9" s="4"/>
      <c r="E9" s="4"/>
      <c r="F9" s="6">
        <f t="shared" si="0"/>
        <v>0</v>
      </c>
      <c r="G9" s="6" t="e">
        <f t="shared" si="1"/>
        <v>#DIV/0!</v>
      </c>
      <c r="H9" s="7"/>
    </row>
    <row r="10" spans="1:9" ht="15" customHeight="1">
      <c r="A10" s="2"/>
      <c r="B10" s="4" t="s">
        <v>215</v>
      </c>
      <c r="C10" s="5"/>
      <c r="D10" s="4"/>
      <c r="E10" s="4"/>
      <c r="F10" s="6">
        <f t="shared" si="0"/>
        <v>0</v>
      </c>
      <c r="G10" s="6" t="e">
        <f t="shared" si="1"/>
        <v>#DIV/0!</v>
      </c>
      <c r="H10" s="7"/>
    </row>
    <row r="11" spans="1:9" ht="15" customHeight="1">
      <c r="A11" s="2"/>
      <c r="B11" s="4" t="s">
        <v>215</v>
      </c>
      <c r="C11" s="5"/>
      <c r="D11" s="4"/>
      <c r="E11" s="4"/>
      <c r="F11" s="6">
        <f t="shared" si="0"/>
        <v>0</v>
      </c>
      <c r="G11" s="6" t="e">
        <f t="shared" si="1"/>
        <v>#DIV/0!</v>
      </c>
      <c r="H11" s="7"/>
    </row>
    <row r="12" spans="1:9" ht="15" customHeight="1">
      <c r="A12" s="2"/>
      <c r="B12" s="9" t="s">
        <v>216</v>
      </c>
      <c r="C12" s="4"/>
      <c r="D12" s="4"/>
      <c r="E12" s="4"/>
      <c r="F12" s="4"/>
      <c r="G12" s="10" t="e">
        <f>AVERAGE(G5:G11)</f>
        <v>#DIV/0!</v>
      </c>
      <c r="H12" s="4"/>
    </row>
    <row r="13" spans="1:9" ht="15" customHeight="1">
      <c r="B13" s="9" t="s">
        <v>217</v>
      </c>
      <c r="C13" s="4"/>
      <c r="D13" s="4"/>
      <c r="E13" s="4"/>
      <c r="F13" s="11"/>
      <c r="G13" s="9"/>
      <c r="H13" s="9"/>
      <c r="I13" s="12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2025-09-08T13:01:36Z</cp:lastPrinted>
  <dcterms:created xsi:type="dcterms:W3CDTF">2019-07-16T09:29:00Z</dcterms:created>
  <dcterms:modified xsi:type="dcterms:W3CDTF">2025-09-08T13:03:52Z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B96BCA9A68304FBA8D175AC0C1983E90_12</vt:lpwstr>
  </property>
  <property fmtid="{D5CDD505-2E9C-101B-9397-08002B2CF9AE}" pid="3" name="KSOProductBuildVer">
    <vt:lpwstr>1033-12.2.0.19805</vt:lpwstr>
  </property>
</Properties>
</file>