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E5B30FCA-20D3-4F48-AB8B-5B676319904F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Report!$A$1:$H$380</definedName>
  </definedNames>
  <calcPr calcId="191029"/>
</workbook>
</file>

<file path=xl/calcChain.xml><?xml version="1.0" encoding="utf-8"?>
<calcChain xmlns="http://schemas.openxmlformats.org/spreadsheetml/2006/main">
  <c r="C76" i="1" l="1"/>
  <c r="C78" i="1" s="1"/>
  <c r="C77" i="1" l="1"/>
  <c r="L186" i="1"/>
  <c r="C90" i="1" l="1"/>
  <c r="C9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8" i="1"/>
  <c r="B234" i="1"/>
  <c r="B233" i="1"/>
  <c r="D230" i="1"/>
  <c r="F230" i="1" s="1"/>
  <c r="D229" i="1"/>
  <c r="F229" i="1" s="1"/>
  <c r="D228" i="1"/>
  <c r="F228" i="1" s="1"/>
  <c r="D227" i="1"/>
  <c r="F227" i="1" s="1"/>
  <c r="D226" i="1"/>
  <c r="F226" i="1" s="1"/>
  <c r="A226" i="1"/>
  <c r="A227" i="1" s="1"/>
  <c r="A228" i="1" s="1"/>
  <c r="A229" i="1" s="1"/>
  <c r="A230" i="1" s="1"/>
  <c r="G225" i="1"/>
  <c r="D225" i="1"/>
  <c r="F225" i="1" s="1"/>
  <c r="J223" i="1"/>
  <c r="D222" i="1"/>
  <c r="F222" i="1" s="1"/>
  <c r="D221" i="1"/>
  <c r="F221" i="1" s="1"/>
  <c r="D220" i="1"/>
  <c r="F220" i="1" s="1"/>
  <c r="D219" i="1"/>
  <c r="F219" i="1" s="1"/>
  <c r="A219" i="1"/>
  <c r="A220" i="1" s="1"/>
  <c r="A221" i="1" s="1"/>
  <c r="A222" i="1" s="1"/>
  <c r="D218" i="1"/>
  <c r="F218" i="1" s="1"/>
  <c r="A218" i="1"/>
  <c r="G217" i="1"/>
  <c r="D217" i="1"/>
  <c r="F217" i="1" s="1"/>
  <c r="J216" i="1"/>
  <c r="D210" i="1"/>
  <c r="F210" i="1" s="1"/>
  <c r="A210" i="1"/>
  <c r="D209" i="1"/>
  <c r="F209" i="1" s="1"/>
  <c r="A209" i="1"/>
  <c r="D208" i="1"/>
  <c r="F208" i="1" s="1"/>
  <c r="F206" i="1"/>
  <c r="D206" i="1"/>
  <c r="D205" i="1"/>
  <c r="F205" i="1" s="1"/>
  <c r="D204" i="1"/>
  <c r="F204" i="1" s="1"/>
  <c r="D203" i="1"/>
  <c r="F203" i="1" s="1"/>
  <c r="D202" i="1"/>
  <c r="F202" i="1" s="1"/>
  <c r="A202" i="1"/>
  <c r="A203" i="1" s="1"/>
  <c r="A204" i="1" s="1"/>
  <c r="A205" i="1" s="1"/>
  <c r="A206" i="1" s="1"/>
  <c r="G201" i="1"/>
  <c r="D201" i="1"/>
  <c r="F201" i="1" s="1"/>
  <c r="J200" i="1"/>
  <c r="D198" i="1"/>
  <c r="F198" i="1" s="1"/>
  <c r="F197" i="1"/>
  <c r="D197" i="1"/>
  <c r="D196" i="1"/>
  <c r="F196" i="1" s="1"/>
  <c r="D195" i="1"/>
  <c r="F195" i="1" s="1"/>
  <c r="D194" i="1"/>
  <c r="F194" i="1" s="1"/>
  <c r="F193" i="1"/>
  <c r="D193" i="1"/>
  <c r="D192" i="1"/>
  <c r="F192" i="1" s="1"/>
  <c r="D191" i="1"/>
  <c r="F191" i="1" s="1"/>
  <c r="D190" i="1"/>
  <c r="F190" i="1" s="1"/>
  <c r="A190" i="1"/>
  <c r="A191" i="1" s="1"/>
  <c r="A192" i="1" s="1"/>
  <c r="A193" i="1" s="1"/>
  <c r="A194" i="1" s="1"/>
  <c r="A195" i="1" s="1"/>
  <c r="A196" i="1" s="1"/>
  <c r="A197" i="1" s="1"/>
  <c r="A198" i="1" s="1"/>
  <c r="J189" i="1"/>
  <c r="G189" i="1"/>
  <c r="F189" i="1"/>
  <c r="D189" i="1"/>
  <c r="D182" i="1"/>
  <c r="F182" i="1" s="1"/>
  <c r="D181" i="1"/>
  <c r="F181" i="1" s="1"/>
  <c r="D180" i="1"/>
  <c r="F180" i="1" s="1"/>
  <c r="D179" i="1"/>
  <c r="F179" i="1" s="1"/>
  <c r="F178" i="1"/>
  <c r="D178" i="1"/>
  <c r="F176" i="1"/>
  <c r="D176" i="1"/>
  <c r="D175" i="1"/>
  <c r="F175" i="1" s="1"/>
  <c r="D174" i="1"/>
  <c r="F174" i="1" s="1"/>
  <c r="D173" i="1"/>
  <c r="F173" i="1" s="1"/>
  <c r="D172" i="1"/>
  <c r="F172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G171" i="1"/>
  <c r="D171" i="1"/>
  <c r="F171" i="1" s="1"/>
  <c r="F168" i="1"/>
  <c r="D168" i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J159" i="1"/>
  <c r="D159" i="1"/>
  <c r="I158" i="1"/>
  <c r="D158" i="1"/>
  <c r="F158" i="1" s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J157" i="1"/>
  <c r="I157" i="1"/>
  <c r="G157" i="1"/>
  <c r="F157" i="1"/>
  <c r="D157" i="1"/>
  <c r="F145" i="1"/>
  <c r="F144" i="1"/>
  <c r="F143" i="1"/>
  <c r="A143" i="1"/>
  <c r="A144" i="1" s="1"/>
  <c r="A145" i="1" s="1"/>
  <c r="G142" i="1"/>
  <c r="G143" i="1" s="1"/>
  <c r="G144" i="1" s="1"/>
  <c r="G145" i="1" s="1"/>
  <c r="F142" i="1"/>
  <c r="F125" i="1"/>
  <c r="J109" i="1"/>
  <c r="J108" i="1"/>
  <c r="J107" i="1"/>
  <c r="J106" i="1"/>
  <c r="C104" i="1"/>
  <c r="C106" i="1" s="1"/>
  <c r="C97" i="1"/>
  <c r="J95" i="1"/>
  <c r="J94" i="1"/>
  <c r="J93" i="1"/>
  <c r="J92" i="1"/>
  <c r="C83" i="1"/>
  <c r="J81" i="1"/>
  <c r="J80" i="1"/>
  <c r="J79" i="1"/>
  <c r="J78" i="1"/>
  <c r="C69" i="1"/>
  <c r="D63" i="1"/>
  <c r="D56" i="1"/>
  <c r="G49" i="1"/>
  <c r="G50" i="1" s="1"/>
  <c r="C49" i="1"/>
  <c r="E41" i="1"/>
  <c r="E42" i="1" s="1"/>
  <c r="E43" i="1" s="1"/>
  <c r="E29" i="1"/>
  <c r="E26" i="1"/>
  <c r="E24" i="1"/>
  <c r="C14" i="1"/>
  <c r="E7" i="1"/>
  <c r="E3" i="1"/>
  <c r="H70" i="1"/>
  <c r="H98" i="1"/>
  <c r="H84" i="1"/>
  <c r="C133" i="1" l="1"/>
  <c r="E133" i="1"/>
  <c r="C134" i="1"/>
  <c r="F159" i="1"/>
  <c r="G133" i="1" s="1"/>
  <c r="E134" i="1"/>
  <c r="C135" i="1"/>
  <c r="E135" i="1"/>
  <c r="G135" i="1"/>
  <c r="G134" i="1"/>
  <c r="C105" i="1"/>
  <c r="D105" i="1" s="1"/>
  <c r="C91" i="1"/>
  <c r="D91" i="1" s="1"/>
  <c r="D89" i="1"/>
  <c r="J86" i="1"/>
  <c r="D95" i="1"/>
  <c r="J88" i="1"/>
  <c r="C87" i="1" s="1"/>
  <c r="D87" i="1" s="1"/>
  <c r="D88" i="1"/>
  <c r="D96" i="1"/>
  <c r="D92" i="1"/>
  <c r="J89" i="1"/>
  <c r="J90" i="1" s="1"/>
  <c r="J91" i="1" s="1"/>
  <c r="D94" i="1"/>
  <c r="J87" i="1"/>
  <c r="D93" i="1"/>
  <c r="D90" i="1"/>
  <c r="J101" i="1"/>
  <c r="D107" i="1"/>
  <c r="D104" i="1"/>
  <c r="D108" i="1"/>
  <c r="D110" i="1"/>
  <c r="D106" i="1"/>
  <c r="J103" i="1"/>
  <c r="J104" i="1" s="1"/>
  <c r="D101" i="1"/>
  <c r="D103" i="1"/>
  <c r="J100" i="1"/>
  <c r="D109" i="1"/>
  <c r="J102" i="1"/>
  <c r="J75" i="1"/>
  <c r="J76" i="1" s="1"/>
  <c r="J69" i="1"/>
  <c r="J71" i="1" s="1"/>
  <c r="D79" i="1"/>
  <c r="D75" i="1"/>
  <c r="J72" i="1"/>
  <c r="J74" i="1"/>
  <c r="C73" i="1" s="1"/>
  <c r="D80" i="1"/>
  <c r="D76" i="1"/>
  <c r="D82" i="1"/>
  <c r="D78" i="1"/>
  <c r="D74" i="1"/>
  <c r="J73" i="1"/>
  <c r="D81" i="1"/>
  <c r="E73" i="1"/>
  <c r="D77" i="1"/>
  <c r="G136" i="1" l="1"/>
  <c r="C136" i="1"/>
  <c r="E136" i="1"/>
  <c r="J97" i="1"/>
  <c r="J99" i="1" s="1"/>
  <c r="J83" i="1"/>
  <c r="J85" i="1" s="1"/>
  <c r="E87" i="1"/>
  <c r="J77" i="1"/>
  <c r="J82" i="1" s="1"/>
  <c r="J105" i="1"/>
  <c r="J110" i="1" s="1"/>
  <c r="C102" i="1" s="1"/>
  <c r="J96" i="1"/>
  <c r="J84" i="1" s="1"/>
  <c r="G73" i="1"/>
  <c r="G87" i="1"/>
  <c r="D67" i="1" s="1"/>
  <c r="D73" i="1"/>
  <c r="I70" i="1" s="1"/>
  <c r="I71" i="1" s="1"/>
  <c r="I84" i="1"/>
  <c r="I85" i="1" s="1"/>
  <c r="J98" i="1" l="1"/>
  <c r="E101" i="1"/>
  <c r="D102" i="1"/>
  <c r="I98" i="1" s="1"/>
  <c r="G101" i="1"/>
  <c r="I83" i="1"/>
  <c r="C85" i="1" s="1"/>
  <c r="F68" i="1"/>
  <c r="D68" i="1"/>
  <c r="J70" i="1"/>
  <c r="I69" i="1" s="1"/>
  <c r="C71" i="1" s="1"/>
  <c r="I99" i="1" l="1"/>
  <c r="I97" i="1" s="1"/>
  <c r="C99" i="1" s="1"/>
</calcChain>
</file>

<file path=xl/sharedStrings.xml><?xml version="1.0" encoding="utf-8"?>
<sst xmlns="http://schemas.openxmlformats.org/spreadsheetml/2006/main" count="412" uniqueCount="252">
  <si>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</si>
  <si>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</si>
  <si>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</si>
  <si>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</si>
  <si>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Thane</t>
  </si>
  <si>
    <t>Date Of Property Visit</t>
  </si>
  <si>
    <t>Name of the builder group</t>
  </si>
  <si>
    <t>Dhruva Woollen Mills Pvt Ltd</t>
  </si>
  <si>
    <t>Name of the builder company</t>
  </si>
  <si>
    <t>Name of the Project</t>
  </si>
  <si>
    <t>25 Hourlife</t>
  </si>
  <si>
    <t>Provided Contact Details ( Name &amp; Contact No.)</t>
  </si>
  <si>
    <t>Mr.Akshay Korgaonkar  9324767870</t>
  </si>
  <si>
    <t>Site Person - Contact Details ( Name &amp; Contact No.)</t>
  </si>
  <si>
    <t>Mr. Security</t>
  </si>
  <si>
    <t>Name / No of the Building</t>
  </si>
  <si>
    <t>Tower A1, B1 &amp; C1</t>
  </si>
  <si>
    <t>Docouments Provided</t>
  </si>
  <si>
    <t>Approved Plans, CC</t>
  </si>
  <si>
    <t>RERA No.</t>
  </si>
  <si>
    <t xml:space="preserve">P51700053696 = Tower A1
P51700048270 = Tower B1
P51700048278 = Tower C1
</t>
  </si>
  <si>
    <t xml:space="preserve">Project location details       </t>
  </si>
  <si>
    <t>Gut No</t>
  </si>
  <si>
    <t>2/2, 2/5, 7/1 &amp; 7/2</t>
  </si>
  <si>
    <t>Locality</t>
  </si>
  <si>
    <t>Panchpakhadi</t>
  </si>
  <si>
    <t>Road</t>
  </si>
  <si>
    <t>Ghodbunder Road</t>
  </si>
  <si>
    <t>Locality/Village</t>
  </si>
  <si>
    <t>Chitalsar Manpada</t>
  </si>
  <si>
    <t>City</t>
  </si>
  <si>
    <t>Thane West</t>
  </si>
  <si>
    <t>District</t>
  </si>
  <si>
    <t>Thane</t>
  </si>
  <si>
    <t>Taluka</t>
  </si>
  <si>
    <t>Pin Code</t>
  </si>
  <si>
    <t>Nearby Landmark</t>
  </si>
  <si>
    <t>R-Mall</t>
  </si>
  <si>
    <t xml:space="preserve">Distance from city centre: </t>
  </si>
  <si>
    <t>5.7KM from Thane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</si>
  <si>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</si>
  <si>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</si>
  <si>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</si>
  <si>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</si>
  <si>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</si>
  <si>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</si>
  <si>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</si>
  <si>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</si>
  <si>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</si>
  <si>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</si>
  <si>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</si>
  <si>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</si>
  <si>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</si>
  <si>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</si>
  <si>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</si>
  <si>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</si>
  <si>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</si>
  <si>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</si>
  <si>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</si>
  <si>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NA</t>
  </si>
  <si>
    <t>Building Type D1</t>
  </si>
  <si>
    <t>Open Plot</t>
  </si>
  <si>
    <t>West</t>
  </si>
  <si>
    <t>7.0 MT W. Driveway</t>
  </si>
  <si>
    <t>Open Plot/Ghodbunder Road</t>
  </si>
  <si>
    <t>North</t>
  </si>
  <si>
    <t>12 Mt W. Internal Road</t>
  </si>
  <si>
    <t>Internal Road</t>
  </si>
  <si>
    <t>South</t>
  </si>
  <si>
    <t>Club House</t>
  </si>
  <si>
    <t>Open Plot/R-Mall</t>
  </si>
  <si>
    <t>Does the boundaries at site match, as mentioned in the Docoumentation: NA</t>
  </si>
  <si>
    <t>Latitude, Longitude</t>
  </si>
  <si>
    <t>19.234639,72.977917</t>
  </si>
  <si>
    <t>Location Link</t>
  </si>
  <si>
    <t>https://maps.app.goo.gl/M4m7eXrygDyL9jdy7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</si>
  <si>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</si>
  <si>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</si>
  <si>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</si>
  <si>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</si>
  <si>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</si>
  <si>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</si>
  <si>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</si>
  <si>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3 Buildings</t>
  </si>
  <si>
    <t xml:space="preserve">Approval Detail : Plan approval </t>
  </si>
  <si>
    <t>Name of Municipal Corporation/Authority</t>
  </si>
  <si>
    <t>Thane Municipal Corporation</t>
  </si>
  <si>
    <t xml:space="preserve">Layout Approval No     </t>
  </si>
  <si>
    <t>S05/0218/22/TMC/TD-DP/
TPS/4482/23</t>
  </si>
  <si>
    <t>Dated</t>
  </si>
  <si>
    <t>31/10/2023</t>
  </si>
  <si>
    <t xml:space="preserve">Approved Floor plan No.  </t>
  </si>
  <si>
    <t xml:space="preserve">Commencement-CC No
Valid Up to: </t>
  </si>
  <si>
    <t>S05/0218/22/TMC/TDD/4482/23</t>
  </si>
  <si>
    <t>Building No. A1 = P1 + P2 + Gr/P3 + P4 to P6 + 1st Floor
Building No. B1 &amp; C1 = P1 + P2 + Gr/P3 + P4 to P6 + 1st &amp; 2nd Floor</t>
  </si>
  <si>
    <t>S05/0218/22/TMC/TDD/TMCB/TDD/0095/[P/C]/2024/Auto DCR</t>
  </si>
  <si>
    <t>26/02/2024</t>
  </si>
  <si>
    <t>Building No. A1 = 2nd to 26th + Service Floor + 27th to 50th Floor
Building No. B1 &amp; C1 = 3rd to 26th + Service Floor + 27th to 50th Floor</t>
  </si>
  <si>
    <t xml:space="preserve">O. Certificate No.: </t>
  </si>
  <si>
    <t>NA
Approved upto : NA</t>
  </si>
  <si>
    <t>Building wise Construction details</t>
  </si>
  <si>
    <t>Approved  Builtup Area of Building Type A1, B1 &amp; C1 (Sq.Mt)</t>
  </si>
  <si>
    <t>Approved no of units</t>
  </si>
  <si>
    <t>Flats - 1380</t>
  </si>
  <si>
    <t>Rera count 860</t>
  </si>
  <si>
    <t>Approved no of Floors</t>
  </si>
  <si>
    <t>Building Type A1, B1 &amp; C1 = 2P Lvl + Gr/P3+ P4 to P6 + 1st to 26th + Service Floor + 27th to 50th Floor</t>
  </si>
  <si>
    <t>Online structure = 2b + gr +4p + 50 floor</t>
  </si>
  <si>
    <t>Proposed no of Floors</t>
  </si>
  <si>
    <t>Building Type A1 = 2P Lvl + Gr/P3+ P4 to P6 + 1st to 26th + Service Floor + 27th to 50th Floor</t>
  </si>
  <si>
    <t>visitor 50th floor
rera 55th</t>
  </si>
  <si>
    <t>Building Type B1 = 2P Lvl + Gr/P3+ P4 to P6 + 1st to 26th + Service Floor + 27th to 50th Floor</t>
  </si>
  <si>
    <t>Building Type C1 = 2P Lvl + Gr/P3+ P4 to P6 + 1st to 26th + Service Floor + 27th to 50th Floor</t>
  </si>
  <si>
    <t>Expected Completion</t>
  </si>
  <si>
    <t>As per RERA (Tower A1) - 31/12/2030
As per RERA (Tower B1 &amp; C1) - 31/12/2029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</si>
  <si>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</si>
  <si>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</si>
  <si>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</si>
  <si>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</si>
  <si>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</si>
  <si>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</si>
  <si>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</si>
  <si>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</si>
  <si>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</si>
  <si>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</si>
  <si>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</si>
  <si>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</si>
  <si>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</si>
  <si>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</si>
  <si>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</si>
  <si>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</si>
  <si>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</si>
  <si>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</si>
  <si>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</si>
  <si>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</si>
  <si>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</si>
  <si>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</si>
  <si>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</si>
  <si>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</si>
  <si>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</si>
  <si>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</si>
  <si>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</si>
  <si>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</si>
  <si>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</si>
  <si>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</si>
  <si>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</si>
  <si>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</si>
  <si>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</si>
  <si>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</si>
  <si>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</si>
  <si>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</si>
  <si>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</si>
  <si>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</si>
  <si>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</si>
  <si>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</si>
  <si>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</si>
  <si>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</si>
  <si>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</si>
  <si>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</si>
  <si>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</si>
  <si>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</si>
  <si>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</si>
  <si>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</si>
  <si>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</si>
  <si>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</si>
  <si>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</si>
  <si>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</si>
  <si>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</si>
  <si>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>Possession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</si>
  <si>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</si>
  <si>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</si>
  <si>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</si>
  <si>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</si>
  <si>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</si>
  <si>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</si>
  <si>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</si>
  <si>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Total</t>
  </si>
  <si>
    <t>Residential Area Details :</t>
  </si>
  <si>
    <t>Tower A1</t>
  </si>
  <si>
    <t>Tower B1</t>
  </si>
  <si>
    <t>Tower C1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</si>
  <si>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</si>
  <si>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</si>
  <si>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</si>
  <si>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</si>
  <si>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</si>
  <si>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</si>
  <si>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</si>
  <si>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</si>
  <si>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</si>
  <si>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Ground Floor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</si>
  <si>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</si>
  <si>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</si>
  <si>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</si>
  <si>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Parking Level 1 (1st Basement ) For Flushing Tank &amp; Parking</t>
  </si>
  <si>
    <t>Parking Level 2 (2nd Basement) For RWH Tank &amp; Parking</t>
  </si>
  <si>
    <t>Parking Level 3 (Ground Floor) For Double Height Entrance Lobby, Society Office, Drivers  Room, Substation, Meter Room &amp; Parking</t>
  </si>
  <si>
    <t>Parking Level 4 (1st Podium) For Parking</t>
  </si>
  <si>
    <t>Parking Level 5 (2nd Podium) For Parking</t>
  </si>
  <si>
    <t>Parking Level 6 (3rd Podium) For Parking</t>
  </si>
  <si>
    <t>1st to 4th, 6th to 9th, 11th to 14th, 16th to 19th, 21st to 24th, 26th to 28th, 30th to 33rd, 35th to 38th, 40th to 43rd, 45th to 48th &amp; 50th Floor For Residential</t>
  </si>
  <si>
    <t>1BHK</t>
  </si>
  <si>
    <t>2BHK</t>
  </si>
  <si>
    <t>Service Floor (Between 26th &amp; 27th Floor)</t>
  </si>
  <si>
    <t>5th, 10th, 15th, 20th, 25th, 29th, 34th, 39th, 44th &amp; 49th Floor (Part Refuge Area)</t>
  </si>
  <si>
    <t>Refuge Area</t>
  </si>
  <si>
    <t>Parking Level 1 &amp; 2 (Basement 1 &amp; 2) For Flushing Tank &amp; Parking</t>
  </si>
  <si>
    <t>Parking Level 3 (Ground Floor) For Entrance Lobby, Society Office, Meter Room &amp; Parking</t>
  </si>
  <si>
    <t>Parking Level 4 &amp; 5 (1st &amp; 2nd Podium) For ParkingRoom &amp; Parking</t>
  </si>
  <si>
    <t>3BHK</t>
  </si>
  <si>
    <t xml:space="preserve">Remarks:  </t>
  </si>
  <si>
    <t>*</t>
  </si>
  <si>
    <t xml:space="preserve">Tower A1, B1 &amp; C1 = Construction work is in process at the time of Visit. Internal visit was not allowed.
</t>
  </si>
  <si>
    <t>We considered Carpet area as per Approved Plan.</t>
  </si>
  <si>
    <t>We considered Gross carpet area = Net carpet + Balcony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</si>
  <si>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</si>
  <si>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</si>
  <si>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</si>
  <si>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</si>
  <si>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 xml:space="preserve">We have updated revised approved floor plan &amp; C.C (on 30/11/2023).
</t>
  </si>
  <si>
    <t xml:space="preserve">We have considered sale plan provided by builder for flat numbering as flat no in  approved floor plan &amp; Area table in the approved plan are different.
</t>
  </si>
  <si>
    <t xml:space="preserve">We have updated approved floor plan &amp; C.C of Tower A1 (on 30/12/2023)
</t>
  </si>
  <si>
    <t xml:space="preserve">Since Project's Builtup Area is above 20000 Sq.M. Please check for Environment Clearance Certificate.
</t>
  </si>
  <si>
    <t xml:space="preserve">We have updated C.C (on 11/06/2024)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</si>
  <si>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</si>
  <si>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</si>
  <si>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</si>
  <si>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</si>
  <si>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</si>
  <si>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</si>
  <si>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</si>
  <si>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</si>
  <si>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Ajay Songare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</si>
  <si>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</si>
  <si>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</si>
  <si>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</si>
  <si>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</si>
  <si>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</si>
  <si>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</si>
  <si>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</si>
  <si>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</si>
  <si>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</si>
  <si>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</si>
  <si>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</si>
  <si>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</si>
  <si>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</si>
  <si>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</si>
  <si>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</si>
  <si>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</si>
  <si>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</si>
  <si>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Cafeteria/Food Court, Outdoor Tennis Courts, Banquet Hall, Gymnasium, Indoor Squash &amp; Badminton Courts, Swimming Pool, Club House, Lift, Security, Reserved Parking, Visitor Parking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</si>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</sst>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;@"/>
    <numFmt numFmtId="167" formatCode="0.0"/>
    <numFmt numFmtId="168" formatCode="_ * #,##0_ ;_ * \-#,##0_ ;_ * &quot;-&quot;??_ ;_ @_ "/>
    <numFmt numFmtId="169" formatCode="[&gt;0]0&quot;BHK&quot;;&quot;1RK&quot;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200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6" fillId="0" borderId="1" xfId="8" applyFont="1" applyBorder="1" applyAlignment="1" applyProtection="1">
      <alignment horizontal="center" vertical="top"/>
      <protection locked="0"/>
    </xf>
    <xf numFmtId="0" fontId="6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10" fillId="0" borderId="0" xfId="8" applyFont="1" applyAlignment="1">
      <alignment wrapText="1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6" fillId="0" borderId="20" xfId="8" applyFont="1" applyBorder="1" applyAlignment="1" applyProtection="1">
      <alignment horizontal="center" vertical="top"/>
      <protection locked="0"/>
    </xf>
    <xf numFmtId="0" fontId="6" fillId="0" borderId="2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1" fontId="10" fillId="0" borderId="1" xfId="8" applyNumberFormat="1" applyFont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9" fontId="10" fillId="0" borderId="25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8" applyFont="1"/>
    <xf numFmtId="0" fontId="17" fillId="2" borderId="29" xfId="0" applyFont="1" applyFill="1" applyBorder="1"/>
    <xf numFmtId="0" fontId="18" fillId="0" borderId="30" xfId="0" applyFont="1" applyBorder="1"/>
    <xf numFmtId="0" fontId="18" fillId="0" borderId="1" xfId="0" applyFont="1" applyBorder="1"/>
    <xf numFmtId="0" fontId="18" fillId="0" borderId="21" xfId="0" applyFont="1" applyBorder="1"/>
    <xf numFmtId="0" fontId="19" fillId="0" borderId="0" xfId="0" applyFont="1" applyProtection="1">
      <protection hidden="1"/>
    </xf>
    <xf numFmtId="0" fontId="10" fillId="0" borderId="23" xfId="8" applyFont="1" applyBorder="1"/>
    <xf numFmtId="0" fontId="19" fillId="0" borderId="23" xfId="0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9" fillId="0" borderId="31" xfId="0" applyFont="1" applyBorder="1" applyProtection="1">
      <protection hidden="1"/>
    </xf>
    <xf numFmtId="1" fontId="0" fillId="0" borderId="28" xfId="0" applyNumberFormat="1" applyBorder="1"/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4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69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1" fontId="10" fillId="0" borderId="0" xfId="8" applyNumberFormat="1" applyFont="1" applyAlignment="1">
      <alignment horizontal="center" vertical="center"/>
    </xf>
    <xf numFmtId="167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8" applyFont="1" applyProtection="1"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6" fillId="0" borderId="1" xfId="8" applyFont="1" applyBorder="1" applyAlignment="1" applyProtection="1">
      <alignment horizontal="left" vertical="top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6" fillId="0" borderId="5" xfId="8" applyFont="1" applyBorder="1" applyAlignment="1" applyProtection="1">
      <alignment horizontal="left" vertical="top" wrapText="1"/>
      <protection locked="0"/>
    </xf>
    <xf numFmtId="0" fontId="6" fillId="0" borderId="9" xfId="8" applyFont="1" applyBorder="1" applyAlignment="1" applyProtection="1">
      <alignment horizontal="left" vertical="top" wrapText="1"/>
      <protection locked="0"/>
    </xf>
    <xf numFmtId="0" fontId="6" fillId="0" borderId="6" xfId="8" applyFont="1" applyBorder="1" applyAlignment="1" applyProtection="1">
      <alignment horizontal="left" vertical="top" wrapText="1"/>
      <protection locked="0"/>
    </xf>
    <xf numFmtId="0" fontId="6" fillId="0" borderId="11" xfId="8" applyFont="1" applyBorder="1" applyAlignment="1" applyProtection="1">
      <alignment horizontal="left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6" fillId="0" borderId="12" xfId="8" applyFont="1" applyBorder="1" applyAlignment="1" applyProtection="1">
      <alignment horizontal="left" vertical="top" wrapText="1"/>
      <protection locked="0"/>
    </xf>
    <xf numFmtId="0" fontId="6" fillId="0" borderId="7" xfId="8" applyFont="1" applyBorder="1" applyAlignment="1" applyProtection="1">
      <alignment horizontal="left" vertical="top" wrapText="1"/>
      <protection locked="0"/>
    </xf>
    <xf numFmtId="0" fontId="6" fillId="0" borderId="13" xfId="8" applyFont="1" applyBorder="1" applyAlignment="1" applyProtection="1">
      <alignment horizontal="left" vertical="top" wrapText="1"/>
      <protection locked="0"/>
    </xf>
    <xf numFmtId="0" fontId="6" fillId="0" borderId="8" xfId="8" applyFont="1" applyBorder="1" applyAlignment="1" applyProtection="1">
      <alignment horizontal="left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11" xfId="2" applyFont="1" applyFill="1" applyBorder="1" applyAlignment="1" applyProtection="1">
      <alignment horizontal="center" vertical="center" wrapText="1"/>
      <protection locked="0"/>
    </xf>
    <xf numFmtId="9" fontId="10" fillId="0" borderId="12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3" xfId="2" applyFont="1" applyFill="1" applyBorder="1" applyAlignment="1" applyProtection="1">
      <alignment horizontal="center" vertical="center" wrapText="1"/>
      <protection locked="0"/>
    </xf>
    <xf numFmtId="9" fontId="10" fillId="0" borderId="28" xfId="2" applyFont="1" applyFill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0" xfId="8" applyNumberFormat="1" applyFont="1" applyAlignment="1" applyProtection="1">
      <alignment horizontal="center" vertical="center" wrapText="1"/>
      <protection locked="0"/>
    </xf>
    <xf numFmtId="1" fontId="9" fillId="0" borderId="12" xfId="8" applyNumberFormat="1" applyFont="1" applyBorder="1" applyAlignment="1" applyProtection="1">
      <alignment horizontal="center" vertical="center" wrapText="1"/>
      <protection locked="0"/>
    </xf>
    <xf numFmtId="1" fontId="9" fillId="0" borderId="13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10" fillId="0" borderId="0" xfId="8" applyFont="1" applyAlignment="1">
      <alignment horizontal="center" vertical="center"/>
    </xf>
    <xf numFmtId="1" fontId="14" fillId="0" borderId="2" xfId="8" applyNumberFormat="1" applyFont="1" applyBorder="1" applyAlignment="1" applyProtection="1">
      <alignment horizontal="center" vertical="center" wrapText="1"/>
      <protection locked="0"/>
    </xf>
    <xf numFmtId="1" fontId="14" fillId="0" borderId="3" xfId="8" applyNumberFormat="1" applyFont="1" applyBorder="1" applyAlignment="1" applyProtection="1">
      <alignment horizontal="center" vertical="center" wrapText="1"/>
      <protection locked="0"/>
    </xf>
    <xf numFmtId="1" fontId="14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69" fontId="9" fillId="0" borderId="2" xfId="8" applyNumberFormat="1" applyFont="1" applyBorder="1" applyAlignment="1" applyProtection="1">
      <alignment horizontal="center" vertical="center" wrapText="1"/>
      <protection locked="0"/>
    </xf>
    <xf numFmtId="169" fontId="9" fillId="0" borderId="3" xfId="8" applyNumberFormat="1" applyFont="1" applyBorder="1" applyAlignment="1" applyProtection="1">
      <alignment horizontal="center" vertical="center" wrapText="1"/>
      <protection locked="0"/>
    </xf>
    <xf numFmtId="169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4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14" xfId="8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68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2" fillId="0" borderId="14" xfId="8" applyFont="1" applyBorder="1" applyAlignment="1" applyProtection="1">
      <alignment horizontal="center" vertical="top"/>
      <protection locked="0"/>
    </xf>
    <xf numFmtId="0" fontId="10" fillId="0" borderId="20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0" fontId="12" fillId="0" borderId="14" xfId="8" applyFont="1" applyBorder="1" applyAlignment="1" applyProtection="1">
      <alignment horizontal="left" vertical="top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13" fillId="0" borderId="19" xfId="8" applyFont="1" applyBorder="1" applyAlignment="1" applyProtection="1">
      <alignment horizontal="left" vertical="top" wrapText="1"/>
      <protection locked="0"/>
    </xf>
    <xf numFmtId="0" fontId="13" fillId="0" borderId="20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21" xfId="8" applyFont="1" applyBorder="1" applyAlignment="1" applyProtection="1">
      <alignment horizontal="left" vertical="top" wrapText="1"/>
      <protection locked="0"/>
    </xf>
    <xf numFmtId="0" fontId="6" fillId="0" borderId="20" xfId="8" applyFont="1" applyBorder="1" applyAlignment="1" applyProtection="1">
      <alignment horizontal="center" vertical="top" wrapText="1"/>
      <protection locked="0"/>
    </xf>
    <xf numFmtId="0" fontId="6" fillId="0" borderId="1" xfId="8" applyFont="1" applyBorder="1" applyAlignment="1" applyProtection="1">
      <alignment horizontal="center" vertical="top" wrapText="1"/>
      <protection locked="0"/>
    </xf>
    <xf numFmtId="0" fontId="6" fillId="0" borderId="21" xfId="8" applyFont="1" applyBorder="1" applyAlignment="1" applyProtection="1">
      <alignment horizontal="center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6" fillId="0" borderId="10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6" fillId="0" borderId="10" xfId="8" applyFont="1" applyBorder="1" applyAlignment="1" applyProtection="1">
      <alignment horizontal="left" vertical="top"/>
      <protection locked="0"/>
    </xf>
    <xf numFmtId="0" fontId="6" fillId="0" borderId="2" xfId="8" applyFont="1" applyBorder="1" applyAlignment="1" applyProtection="1">
      <alignment horizontal="left" vertical="top" wrapText="1"/>
      <protection locked="0"/>
    </xf>
    <xf numFmtId="0" fontId="6" fillId="0" borderId="3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6" fillId="0" borderId="3" xfId="8" applyFont="1" applyBorder="1" applyAlignment="1" applyProtection="1">
      <alignment horizontal="left" vertical="top"/>
      <protection locked="0"/>
    </xf>
    <xf numFmtId="0" fontId="6" fillId="0" borderId="4" xfId="8" applyFont="1" applyBorder="1" applyAlignment="1" applyProtection="1">
      <alignment horizontal="left" vertical="top"/>
      <protection locked="0"/>
    </xf>
    <xf numFmtId="0" fontId="9" fillId="0" borderId="14" xfId="8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166" fontId="9" fillId="0" borderId="2" xfId="8" applyNumberFormat="1" applyFont="1" applyBorder="1" applyAlignment="1" applyProtection="1">
      <alignment horizontal="left" vertical="top" wrapText="1"/>
      <protection locked="0"/>
    </xf>
    <xf numFmtId="166" fontId="9" fillId="0" borderId="4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167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5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6" fillId="0" borderId="1" xfId="8" applyFont="1" applyBorder="1" applyAlignment="1" applyProtection="1">
      <alignment horizontal="center"/>
      <protection locked="0"/>
    </xf>
    <xf numFmtId="0" fontId="6" fillId="0" borderId="1" xfId="8" applyFont="1" applyBorder="1" applyAlignment="1" applyProtection="1">
      <alignment horizontal="center" vertical="top"/>
      <protection locked="0"/>
    </xf>
    <xf numFmtId="0" fontId="14" fillId="0" borderId="2" xfId="8" applyFont="1" applyBorder="1" applyAlignment="1" applyProtection="1">
      <alignment horizontal="left"/>
      <protection locked="0"/>
    </xf>
    <xf numFmtId="0" fontId="14" fillId="0" borderId="3" xfId="8" applyFont="1" applyBorder="1" applyAlignment="1" applyProtection="1">
      <alignment horizontal="left"/>
      <protection locked="0"/>
    </xf>
    <xf numFmtId="0" fontId="14" fillId="0" borderId="4" xfId="8" applyFont="1" applyBorder="1" applyAlignment="1" applyProtection="1">
      <alignment horizontal="lef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6" fillId="0" borderId="1" xfId="8" applyFont="1" applyBorder="1" applyAlignment="1" applyProtection="1">
      <alignment horizontal="left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66" fontId="6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526677</xdr:colOff>
      <xdr:row>358</xdr:row>
      <xdr:rowOff>112061</xdr:rowOff>
    </xdr:from>
    <xdr:to>
      <xdr:col>7</xdr:col>
      <xdr:colOff>222883</xdr:colOff>
      <xdr:row>379</xdr:row>
      <xdr:rowOff>137160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77" y="74216561"/>
          <a:ext cx="5540746" cy="4185619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481853</xdr:colOff>
      <xdr:row>297</xdr:row>
      <xdr:rowOff>134470</xdr:rowOff>
    </xdr:from>
    <xdr:to>
      <xdr:col>7</xdr:col>
      <xdr:colOff>178059</xdr:colOff>
      <xdr:row>313</xdr:row>
      <xdr:rowOff>140401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330" y="63954660"/>
          <a:ext cx="5392420" cy="320675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537883</xdr:colOff>
      <xdr:row>300</xdr:row>
      <xdr:rowOff>127483</xdr:rowOff>
    </xdr:from>
    <xdr:to>
      <xdr:col>4</xdr:col>
      <xdr:colOff>196667</xdr:colOff>
      <xdr:row>303</xdr:row>
      <xdr:rowOff>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947670" y="64547750"/>
          <a:ext cx="601345" cy="47307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336176</xdr:colOff>
      <xdr:row>314</xdr:row>
      <xdr:rowOff>89644</xdr:rowOff>
    </xdr:from>
    <xdr:to>
      <xdr:col>7</xdr:col>
      <xdr:colOff>392382</xdr:colOff>
      <xdr:row>336</xdr:row>
      <xdr:rowOff>78309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915" y="67310635"/>
          <a:ext cx="5751830" cy="438912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402792</xdr:colOff>
      <xdr:row>317</xdr:row>
      <xdr:rowOff>11338</xdr:rowOff>
    </xdr:from>
    <xdr:to>
      <xdr:col>2</xdr:col>
      <xdr:colOff>168088</xdr:colOff>
      <xdr:row>318</xdr:row>
      <xdr:rowOff>89837</xdr:rowOff>
    </xdr:to>
    <xdr:sp macro="" textlink="">
      <xdr:nvSpPr>
        <xdr:cNvPr id="28" name="TextBox 1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02590" y="67831970"/>
          <a:ext cx="1327150" cy="27876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</a:t>
          </a:r>
          <a:r>
            <a:rPr lang="en-IN" sz="1200" b="1">
              <a:solidFill>
                <a:srgbClr val="C00000"/>
              </a:solidFill>
            </a:rPr>
            <a:t> A1</a:t>
          </a:r>
        </a:p>
      </xdr:txBody>
    </xdr:sp>
    <xdr:clientData/>
  </xdr:twoCellAnchor>
  <xdr:twoCellAnchor editAs="oneCell">
    <xdr:from>
      <xdr:col>1</xdr:col>
      <xdr:colOff>11206</xdr:colOff>
      <xdr:row>339</xdr:row>
      <xdr:rowOff>179294</xdr:rowOff>
    </xdr:from>
    <xdr:to>
      <xdr:col>6</xdr:col>
      <xdr:colOff>661149</xdr:colOff>
      <xdr:row>358</xdr:row>
      <xdr:rowOff>33618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72795" y="72800845"/>
          <a:ext cx="4803140" cy="3654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414616</xdr:colOff>
      <xdr:row>364</xdr:row>
      <xdr:rowOff>33618</xdr:rowOff>
    </xdr:from>
    <xdr:to>
      <xdr:col>5</xdr:col>
      <xdr:colOff>109171</xdr:colOff>
      <xdr:row>373</xdr:row>
      <xdr:rowOff>89647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21186424">
          <a:off x="2823845" y="77655420"/>
          <a:ext cx="1418590" cy="185674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829250</xdr:colOff>
      <xdr:row>206</xdr:row>
      <xdr:rowOff>100853</xdr:rowOff>
    </xdr:from>
    <xdr:to>
      <xdr:col>18</xdr:col>
      <xdr:colOff>367569</xdr:colOff>
      <xdr:row>224</xdr:row>
      <xdr:rowOff>89488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353300" y="44810680"/>
          <a:ext cx="7158355" cy="3846195"/>
        </a:xfrm>
        <a:prstGeom prst="rect">
          <a:avLst/>
        </a:prstGeom>
      </xdr:spPr>
    </xdr:pic>
    <xdr:clientData/>
  </xdr:twoCellAnchor>
  <xdr:twoCellAnchor>
    <xdr:from>
      <xdr:col>4</xdr:col>
      <xdr:colOff>257736</xdr:colOff>
      <xdr:row>302</xdr:row>
      <xdr:rowOff>26630</xdr:rowOff>
    </xdr:from>
    <xdr:to>
      <xdr:col>5</xdr:col>
      <xdr:colOff>73402</xdr:colOff>
      <xdr:row>304</xdr:row>
      <xdr:rowOff>100854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09975" y="64846835"/>
          <a:ext cx="596900" cy="47434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4</xdr:col>
      <xdr:colOff>201087</xdr:colOff>
      <xdr:row>300</xdr:row>
      <xdr:rowOff>168221</xdr:rowOff>
    </xdr:from>
    <xdr:to>
      <xdr:col>5</xdr:col>
      <xdr:colOff>459441</xdr:colOff>
      <xdr:row>302</xdr:row>
      <xdr:rowOff>45014</xdr:rowOff>
    </xdr:to>
    <xdr:sp macro="" textlink="">
      <xdr:nvSpPr>
        <xdr:cNvPr id="40" name="TextBox 1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553460" y="64588390"/>
          <a:ext cx="1039495" cy="2768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C00000"/>
              </a:solidFill>
            </a:rPr>
            <a:t>Tower C1</a:t>
          </a:r>
        </a:p>
      </xdr:txBody>
    </xdr:sp>
    <xdr:clientData/>
  </xdr:twoCellAnchor>
  <xdr:twoCellAnchor>
    <xdr:from>
      <xdr:col>2</xdr:col>
      <xdr:colOff>661148</xdr:colOff>
      <xdr:row>299</xdr:row>
      <xdr:rowOff>127483</xdr:rowOff>
    </xdr:from>
    <xdr:to>
      <xdr:col>3</xdr:col>
      <xdr:colOff>409579</xdr:colOff>
      <xdr:row>302</xdr:row>
      <xdr:rowOff>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223135" y="64347725"/>
          <a:ext cx="596265" cy="47307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2</xdr:col>
      <xdr:colOff>570880</xdr:colOff>
      <xdr:row>298</xdr:row>
      <xdr:rowOff>100986</xdr:rowOff>
    </xdr:from>
    <xdr:to>
      <xdr:col>3</xdr:col>
      <xdr:colOff>761999</xdr:colOff>
      <xdr:row>299</xdr:row>
      <xdr:rowOff>179485</xdr:rowOff>
    </xdr:to>
    <xdr:sp macro="" textlink="">
      <xdr:nvSpPr>
        <xdr:cNvPr id="45" name="TextBox 1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132965" y="64121665"/>
          <a:ext cx="1038225" cy="27813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C00000"/>
              </a:solidFill>
            </a:rPr>
            <a:t>Tower A1</a:t>
          </a:r>
        </a:p>
      </xdr:txBody>
    </xdr:sp>
    <xdr:clientData/>
  </xdr:twoCellAnchor>
  <xdr:twoCellAnchor>
    <xdr:from>
      <xdr:col>4</xdr:col>
      <xdr:colOff>425823</xdr:colOff>
      <xdr:row>323</xdr:row>
      <xdr:rowOff>123264</xdr:rowOff>
    </xdr:from>
    <xdr:to>
      <xdr:col>5</xdr:col>
      <xdr:colOff>739588</xdr:colOff>
      <xdr:row>328</xdr:row>
      <xdr:rowOff>78441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3778250" y="69144515"/>
          <a:ext cx="1094740" cy="955040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2</xdr:col>
      <xdr:colOff>493057</xdr:colOff>
      <xdr:row>320</xdr:row>
      <xdr:rowOff>78442</xdr:rowOff>
    </xdr:from>
    <xdr:to>
      <xdr:col>4</xdr:col>
      <xdr:colOff>179293</xdr:colOff>
      <xdr:row>325</xdr:row>
      <xdr:rowOff>33619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054860" y="68499355"/>
          <a:ext cx="1477010" cy="955040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0</xdr:col>
      <xdr:colOff>414617</xdr:colOff>
      <xdr:row>318</xdr:row>
      <xdr:rowOff>89646</xdr:rowOff>
    </xdr:from>
    <xdr:to>
      <xdr:col>2</xdr:col>
      <xdr:colOff>112058</xdr:colOff>
      <xdr:row>322</xdr:row>
      <xdr:rowOff>134469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14020" y="68110735"/>
          <a:ext cx="1259840" cy="844550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2</xdr:col>
      <xdr:colOff>481233</xdr:colOff>
      <xdr:row>319</xdr:row>
      <xdr:rowOff>132</xdr:rowOff>
    </xdr:from>
    <xdr:to>
      <xdr:col>4</xdr:col>
      <xdr:colOff>11206</xdr:colOff>
      <xdr:row>320</xdr:row>
      <xdr:rowOff>78631</xdr:rowOff>
    </xdr:to>
    <xdr:sp macro="" textlink="">
      <xdr:nvSpPr>
        <xdr:cNvPr id="50" name="TextBox 1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042795" y="68221225"/>
          <a:ext cx="1320800" cy="27813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</a:t>
          </a:r>
          <a:r>
            <a:rPr lang="en-IN" sz="1200" b="1">
              <a:solidFill>
                <a:srgbClr val="C00000"/>
              </a:solidFill>
            </a:rPr>
            <a:t> B1</a:t>
          </a:r>
        </a:p>
      </xdr:txBody>
    </xdr:sp>
    <xdr:clientData/>
  </xdr:twoCellAnchor>
  <xdr:twoCellAnchor>
    <xdr:from>
      <xdr:col>4</xdr:col>
      <xdr:colOff>324351</xdr:colOff>
      <xdr:row>322</xdr:row>
      <xdr:rowOff>11338</xdr:rowOff>
    </xdr:from>
    <xdr:to>
      <xdr:col>6</xdr:col>
      <xdr:colOff>78442</xdr:colOff>
      <xdr:row>323</xdr:row>
      <xdr:rowOff>89837</xdr:rowOff>
    </xdr:to>
    <xdr:sp macro="" textlink="">
      <xdr:nvSpPr>
        <xdr:cNvPr id="51" name="Text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76650" y="68832095"/>
          <a:ext cx="1316355" cy="27876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</a:t>
          </a:r>
          <a:r>
            <a:rPr lang="en-IN" sz="1200" b="1">
              <a:solidFill>
                <a:srgbClr val="C00000"/>
              </a:solidFill>
            </a:rPr>
            <a:t> C1</a:t>
          </a:r>
        </a:p>
      </xdr:txBody>
    </xdr:sp>
    <xdr:clientData/>
  </xdr:twoCellAnchor>
  <xdr:twoCellAnchor>
    <xdr:from>
      <xdr:col>3</xdr:col>
      <xdr:colOff>447616</xdr:colOff>
      <xdr:row>299</xdr:row>
      <xdr:rowOff>56163</xdr:rowOff>
    </xdr:from>
    <xdr:to>
      <xdr:col>4</xdr:col>
      <xdr:colOff>549088</xdr:colOff>
      <xdr:row>300</xdr:row>
      <xdr:rowOff>134662</xdr:rowOff>
    </xdr:to>
    <xdr:sp macro="" textlink="">
      <xdr:nvSpPr>
        <xdr:cNvPr id="52" name="TextBox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856865" y="64276605"/>
          <a:ext cx="1044575" cy="2787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C00000"/>
              </a:solidFill>
            </a:rPr>
            <a:t>Tower B1</a:t>
          </a:r>
        </a:p>
      </xdr:txBody>
    </xdr:sp>
    <xdr:clientData/>
  </xdr:twoCellAnchor>
  <xdr:twoCellAnchor editAs="oneCell">
    <xdr:from>
      <xdr:col>9</xdr:col>
      <xdr:colOff>56029</xdr:colOff>
      <xdr:row>111</xdr:row>
      <xdr:rowOff>156883</xdr:rowOff>
    </xdr:from>
    <xdr:to>
      <xdr:col>12</xdr:col>
      <xdr:colOff>539934</xdr:colOff>
      <xdr:row>146</xdr:row>
      <xdr:rowOff>594311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42555" y="29417645"/>
          <a:ext cx="2655570" cy="2837180"/>
        </a:xfrm>
        <a:prstGeom prst="rect">
          <a:avLst/>
        </a:prstGeom>
      </xdr:spPr>
    </xdr:pic>
    <xdr:clientData/>
  </xdr:twoCellAnchor>
  <xdr:twoCellAnchor editAs="oneCell">
    <xdr:from>
      <xdr:col>8</xdr:col>
      <xdr:colOff>404647</xdr:colOff>
      <xdr:row>153</xdr:row>
      <xdr:rowOff>194582</xdr:rowOff>
    </xdr:from>
    <xdr:to>
      <xdr:col>17</xdr:col>
      <xdr:colOff>606668</xdr:colOff>
      <xdr:row>176</xdr:row>
      <xdr:rowOff>57612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29120" y="33884235"/>
          <a:ext cx="7212330" cy="4663440"/>
        </a:xfrm>
        <a:prstGeom prst="rect">
          <a:avLst/>
        </a:prstGeom>
      </xdr:spPr>
    </xdr:pic>
    <xdr:clientData/>
  </xdr:twoCellAnchor>
  <xdr:twoCellAnchor editAs="oneCell">
    <xdr:from>
      <xdr:col>8</xdr:col>
      <xdr:colOff>457732</xdr:colOff>
      <xdr:row>43</xdr:row>
      <xdr:rowOff>80722</xdr:rowOff>
    </xdr:from>
    <xdr:to>
      <xdr:col>20</xdr:col>
      <xdr:colOff>96593</xdr:colOff>
      <xdr:row>50</xdr:row>
      <xdr:rowOff>36700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81825" y="9767570"/>
          <a:ext cx="8478520" cy="2060575"/>
        </a:xfrm>
        <a:prstGeom prst="rect">
          <a:avLst/>
        </a:prstGeom>
      </xdr:spPr>
    </xdr:pic>
    <xdr:clientData/>
  </xdr:twoCellAnchor>
  <xdr:twoCellAnchor>
    <xdr:from>
      <xdr:col>9</xdr:col>
      <xdr:colOff>671382</xdr:colOff>
      <xdr:row>266</xdr:row>
      <xdr:rowOff>84854</xdr:rowOff>
    </xdr:from>
    <xdr:to>
      <xdr:col>10</xdr:col>
      <xdr:colOff>424367</xdr:colOff>
      <xdr:row>268</xdr:row>
      <xdr:rowOff>134795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369823" y="58478707"/>
          <a:ext cx="514985" cy="453353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800" b="1"/>
            <a:t>A1</a:t>
          </a:r>
        </a:p>
      </xdr:txBody>
    </xdr:sp>
    <xdr:clientData/>
  </xdr:twoCellAnchor>
  <xdr:twoCellAnchor>
    <xdr:from>
      <xdr:col>12</xdr:col>
      <xdr:colOff>326727</xdr:colOff>
      <xdr:row>265</xdr:row>
      <xdr:rowOff>60724</xdr:rowOff>
    </xdr:from>
    <xdr:to>
      <xdr:col>13</xdr:col>
      <xdr:colOff>46094</xdr:colOff>
      <xdr:row>267</xdr:row>
      <xdr:rowOff>110665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199109" y="58252871"/>
          <a:ext cx="514985" cy="453353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800" b="1"/>
            <a:t>C1</a:t>
          </a:r>
        </a:p>
      </xdr:txBody>
    </xdr:sp>
    <xdr:clientData/>
  </xdr:twoCellAnchor>
  <xdr:twoCellAnchor>
    <xdr:from>
      <xdr:col>11</xdr:col>
      <xdr:colOff>649904</xdr:colOff>
      <xdr:row>259</xdr:row>
      <xdr:rowOff>99235</xdr:rowOff>
    </xdr:from>
    <xdr:to>
      <xdr:col>12</xdr:col>
      <xdr:colOff>462841</xdr:colOff>
      <xdr:row>261</xdr:row>
      <xdr:rowOff>147494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816316" y="57081147"/>
          <a:ext cx="518907" cy="451671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800" b="1"/>
            <a:t>B1</a:t>
          </a:r>
        </a:p>
      </xdr:txBody>
    </xdr:sp>
    <xdr:clientData/>
  </xdr:twoCellAnchor>
  <xdr:twoCellAnchor editAs="oneCell">
    <xdr:from>
      <xdr:col>11</xdr:col>
      <xdr:colOff>495086</xdr:colOff>
      <xdr:row>278</xdr:row>
      <xdr:rowOff>197711</xdr:rowOff>
    </xdr:from>
    <xdr:to>
      <xdr:col>14</xdr:col>
      <xdr:colOff>211985</xdr:colOff>
      <xdr:row>292</xdr:row>
      <xdr:rowOff>128215</xdr:rowOff>
    </xdr:to>
    <xdr:pic>
      <xdr:nvPicPr>
        <xdr:cNvPr id="57" name="Picture 56" descr="https://vsjcllp.vsjadon.com/upload/insp-220619-1525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98166" y="60311891"/>
          <a:ext cx="2117199" cy="270418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321180</xdr:colOff>
      <xdr:row>268</xdr:row>
      <xdr:rowOff>11504</xdr:rowOff>
    </xdr:from>
    <xdr:to>
      <xdr:col>17</xdr:col>
      <xdr:colOff>180549</xdr:colOff>
      <xdr:row>278</xdr:row>
      <xdr:rowOff>78739</xdr:rowOff>
    </xdr:to>
    <xdr:pic>
      <xdr:nvPicPr>
        <xdr:cNvPr id="59" name="Picture 58" descr="https://vsjcllp.vsjadon.com/upload/insp-220619-849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63500" y="58144484"/>
          <a:ext cx="2823549" cy="204843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316700</xdr:colOff>
      <xdr:row>256</xdr:row>
      <xdr:rowOff>190620</xdr:rowOff>
    </xdr:from>
    <xdr:to>
      <xdr:col>17</xdr:col>
      <xdr:colOff>185304</xdr:colOff>
      <xdr:row>267</xdr:row>
      <xdr:rowOff>135254</xdr:rowOff>
    </xdr:to>
    <xdr:pic>
      <xdr:nvPicPr>
        <xdr:cNvPr id="60" name="Picture 59" descr="https://vsjcllp.vsjadon.com/upload/insp-220619-851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9020" y="55953780"/>
          <a:ext cx="2832784" cy="211633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679525</xdr:colOff>
      <xdr:row>251</xdr:row>
      <xdr:rowOff>192741</xdr:rowOff>
    </xdr:from>
    <xdr:to>
      <xdr:col>12</xdr:col>
      <xdr:colOff>752923</xdr:colOff>
      <xdr:row>273</xdr:row>
      <xdr:rowOff>83011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7204150" y="53818491"/>
          <a:ext cx="3407148" cy="4281295"/>
          <a:chOff x="85165" y="56204711"/>
          <a:chExt cx="3437380" cy="4254542"/>
        </a:xfrm>
      </xdr:grpSpPr>
      <xdr:pic>
        <xdr:nvPicPr>
          <xdr:cNvPr id="58" name="Picture 57" descr="https://vsjcllp.vsjadon.com/upload/insp-220619-843.jpg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165" y="56204711"/>
            <a:ext cx="3437380" cy="42545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1" name="Text Box 1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1004534" y="57494362"/>
            <a:ext cx="514985" cy="44750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800" b="1"/>
              <a:t>A1</a:t>
            </a:r>
          </a:p>
        </xdr:txBody>
      </xdr:sp>
      <xdr:sp macro="" textlink="">
        <xdr:nvSpPr>
          <xdr:cNvPr id="62" name="Text Box 1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1824513" y="56707514"/>
            <a:ext cx="516959" cy="44582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800" b="1"/>
              <a:t>B1</a:t>
            </a:r>
          </a:p>
        </xdr:txBody>
      </xdr:sp>
      <xdr:sp macro="" textlink="">
        <xdr:nvSpPr>
          <xdr:cNvPr id="63" name="Text Box 13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661056" y="57626884"/>
            <a:ext cx="506215" cy="44750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1800" b="1"/>
              <a:t>C1</a:t>
            </a:r>
          </a:p>
        </xdr:txBody>
      </xdr:sp>
    </xdr:grpSp>
    <xdr:clientData/>
  </xdr:twoCellAnchor>
  <xdr:twoCellAnchor>
    <xdr:from>
      <xdr:col>8</xdr:col>
      <xdr:colOff>958215</xdr:colOff>
      <xdr:row>272</xdr:row>
      <xdr:rowOff>148590</xdr:rowOff>
    </xdr:from>
    <xdr:to>
      <xdr:col>16</xdr:col>
      <xdr:colOff>330460</xdr:colOff>
      <xdr:row>303</xdr:row>
      <xdr:rowOff>154326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CDF6761-152F-8388-DBA8-E66E29EC4CE9}"/>
            </a:ext>
          </a:extLst>
        </xdr:cNvPr>
        <xdr:cNvGrpSpPr/>
      </xdr:nvGrpSpPr>
      <xdr:grpSpPr>
        <a:xfrm>
          <a:off x="7482840" y="57965340"/>
          <a:ext cx="5773045" cy="6206511"/>
          <a:chOff x="317915" y="182131"/>
          <a:chExt cx="5921635" cy="6147456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18254EC-3A07-BB29-77C2-51F006AA47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90394" y="4169587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06042E8-E1A9-B7DB-5C40-3AD5278B91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8759" y="4169587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13A9B3C-4D47-DF3A-9154-0D7C75FA7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9550" y="182131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F89704B7-6337-73BF-0988-3E40494E3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915" y="182132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TextBox 16">
            <a:extLst>
              <a:ext uri="{FF2B5EF4-FFF2-40B4-BE49-F238E27FC236}">
                <a16:creationId xmlns:a16="http://schemas.microsoft.com/office/drawing/2014/main" id="{92E85954-1DD3-4B01-D878-8E39ACF23AA7}"/>
              </a:ext>
            </a:extLst>
          </xdr:cNvPr>
          <xdr:cNvSpPr txBox="1"/>
        </xdr:nvSpPr>
        <xdr:spPr>
          <a:xfrm>
            <a:off x="3826092" y="936669"/>
            <a:ext cx="38504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A1</a:t>
            </a:r>
            <a:endParaRPr lang="en-IN" sz="1400" b="1"/>
          </a:p>
        </xdr:txBody>
      </xdr:sp>
      <xdr:sp macro="" textlink="">
        <xdr:nvSpPr>
          <xdr:cNvPr id="17" name="TextBox 17">
            <a:extLst>
              <a:ext uri="{FF2B5EF4-FFF2-40B4-BE49-F238E27FC236}">
                <a16:creationId xmlns:a16="http://schemas.microsoft.com/office/drawing/2014/main" id="{EEFD0E9F-F152-5B67-D7EA-97DAEF9F1399}"/>
              </a:ext>
            </a:extLst>
          </xdr:cNvPr>
          <xdr:cNvSpPr txBox="1"/>
        </xdr:nvSpPr>
        <xdr:spPr>
          <a:xfrm>
            <a:off x="2634799" y="1639305"/>
            <a:ext cx="38504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C1</a:t>
            </a:r>
            <a:endParaRPr lang="en-IN" sz="1400" b="1"/>
          </a:p>
        </xdr:txBody>
      </xdr:sp>
      <xdr:sp macro="" textlink="">
        <xdr:nvSpPr>
          <xdr:cNvPr id="18" name="TextBox 18">
            <a:extLst>
              <a:ext uri="{FF2B5EF4-FFF2-40B4-BE49-F238E27FC236}">
                <a16:creationId xmlns:a16="http://schemas.microsoft.com/office/drawing/2014/main" id="{13CC2F80-A3D6-E5C1-4FF1-8E395A950F1D}"/>
              </a:ext>
            </a:extLst>
          </xdr:cNvPr>
          <xdr:cNvSpPr txBox="1"/>
        </xdr:nvSpPr>
        <xdr:spPr>
          <a:xfrm>
            <a:off x="1318077" y="628892"/>
            <a:ext cx="38504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B1</a:t>
            </a:r>
            <a:endParaRPr lang="en-IN" sz="1400" b="1"/>
          </a:p>
        </xdr:txBody>
      </xdr:sp>
      <xdr:sp macro="" textlink="">
        <xdr:nvSpPr>
          <xdr:cNvPr id="19" name="TextBox 19">
            <a:extLst>
              <a:ext uri="{FF2B5EF4-FFF2-40B4-BE49-F238E27FC236}">
                <a16:creationId xmlns:a16="http://schemas.microsoft.com/office/drawing/2014/main" id="{3EBBBFA5-D14B-D739-2D04-7DB1348B0A5D}"/>
              </a:ext>
            </a:extLst>
          </xdr:cNvPr>
          <xdr:cNvSpPr txBox="1"/>
        </xdr:nvSpPr>
        <xdr:spPr>
          <a:xfrm>
            <a:off x="494463" y="1485417"/>
            <a:ext cx="38504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A1</a:t>
            </a:r>
            <a:endParaRPr lang="en-IN" sz="1400" b="1"/>
          </a:p>
        </xdr:txBody>
      </xdr:sp>
      <xdr:sp macro="" textlink="">
        <xdr:nvSpPr>
          <xdr:cNvPr id="20" name="TextBox 20">
            <a:extLst>
              <a:ext uri="{FF2B5EF4-FFF2-40B4-BE49-F238E27FC236}">
                <a16:creationId xmlns:a16="http://schemas.microsoft.com/office/drawing/2014/main" id="{CA2EB49D-8CAE-6B7A-ABC8-321047873C9C}"/>
              </a:ext>
            </a:extLst>
          </xdr:cNvPr>
          <xdr:cNvSpPr txBox="1"/>
        </xdr:nvSpPr>
        <xdr:spPr>
          <a:xfrm>
            <a:off x="4607029" y="237545"/>
            <a:ext cx="38504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B1</a:t>
            </a:r>
            <a:endParaRPr lang="en-IN" sz="1400" b="1"/>
          </a:p>
        </xdr:txBody>
      </xdr:sp>
      <xdr:sp macro="" textlink="">
        <xdr:nvSpPr>
          <xdr:cNvPr id="21" name="TextBox 21">
            <a:extLst>
              <a:ext uri="{FF2B5EF4-FFF2-40B4-BE49-F238E27FC236}">
                <a16:creationId xmlns:a16="http://schemas.microsoft.com/office/drawing/2014/main" id="{CD824D3F-607D-6988-7A17-9D895DBF05BE}"/>
              </a:ext>
            </a:extLst>
          </xdr:cNvPr>
          <xdr:cNvSpPr txBox="1"/>
        </xdr:nvSpPr>
        <xdr:spPr>
          <a:xfrm>
            <a:off x="5608706" y="1511102"/>
            <a:ext cx="38504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C1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323850</xdr:colOff>
      <xdr:row>258</xdr:row>
      <xdr:rowOff>123825</xdr:rowOff>
    </xdr:from>
    <xdr:to>
      <xdr:col>7</xdr:col>
      <xdr:colOff>564358</xdr:colOff>
      <xdr:row>289</xdr:row>
      <xdr:rowOff>173371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0440892-472C-4F7C-ABA4-98A977631A3B}"/>
            </a:ext>
          </a:extLst>
        </xdr:cNvPr>
        <xdr:cNvGrpSpPr/>
      </xdr:nvGrpSpPr>
      <xdr:grpSpPr>
        <a:xfrm>
          <a:off x="323850" y="55149750"/>
          <a:ext cx="5936458" cy="6240796"/>
          <a:chOff x="323850" y="54921150"/>
          <a:chExt cx="5936458" cy="6240796"/>
        </a:xfrm>
      </xdr:grpSpPr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79DEB8DA-8D51-4727-A94E-BEF04CB5EAA7}"/>
              </a:ext>
            </a:extLst>
          </xdr:cNvPr>
          <xdr:cNvGrpSpPr/>
        </xdr:nvGrpSpPr>
        <xdr:grpSpPr>
          <a:xfrm>
            <a:off x="323850" y="54921150"/>
            <a:ext cx="5936458" cy="6240796"/>
            <a:chOff x="460772" y="609601"/>
            <a:chExt cx="5936458" cy="6240796"/>
          </a:xfrm>
        </xdr:grpSpPr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866C8D22-5B06-4487-A0BD-AB205D9566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0772" y="609601"/>
              <a:ext cx="2880000" cy="384400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55F5FA99-09B8-40BF-9279-B979898EAE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17230" y="609601"/>
              <a:ext cx="2880000" cy="384400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3DE7761A-C41E-4912-950A-76DF933167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11272" y="4690396"/>
              <a:ext cx="2877334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B5D3470B-003E-4063-AD68-CDF678A6CD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67730" y="469039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67" name="TextBox 17">
            <a:extLst>
              <a:ext uri="{FF2B5EF4-FFF2-40B4-BE49-F238E27FC236}">
                <a16:creationId xmlns:a16="http://schemas.microsoft.com/office/drawing/2014/main" id="{EB6CF146-89DD-4B3C-ABB0-F1CDF27C8FE6}"/>
              </a:ext>
            </a:extLst>
          </xdr:cNvPr>
          <xdr:cNvSpPr txBox="1"/>
        </xdr:nvSpPr>
        <xdr:spPr>
          <a:xfrm>
            <a:off x="5159394" y="56051759"/>
            <a:ext cx="375380" cy="31073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C1</a:t>
            </a:r>
            <a:endParaRPr lang="en-IN" sz="1400" b="1"/>
          </a:p>
        </xdr:txBody>
      </xdr:sp>
      <xdr:sp macro="" textlink="">
        <xdr:nvSpPr>
          <xdr:cNvPr id="68" name="TextBox 18">
            <a:extLst>
              <a:ext uri="{FF2B5EF4-FFF2-40B4-BE49-F238E27FC236}">
                <a16:creationId xmlns:a16="http://schemas.microsoft.com/office/drawing/2014/main" id="{5BF9BF61-4BAE-41DF-A953-EC16351F9D1C}"/>
              </a:ext>
            </a:extLst>
          </xdr:cNvPr>
          <xdr:cNvSpPr txBox="1"/>
        </xdr:nvSpPr>
        <xdr:spPr>
          <a:xfrm>
            <a:off x="4513887" y="55193565"/>
            <a:ext cx="375380" cy="31073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B1</a:t>
            </a:r>
            <a:endParaRPr lang="en-IN" sz="1400" b="1"/>
          </a:p>
        </xdr:txBody>
      </xdr:sp>
      <xdr:sp macro="" textlink="">
        <xdr:nvSpPr>
          <xdr:cNvPr id="69" name="TextBox 19">
            <a:extLst>
              <a:ext uri="{FF2B5EF4-FFF2-40B4-BE49-F238E27FC236}">
                <a16:creationId xmlns:a16="http://schemas.microsoft.com/office/drawing/2014/main" id="{EFEA2EDE-59E4-4882-B17B-1B0C9FD98DF0}"/>
              </a:ext>
            </a:extLst>
          </xdr:cNvPr>
          <xdr:cNvSpPr txBox="1"/>
        </xdr:nvSpPr>
        <xdr:spPr>
          <a:xfrm>
            <a:off x="3829050" y="55639218"/>
            <a:ext cx="457295" cy="31073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A1</a:t>
            </a:r>
            <a:endParaRPr lang="en-IN" sz="1400" b="1"/>
          </a:p>
        </xdr:txBody>
      </xdr:sp>
      <xdr:sp macro="" textlink="">
        <xdr:nvSpPr>
          <xdr:cNvPr id="70" name="TextBox 17">
            <a:extLst>
              <a:ext uri="{FF2B5EF4-FFF2-40B4-BE49-F238E27FC236}">
                <a16:creationId xmlns:a16="http://schemas.microsoft.com/office/drawing/2014/main" id="{D2A6AA2D-2B51-4ED1-9B75-62A199C83474}"/>
              </a:ext>
            </a:extLst>
          </xdr:cNvPr>
          <xdr:cNvSpPr txBox="1"/>
        </xdr:nvSpPr>
        <xdr:spPr>
          <a:xfrm>
            <a:off x="2339994" y="55994609"/>
            <a:ext cx="375380" cy="31073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C1</a:t>
            </a:r>
            <a:endParaRPr lang="en-IN" sz="1400" b="1"/>
          </a:p>
        </xdr:txBody>
      </xdr:sp>
      <xdr:sp macro="" textlink="">
        <xdr:nvSpPr>
          <xdr:cNvPr id="71" name="TextBox 18">
            <a:extLst>
              <a:ext uri="{FF2B5EF4-FFF2-40B4-BE49-F238E27FC236}">
                <a16:creationId xmlns:a16="http://schemas.microsoft.com/office/drawing/2014/main" id="{35C42E7D-924A-4DC0-9E26-14A2F99CC9F6}"/>
              </a:ext>
            </a:extLst>
          </xdr:cNvPr>
          <xdr:cNvSpPr txBox="1"/>
        </xdr:nvSpPr>
        <xdr:spPr>
          <a:xfrm>
            <a:off x="1627812" y="55136415"/>
            <a:ext cx="375380" cy="31073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B1</a:t>
            </a:r>
            <a:endParaRPr lang="en-IN" sz="1400" b="1"/>
          </a:p>
        </xdr:txBody>
      </xdr:sp>
      <xdr:sp macro="" textlink="">
        <xdr:nvSpPr>
          <xdr:cNvPr id="72" name="TextBox 19">
            <a:extLst>
              <a:ext uri="{FF2B5EF4-FFF2-40B4-BE49-F238E27FC236}">
                <a16:creationId xmlns:a16="http://schemas.microsoft.com/office/drawing/2014/main" id="{38A5A574-F215-4CAA-9491-CD09A10C1807}"/>
              </a:ext>
            </a:extLst>
          </xdr:cNvPr>
          <xdr:cNvSpPr txBox="1"/>
        </xdr:nvSpPr>
        <xdr:spPr>
          <a:xfrm>
            <a:off x="1171575" y="55286793"/>
            <a:ext cx="457295" cy="31073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A1</a:t>
            </a:r>
            <a:endParaRPr lang="en-IN" sz="1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4m7eXrygDyL9jdy7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9"/>
  <sheetViews>
    <sheetView tabSelected="1" view="pageBreakPreview" topLeftCell="A220" zoomScaleNormal="100" zoomScaleSheetLayoutView="100" zoomScalePageLayoutView="70" workbookViewId="0">
      <selection activeCell="J232" sqref="J232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9" ht="46.5" customHeight="1">
      <c r="A1" s="197" t="s">
        <v>0</v>
      </c>
      <c r="B1" s="197"/>
      <c r="C1" s="197"/>
      <c r="D1" s="197"/>
      <c r="E1" s="197"/>
      <c r="F1" s="197"/>
      <c r="G1" s="197"/>
      <c r="H1" s="197"/>
    </row>
    <row r="2" spans="1:9" ht="16.5" customHeight="1">
      <c r="A2" s="125" t="s">
        <v>1</v>
      </c>
      <c r="B2" s="125"/>
      <c r="C2" s="125"/>
      <c r="D2" s="125"/>
      <c r="E2" s="125"/>
      <c r="F2" s="125"/>
      <c r="G2" s="125"/>
      <c r="H2" s="125"/>
    </row>
    <row r="3" spans="1:9">
      <c r="A3" s="61" t="s">
        <v>2</v>
      </c>
      <c r="B3" s="61"/>
      <c r="C3" s="61"/>
      <c r="D3" s="61"/>
      <c r="E3" s="61" t="str">
        <f ca="1">TEXT(TODAY(),"DD/MM/YYYY")</f>
        <v>08/09/2025</v>
      </c>
      <c r="F3" s="61"/>
      <c r="G3" s="61"/>
      <c r="H3" s="61"/>
    </row>
    <row r="4" spans="1:9" ht="15" customHeight="1">
      <c r="A4" s="61" t="s">
        <v>3</v>
      </c>
      <c r="B4" s="61"/>
      <c r="C4" s="61"/>
      <c r="D4" s="61"/>
      <c r="E4" s="61" t="s">
        <v>4</v>
      </c>
      <c r="F4" s="61"/>
      <c r="G4" s="61"/>
      <c r="H4" s="61"/>
    </row>
    <row r="5" spans="1:9">
      <c r="A5" s="61" t="s">
        <v>5</v>
      </c>
      <c r="B5" s="61"/>
      <c r="C5" s="61"/>
      <c r="D5" s="61"/>
      <c r="E5" s="198">
        <v>45906</v>
      </c>
      <c r="F5" s="198"/>
      <c r="G5" s="198"/>
      <c r="H5" s="198"/>
    </row>
    <row r="6" spans="1:9" ht="16.5" customHeight="1">
      <c r="A6" s="61" t="s">
        <v>6</v>
      </c>
      <c r="B6" s="61"/>
      <c r="C6" s="61"/>
      <c r="D6" s="61"/>
      <c r="E6" s="61" t="s">
        <v>7</v>
      </c>
      <c r="F6" s="61"/>
      <c r="G6" s="61"/>
      <c r="H6" s="61"/>
    </row>
    <row r="7" spans="1:9" ht="15" customHeight="1">
      <c r="A7" s="61" t="s">
        <v>8</v>
      </c>
      <c r="B7" s="61"/>
      <c r="C7" s="61"/>
      <c r="D7" s="61"/>
      <c r="E7" s="61" t="str">
        <f>E6</f>
        <v>Dhruva Woollen Mills Pvt Ltd</v>
      </c>
      <c r="F7" s="61"/>
      <c r="G7" s="61"/>
      <c r="H7" s="61"/>
    </row>
    <row r="8" spans="1:9">
      <c r="A8" s="61" t="s">
        <v>9</v>
      </c>
      <c r="B8" s="61"/>
      <c r="C8" s="61"/>
      <c r="D8" s="61"/>
      <c r="E8" s="154" t="s">
        <v>10</v>
      </c>
      <c r="F8" s="154"/>
      <c r="G8" s="154"/>
      <c r="H8" s="154"/>
    </row>
    <row r="9" spans="1:9">
      <c r="A9" s="61" t="s">
        <v>11</v>
      </c>
      <c r="B9" s="61"/>
      <c r="C9" s="61"/>
      <c r="D9" s="61"/>
      <c r="E9" s="61" t="s">
        <v>12</v>
      </c>
      <c r="F9" s="61"/>
      <c r="G9" s="61"/>
      <c r="H9" s="61"/>
    </row>
    <row r="10" spans="1:9" hidden="1">
      <c r="A10" s="61" t="s">
        <v>13</v>
      </c>
      <c r="B10" s="61"/>
      <c r="C10" s="61"/>
      <c r="D10" s="61"/>
      <c r="E10" s="61" t="s">
        <v>14</v>
      </c>
      <c r="F10" s="61"/>
      <c r="G10" s="61"/>
      <c r="H10" s="61"/>
    </row>
    <row r="11" spans="1:9">
      <c r="A11" s="61" t="s">
        <v>15</v>
      </c>
      <c r="B11" s="61"/>
      <c r="C11" s="61"/>
      <c r="D11" s="61"/>
      <c r="E11" s="61" t="s">
        <v>16</v>
      </c>
      <c r="F11" s="61"/>
      <c r="G11" s="61"/>
      <c r="H11" s="61"/>
    </row>
    <row r="12" spans="1:9" ht="18.75" customHeight="1">
      <c r="A12" s="98" t="s">
        <v>17</v>
      </c>
      <c r="B12" s="98"/>
      <c r="C12" s="98"/>
      <c r="D12" s="98"/>
      <c r="E12" s="163" t="s">
        <v>18</v>
      </c>
      <c r="F12" s="163"/>
      <c r="G12" s="163"/>
      <c r="H12" s="163"/>
    </row>
    <row r="13" spans="1:9" s="13" customFormat="1" ht="46.5" customHeight="1">
      <c r="A13" s="61" t="s">
        <v>19</v>
      </c>
      <c r="B13" s="61"/>
      <c r="C13" s="61"/>
      <c r="D13" s="61"/>
      <c r="E13" s="163" t="s">
        <v>20</v>
      </c>
      <c r="F13" s="61"/>
      <c r="G13" s="61"/>
      <c r="H13" s="61"/>
    </row>
    <row r="14" spans="1:9" ht="36" customHeight="1">
      <c r="A14" s="60" t="s">
        <v>21</v>
      </c>
      <c r="B14" s="60"/>
      <c r="C14" s="6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25 Hourlife, Gut No.2/2, 2/5, 7/1 &amp; 7/2, near R-Mall, Ghodbunder Road, Panchpakhadi, Chitalsar Manpada, Thane West, Thane, Thane - 400607.</v>
      </c>
      <c r="D14" s="60"/>
      <c r="E14" s="60"/>
      <c r="F14" s="60"/>
      <c r="G14" s="60"/>
      <c r="H14" s="60"/>
    </row>
    <row r="15" spans="1:9">
      <c r="A15" s="163" t="s">
        <v>22</v>
      </c>
      <c r="B15" s="163"/>
      <c r="C15" s="163" t="s">
        <v>23</v>
      </c>
      <c r="D15" s="163"/>
      <c r="E15" s="163"/>
      <c r="F15" s="163"/>
      <c r="G15" s="163"/>
      <c r="H15" s="163"/>
    </row>
    <row r="16" spans="1:9" ht="15.75" customHeight="1">
      <c r="A16" s="163" t="s">
        <v>24</v>
      </c>
      <c r="B16" s="163"/>
      <c r="C16" s="163" t="s">
        <v>25</v>
      </c>
      <c r="D16" s="163"/>
      <c r="E16" s="163"/>
      <c r="F16" s="163"/>
      <c r="G16" s="163"/>
      <c r="H16" s="163"/>
      <c r="I16" s="25"/>
    </row>
    <row r="17" spans="1:8" ht="15.75" customHeight="1">
      <c r="A17" s="60" t="s">
        <v>26</v>
      </c>
      <c r="B17" s="60"/>
      <c r="C17" s="61" t="s">
        <v>27</v>
      </c>
      <c r="D17" s="61"/>
      <c r="E17" s="60" t="s">
        <v>28</v>
      </c>
      <c r="F17" s="60"/>
      <c r="G17" s="163" t="s">
        <v>29</v>
      </c>
      <c r="H17" s="163"/>
    </row>
    <row r="18" spans="1:8">
      <c r="A18" s="98" t="s">
        <v>30</v>
      </c>
      <c r="B18" s="98"/>
      <c r="C18" s="163" t="s">
        <v>31</v>
      </c>
      <c r="D18" s="163"/>
      <c r="E18" s="60" t="s">
        <v>32</v>
      </c>
      <c r="F18" s="60"/>
      <c r="G18" s="196" t="s">
        <v>33</v>
      </c>
      <c r="H18" s="196"/>
    </row>
    <row r="19" spans="1:8">
      <c r="A19" s="98" t="s">
        <v>34</v>
      </c>
      <c r="B19" s="98"/>
      <c r="C19" s="163" t="s">
        <v>33</v>
      </c>
      <c r="D19" s="163"/>
      <c r="E19" s="60" t="s">
        <v>35</v>
      </c>
      <c r="F19" s="60"/>
      <c r="G19" s="163">
        <v>400607</v>
      </c>
      <c r="H19" s="163"/>
    </row>
    <row r="20" spans="1:8" ht="32.25" customHeight="1">
      <c r="A20" s="98" t="s">
        <v>36</v>
      </c>
      <c r="B20" s="98"/>
      <c r="C20" s="163" t="s">
        <v>37</v>
      </c>
      <c r="D20" s="163"/>
      <c r="E20" s="60" t="s">
        <v>38</v>
      </c>
      <c r="F20" s="60"/>
      <c r="G20" s="163" t="s">
        <v>39</v>
      </c>
      <c r="H20" s="163"/>
    </row>
    <row r="21" spans="1:8" ht="15" customHeight="1">
      <c r="A21" s="60" t="s">
        <v>40</v>
      </c>
      <c r="B21" s="60"/>
      <c r="C21" s="60"/>
      <c r="D21" s="60"/>
      <c r="E21" s="61" t="s">
        <v>41</v>
      </c>
      <c r="F21" s="61"/>
      <c r="G21" s="61"/>
      <c r="H21" s="61"/>
    </row>
    <row r="22" spans="1:8" ht="18.75" customHeight="1">
      <c r="A22" s="60"/>
      <c r="B22" s="60"/>
      <c r="C22" s="60"/>
      <c r="D22" s="60"/>
      <c r="E22" s="61"/>
      <c r="F22" s="61"/>
      <c r="G22" s="61"/>
      <c r="H22" s="61"/>
    </row>
    <row r="23" spans="1:8" ht="15" customHeight="1">
      <c r="A23" s="60" t="s">
        <v>42</v>
      </c>
      <c r="B23" s="60"/>
      <c r="C23" s="60"/>
      <c r="D23" s="60"/>
      <c r="E23" s="163" t="s">
        <v>43</v>
      </c>
      <c r="F23" s="163"/>
      <c r="G23" s="163"/>
      <c r="H23" s="163"/>
    </row>
    <row r="24" spans="1:8" ht="15" customHeight="1">
      <c r="A24" s="98" t="s">
        <v>44</v>
      </c>
      <c r="B24" s="98"/>
      <c r="C24" s="98"/>
      <c r="D24" s="98"/>
      <c r="E24" s="163" t="str">
        <f>IF(AND(G18="Mumbai"),"Upper Class","Middle Class")</f>
        <v>Middle Class</v>
      </c>
      <c r="F24" s="163"/>
      <c r="G24" s="163"/>
      <c r="H24" s="163"/>
    </row>
    <row r="25" spans="1:8">
      <c r="A25" s="98" t="s">
        <v>45</v>
      </c>
      <c r="B25" s="98"/>
      <c r="C25" s="98"/>
      <c r="D25" s="98"/>
      <c r="E25" s="163" t="s">
        <v>46</v>
      </c>
      <c r="F25" s="163"/>
      <c r="G25" s="163"/>
      <c r="H25" s="163"/>
    </row>
    <row r="26" spans="1:8" ht="15.75" customHeight="1">
      <c r="A26" s="98" t="s">
        <v>47</v>
      </c>
      <c r="B26" s="98"/>
      <c r="C26" s="98"/>
      <c r="D26" s="98"/>
      <c r="E26" s="163" t="str">
        <f>IF(AND(G18="Mumbai"),"Developed","Developing")</f>
        <v>Developing</v>
      </c>
      <c r="F26" s="163"/>
      <c r="G26" s="163"/>
      <c r="H26" s="163"/>
    </row>
    <row r="27" spans="1:8">
      <c r="A27" s="98" t="s">
        <v>48</v>
      </c>
      <c r="B27" s="98"/>
      <c r="C27" s="98"/>
      <c r="D27" s="98"/>
      <c r="E27" s="163" t="s">
        <v>49</v>
      </c>
      <c r="F27" s="163"/>
      <c r="G27" s="163"/>
      <c r="H27" s="163"/>
    </row>
    <row r="28" spans="1:8" ht="15.75" customHeight="1">
      <c r="A28" s="98" t="s">
        <v>50</v>
      </c>
      <c r="B28" s="98"/>
      <c r="C28" s="98"/>
      <c r="D28" s="98"/>
      <c r="E28" s="163" t="s">
        <v>51</v>
      </c>
      <c r="F28" s="163"/>
      <c r="G28" s="163"/>
      <c r="H28" s="163"/>
    </row>
    <row r="29" spans="1:8" ht="15" customHeight="1">
      <c r="A29" s="98" t="s">
        <v>52</v>
      </c>
      <c r="B29" s="98"/>
      <c r="C29" s="98"/>
      <c r="D29" s="98"/>
      <c r="E29" s="163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63"/>
      <c r="G29" s="163"/>
      <c r="H29" s="163"/>
    </row>
    <row r="30" spans="1:8" ht="15.75" customHeight="1">
      <c r="A30" s="98" t="s">
        <v>53</v>
      </c>
      <c r="B30" s="98"/>
      <c r="C30" s="98"/>
      <c r="D30" s="98"/>
      <c r="E30" s="163" t="s">
        <v>54</v>
      </c>
      <c r="F30" s="163"/>
      <c r="G30" s="163"/>
      <c r="H30" s="163"/>
    </row>
    <row r="31" spans="1:8" s="14" customFormat="1">
      <c r="A31" s="194" t="s">
        <v>55</v>
      </c>
      <c r="B31" s="194"/>
      <c r="C31" s="195" t="s">
        <v>56</v>
      </c>
      <c r="D31" s="195"/>
      <c r="E31" s="195"/>
      <c r="F31" s="195" t="s">
        <v>57</v>
      </c>
      <c r="G31" s="195"/>
      <c r="H31" s="195"/>
    </row>
    <row r="32" spans="1:8" s="14" customFormat="1">
      <c r="A32" s="189" t="s">
        <v>58</v>
      </c>
      <c r="B32" s="189" t="s">
        <v>59</v>
      </c>
      <c r="C32" s="190" t="s">
        <v>60</v>
      </c>
      <c r="D32" s="190"/>
      <c r="E32" s="190"/>
      <c r="F32" s="158" t="s">
        <v>61</v>
      </c>
      <c r="G32" s="190"/>
      <c r="H32" s="190"/>
    </row>
    <row r="33" spans="1:8">
      <c r="A33" s="189" t="s">
        <v>62</v>
      </c>
      <c r="B33" s="189" t="s">
        <v>59</v>
      </c>
      <c r="C33" s="190" t="s">
        <v>63</v>
      </c>
      <c r="D33" s="190"/>
      <c r="E33" s="190"/>
      <c r="F33" s="190" t="s">
        <v>64</v>
      </c>
      <c r="G33" s="190"/>
      <c r="H33" s="190"/>
    </row>
    <row r="34" spans="1:8" s="14" customFormat="1">
      <c r="A34" s="189" t="s">
        <v>65</v>
      </c>
      <c r="B34" s="189" t="s">
        <v>59</v>
      </c>
      <c r="C34" s="190" t="s">
        <v>66</v>
      </c>
      <c r="D34" s="190"/>
      <c r="E34" s="190"/>
      <c r="F34" s="190" t="s">
        <v>67</v>
      </c>
      <c r="G34" s="190"/>
      <c r="H34" s="190"/>
    </row>
    <row r="35" spans="1:8">
      <c r="A35" s="189" t="s">
        <v>68</v>
      </c>
      <c r="B35" s="189" t="s">
        <v>59</v>
      </c>
      <c r="C35" s="190" t="s">
        <v>69</v>
      </c>
      <c r="D35" s="190"/>
      <c r="E35" s="190"/>
      <c r="F35" s="190" t="s">
        <v>70</v>
      </c>
      <c r="G35" s="190"/>
      <c r="H35" s="190"/>
    </row>
    <row r="36" spans="1:8">
      <c r="A36" s="98" t="s">
        <v>71</v>
      </c>
      <c r="B36" s="98"/>
      <c r="C36" s="98"/>
      <c r="D36" s="98"/>
      <c r="E36" s="98"/>
      <c r="F36" s="98"/>
      <c r="G36" s="98"/>
      <c r="H36" s="98"/>
    </row>
    <row r="37" spans="1:8" ht="15.75" customHeight="1">
      <c r="A37" s="125" t="s">
        <v>72</v>
      </c>
      <c r="B37" s="125"/>
      <c r="C37" s="191" t="s">
        <v>73</v>
      </c>
      <c r="D37" s="192"/>
      <c r="E37" s="192"/>
      <c r="F37" s="192"/>
      <c r="G37" s="192"/>
      <c r="H37" s="193"/>
    </row>
    <row r="38" spans="1:8">
      <c r="A38" s="125" t="s">
        <v>74</v>
      </c>
      <c r="B38" s="125"/>
      <c r="C38" s="187" t="s">
        <v>75</v>
      </c>
      <c r="D38" s="163"/>
      <c r="E38" s="163"/>
      <c r="F38" s="163"/>
      <c r="G38" s="163"/>
      <c r="H38" s="163"/>
    </row>
    <row r="39" spans="1:8">
      <c r="A39" s="141" t="s">
        <v>76</v>
      </c>
      <c r="B39" s="141"/>
      <c r="C39" s="141"/>
      <c r="D39" s="141"/>
      <c r="E39" s="141"/>
      <c r="F39" s="141"/>
      <c r="G39" s="141"/>
      <c r="H39" s="141"/>
    </row>
    <row r="40" spans="1:8">
      <c r="A40" s="98" t="s">
        <v>77</v>
      </c>
      <c r="B40" s="98"/>
      <c r="C40" s="98"/>
      <c r="D40" s="98"/>
      <c r="E40" s="188">
        <v>49701.66</v>
      </c>
      <c r="F40" s="188"/>
      <c r="G40" s="188"/>
      <c r="H40" s="188"/>
    </row>
    <row r="41" spans="1:8">
      <c r="A41" s="98" t="s">
        <v>78</v>
      </c>
      <c r="B41" s="98"/>
      <c r="C41" s="98"/>
      <c r="D41" s="98"/>
      <c r="E41" s="182">
        <f>54671.83/E40</f>
        <v>1.1000000804802093</v>
      </c>
      <c r="F41" s="182"/>
      <c r="G41" s="182"/>
      <c r="H41" s="182"/>
    </row>
    <row r="42" spans="1:8">
      <c r="A42" s="98" t="s">
        <v>79</v>
      </c>
      <c r="B42" s="98"/>
      <c r="C42" s="98"/>
      <c r="D42" s="98"/>
      <c r="E42" s="182">
        <f>E44/E40-E41</f>
        <v>1.3948089460191064</v>
      </c>
      <c r="F42" s="182"/>
      <c r="G42" s="182"/>
      <c r="H42" s="182"/>
    </row>
    <row r="43" spans="1:8">
      <c r="A43" s="98" t="s">
        <v>80</v>
      </c>
      <c r="B43" s="98"/>
      <c r="C43" s="98"/>
      <c r="D43" s="98"/>
      <c r="E43" s="182">
        <f>E41+E42</f>
        <v>2.4948090264993157</v>
      </c>
      <c r="F43" s="182"/>
      <c r="G43" s="182"/>
      <c r="H43" s="182"/>
    </row>
    <row r="44" spans="1:8">
      <c r="A44" s="98" t="s">
        <v>81</v>
      </c>
      <c r="B44" s="98"/>
      <c r="C44" s="98"/>
      <c r="D44" s="98"/>
      <c r="E44" s="183">
        <v>123996.15</v>
      </c>
      <c r="F44" s="183"/>
      <c r="G44" s="183"/>
      <c r="H44" s="183"/>
    </row>
    <row r="45" spans="1:8">
      <c r="A45" s="61" t="s">
        <v>82</v>
      </c>
      <c r="B45" s="61"/>
      <c r="C45" s="61"/>
      <c r="D45" s="61"/>
      <c r="E45" s="61" t="s">
        <v>83</v>
      </c>
      <c r="F45" s="61"/>
      <c r="G45" s="61"/>
      <c r="H45" s="61"/>
    </row>
    <row r="46" spans="1:8">
      <c r="A46" s="141" t="s">
        <v>84</v>
      </c>
      <c r="B46" s="141"/>
      <c r="C46" s="141"/>
      <c r="D46" s="141"/>
      <c r="E46" s="141"/>
      <c r="F46" s="141"/>
      <c r="G46" s="141"/>
      <c r="H46" s="141"/>
    </row>
    <row r="47" spans="1:8" ht="33.75" customHeight="1">
      <c r="A47" s="172" t="s">
        <v>85</v>
      </c>
      <c r="B47" s="174"/>
      <c r="C47" s="184" t="s">
        <v>86</v>
      </c>
      <c r="D47" s="185"/>
      <c r="E47" s="185"/>
      <c r="F47" s="185"/>
      <c r="G47" s="185"/>
      <c r="H47" s="186"/>
    </row>
    <row r="48" spans="1:8" ht="31.5" customHeight="1">
      <c r="A48" s="172" t="s">
        <v>87</v>
      </c>
      <c r="B48" s="174"/>
      <c r="C48" s="172" t="s">
        <v>88</v>
      </c>
      <c r="D48" s="173"/>
      <c r="E48" s="174"/>
      <c r="F48" s="23" t="s">
        <v>89</v>
      </c>
      <c r="G48" s="175" t="s">
        <v>90</v>
      </c>
      <c r="H48" s="176"/>
    </row>
    <row r="49" spans="1:14" ht="31.5" customHeight="1">
      <c r="A49" s="172" t="s">
        <v>91</v>
      </c>
      <c r="B49" s="174"/>
      <c r="C49" s="172" t="str">
        <f>C48</f>
        <v>S05/0218/22/TMC/TD-DP/
TPS/4482/23</v>
      </c>
      <c r="D49" s="173"/>
      <c r="E49" s="174"/>
      <c r="F49" s="23" t="s">
        <v>89</v>
      </c>
      <c r="G49" s="175" t="str">
        <f>G48</f>
        <v>31/10/2023</v>
      </c>
      <c r="H49" s="176"/>
    </row>
    <row r="50" spans="1:14" s="13" customFormat="1" ht="21.75" customHeight="1">
      <c r="A50" s="62" t="s">
        <v>92</v>
      </c>
      <c r="B50" s="63"/>
      <c r="C50" s="172" t="s">
        <v>93</v>
      </c>
      <c r="D50" s="173"/>
      <c r="E50" s="174"/>
      <c r="F50" s="23" t="s">
        <v>89</v>
      </c>
      <c r="G50" s="175" t="str">
        <f>G49</f>
        <v>31/10/2023</v>
      </c>
      <c r="H50" s="176"/>
    </row>
    <row r="51" spans="1:14" s="13" customFormat="1" ht="36.75" customHeight="1">
      <c r="A51" s="64"/>
      <c r="B51" s="65"/>
      <c r="C51" s="172" t="s">
        <v>94</v>
      </c>
      <c r="D51" s="173"/>
      <c r="E51" s="173"/>
      <c r="F51" s="173"/>
      <c r="G51" s="173"/>
      <c r="H51" s="174"/>
    </row>
    <row r="52" spans="1:14" s="13" customFormat="1" ht="33.75" customHeight="1">
      <c r="A52" s="62" t="s">
        <v>92</v>
      </c>
      <c r="B52" s="63"/>
      <c r="C52" s="172" t="s">
        <v>95</v>
      </c>
      <c r="D52" s="173"/>
      <c r="E52" s="174"/>
      <c r="F52" s="23" t="s">
        <v>89</v>
      </c>
      <c r="G52" s="175" t="s">
        <v>96</v>
      </c>
      <c r="H52" s="176"/>
    </row>
    <row r="53" spans="1:14" s="13" customFormat="1" ht="36.75" customHeight="1">
      <c r="A53" s="64"/>
      <c r="B53" s="65"/>
      <c r="C53" s="172" t="s">
        <v>97</v>
      </c>
      <c r="D53" s="173"/>
      <c r="E53" s="173"/>
      <c r="F53" s="173"/>
      <c r="G53" s="173"/>
      <c r="H53" s="174"/>
    </row>
    <row r="54" spans="1:14">
      <c r="A54" s="177" t="s">
        <v>98</v>
      </c>
      <c r="B54" s="178"/>
      <c r="C54" s="177" t="s">
        <v>99</v>
      </c>
      <c r="D54" s="179"/>
      <c r="E54" s="178"/>
      <c r="F54" s="24" t="s">
        <v>89</v>
      </c>
      <c r="G54" s="180" t="s">
        <v>59</v>
      </c>
      <c r="H54" s="181"/>
    </row>
    <row r="55" spans="1:14">
      <c r="A55" s="103" t="s">
        <v>100</v>
      </c>
      <c r="B55" s="103"/>
      <c r="C55" s="103"/>
      <c r="D55" s="103"/>
      <c r="E55" s="103"/>
      <c r="F55" s="103"/>
      <c r="G55" s="103"/>
      <c r="H55" s="103"/>
    </row>
    <row r="56" spans="1:14" ht="33.75" customHeight="1">
      <c r="A56" s="60" t="s">
        <v>101</v>
      </c>
      <c r="B56" s="60"/>
      <c r="C56" s="60"/>
      <c r="D56" s="98">
        <f>(35959.49+39855+33243.03)</f>
        <v>109057.51999999999</v>
      </c>
      <c r="E56" s="98"/>
      <c r="F56" s="98"/>
      <c r="G56" s="98"/>
      <c r="H56" s="98"/>
    </row>
    <row r="57" spans="1:14">
      <c r="A57" s="163" t="s">
        <v>102</v>
      </c>
      <c r="B57" s="61"/>
      <c r="C57" s="61"/>
      <c r="D57" s="61" t="s">
        <v>103</v>
      </c>
      <c r="E57" s="61"/>
      <c r="F57" s="61"/>
      <c r="G57" s="61"/>
      <c r="H57" s="61"/>
      <c r="I57" s="26" t="s">
        <v>104</v>
      </c>
    </row>
    <row r="58" spans="1:14" ht="30.75" customHeight="1">
      <c r="A58" s="66" t="s">
        <v>105</v>
      </c>
      <c r="B58" s="67"/>
      <c r="C58" s="68"/>
      <c r="D58" s="161" t="s">
        <v>106</v>
      </c>
      <c r="E58" s="165"/>
      <c r="F58" s="165"/>
      <c r="G58" s="165"/>
      <c r="H58" s="165"/>
      <c r="J58" s="20" t="s">
        <v>107</v>
      </c>
    </row>
    <row r="59" spans="1:14" ht="30.75" customHeight="1">
      <c r="A59" s="66" t="s">
        <v>108</v>
      </c>
      <c r="B59" s="67"/>
      <c r="C59" s="68"/>
      <c r="D59" s="166" t="s">
        <v>109</v>
      </c>
      <c r="E59" s="167"/>
      <c r="F59" s="167"/>
      <c r="G59" s="167"/>
      <c r="H59" s="168"/>
      <c r="I59" s="25" t="s">
        <v>110</v>
      </c>
    </row>
    <row r="60" spans="1:14" ht="30.75" customHeight="1">
      <c r="A60" s="69"/>
      <c r="B60" s="70"/>
      <c r="C60" s="71"/>
      <c r="D60" s="166" t="s">
        <v>111</v>
      </c>
      <c r="E60" s="167"/>
      <c r="F60" s="167"/>
      <c r="G60" s="167"/>
      <c r="H60" s="168"/>
      <c r="I60" s="25"/>
    </row>
    <row r="61" spans="1:14" ht="32.25" customHeight="1">
      <c r="A61" s="72"/>
      <c r="B61" s="73"/>
      <c r="C61" s="74"/>
      <c r="D61" s="166" t="s">
        <v>112</v>
      </c>
      <c r="E61" s="169"/>
      <c r="F61" s="169"/>
      <c r="G61" s="169"/>
      <c r="H61" s="170"/>
      <c r="I61" s="25" t="s">
        <v>110</v>
      </c>
    </row>
    <row r="62" spans="1:14" ht="37.5" customHeight="1">
      <c r="A62" s="98" t="s">
        <v>113</v>
      </c>
      <c r="B62" s="98"/>
      <c r="C62" s="98"/>
      <c r="D62" s="171" t="s">
        <v>114</v>
      </c>
      <c r="E62" s="171"/>
      <c r="F62" s="171"/>
      <c r="G62" s="171"/>
      <c r="H62" s="171"/>
      <c r="J62" s="27"/>
      <c r="K62" s="26"/>
      <c r="N62" s="26"/>
    </row>
    <row r="63" spans="1:14" ht="15.75" customHeight="1">
      <c r="A63" s="98" t="s">
        <v>115</v>
      </c>
      <c r="B63" s="98"/>
      <c r="C63" s="98"/>
      <c r="D63" s="162" t="str">
        <f>(IF(G54="NA","60 Years After Completion",IF(G54&lt;&gt;"NA",""&amp;60-ROUNDDOWN((E3-G54)/360,0)&amp;" Years"," ")))</f>
        <v>60 Years After Completion</v>
      </c>
      <c r="E63" s="162"/>
      <c r="F63" s="162"/>
      <c r="G63" s="162"/>
      <c r="H63" s="162"/>
      <c r="N63" s="26"/>
    </row>
    <row r="64" spans="1:14" ht="15.75" customHeight="1">
      <c r="A64" s="98" t="s">
        <v>116</v>
      </c>
      <c r="B64" s="98"/>
      <c r="C64" s="98"/>
      <c r="D64" s="60" t="s">
        <v>49</v>
      </c>
      <c r="E64" s="60"/>
      <c r="F64" s="60"/>
      <c r="G64" s="60"/>
      <c r="H64" s="60"/>
      <c r="J64" s="28"/>
      <c r="K64" s="28"/>
    </row>
    <row r="65" spans="1:14" ht="49.9" customHeight="1">
      <c r="A65" s="98" t="s">
        <v>117</v>
      </c>
      <c r="B65" s="98"/>
      <c r="C65" s="98"/>
      <c r="D65" s="163" t="s">
        <v>250</v>
      </c>
      <c r="E65" s="60"/>
      <c r="F65" s="60"/>
      <c r="G65" s="60"/>
      <c r="H65" s="60"/>
    </row>
    <row r="66" spans="1:14">
      <c r="A66" s="60" t="s">
        <v>118</v>
      </c>
      <c r="B66" s="60"/>
      <c r="C66" s="60"/>
      <c r="D66" s="60" t="s">
        <v>59</v>
      </c>
      <c r="E66" s="60"/>
      <c r="F66" s="60"/>
      <c r="G66" s="60"/>
      <c r="H66" s="60"/>
      <c r="I66" s="37"/>
      <c r="J66" s="37"/>
      <c r="K66" s="37"/>
      <c r="L66" s="37"/>
      <c r="M66" s="37"/>
      <c r="N66" s="37"/>
    </row>
    <row r="67" spans="1:14" ht="15.75" customHeight="1">
      <c r="A67" s="164" t="s">
        <v>119</v>
      </c>
      <c r="B67" s="164"/>
      <c r="C67" s="164"/>
      <c r="D67" s="161" t="str">
        <f ca="1">(IF(G87&gt;95%,"Nothing",IF(G87&gt;0%,"Cement, Aggregate, Steel, etc",IF(G87=0%,"Work not yet Started"))))</f>
        <v>Cement, Aggregate, Steel, etc</v>
      </c>
      <c r="E67" s="161"/>
      <c r="F67" s="161"/>
      <c r="G67" s="161"/>
      <c r="H67" s="161"/>
      <c r="J67" s="28"/>
    </row>
    <row r="68" spans="1:14" ht="33.75" customHeight="1">
      <c r="A68" s="160" t="s">
        <v>120</v>
      </c>
      <c r="B68" s="160"/>
      <c r="C68" s="160"/>
      <c r="D68" s="161" t="str">
        <f ca="1">(IF(D67="Nothing","Yes",IF(D67="Cement, Aggregate, Steel, etc","Under Construction",IF(D67="Work not yet Started","Work not yet Started"))))</f>
        <v>Under Construction</v>
      </c>
      <c r="E68" s="161"/>
      <c r="F68" s="161" t="str">
        <f ca="1">(IF(D67="Nothing","Yes",IF(D67="Cement, Aggregate, Steel, etc","Under Construction",IF(D67="Work not yet Started","Work not yet Started"))))</f>
        <v>Under Construction</v>
      </c>
      <c r="G68" s="161"/>
      <c r="H68" s="161"/>
    </row>
    <row r="69" spans="1:14" ht="31.5" customHeight="1">
      <c r="A69" s="148" t="s">
        <v>121</v>
      </c>
      <c r="B69" s="149"/>
      <c r="C69" s="150" t="str">
        <f>D59</f>
        <v>Building Type A1 = 2P Lvl + Gr/P3+ P4 to P6 + 1st to 26th + Service Floor + 27th to 50th Floor</v>
      </c>
      <c r="D69" s="151"/>
      <c r="E69" s="151"/>
      <c r="F69" s="151"/>
      <c r="G69" s="151"/>
      <c r="H69" s="152"/>
      <c r="I69" s="38" t="str">
        <f ca="1">IF(D82=100%,"All work Completed. Possession granted to the Building.",IF(D81=100%,"All work Completed, Waiting for OC",I70&amp;""&amp;I71&amp;""&amp;J70&amp;""&amp;J69&amp;" "&amp;J71))</f>
        <v>Excavation, Plinth Completed, RCC upto 22 Slab, Brickwork upto 18 Floor, Internal Plaster upto 13.5 Floor, External Plaster upto 11.7 Floor Completed</v>
      </c>
      <c r="J69" s="3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22 Slab, Brickwork upto 18 Floor, Internal Plaster upto 13.5 Floor, External Plaster upto 11.7 Floor</v>
      </c>
    </row>
    <row r="70" spans="1:14">
      <c r="A70" s="29" t="s">
        <v>122</v>
      </c>
      <c r="B70" s="21">
        <v>2</v>
      </c>
      <c r="C70" s="21" t="s">
        <v>123</v>
      </c>
      <c r="D70" s="21">
        <v>1</v>
      </c>
      <c r="E70" s="21" t="s">
        <v>124</v>
      </c>
      <c r="F70" s="21">
        <v>3</v>
      </c>
      <c r="G70" s="21" t="s">
        <v>125</v>
      </c>
      <c r="H70" s="30">
        <f ca="1">--TRIM(RIGHT(SUBSTITUTE(LEFT(C69,_xlfn.AGGREGATE(16,6,FIND({0,1,2,3,4,5,6,7,8,9},C69,ROW(INDIRECT("1:"&amp;LEN(C69)))),1))," ",REPT(" ",LEN(C69))),LEN(C69)))</f>
        <v>50</v>
      </c>
      <c r="I70" s="4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4.5" customHeight="1">
      <c r="A71" s="153" t="s">
        <v>126</v>
      </c>
      <c r="B71" s="154"/>
      <c r="C71" s="155" t="str">
        <f ca="1">I69</f>
        <v>Excavation, Plinth Completed, RCC upto 22 Slab, Brickwork upto 18 Floor, Internal Plaster upto 13.5 Floor, External Plaster upto 11.7 Floor Completed</v>
      </c>
      <c r="D71" s="155"/>
      <c r="E71" s="155"/>
      <c r="F71" s="155"/>
      <c r="G71" s="155"/>
      <c r="H71" s="156"/>
      <c r="I71" s="40" t="str">
        <f ca="1">IF(I70&lt;&gt;""," Completed","")</f>
        <v xml:space="preserve"> Completed</v>
      </c>
      <c r="J71" s="41" t="str">
        <f ca="1">IF(J69&lt;&gt;"","Completed","")</f>
        <v>Completed</v>
      </c>
    </row>
    <row r="72" spans="1:14" ht="15.75" customHeight="1">
      <c r="A72" s="157" t="s">
        <v>127</v>
      </c>
      <c r="B72" s="158"/>
      <c r="C72" s="22" t="s">
        <v>128</v>
      </c>
      <c r="D72" s="22" t="s">
        <v>129</v>
      </c>
      <c r="E72" s="158" t="s">
        <v>130</v>
      </c>
      <c r="F72" s="158"/>
      <c r="G72" s="158" t="s">
        <v>131</v>
      </c>
      <c r="H72" s="159"/>
      <c r="I72" s="42" t="s">
        <v>132</v>
      </c>
      <c r="J72" s="43">
        <f ca="1">H70*25%</f>
        <v>12.5</v>
      </c>
    </row>
    <row r="73" spans="1:14">
      <c r="A73" s="143" t="s">
        <v>133</v>
      </c>
      <c r="B73" s="144"/>
      <c r="C73" s="31">
        <f ca="1">J74</f>
        <v>50</v>
      </c>
      <c r="D73" s="32">
        <f ca="1">((100/H70)*C73)/100</f>
        <v>1</v>
      </c>
      <c r="E73" s="79">
        <f ca="1">(((C74/H70*10)+(40/(D70+F70+H70)*C75)+(7.5/(H70)*C76)+(7.5/(H70)*C77)+(10/H70*C78)+(10/H70*C79)+(5/H70*C80)+(5/H70*C81)+(5/H70*C82))/100)</f>
        <v>0.33361296296296294</v>
      </c>
      <c r="F73" s="80"/>
      <c r="G73" s="79">
        <f ca="1">((((C73/H70)*20)+((C74/H70)*25)+(30/(H70+F70+D70)*C75)+(5/H70*C76)+(5/H70*C77)+(5/H70*C78)+(5/H70*C79)+(0/H70*C80)+(0/H70*C81)+(5/H70*C82))/100)</f>
        <v>0.6154222222222222</v>
      </c>
      <c r="H73" s="85"/>
      <c r="I73" s="42" t="s">
        <v>134</v>
      </c>
      <c r="J73" s="44">
        <f ca="1">H70*50%</f>
        <v>25</v>
      </c>
    </row>
    <row r="74" spans="1:14">
      <c r="A74" s="143" t="s">
        <v>135</v>
      </c>
      <c r="B74" s="144"/>
      <c r="C74" s="33">
        <v>50</v>
      </c>
      <c r="D74" s="32">
        <f ca="1">((100/H70)*C74)/100</f>
        <v>1</v>
      </c>
      <c r="E74" s="81"/>
      <c r="F74" s="82"/>
      <c r="G74" s="81"/>
      <c r="H74" s="86"/>
      <c r="I74" s="42" t="s">
        <v>136</v>
      </c>
      <c r="J74" s="44">
        <f ca="1">H70</f>
        <v>50</v>
      </c>
    </row>
    <row r="75" spans="1:14" ht="15.75" customHeight="1">
      <c r="A75" s="143" t="s">
        <v>137</v>
      </c>
      <c r="B75" s="144"/>
      <c r="C75" s="31">
        <v>22</v>
      </c>
      <c r="D75" s="32">
        <f ca="1">((100/(D70+F70+H70))*C75)/100</f>
        <v>0.40740740740740738</v>
      </c>
      <c r="E75" s="81"/>
      <c r="F75" s="82"/>
      <c r="G75" s="81"/>
      <c r="H75" s="86"/>
      <c r="I75" s="42" t="s">
        <v>138</v>
      </c>
      <c r="J75" s="45">
        <f ca="1">(IF(B70&gt;1,(H70/(B70+2)),H70/4))</f>
        <v>12.5</v>
      </c>
    </row>
    <row r="76" spans="1:14" ht="15.75" customHeight="1">
      <c r="A76" s="143" t="s">
        <v>139</v>
      </c>
      <c r="B76" s="144" t="s">
        <v>140</v>
      </c>
      <c r="C76" s="31">
        <f>C75-F70-D70</f>
        <v>18</v>
      </c>
      <c r="D76" s="32">
        <f ca="1">((100/H70)*C76)/100</f>
        <v>0.36</v>
      </c>
      <c r="E76" s="81"/>
      <c r="F76" s="82"/>
      <c r="G76" s="81"/>
      <c r="H76" s="86"/>
      <c r="I76" s="42" t="s">
        <v>141</v>
      </c>
      <c r="J76" s="45">
        <f ca="1">(IF(B70&gt;1,(H70/(B70+2)+J75),H70/4+J75))</f>
        <v>25</v>
      </c>
    </row>
    <row r="77" spans="1:14" ht="15.75" customHeight="1">
      <c r="A77" s="143" t="s">
        <v>142</v>
      </c>
      <c r="B77" s="144" t="s">
        <v>140</v>
      </c>
      <c r="C77" s="33">
        <f>C76*0.75</f>
        <v>13.5</v>
      </c>
      <c r="D77" s="32">
        <f ca="1">((100/H70)*C77)/100</f>
        <v>0.27</v>
      </c>
      <c r="E77" s="81"/>
      <c r="F77" s="82"/>
      <c r="G77" s="81"/>
      <c r="H77" s="86"/>
      <c r="I77" s="42" t="s">
        <v>143</v>
      </c>
      <c r="J77" s="45">
        <f ca="1">(IF(B70&gt;1,(H70/(B70+2)+J76),0))</f>
        <v>37.5</v>
      </c>
    </row>
    <row r="78" spans="1:14" ht="15" customHeight="1">
      <c r="A78" s="143" t="s">
        <v>144</v>
      </c>
      <c r="B78" s="144" t="s">
        <v>145</v>
      </c>
      <c r="C78" s="33">
        <f>C76*0.65</f>
        <v>11.700000000000001</v>
      </c>
      <c r="D78" s="32">
        <f ca="1">((100/(H70))*C78)/100</f>
        <v>0.23400000000000001</v>
      </c>
      <c r="E78" s="81"/>
      <c r="F78" s="82"/>
      <c r="G78" s="81"/>
      <c r="H78" s="86"/>
      <c r="I78" s="42" t="s">
        <v>146</v>
      </c>
      <c r="J78" s="45">
        <f>(IF(B70&gt;2,(H70/(B70+2)+J77),0))</f>
        <v>0</v>
      </c>
    </row>
    <row r="79" spans="1:14" ht="15.75" customHeight="1">
      <c r="A79" s="143" t="s">
        <v>147</v>
      </c>
      <c r="B79" s="144" t="s">
        <v>147</v>
      </c>
      <c r="C79" s="31">
        <v>0</v>
      </c>
      <c r="D79" s="32">
        <f ca="1">((100/H70)*C79)/100</f>
        <v>0</v>
      </c>
      <c r="E79" s="81"/>
      <c r="F79" s="82"/>
      <c r="G79" s="81"/>
      <c r="H79" s="86"/>
      <c r="I79" s="42" t="s">
        <v>148</v>
      </c>
      <c r="J79" s="46">
        <f>(IF(B70&gt;3,(H70/(B70+2)+J78),0))</f>
        <v>0</v>
      </c>
    </row>
    <row r="80" spans="1:14" ht="15.75" customHeight="1">
      <c r="A80" s="143" t="s">
        <v>149</v>
      </c>
      <c r="B80" s="144"/>
      <c r="C80" s="31">
        <v>0</v>
      </c>
      <c r="D80" s="32">
        <f ca="1">((100/H70)*C80)/100</f>
        <v>0</v>
      </c>
      <c r="E80" s="81"/>
      <c r="F80" s="82"/>
      <c r="G80" s="81"/>
      <c r="H80" s="86"/>
      <c r="I80" s="42" t="s">
        <v>150</v>
      </c>
      <c r="J80" s="45">
        <f>(IF(B70&gt;4,(H70/(B70+2)+J79),0))</f>
        <v>0</v>
      </c>
    </row>
    <row r="81" spans="1:10" ht="15.75" customHeight="1">
      <c r="A81" s="143" t="s">
        <v>151</v>
      </c>
      <c r="B81" s="144" t="s">
        <v>151</v>
      </c>
      <c r="C81" s="31">
        <v>0</v>
      </c>
      <c r="D81" s="32">
        <f ca="1">((100/(H70))*C81)/100</f>
        <v>0</v>
      </c>
      <c r="E81" s="81"/>
      <c r="F81" s="82"/>
      <c r="G81" s="81"/>
      <c r="H81" s="86"/>
      <c r="I81" s="42" t="s">
        <v>152</v>
      </c>
      <c r="J81" s="45">
        <f>(IF(B70=1,(H70/(B70+3)+J76),IF(B70=0,(H70/4+J76),IF(B70&gt;1,0))))</f>
        <v>0</v>
      </c>
    </row>
    <row r="82" spans="1:10">
      <c r="A82" s="145" t="s">
        <v>153</v>
      </c>
      <c r="B82" s="146"/>
      <c r="C82" s="34">
        <v>0</v>
      </c>
      <c r="D82" s="35">
        <f ca="1">((100/(H70))*C82)/100</f>
        <v>0</v>
      </c>
      <c r="E82" s="83"/>
      <c r="F82" s="84"/>
      <c r="G82" s="83"/>
      <c r="H82" s="87"/>
      <c r="I82" s="47" t="s">
        <v>154</v>
      </c>
      <c r="J82" s="48">
        <f ca="1">(IF(B70&gt;1.5,(H70/(B70+2)+J76+MAX(0,J77-J76)+MAX(0,J78-J77)+MAX(0,J79-J78)+MAX(0,J80-J79)+MAX(0,J81-J80)),IF(B70=1,(H70/(B70+3)+J81),IF(B70=0,H70/4+J81))))</f>
        <v>50</v>
      </c>
    </row>
    <row r="83" spans="1:10" ht="33.75" customHeight="1">
      <c r="A83" s="148" t="s">
        <v>121</v>
      </c>
      <c r="B83" s="149"/>
      <c r="C83" s="150" t="str">
        <f>D60</f>
        <v>Building Type B1 = 2P Lvl + Gr/P3+ P4 to P6 + 1st to 26th + Service Floor + 27th to 50th Floor</v>
      </c>
      <c r="D83" s="151"/>
      <c r="E83" s="151"/>
      <c r="F83" s="151"/>
      <c r="G83" s="151"/>
      <c r="H83" s="152"/>
      <c r="I83" s="38" t="str">
        <f ca="1">IF(D96=100%,"All work Completed. Possession granted to the Building.",IF(D95=100%,"All work Completed, Waiting for OC",I84&amp;""&amp;I85&amp;""&amp;J84&amp;""&amp;J83&amp;" "&amp;J85))</f>
        <v>Excavation, Plinth Completed, RCC upto 47 Slab, Brickwork upto 43 Floor, Internal Plaster upto 32.25 Floor, External Plaster upto 27.95 Floor Completed</v>
      </c>
      <c r="J83" s="3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47 Slab, Brickwork upto 43 Floor, Internal Plaster upto 32.25 Floor, External Plaster upto 27.95 Floor</v>
      </c>
    </row>
    <row r="84" spans="1:10">
      <c r="A84" s="29" t="s">
        <v>122</v>
      </c>
      <c r="B84" s="21">
        <v>2</v>
      </c>
      <c r="C84" s="21" t="s">
        <v>123</v>
      </c>
      <c r="D84" s="21">
        <v>1</v>
      </c>
      <c r="E84" s="21" t="s">
        <v>124</v>
      </c>
      <c r="F84" s="21">
        <v>3</v>
      </c>
      <c r="G84" s="21" t="s">
        <v>125</v>
      </c>
      <c r="H84" s="30">
        <f ca="1">--TRIM(RIGHT(SUBSTITUTE(LEFT(C83,_xlfn.AGGREGATE(16,6,FIND({0,1,2,3,4,5,6,7,8,9},C83,ROW(INDIRECT("1:"&amp;LEN(C83)))),1))," ",REPT(" ",LEN(C83))),LEN(C83)))</f>
        <v>50</v>
      </c>
      <c r="I84" s="4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4.5" customHeight="1">
      <c r="A85" s="153" t="s">
        <v>126</v>
      </c>
      <c r="B85" s="154"/>
      <c r="C85" s="155" t="str">
        <f ca="1">I83</f>
        <v>Excavation, Plinth Completed, RCC upto 47 Slab, Brickwork upto 43 Floor, Internal Plaster upto 32.25 Floor, External Plaster upto 27.95 Floor Completed</v>
      </c>
      <c r="D85" s="155"/>
      <c r="E85" s="155"/>
      <c r="F85" s="155"/>
      <c r="G85" s="155"/>
      <c r="H85" s="156"/>
      <c r="I85" s="40" t="str">
        <f ca="1">IF(I84&lt;&gt;""," Completed","")</f>
        <v xml:space="preserve"> Completed</v>
      </c>
      <c r="J85" s="41" t="str">
        <f ca="1">IF(J83&lt;&gt;"","Completed","")</f>
        <v>Completed</v>
      </c>
    </row>
    <row r="86" spans="1:10" ht="15.75" customHeight="1">
      <c r="A86" s="157" t="s">
        <v>127</v>
      </c>
      <c r="B86" s="158"/>
      <c r="C86" s="22" t="s">
        <v>128</v>
      </c>
      <c r="D86" s="22" t="s">
        <v>129</v>
      </c>
      <c r="E86" s="158" t="s">
        <v>130</v>
      </c>
      <c r="F86" s="158"/>
      <c r="G86" s="158" t="s">
        <v>131</v>
      </c>
      <c r="H86" s="159"/>
      <c r="I86" s="42" t="s">
        <v>132</v>
      </c>
      <c r="J86" s="43">
        <f ca="1">H84*25%</f>
        <v>12.5</v>
      </c>
    </row>
    <row r="87" spans="1:10">
      <c r="A87" s="143" t="s">
        <v>133</v>
      </c>
      <c r="B87" s="144"/>
      <c r="C87" s="31">
        <f ca="1">J88</f>
        <v>50</v>
      </c>
      <c r="D87" s="32">
        <f ca="1">((100/H84)*C87)/100</f>
        <v>1</v>
      </c>
      <c r="E87" s="79">
        <f ca="1">(((C88/H84*10)+(40/(D84+F84+H84)*C89)+(7.5/(H84)*C90)+(7.5/(H84)*C91)+(10/H84*C92)+(10/H84*C93)+(5/H84*C94)+(5/H84*C95)+(5/H84*C96))/100)</f>
        <v>0.61692314814814808</v>
      </c>
      <c r="F87" s="80"/>
      <c r="G87" s="79">
        <f ca="1">((((C87/H84)*20)+((C88/H84)*25)+(30/(H84+F84+D84)*C89)+(5/H84*C90)+(5/H84*C91)+(5/H84*C92)+(5/H84*C93)+(0/H84*C94)+(0/H84*C95)+(5/H84*C96))/100)</f>
        <v>0.8143111111111111</v>
      </c>
      <c r="H87" s="85"/>
      <c r="I87" s="42" t="s">
        <v>134</v>
      </c>
      <c r="J87" s="44">
        <f ca="1">H84*50%</f>
        <v>25</v>
      </c>
    </row>
    <row r="88" spans="1:10">
      <c r="A88" s="143" t="s">
        <v>135</v>
      </c>
      <c r="B88" s="144"/>
      <c r="C88" s="33">
        <v>50</v>
      </c>
      <c r="D88" s="32">
        <f ca="1">((100/H84)*C88)/100</f>
        <v>1</v>
      </c>
      <c r="E88" s="81"/>
      <c r="F88" s="82"/>
      <c r="G88" s="81"/>
      <c r="H88" s="86"/>
      <c r="I88" s="42" t="s">
        <v>136</v>
      </c>
      <c r="J88" s="44">
        <f ca="1">H84</f>
        <v>50</v>
      </c>
    </row>
    <row r="89" spans="1:10">
      <c r="A89" s="143" t="s">
        <v>137</v>
      </c>
      <c r="B89" s="144"/>
      <c r="C89" s="31">
        <v>47</v>
      </c>
      <c r="D89" s="32">
        <f ca="1">((100/(D84+F84+H84))*C89)/100</f>
        <v>0.87037037037037035</v>
      </c>
      <c r="E89" s="81"/>
      <c r="F89" s="82"/>
      <c r="G89" s="81"/>
      <c r="H89" s="86"/>
      <c r="I89" s="42" t="s">
        <v>138</v>
      </c>
      <c r="J89" s="45">
        <f ca="1">(IF(B84&gt;1,(H84/(B84+2)),H84/4))</f>
        <v>12.5</v>
      </c>
    </row>
    <row r="90" spans="1:10" ht="15.75" customHeight="1">
      <c r="A90" s="143" t="s">
        <v>139</v>
      </c>
      <c r="B90" s="144" t="s">
        <v>140</v>
      </c>
      <c r="C90" s="31">
        <f>C89-F84-D84</f>
        <v>43</v>
      </c>
      <c r="D90" s="32">
        <f ca="1">((100/H84)*C90)/100</f>
        <v>0.86</v>
      </c>
      <c r="E90" s="81"/>
      <c r="F90" s="82"/>
      <c r="G90" s="81"/>
      <c r="H90" s="86"/>
      <c r="I90" s="42" t="s">
        <v>141</v>
      </c>
      <c r="J90" s="45">
        <f ca="1">(IF(B84&gt;1,(H84/(B84+2)+J89),H84/4+J89))</f>
        <v>25</v>
      </c>
    </row>
    <row r="91" spans="1:10" ht="15.75" customHeight="1">
      <c r="A91" s="143" t="s">
        <v>142</v>
      </c>
      <c r="B91" s="144" t="s">
        <v>140</v>
      </c>
      <c r="C91" s="33">
        <f>C90*0.75</f>
        <v>32.25</v>
      </c>
      <c r="D91" s="32">
        <f ca="1">((100/H84)*C91)/100</f>
        <v>0.64500000000000002</v>
      </c>
      <c r="E91" s="81"/>
      <c r="F91" s="82"/>
      <c r="G91" s="81"/>
      <c r="H91" s="86"/>
      <c r="I91" s="42" t="s">
        <v>143</v>
      </c>
      <c r="J91" s="45">
        <f ca="1">(IF(B84&gt;1,(H84/(B84+2)+J90),0))</f>
        <v>37.5</v>
      </c>
    </row>
    <row r="92" spans="1:10" ht="15" customHeight="1">
      <c r="A92" s="143" t="s">
        <v>144</v>
      </c>
      <c r="B92" s="144" t="s">
        <v>145</v>
      </c>
      <c r="C92" s="33">
        <f>C90*0.65</f>
        <v>27.95</v>
      </c>
      <c r="D92" s="32">
        <f ca="1">((100/(H84))*C92)/100</f>
        <v>0.55899999999999994</v>
      </c>
      <c r="E92" s="81"/>
      <c r="F92" s="82"/>
      <c r="G92" s="81"/>
      <c r="H92" s="86"/>
      <c r="I92" s="42" t="s">
        <v>146</v>
      </c>
      <c r="J92" s="45">
        <f>(IF(B84&gt;2,(H84/(B84+2)+J91),0))</f>
        <v>0</v>
      </c>
    </row>
    <row r="93" spans="1:10" ht="15.75" customHeight="1">
      <c r="A93" s="143" t="s">
        <v>147</v>
      </c>
      <c r="B93" s="144" t="s">
        <v>147</v>
      </c>
      <c r="C93" s="31">
        <v>0</v>
      </c>
      <c r="D93" s="32">
        <f ca="1">((100/H84)*C93)/100</f>
        <v>0</v>
      </c>
      <c r="E93" s="81"/>
      <c r="F93" s="82"/>
      <c r="G93" s="81"/>
      <c r="H93" s="86"/>
      <c r="I93" s="42" t="s">
        <v>148</v>
      </c>
      <c r="J93" s="46">
        <f>(IF(B84&gt;3,(H84/(B84+2)+J92),0))</f>
        <v>0</v>
      </c>
    </row>
    <row r="94" spans="1:10" ht="15.75" customHeight="1">
      <c r="A94" s="143" t="s">
        <v>149</v>
      </c>
      <c r="B94" s="144"/>
      <c r="C94" s="31">
        <v>0</v>
      </c>
      <c r="D94" s="32">
        <f ca="1">((100/H84)*C94)/100</f>
        <v>0</v>
      </c>
      <c r="E94" s="81"/>
      <c r="F94" s="82"/>
      <c r="G94" s="81"/>
      <c r="H94" s="86"/>
      <c r="I94" s="42" t="s">
        <v>150</v>
      </c>
      <c r="J94" s="45">
        <f>(IF(B84&gt;4,(H84/(B84+2)+J93),0))</f>
        <v>0</v>
      </c>
    </row>
    <row r="95" spans="1:10" ht="15.75" customHeight="1">
      <c r="A95" s="143" t="s">
        <v>151</v>
      </c>
      <c r="B95" s="144" t="s">
        <v>151</v>
      </c>
      <c r="C95" s="31">
        <v>0</v>
      </c>
      <c r="D95" s="32">
        <f ca="1">((100/(H84))*C95)/100</f>
        <v>0</v>
      </c>
      <c r="E95" s="81"/>
      <c r="F95" s="82"/>
      <c r="G95" s="81"/>
      <c r="H95" s="86"/>
      <c r="I95" s="42" t="s">
        <v>152</v>
      </c>
      <c r="J95" s="45">
        <f>(IF(B84=1,(H84/(B84+3)+J90),IF(B84=0,(H84/4+J90),IF(B84&gt;1,0))))</f>
        <v>0</v>
      </c>
    </row>
    <row r="96" spans="1:10">
      <c r="A96" s="145" t="s">
        <v>153</v>
      </c>
      <c r="B96" s="146"/>
      <c r="C96" s="34">
        <v>0</v>
      </c>
      <c r="D96" s="35">
        <f ca="1">((100/(H84))*C96)/100</f>
        <v>0</v>
      </c>
      <c r="E96" s="83"/>
      <c r="F96" s="84"/>
      <c r="G96" s="83"/>
      <c r="H96" s="87"/>
      <c r="I96" s="47" t="s">
        <v>154</v>
      </c>
      <c r="J96" s="48">
        <f ca="1">(IF(B84&gt;1.5,(H84/(B84+2)+J90+MAX(0,J91-J90)+MAX(0,J92-J91)+MAX(0,J93-J92)+MAX(0,J94-J93)+MAX(0,J95-J94)),IF(B84=1,(H84/(B84+3)+J95),IF(B84=0,H84/4+J95))))</f>
        <v>50</v>
      </c>
    </row>
    <row r="97" spans="1:10" ht="32.25" customHeight="1">
      <c r="A97" s="148" t="s">
        <v>121</v>
      </c>
      <c r="B97" s="149"/>
      <c r="C97" s="150" t="str">
        <f>D61</f>
        <v>Building Type C1 = 2P Lvl + Gr/P3+ P4 to P6 + 1st to 26th + Service Floor + 27th to 50th Floor</v>
      </c>
      <c r="D97" s="151"/>
      <c r="E97" s="151"/>
      <c r="F97" s="151"/>
      <c r="G97" s="151"/>
      <c r="H97" s="152"/>
      <c r="I97" s="38" t="str">
        <f ca="1">IF(D110=100%,"All work Completed. Possession granted to the Building.",IF(D109=100%,"All work Completed, Waiting for OC",I98&amp;""&amp;I99&amp;""&amp;J98&amp;""&amp;J97&amp;" "&amp;J99))</f>
        <v>Excavation, Plinth Completed, RCC upto 35 Slab, Brickwork upto 31 Floor, Internal Plaster upto 23.25 Floor, External Plaster upto 20.15 Floor Completed</v>
      </c>
      <c r="J97" s="39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35 Slab, Brickwork upto 31 Floor, Internal Plaster upto 23.25 Floor, External Plaster upto 20.15 Floor</v>
      </c>
    </row>
    <row r="98" spans="1:10">
      <c r="A98" s="29" t="s">
        <v>122</v>
      </c>
      <c r="B98" s="21">
        <v>2</v>
      </c>
      <c r="C98" s="21" t="s">
        <v>123</v>
      </c>
      <c r="D98" s="21">
        <v>1</v>
      </c>
      <c r="E98" s="21" t="s">
        <v>124</v>
      </c>
      <c r="F98" s="21">
        <v>3</v>
      </c>
      <c r="G98" s="21" t="s">
        <v>125</v>
      </c>
      <c r="H98" s="30">
        <f ca="1">--TRIM(RIGHT(SUBSTITUTE(LEFT(C97,_xlfn.AGGREGATE(16,6,FIND({0,1,2,3,4,5,6,7,8,9},C97,ROW(INDIRECT("1:"&amp;LEN(C97)))),1))," ",REPT(" ",LEN(C97))),LEN(C97)))</f>
        <v>50</v>
      </c>
      <c r="I98" s="40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41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53.25" customHeight="1">
      <c r="A99" s="153" t="s">
        <v>126</v>
      </c>
      <c r="B99" s="154"/>
      <c r="C99" s="155" t="str">
        <f ca="1">I97</f>
        <v>Excavation, Plinth Completed, RCC upto 35 Slab, Brickwork upto 31 Floor, Internal Plaster upto 23.25 Floor, External Plaster upto 20.15 Floor Completed</v>
      </c>
      <c r="D99" s="155"/>
      <c r="E99" s="155"/>
      <c r="F99" s="155"/>
      <c r="G99" s="155"/>
      <c r="H99" s="156"/>
      <c r="I99" s="40" t="str">
        <f ca="1">IF(I98&lt;&gt;""," Completed","")</f>
        <v xml:space="preserve"> Completed</v>
      </c>
      <c r="J99" s="41" t="str">
        <f ca="1">IF(J97&lt;&gt;"","Completed","")</f>
        <v>Completed</v>
      </c>
    </row>
    <row r="100" spans="1:10" ht="15.75" customHeight="1">
      <c r="A100" s="157" t="s">
        <v>127</v>
      </c>
      <c r="B100" s="158"/>
      <c r="C100" s="22" t="s">
        <v>128</v>
      </c>
      <c r="D100" s="22" t="s">
        <v>129</v>
      </c>
      <c r="E100" s="158" t="s">
        <v>130</v>
      </c>
      <c r="F100" s="158"/>
      <c r="G100" s="158" t="s">
        <v>131</v>
      </c>
      <c r="H100" s="159"/>
      <c r="I100" s="42" t="s">
        <v>132</v>
      </c>
      <c r="J100" s="43">
        <f ca="1">H98*25%</f>
        <v>12.5</v>
      </c>
    </row>
    <row r="101" spans="1:10">
      <c r="A101" s="143" t="s">
        <v>133</v>
      </c>
      <c r="B101" s="144"/>
      <c r="C101" s="31">
        <v>50</v>
      </c>
      <c r="D101" s="32">
        <f ca="1">((100/H98)*C101)/100</f>
        <v>1</v>
      </c>
      <c r="E101" s="79">
        <f ca="1">(((C102/H98*10)+(40/(D98+F98+H98)*C103)+(7.5/(H98)*C104)+(7.5/(H98)*C105)+(10/H98*C106)+(10/H98*C107)+(5/H98*C108)+(5/H98*C109)+(5/H98*C110))/100)</f>
        <v>0.4809342592592592</v>
      </c>
      <c r="F101" s="80"/>
      <c r="G101" s="79">
        <f ca="1">((((C101/H98)*20)+((C102/H98)*25)+(30/(H98+F98+D98)*C103)+(5/H98*C104)+(5/H98*C105)+(5/H98*C106)+(5/H98*C107)+(0/H98*C108)+(0/H98*C109)+(5/H98*C110))/100)</f>
        <v>0.7188444444444444</v>
      </c>
      <c r="H101" s="85"/>
      <c r="I101" s="42" t="s">
        <v>134</v>
      </c>
      <c r="J101" s="44">
        <f ca="1">H98*50%</f>
        <v>25</v>
      </c>
    </row>
    <row r="102" spans="1:10">
      <c r="A102" s="143" t="s">
        <v>135</v>
      </c>
      <c r="B102" s="144"/>
      <c r="C102" s="33">
        <f ca="1">J110</f>
        <v>50</v>
      </c>
      <c r="D102" s="32">
        <f ca="1">((100/H98)*C102)/100</f>
        <v>1</v>
      </c>
      <c r="E102" s="81"/>
      <c r="F102" s="82"/>
      <c r="G102" s="81"/>
      <c r="H102" s="86"/>
      <c r="I102" s="42" t="s">
        <v>136</v>
      </c>
      <c r="J102" s="44">
        <f ca="1">H98</f>
        <v>50</v>
      </c>
    </row>
    <row r="103" spans="1:10" ht="15.75" customHeight="1">
      <c r="A103" s="143" t="s">
        <v>137</v>
      </c>
      <c r="B103" s="144"/>
      <c r="C103" s="31">
        <v>35</v>
      </c>
      <c r="D103" s="32">
        <f ca="1">((100/(D98+F98+H98))*C103)/100</f>
        <v>0.64814814814814814</v>
      </c>
      <c r="E103" s="81"/>
      <c r="F103" s="82"/>
      <c r="G103" s="81"/>
      <c r="H103" s="86"/>
      <c r="I103" s="42" t="s">
        <v>138</v>
      </c>
      <c r="J103" s="45">
        <f ca="1">(IF(B98&gt;1,(H98/(B98+2)),H98/4))</f>
        <v>12.5</v>
      </c>
    </row>
    <row r="104" spans="1:10" ht="15.75" customHeight="1">
      <c r="A104" s="143" t="s">
        <v>139</v>
      </c>
      <c r="B104" s="144" t="s">
        <v>140</v>
      </c>
      <c r="C104" s="31">
        <f>C103-F98-D98</f>
        <v>31</v>
      </c>
      <c r="D104" s="32">
        <f ca="1">((100/H98)*C104)/100</f>
        <v>0.62</v>
      </c>
      <c r="E104" s="81"/>
      <c r="F104" s="82"/>
      <c r="G104" s="81"/>
      <c r="H104" s="86"/>
      <c r="I104" s="42" t="s">
        <v>141</v>
      </c>
      <c r="J104" s="45">
        <f ca="1">(IF(B98&gt;1,(H98/(B98+2)+J103),H98/4+J103))</f>
        <v>25</v>
      </c>
    </row>
    <row r="105" spans="1:10" ht="15.75" customHeight="1">
      <c r="A105" s="143" t="s">
        <v>142</v>
      </c>
      <c r="B105" s="144" t="s">
        <v>140</v>
      </c>
      <c r="C105" s="33">
        <f>C104*0.75</f>
        <v>23.25</v>
      </c>
      <c r="D105" s="32">
        <f ca="1">((100/H98)*C105)/100</f>
        <v>0.46500000000000002</v>
      </c>
      <c r="E105" s="81"/>
      <c r="F105" s="82"/>
      <c r="G105" s="81"/>
      <c r="H105" s="86"/>
      <c r="I105" s="42" t="s">
        <v>143</v>
      </c>
      <c r="J105" s="45">
        <f ca="1">(IF(B98&gt;1,(H98/(B98+2)+J104),0))</f>
        <v>37.5</v>
      </c>
    </row>
    <row r="106" spans="1:10" ht="15" customHeight="1">
      <c r="A106" s="143" t="s">
        <v>144</v>
      </c>
      <c r="B106" s="144" t="s">
        <v>145</v>
      </c>
      <c r="C106" s="33">
        <f>C104*0.65</f>
        <v>20.150000000000002</v>
      </c>
      <c r="D106" s="32">
        <f ca="1">((100/(H98))*C106)/100</f>
        <v>0.40300000000000002</v>
      </c>
      <c r="E106" s="81"/>
      <c r="F106" s="82"/>
      <c r="G106" s="81"/>
      <c r="H106" s="86"/>
      <c r="I106" s="42" t="s">
        <v>146</v>
      </c>
      <c r="J106" s="45">
        <f>(IF(B98&gt;2,(H98/(B98+2)+J105),0))</f>
        <v>0</v>
      </c>
    </row>
    <row r="107" spans="1:10" ht="15.75" customHeight="1">
      <c r="A107" s="143" t="s">
        <v>147</v>
      </c>
      <c r="B107" s="144" t="s">
        <v>147</v>
      </c>
      <c r="C107" s="31">
        <v>0</v>
      </c>
      <c r="D107" s="32">
        <f ca="1">((100/H98)*C107)/100</f>
        <v>0</v>
      </c>
      <c r="E107" s="81"/>
      <c r="F107" s="82"/>
      <c r="G107" s="81"/>
      <c r="H107" s="86"/>
      <c r="I107" s="42" t="s">
        <v>148</v>
      </c>
      <c r="J107" s="46">
        <f>(IF(B98&gt;3,(H98/(B98+2)+J106),0))</f>
        <v>0</v>
      </c>
    </row>
    <row r="108" spans="1:10" ht="15.75" customHeight="1">
      <c r="A108" s="143" t="s">
        <v>149</v>
      </c>
      <c r="B108" s="144"/>
      <c r="C108" s="31">
        <v>0</v>
      </c>
      <c r="D108" s="32">
        <f ca="1">((100/H98)*C108)/100</f>
        <v>0</v>
      </c>
      <c r="E108" s="81"/>
      <c r="F108" s="82"/>
      <c r="G108" s="81"/>
      <c r="H108" s="86"/>
      <c r="I108" s="42" t="s">
        <v>150</v>
      </c>
      <c r="J108" s="45">
        <f>(IF(B98&gt;4,(H98/(B98+2)+J107),0))</f>
        <v>0</v>
      </c>
    </row>
    <row r="109" spans="1:10" ht="15.75" customHeight="1">
      <c r="A109" s="143" t="s">
        <v>151</v>
      </c>
      <c r="B109" s="144" t="s">
        <v>151</v>
      </c>
      <c r="C109" s="31">
        <v>0</v>
      </c>
      <c r="D109" s="32">
        <f ca="1">((100/(H98))*C109)/100</f>
        <v>0</v>
      </c>
      <c r="E109" s="81"/>
      <c r="F109" s="82"/>
      <c r="G109" s="81"/>
      <c r="H109" s="86"/>
      <c r="I109" s="42" t="s">
        <v>152</v>
      </c>
      <c r="J109" s="45">
        <f>(IF(B98=1,(H98/(B98+3)+J104),IF(B98=0,(H98/4+J104),IF(B98&gt;1,0))))</f>
        <v>0</v>
      </c>
    </row>
    <row r="110" spans="1:10">
      <c r="A110" s="145" t="s">
        <v>153</v>
      </c>
      <c r="B110" s="146"/>
      <c r="C110" s="34">
        <v>0</v>
      </c>
      <c r="D110" s="35">
        <f ca="1">((100/(H98))*C110)/100</f>
        <v>0</v>
      </c>
      <c r="E110" s="83"/>
      <c r="F110" s="84"/>
      <c r="G110" s="83"/>
      <c r="H110" s="87"/>
      <c r="I110" s="47" t="s">
        <v>154</v>
      </c>
      <c r="J110" s="48">
        <f ca="1">(IF(B98&gt;1.5,(H98/(B98+2)+J104+MAX(0,J105-J104)+MAX(0,J106-J105)+MAX(0,J107-J106)+MAX(0,J108-J107)+MAX(0,J109-J108)),IF(B98=1,(H98/(B98+3)+J109),IF(B98=0,H98/4+J109))))</f>
        <v>50</v>
      </c>
    </row>
    <row r="111" spans="1:10">
      <c r="A111" s="147" t="s">
        <v>155</v>
      </c>
      <c r="B111" s="147"/>
      <c r="C111" s="147"/>
      <c r="D111" s="147"/>
      <c r="E111" s="147"/>
      <c r="F111" s="142" t="s">
        <v>156</v>
      </c>
      <c r="G111" s="142"/>
      <c r="H111" s="142"/>
    </row>
    <row r="112" spans="1:10">
      <c r="A112" s="98" t="s">
        <v>157</v>
      </c>
      <c r="B112" s="98"/>
      <c r="C112" s="98"/>
      <c r="D112" s="98"/>
      <c r="E112" s="98"/>
      <c r="F112" s="140">
        <v>12000</v>
      </c>
      <c r="G112" s="140"/>
      <c r="H112" s="140"/>
    </row>
    <row r="113" spans="1:8" hidden="1">
      <c r="A113" s="98" t="s">
        <v>158</v>
      </c>
      <c r="B113" s="98"/>
      <c r="C113" s="98"/>
      <c r="D113" s="98"/>
      <c r="E113" s="98"/>
      <c r="F113" s="140"/>
      <c r="G113" s="140"/>
      <c r="H113" s="140"/>
    </row>
    <row r="114" spans="1:8" hidden="1">
      <c r="A114" s="98" t="s">
        <v>159</v>
      </c>
      <c r="B114" s="98"/>
      <c r="C114" s="98"/>
      <c r="D114" s="98"/>
      <c r="E114" s="98"/>
      <c r="F114" s="140"/>
      <c r="G114" s="140"/>
      <c r="H114" s="140"/>
    </row>
    <row r="115" spans="1:8" s="15" customFormat="1" hidden="1">
      <c r="A115" s="98" t="s">
        <v>160</v>
      </c>
      <c r="B115" s="98"/>
      <c r="C115" s="98"/>
      <c r="D115" s="98"/>
      <c r="E115" s="98"/>
      <c r="F115" s="140"/>
      <c r="G115" s="140"/>
      <c r="H115" s="140"/>
    </row>
    <row r="116" spans="1:8" s="15" customFormat="1" hidden="1">
      <c r="A116" s="98" t="s">
        <v>161</v>
      </c>
      <c r="B116" s="98"/>
      <c r="C116" s="98"/>
      <c r="D116" s="98"/>
      <c r="E116" s="98"/>
      <c r="F116" s="140"/>
      <c r="G116" s="140"/>
      <c r="H116" s="140"/>
    </row>
    <row r="117" spans="1:8" s="15" customFormat="1" hidden="1">
      <c r="A117" s="98" t="s">
        <v>162</v>
      </c>
      <c r="B117" s="98"/>
      <c r="C117" s="98"/>
      <c r="D117" s="98"/>
      <c r="E117" s="98"/>
      <c r="F117" s="140"/>
      <c r="G117" s="140"/>
      <c r="H117" s="140"/>
    </row>
    <row r="118" spans="1:8" s="15" customFormat="1" hidden="1">
      <c r="A118" s="98" t="s">
        <v>163</v>
      </c>
      <c r="B118" s="98"/>
      <c r="C118" s="98"/>
      <c r="D118" s="98"/>
      <c r="E118" s="98"/>
      <c r="F118" s="140"/>
      <c r="G118" s="140"/>
      <c r="H118" s="140"/>
    </row>
    <row r="119" spans="1:8" s="15" customFormat="1" hidden="1">
      <c r="A119" s="98" t="s">
        <v>164</v>
      </c>
      <c r="B119" s="98"/>
      <c r="C119" s="98"/>
      <c r="D119" s="98"/>
      <c r="E119" s="98"/>
      <c r="F119" s="140"/>
      <c r="G119" s="140"/>
      <c r="H119" s="140"/>
    </row>
    <row r="120" spans="1:8" s="15" customFormat="1" hidden="1">
      <c r="A120" s="98" t="s">
        <v>165</v>
      </c>
      <c r="B120" s="98"/>
      <c r="C120" s="98"/>
      <c r="D120" s="98"/>
      <c r="E120" s="98"/>
      <c r="F120" s="140"/>
      <c r="G120" s="140"/>
      <c r="H120" s="140"/>
    </row>
    <row r="121" spans="1:8" s="15" customFormat="1" hidden="1">
      <c r="A121" s="98" t="s">
        <v>166</v>
      </c>
      <c r="B121" s="98"/>
      <c r="C121" s="98"/>
      <c r="D121" s="98"/>
      <c r="E121" s="98"/>
      <c r="F121" s="140"/>
      <c r="G121" s="140"/>
      <c r="H121" s="140"/>
    </row>
    <row r="122" spans="1:8" s="15" customFormat="1" hidden="1">
      <c r="A122" s="98" t="s">
        <v>167</v>
      </c>
      <c r="B122" s="98"/>
      <c r="C122" s="98"/>
      <c r="D122" s="98"/>
      <c r="E122" s="98"/>
      <c r="F122" s="140"/>
      <c r="G122" s="140"/>
      <c r="H122" s="140"/>
    </row>
    <row r="123" spans="1:8" s="15" customFormat="1">
      <c r="A123" s="98" t="s">
        <v>168</v>
      </c>
      <c r="B123" s="98"/>
      <c r="C123" s="98"/>
      <c r="D123" s="98"/>
      <c r="E123" s="98"/>
      <c r="F123" s="140">
        <v>430000</v>
      </c>
      <c r="G123" s="140"/>
      <c r="H123" s="140"/>
    </row>
    <row r="124" spans="1:8">
      <c r="A124" s="98" t="s">
        <v>169</v>
      </c>
      <c r="B124" s="98"/>
      <c r="C124" s="98"/>
      <c r="D124" s="98"/>
      <c r="E124" s="98"/>
      <c r="F124" s="140">
        <v>500000</v>
      </c>
      <c r="G124" s="140"/>
      <c r="H124" s="140"/>
    </row>
    <row r="125" spans="1:8" s="16" customFormat="1">
      <c r="A125" s="141" t="s">
        <v>170</v>
      </c>
      <c r="B125" s="141"/>
      <c r="C125" s="141"/>
      <c r="D125" s="141"/>
      <c r="E125" s="141"/>
      <c r="F125" s="140">
        <f>F112*0.8</f>
        <v>9600</v>
      </c>
      <c r="G125" s="140"/>
      <c r="H125" s="140"/>
    </row>
    <row r="126" spans="1:8" s="17" customFormat="1" ht="15.75" hidden="1" customHeight="1">
      <c r="A126" s="129" t="s">
        <v>171</v>
      </c>
      <c r="B126" s="129"/>
      <c r="C126" s="129"/>
      <c r="D126" s="129"/>
      <c r="E126" s="129"/>
      <c r="F126" s="129"/>
      <c r="G126" s="129"/>
      <c r="H126" s="129"/>
    </row>
    <row r="127" spans="1:8" s="17" customFormat="1" ht="15.75" hidden="1" customHeight="1">
      <c r="A127" s="133" t="s">
        <v>172</v>
      </c>
      <c r="B127" s="133"/>
      <c r="C127" s="130" t="s">
        <v>173</v>
      </c>
      <c r="D127" s="130"/>
      <c r="E127" s="132" t="s">
        <v>174</v>
      </c>
      <c r="F127" s="132"/>
      <c r="G127" s="133" t="s">
        <v>175</v>
      </c>
      <c r="H127" s="133"/>
    </row>
    <row r="128" spans="1:8" s="17" customFormat="1" hidden="1">
      <c r="A128" s="126"/>
      <c r="B128" s="126"/>
      <c r="C128" s="127"/>
      <c r="D128" s="127"/>
      <c r="E128" s="138"/>
      <c r="F128" s="138"/>
      <c r="G128" s="139"/>
      <c r="H128" s="139"/>
    </row>
    <row r="129" spans="1:14" s="17" customFormat="1" hidden="1">
      <c r="A129" s="126"/>
      <c r="B129" s="126"/>
      <c r="C129" s="127"/>
      <c r="D129" s="127"/>
      <c r="E129" s="138"/>
      <c r="F129" s="138"/>
      <c r="G129" s="139"/>
      <c r="H129" s="139"/>
    </row>
    <row r="130" spans="1:14" s="17" customFormat="1" hidden="1">
      <c r="A130" s="129" t="s">
        <v>176</v>
      </c>
      <c r="B130" s="129"/>
      <c r="C130" s="130"/>
      <c r="D130" s="130"/>
      <c r="E130" s="132"/>
      <c r="F130" s="132"/>
      <c r="G130" s="133"/>
      <c r="H130" s="133"/>
    </row>
    <row r="131" spans="1:14" s="17" customFormat="1">
      <c r="A131" s="129" t="s">
        <v>177</v>
      </c>
      <c r="B131" s="129"/>
      <c r="C131" s="129"/>
      <c r="D131" s="129"/>
      <c r="E131" s="129"/>
      <c r="F131" s="129"/>
      <c r="G131" s="129"/>
      <c r="H131" s="129"/>
    </row>
    <row r="132" spans="1:14" s="17" customFormat="1" ht="15.75" customHeight="1">
      <c r="A132" s="133" t="s">
        <v>172</v>
      </c>
      <c r="B132" s="133"/>
      <c r="C132" s="130" t="s">
        <v>173</v>
      </c>
      <c r="D132" s="130"/>
      <c r="E132" s="132" t="s">
        <v>174</v>
      </c>
      <c r="F132" s="132"/>
      <c r="G132" s="133" t="s">
        <v>175</v>
      </c>
      <c r="H132" s="133"/>
    </row>
    <row r="133" spans="1:14" s="17" customFormat="1" ht="15.75" customHeight="1">
      <c r="A133" s="126" t="s">
        <v>178</v>
      </c>
      <c r="B133" s="126"/>
      <c r="C133" s="134">
        <f>COUNT(D157:D168)*40+COUNT(D171:D176,D178:D182)*10</f>
        <v>590</v>
      </c>
      <c r="D133" s="135"/>
      <c r="E133" s="136">
        <f>SUM(D157:D168)*40+SUM(D171:D176,D178:D182)*10</f>
        <v>283789.63079999998</v>
      </c>
      <c r="F133" s="137"/>
      <c r="G133" s="136">
        <f>SUM(F157:F168)*40+SUM(F171:F176,F178:F182)*10</f>
        <v>425684.44620000001</v>
      </c>
      <c r="H133" s="137"/>
    </row>
    <row r="134" spans="1:14" s="17" customFormat="1">
      <c r="A134" s="126" t="s">
        <v>179</v>
      </c>
      <c r="B134" s="126"/>
      <c r="C134" s="127">
        <f>COUNT(D189:D198)*40+COUNT(D201:D206,D208:D210)*10</f>
        <v>490</v>
      </c>
      <c r="D134" s="127"/>
      <c r="E134" s="128">
        <f>SUM(D189:D198)*40+SUM(D201:D206,D208:D210)*6</f>
        <v>274970.03976000001</v>
      </c>
      <c r="F134" s="128"/>
      <c r="G134" s="128">
        <f>SUM(F189:F198)*40+SUM(F201:F206,F208:F210)*6</f>
        <v>412455.05963999993</v>
      </c>
      <c r="H134" s="128"/>
    </row>
    <row r="135" spans="1:14" s="17" customFormat="1">
      <c r="A135" s="126" t="s">
        <v>180</v>
      </c>
      <c r="B135" s="126"/>
      <c r="C135" s="127">
        <f>COUNT(D217:D222)*40+COUNT(D225:D230)*10</f>
        <v>300</v>
      </c>
      <c r="D135" s="127"/>
      <c r="E135" s="128">
        <f>SUM(D217:D222)*40+SUM(D225:D230)*10</f>
        <v>253885.08599999998</v>
      </c>
      <c r="F135" s="128"/>
      <c r="G135" s="128">
        <f>SUM(F217:F222)*40+SUM(F225:F230)*10</f>
        <v>380827.62899999996</v>
      </c>
      <c r="H135" s="128"/>
    </row>
    <row r="136" spans="1:14" s="17" customFormat="1">
      <c r="A136" s="129" t="s">
        <v>176</v>
      </c>
      <c r="B136" s="129"/>
      <c r="C136" s="130">
        <f t="shared" ref="C136:G136" si="0">SUM(C133:D135)</f>
        <v>1380</v>
      </c>
      <c r="D136" s="130"/>
      <c r="E136" s="131">
        <f t="shared" si="0"/>
        <v>812644.75656000001</v>
      </c>
      <c r="F136" s="132"/>
      <c r="G136" s="133">
        <f t="shared" si="0"/>
        <v>1218967.13484</v>
      </c>
      <c r="H136" s="133"/>
    </row>
    <row r="137" spans="1:14" s="16" customFormat="1">
      <c r="A137" s="125" t="s">
        <v>181</v>
      </c>
      <c r="B137" s="125"/>
      <c r="C137" s="125"/>
      <c r="D137" s="125"/>
      <c r="E137" s="125"/>
      <c r="F137" s="125"/>
      <c r="G137" s="125"/>
      <c r="H137" s="125"/>
    </row>
    <row r="138" spans="1:14">
      <c r="A138" s="125" t="s">
        <v>182</v>
      </c>
      <c r="B138" s="125"/>
      <c r="C138" s="125"/>
      <c r="D138" s="125"/>
      <c r="E138" s="125"/>
      <c r="F138" s="125"/>
      <c r="G138" s="125"/>
      <c r="H138" s="125"/>
    </row>
    <row r="139" spans="1:14" ht="47.25" hidden="1" customHeight="1">
      <c r="A139" s="121" t="s">
        <v>183</v>
      </c>
      <c r="B139" s="121" t="s">
        <v>184</v>
      </c>
      <c r="C139" s="121" t="s">
        <v>185</v>
      </c>
      <c r="D139" s="121" t="s">
        <v>186</v>
      </c>
      <c r="E139" s="123" t="s">
        <v>187</v>
      </c>
      <c r="F139" s="49" t="s">
        <v>188</v>
      </c>
      <c r="G139" s="75" t="s">
        <v>189</v>
      </c>
      <c r="H139" s="76"/>
    </row>
    <row r="140" spans="1:14" s="18" customFormat="1" hidden="1">
      <c r="A140" s="122"/>
      <c r="B140" s="122"/>
      <c r="C140" s="122"/>
      <c r="D140" s="122"/>
      <c r="E140" s="124"/>
      <c r="F140" s="50">
        <v>0.6</v>
      </c>
      <c r="G140" s="77"/>
      <c r="H140" s="78"/>
    </row>
    <row r="141" spans="1:14" s="18" customFormat="1" hidden="1">
      <c r="A141" s="114" t="s">
        <v>190</v>
      </c>
      <c r="B141" s="115"/>
      <c r="C141" s="115"/>
      <c r="D141" s="115"/>
      <c r="E141" s="115"/>
      <c r="F141" s="115"/>
      <c r="G141" s="115"/>
      <c r="H141" s="116"/>
      <c r="J141" s="54"/>
    </row>
    <row r="142" spans="1:14" s="18" customFormat="1" hidden="1">
      <c r="A142" s="104">
        <v>1</v>
      </c>
      <c r="B142" s="105"/>
      <c r="C142" s="51"/>
      <c r="D142" s="51"/>
      <c r="E142" s="51">
        <v>0</v>
      </c>
      <c r="F142" s="51">
        <f>(D142+E142)*(($F$140)+1)</f>
        <v>0</v>
      </c>
      <c r="G142" s="104" t="str">
        <f>A141</f>
        <v>Ground Floor</v>
      </c>
      <c r="H142" s="105"/>
      <c r="I142" s="54"/>
      <c r="L142" s="110"/>
      <c r="M142" s="110"/>
      <c r="N142" s="54"/>
    </row>
    <row r="143" spans="1:14" s="18" customFormat="1" hidden="1">
      <c r="A143" s="104">
        <f t="shared" ref="A143:A145" si="1">A142+1</f>
        <v>2</v>
      </c>
      <c r="B143" s="105"/>
      <c r="C143" s="51"/>
      <c r="D143" s="51"/>
      <c r="E143" s="51">
        <v>0</v>
      </c>
      <c r="F143" s="51">
        <f t="shared" ref="F143:F145" si="2">(D143+E143)*(($F$140)+1)</f>
        <v>0</v>
      </c>
      <c r="G143" s="104" t="str">
        <f t="shared" ref="G143:G145" si="3">G142</f>
        <v>Ground Floor</v>
      </c>
      <c r="H143" s="105"/>
      <c r="I143" s="54"/>
      <c r="L143" s="110"/>
      <c r="M143" s="110"/>
      <c r="N143" s="54"/>
    </row>
    <row r="144" spans="1:14" s="18" customFormat="1" hidden="1">
      <c r="A144" s="104">
        <f t="shared" si="1"/>
        <v>3</v>
      </c>
      <c r="B144" s="105"/>
      <c r="C144" s="51"/>
      <c r="D144" s="51"/>
      <c r="E144" s="51">
        <v>0</v>
      </c>
      <c r="F144" s="51">
        <f t="shared" si="2"/>
        <v>0</v>
      </c>
      <c r="G144" s="104" t="str">
        <f t="shared" si="3"/>
        <v>Ground Floor</v>
      </c>
      <c r="H144" s="105"/>
      <c r="I144" s="54"/>
      <c r="L144" s="110"/>
      <c r="M144" s="110"/>
      <c r="N144" s="54"/>
    </row>
    <row r="145" spans="1:14" s="18" customFormat="1" hidden="1">
      <c r="A145" s="104">
        <f t="shared" si="1"/>
        <v>4</v>
      </c>
      <c r="B145" s="105"/>
      <c r="C145" s="51"/>
      <c r="D145" s="51"/>
      <c r="E145" s="51">
        <v>0</v>
      </c>
      <c r="F145" s="51">
        <f t="shared" si="2"/>
        <v>0</v>
      </c>
      <c r="G145" s="104" t="str">
        <f t="shared" si="3"/>
        <v>Ground Floor</v>
      </c>
      <c r="H145" s="105"/>
      <c r="I145" s="54"/>
      <c r="L145" s="110"/>
      <c r="M145" s="110"/>
      <c r="N145" s="54"/>
    </row>
    <row r="146" spans="1:14" s="18" customFormat="1" hidden="1">
      <c r="A146" s="104"/>
      <c r="B146" s="120"/>
      <c r="C146" s="120"/>
      <c r="D146" s="120"/>
      <c r="E146" s="120"/>
      <c r="F146" s="120"/>
      <c r="G146" s="120"/>
      <c r="H146" s="105"/>
      <c r="I146" s="54"/>
      <c r="N146" s="54"/>
    </row>
    <row r="147" spans="1:14" ht="47.25" customHeight="1">
      <c r="A147" s="75" t="s">
        <v>191</v>
      </c>
      <c r="B147" s="75" t="s">
        <v>192</v>
      </c>
      <c r="C147" s="121" t="s">
        <v>185</v>
      </c>
      <c r="D147" s="121" t="s">
        <v>186</v>
      </c>
      <c r="E147" s="123" t="s">
        <v>193</v>
      </c>
      <c r="F147" s="49" t="s">
        <v>188</v>
      </c>
      <c r="G147" s="75" t="s">
        <v>189</v>
      </c>
      <c r="H147" s="76"/>
      <c r="I147" s="54"/>
    </row>
    <row r="148" spans="1:14" s="18" customFormat="1" ht="15.75" customHeight="1">
      <c r="A148" s="77"/>
      <c r="B148" s="77"/>
      <c r="C148" s="122"/>
      <c r="D148" s="122"/>
      <c r="E148" s="124"/>
      <c r="F148" s="50">
        <v>0.5</v>
      </c>
      <c r="G148" s="77"/>
      <c r="H148" s="78"/>
      <c r="I148" s="54"/>
    </row>
    <row r="149" spans="1:14" s="18" customFormat="1" ht="15.75" customHeight="1">
      <c r="A149" s="114" t="s">
        <v>178</v>
      </c>
      <c r="B149" s="115"/>
      <c r="C149" s="115"/>
      <c r="D149" s="115"/>
      <c r="E149" s="115"/>
      <c r="F149" s="115"/>
      <c r="G149" s="115"/>
      <c r="H149" s="116"/>
      <c r="I149" s="54"/>
    </row>
    <row r="150" spans="1:14" s="18" customFormat="1" ht="15.75" customHeight="1">
      <c r="A150" s="111" t="s">
        <v>194</v>
      </c>
      <c r="B150" s="112"/>
      <c r="C150" s="112"/>
      <c r="D150" s="112"/>
      <c r="E150" s="112"/>
      <c r="F150" s="112"/>
      <c r="G150" s="112"/>
      <c r="H150" s="113"/>
      <c r="I150" s="54"/>
    </row>
    <row r="151" spans="1:14" s="18" customFormat="1" ht="15.75" customHeight="1">
      <c r="A151" s="111" t="s">
        <v>195</v>
      </c>
      <c r="B151" s="112"/>
      <c r="C151" s="112"/>
      <c r="D151" s="112"/>
      <c r="E151" s="112"/>
      <c r="F151" s="112"/>
      <c r="G151" s="112"/>
      <c r="H151" s="113"/>
      <c r="I151" s="54"/>
    </row>
    <row r="152" spans="1:14" s="18" customFormat="1" ht="33.75" customHeight="1">
      <c r="A152" s="111" t="s">
        <v>196</v>
      </c>
      <c r="B152" s="112"/>
      <c r="C152" s="112"/>
      <c r="D152" s="112"/>
      <c r="E152" s="112"/>
      <c r="F152" s="112"/>
      <c r="G152" s="112"/>
      <c r="H152" s="113"/>
      <c r="I152" s="54"/>
    </row>
    <row r="153" spans="1:14" s="18" customFormat="1" ht="15.75" customHeight="1">
      <c r="A153" s="111" t="s">
        <v>197</v>
      </c>
      <c r="B153" s="112"/>
      <c r="C153" s="112"/>
      <c r="D153" s="112"/>
      <c r="E153" s="112"/>
      <c r="F153" s="112"/>
      <c r="G153" s="112"/>
      <c r="H153" s="113"/>
      <c r="I153" s="53">
        <v>10.763999999999999</v>
      </c>
    </row>
    <row r="154" spans="1:14" s="18" customFormat="1" ht="15.75" customHeight="1">
      <c r="A154" s="111" t="s">
        <v>198</v>
      </c>
      <c r="B154" s="112"/>
      <c r="C154" s="112"/>
      <c r="D154" s="112"/>
      <c r="E154" s="112"/>
      <c r="F154" s="112"/>
      <c r="G154" s="112"/>
      <c r="H154" s="113"/>
      <c r="I154" s="54"/>
    </row>
    <row r="155" spans="1:14" s="18" customFormat="1" ht="15.75" customHeight="1">
      <c r="A155" s="111" t="s">
        <v>199</v>
      </c>
      <c r="B155" s="112"/>
      <c r="C155" s="112"/>
      <c r="D155" s="112"/>
      <c r="E155" s="112"/>
      <c r="F155" s="112"/>
      <c r="G155" s="112"/>
      <c r="H155" s="113"/>
      <c r="I155" s="54"/>
    </row>
    <row r="156" spans="1:14" s="18" customFormat="1" ht="31.5" customHeight="1">
      <c r="A156" s="114" t="s">
        <v>200</v>
      </c>
      <c r="B156" s="115"/>
      <c r="C156" s="115"/>
      <c r="D156" s="115"/>
      <c r="E156" s="115"/>
      <c r="F156" s="115"/>
      <c r="G156" s="115"/>
      <c r="H156" s="116"/>
      <c r="I156" s="54"/>
    </row>
    <row r="157" spans="1:14" s="18" customFormat="1" ht="15.75" customHeight="1">
      <c r="A157" s="104">
        <v>1</v>
      </c>
      <c r="B157" s="105"/>
      <c r="C157" s="52" t="s">
        <v>201</v>
      </c>
      <c r="D157" s="53">
        <f>(38.3+3.27)*10.764</f>
        <v>447.45947999999999</v>
      </c>
      <c r="E157" s="51">
        <v>0</v>
      </c>
      <c r="F157" s="51">
        <f t="shared" ref="F157:F166" si="4">D157*(($F$148)+1)+(IF(E157&lt;101,E157,IF(E157&lt;201,E157/2,IF(E157&lt;=301,E157/3,E157/4))))</f>
        <v>671.18921999999998</v>
      </c>
      <c r="G157" s="88" t="str">
        <f>A156</f>
        <v>1st to 4th, 6th to 9th, 11th to 14th, 16th to 19th, 21st to 24th, 26th to 28th, 30th to 33rd, 35th to 38th, 40th to 43rd, 45th to 48th &amp; 50th Floor For Residential</v>
      </c>
      <c r="H157" s="89"/>
      <c r="I157" s="54">
        <f>2.75*5.45+1*0.65+2.4*2.05+2.75*3.2+1.35*2.15+2.15*1.3</f>
        <v>35.055000000000007</v>
      </c>
      <c r="J157" s="54">
        <f>2.78*1.05</f>
        <v>2.919</v>
      </c>
    </row>
    <row r="158" spans="1:14" s="18" customFormat="1" ht="15.75" customHeight="1">
      <c r="A158" s="104">
        <f t="shared" ref="A158:A168" si="5">A157+1</f>
        <v>2</v>
      </c>
      <c r="B158" s="105"/>
      <c r="C158" s="52" t="s">
        <v>202</v>
      </c>
      <c r="D158" s="53">
        <f>(45.67)*10.764</f>
        <v>491.59188</v>
      </c>
      <c r="E158" s="51">
        <v>0</v>
      </c>
      <c r="F158" s="51">
        <f t="shared" si="4"/>
        <v>737.38782000000003</v>
      </c>
      <c r="G158" s="90"/>
      <c r="H158" s="91"/>
      <c r="I158" s="54">
        <f>2.75*4.13+2.05*2.55+2.45*2.55+2.75*3.55+2.2*1.3+1.3*2.15+1.25*0.55+4.6*0.9</f>
        <v>43.077500000000001</v>
      </c>
    </row>
    <row r="159" spans="1:14" s="18" customFormat="1" ht="15.75" customHeight="1">
      <c r="A159" s="104">
        <f t="shared" si="5"/>
        <v>3</v>
      </c>
      <c r="B159" s="105"/>
      <c r="C159" s="52" t="s">
        <v>201</v>
      </c>
      <c r="D159" s="53">
        <f>(41.65+3.83)*10.764</f>
        <v>489.54671999999994</v>
      </c>
      <c r="E159" s="51">
        <v>0</v>
      </c>
      <c r="F159" s="51">
        <f t="shared" si="4"/>
        <v>734.32007999999996</v>
      </c>
      <c r="G159" s="90"/>
      <c r="H159" s="91"/>
      <c r="I159" s="54"/>
      <c r="J159" s="55">
        <f>2.73*1.4</f>
        <v>3.8219999999999996</v>
      </c>
    </row>
    <row r="160" spans="1:14" s="18" customFormat="1" ht="15.75" customHeight="1">
      <c r="A160" s="104">
        <f t="shared" si="5"/>
        <v>4</v>
      </c>
      <c r="B160" s="105"/>
      <c r="C160" s="52" t="s">
        <v>201</v>
      </c>
      <c r="D160" s="53">
        <f>(41.64+3.83)*10.764</f>
        <v>489.43907999999993</v>
      </c>
      <c r="E160" s="51">
        <v>0</v>
      </c>
      <c r="F160" s="51">
        <f t="shared" si="4"/>
        <v>734.15861999999993</v>
      </c>
      <c r="G160" s="90"/>
      <c r="H160" s="91"/>
      <c r="I160" s="54"/>
    </row>
    <row r="161" spans="1:9" s="18" customFormat="1" ht="15.75" customHeight="1">
      <c r="A161" s="104">
        <f t="shared" si="5"/>
        <v>5</v>
      </c>
      <c r="B161" s="105"/>
      <c r="C161" s="52" t="s">
        <v>202</v>
      </c>
      <c r="D161" s="53">
        <f>(49.34)*10.764</f>
        <v>531.09576000000004</v>
      </c>
      <c r="E161" s="51">
        <v>0</v>
      </c>
      <c r="F161" s="51">
        <f t="shared" si="4"/>
        <v>796.64364</v>
      </c>
      <c r="G161" s="90"/>
      <c r="H161" s="91"/>
      <c r="I161" s="54"/>
    </row>
    <row r="162" spans="1:9" s="18" customFormat="1" ht="15.75" customHeight="1">
      <c r="A162" s="104">
        <f t="shared" si="5"/>
        <v>6</v>
      </c>
      <c r="B162" s="105"/>
      <c r="C162" s="52" t="s">
        <v>201</v>
      </c>
      <c r="D162" s="53">
        <f>(40.13)*10.764</f>
        <v>431.95931999999999</v>
      </c>
      <c r="E162" s="51">
        <v>0</v>
      </c>
      <c r="F162" s="51">
        <f t="shared" si="4"/>
        <v>647.93898000000002</v>
      </c>
      <c r="G162" s="90"/>
      <c r="H162" s="91"/>
      <c r="I162" s="54"/>
    </row>
    <row r="163" spans="1:9" s="18" customFormat="1" ht="15.75" customHeight="1">
      <c r="A163" s="104">
        <f t="shared" si="5"/>
        <v>7</v>
      </c>
      <c r="B163" s="105"/>
      <c r="C163" s="52" t="s">
        <v>201</v>
      </c>
      <c r="D163" s="53">
        <f>(40.13)*10.764</f>
        <v>431.95931999999999</v>
      </c>
      <c r="E163" s="51">
        <v>0</v>
      </c>
      <c r="F163" s="51">
        <f t="shared" si="4"/>
        <v>647.93898000000002</v>
      </c>
      <c r="G163" s="90"/>
      <c r="H163" s="91"/>
      <c r="I163" s="54"/>
    </row>
    <row r="164" spans="1:9" s="18" customFormat="1" ht="15.75" customHeight="1">
      <c r="A164" s="104">
        <f t="shared" si="5"/>
        <v>8</v>
      </c>
      <c r="B164" s="105"/>
      <c r="C164" s="52" t="s">
        <v>202</v>
      </c>
      <c r="D164" s="53">
        <f>(49.34)*10.764</f>
        <v>531.09576000000004</v>
      </c>
      <c r="E164" s="51">
        <v>0</v>
      </c>
      <c r="F164" s="51">
        <f t="shared" si="4"/>
        <v>796.64364</v>
      </c>
      <c r="G164" s="90"/>
      <c r="H164" s="91"/>
      <c r="I164" s="54"/>
    </row>
    <row r="165" spans="1:9" s="18" customFormat="1" ht="15.75" customHeight="1">
      <c r="A165" s="104">
        <f t="shared" si="5"/>
        <v>9</v>
      </c>
      <c r="B165" s="105"/>
      <c r="C165" s="52" t="s">
        <v>201</v>
      </c>
      <c r="D165" s="53">
        <f>(41.64+3.83)*10.764</f>
        <v>489.43907999999993</v>
      </c>
      <c r="E165" s="51">
        <v>0</v>
      </c>
      <c r="F165" s="51">
        <f t="shared" si="4"/>
        <v>734.15861999999993</v>
      </c>
      <c r="G165" s="90"/>
      <c r="H165" s="91"/>
      <c r="I165" s="54"/>
    </row>
    <row r="166" spans="1:9" s="18" customFormat="1" ht="15.75" customHeight="1">
      <c r="A166" s="104">
        <f t="shared" si="5"/>
        <v>10</v>
      </c>
      <c r="B166" s="105"/>
      <c r="C166" s="52" t="s">
        <v>201</v>
      </c>
      <c r="D166" s="53">
        <f>(41.65+3.83)*10.764</f>
        <v>489.54671999999994</v>
      </c>
      <c r="E166" s="51">
        <v>0</v>
      </c>
      <c r="F166" s="51">
        <f t="shared" si="4"/>
        <v>734.32007999999996</v>
      </c>
      <c r="G166" s="90"/>
      <c r="H166" s="91"/>
      <c r="I166" s="54"/>
    </row>
    <row r="167" spans="1:9" s="18" customFormat="1" ht="15.75" customHeight="1">
      <c r="A167" s="104">
        <f t="shared" si="5"/>
        <v>11</v>
      </c>
      <c r="B167" s="105"/>
      <c r="C167" s="52" t="s">
        <v>202</v>
      </c>
      <c r="D167" s="53">
        <f>(45.67)*10.764</f>
        <v>491.59188</v>
      </c>
      <c r="E167" s="51">
        <v>0</v>
      </c>
      <c r="F167" s="51">
        <f t="shared" ref="F167" si="6">D167*(($F$148)+1)+(IF(E167&lt;101,E167,IF(E167&lt;201,E167/2,IF(E167&lt;=301,E167/3,E167/4))))</f>
        <v>737.38782000000003</v>
      </c>
      <c r="G167" s="90"/>
      <c r="H167" s="91"/>
      <c r="I167" s="54"/>
    </row>
    <row r="168" spans="1:9" s="18" customFormat="1" ht="15.75" customHeight="1">
      <c r="A168" s="104">
        <f t="shared" si="5"/>
        <v>12</v>
      </c>
      <c r="B168" s="105"/>
      <c r="C168" s="52" t="s">
        <v>201</v>
      </c>
      <c r="D168" s="53">
        <f>(38.3+3.27)*10.764</f>
        <v>447.45947999999999</v>
      </c>
      <c r="E168" s="51">
        <v>0</v>
      </c>
      <c r="F168" s="51">
        <f t="shared" ref="F168" si="7">D168*(($F$148)+1)+(IF(E168&lt;101,E168,IF(E168&lt;201,E168/2,IF(E168&lt;=301,E168/3,E168/4))))</f>
        <v>671.18921999999998</v>
      </c>
      <c r="G168" s="92"/>
      <c r="H168" s="93"/>
      <c r="I168" s="54"/>
    </row>
    <row r="169" spans="1:9" s="18" customFormat="1" ht="15.75" customHeight="1">
      <c r="A169" s="111" t="s">
        <v>203</v>
      </c>
      <c r="B169" s="112"/>
      <c r="C169" s="112"/>
      <c r="D169" s="112"/>
      <c r="E169" s="112"/>
      <c r="F169" s="112"/>
      <c r="G169" s="112"/>
      <c r="H169" s="113"/>
      <c r="I169" s="54"/>
    </row>
    <row r="170" spans="1:9" s="18" customFormat="1" ht="15.75" customHeight="1">
      <c r="A170" s="114" t="s">
        <v>204</v>
      </c>
      <c r="B170" s="115"/>
      <c r="C170" s="115"/>
      <c r="D170" s="115"/>
      <c r="E170" s="115"/>
      <c r="F170" s="115"/>
      <c r="G170" s="115"/>
      <c r="H170" s="116"/>
      <c r="I170" s="54"/>
    </row>
    <row r="171" spans="1:9" s="18" customFormat="1" ht="15.75" customHeight="1">
      <c r="A171" s="104">
        <v>1</v>
      </c>
      <c r="B171" s="105"/>
      <c r="C171" s="52" t="s">
        <v>201</v>
      </c>
      <c r="D171" s="53">
        <f>(38.3+3.27)*10.764</f>
        <v>447.45947999999999</v>
      </c>
      <c r="E171" s="51">
        <v>0</v>
      </c>
      <c r="F171" s="51">
        <f t="shared" ref="F171:F182" si="8">D171*(($F$148)+1)+(IF(E171&lt;101,E171,IF(E171&lt;201,E171/2,IF(E171&lt;=301,E171/3,E171/4))))</f>
        <v>671.18921999999998</v>
      </c>
      <c r="G171" s="88" t="str">
        <f>A170</f>
        <v>5th, 10th, 15th, 20th, 25th, 29th, 34th, 39th, 44th &amp; 49th Floor (Part Refuge Area)</v>
      </c>
      <c r="H171" s="89"/>
      <c r="I171" s="54"/>
    </row>
    <row r="172" spans="1:9" s="18" customFormat="1" ht="15.75" customHeight="1">
      <c r="A172" s="104">
        <f t="shared" ref="A172:A182" si="9">A171+1</f>
        <v>2</v>
      </c>
      <c r="B172" s="105"/>
      <c r="C172" s="52" t="s">
        <v>202</v>
      </c>
      <c r="D172" s="53">
        <f>(45.67)*10.764</f>
        <v>491.59188</v>
      </c>
      <c r="E172" s="51">
        <v>0</v>
      </c>
      <c r="F172" s="51">
        <f t="shared" si="8"/>
        <v>737.38782000000003</v>
      </c>
      <c r="G172" s="90"/>
      <c r="H172" s="91"/>
      <c r="I172" s="54"/>
    </row>
    <row r="173" spans="1:9" s="18" customFormat="1" ht="15.75" customHeight="1">
      <c r="A173" s="104">
        <f t="shared" si="9"/>
        <v>3</v>
      </c>
      <c r="B173" s="105"/>
      <c r="C173" s="52" t="s">
        <v>201</v>
      </c>
      <c r="D173" s="53">
        <f>(41.65+3.83)*10.764</f>
        <v>489.54671999999994</v>
      </c>
      <c r="E173" s="51">
        <v>0</v>
      </c>
      <c r="F173" s="51">
        <f t="shared" si="8"/>
        <v>734.32007999999996</v>
      </c>
      <c r="G173" s="90"/>
      <c r="H173" s="91"/>
      <c r="I173" s="54"/>
    </row>
    <row r="174" spans="1:9" s="18" customFormat="1" ht="15.75" customHeight="1">
      <c r="A174" s="104">
        <f t="shared" si="9"/>
        <v>4</v>
      </c>
      <c r="B174" s="105"/>
      <c r="C174" s="52" t="s">
        <v>201</v>
      </c>
      <c r="D174" s="53">
        <f>(41.64+3.83)*10.764</f>
        <v>489.43907999999993</v>
      </c>
      <c r="E174" s="51">
        <v>0</v>
      </c>
      <c r="F174" s="51">
        <f t="shared" si="8"/>
        <v>734.15861999999993</v>
      </c>
      <c r="G174" s="90"/>
      <c r="H174" s="91"/>
      <c r="I174" s="54"/>
    </row>
    <row r="175" spans="1:9" s="18" customFormat="1" ht="15.75" customHeight="1">
      <c r="A175" s="104">
        <f t="shared" si="9"/>
        <v>5</v>
      </c>
      <c r="B175" s="105"/>
      <c r="C175" s="52" t="s">
        <v>202</v>
      </c>
      <c r="D175" s="53">
        <f>(49.34)*10.764</f>
        <v>531.09576000000004</v>
      </c>
      <c r="E175" s="51">
        <v>0</v>
      </c>
      <c r="F175" s="51">
        <f t="shared" si="8"/>
        <v>796.64364</v>
      </c>
      <c r="G175" s="90"/>
      <c r="H175" s="91"/>
      <c r="I175" s="54"/>
    </row>
    <row r="176" spans="1:9" s="18" customFormat="1" ht="15.75" customHeight="1">
      <c r="A176" s="104">
        <f t="shared" si="9"/>
        <v>6</v>
      </c>
      <c r="B176" s="105"/>
      <c r="C176" s="52" t="s">
        <v>201</v>
      </c>
      <c r="D176" s="53">
        <f>(40.13)*10.764</f>
        <v>431.95931999999999</v>
      </c>
      <c r="E176" s="51">
        <v>0</v>
      </c>
      <c r="F176" s="51">
        <f t="shared" si="8"/>
        <v>647.93898000000002</v>
      </c>
      <c r="G176" s="90"/>
      <c r="H176" s="91"/>
      <c r="I176" s="54"/>
    </row>
    <row r="177" spans="1:14" s="18" customFormat="1" ht="15.75" customHeight="1">
      <c r="A177" s="104">
        <f t="shared" si="9"/>
        <v>7</v>
      </c>
      <c r="B177" s="105"/>
      <c r="C177" s="117" t="s">
        <v>205</v>
      </c>
      <c r="D177" s="118"/>
      <c r="E177" s="118"/>
      <c r="F177" s="119"/>
      <c r="G177" s="90"/>
      <c r="H177" s="91"/>
      <c r="I177" s="54"/>
    </row>
    <row r="178" spans="1:14" s="18" customFormat="1" ht="15.75" customHeight="1">
      <c r="A178" s="104">
        <f t="shared" si="9"/>
        <v>8</v>
      </c>
      <c r="B178" s="105"/>
      <c r="C178" s="52" t="s">
        <v>202</v>
      </c>
      <c r="D178" s="53">
        <f>(49.34)*10.764</f>
        <v>531.09576000000004</v>
      </c>
      <c r="E178" s="51">
        <v>0</v>
      </c>
      <c r="F178" s="51">
        <f t="shared" si="8"/>
        <v>796.64364</v>
      </c>
      <c r="G178" s="90"/>
      <c r="H178" s="91"/>
      <c r="I178" s="54"/>
    </row>
    <row r="179" spans="1:14" s="18" customFormat="1" ht="15.75" customHeight="1">
      <c r="A179" s="104">
        <f t="shared" si="9"/>
        <v>9</v>
      </c>
      <c r="B179" s="105"/>
      <c r="C179" s="52" t="s">
        <v>201</v>
      </c>
      <c r="D179" s="53">
        <f>(41.64+3.83)*10.764</f>
        <v>489.43907999999993</v>
      </c>
      <c r="E179" s="51">
        <v>0</v>
      </c>
      <c r="F179" s="51">
        <f t="shared" si="8"/>
        <v>734.15861999999993</v>
      </c>
      <c r="G179" s="90"/>
      <c r="H179" s="91"/>
      <c r="I179" s="54"/>
    </row>
    <row r="180" spans="1:14" s="18" customFormat="1" ht="15.75" customHeight="1">
      <c r="A180" s="104">
        <f t="shared" si="9"/>
        <v>10</v>
      </c>
      <c r="B180" s="105"/>
      <c r="C180" s="52" t="s">
        <v>201</v>
      </c>
      <c r="D180" s="53">
        <f>(41.65+3.83)*10.764</f>
        <v>489.54671999999994</v>
      </c>
      <c r="E180" s="51">
        <v>0</v>
      </c>
      <c r="F180" s="51">
        <f t="shared" si="8"/>
        <v>734.32007999999996</v>
      </c>
      <c r="G180" s="90"/>
      <c r="H180" s="91"/>
      <c r="I180" s="54"/>
    </row>
    <row r="181" spans="1:14" s="18" customFormat="1" ht="15.75" customHeight="1">
      <c r="A181" s="104">
        <f t="shared" si="9"/>
        <v>11</v>
      </c>
      <c r="B181" s="105"/>
      <c r="C181" s="52" t="s">
        <v>202</v>
      </c>
      <c r="D181" s="53">
        <f>(45.67)*10.764</f>
        <v>491.59188</v>
      </c>
      <c r="E181" s="51">
        <v>0</v>
      </c>
      <c r="F181" s="51">
        <f t="shared" si="8"/>
        <v>737.38782000000003</v>
      </c>
      <c r="G181" s="90"/>
      <c r="H181" s="91"/>
      <c r="I181" s="54"/>
    </row>
    <row r="182" spans="1:14" s="18" customFormat="1" ht="15.75" customHeight="1">
      <c r="A182" s="104">
        <f t="shared" si="9"/>
        <v>12</v>
      </c>
      <c r="B182" s="105"/>
      <c r="C182" s="52" t="s">
        <v>201</v>
      </c>
      <c r="D182" s="53">
        <f>(38.3+3.27)*10.764</f>
        <v>447.45947999999999</v>
      </c>
      <c r="E182" s="51">
        <v>0</v>
      </c>
      <c r="F182" s="51">
        <f t="shared" si="8"/>
        <v>671.18921999999998</v>
      </c>
      <c r="G182" s="92"/>
      <c r="H182" s="93"/>
      <c r="I182" s="54"/>
    </row>
    <row r="183" spans="1:14" s="18" customFormat="1" ht="15.75" customHeight="1">
      <c r="A183" s="114" t="s">
        <v>179</v>
      </c>
      <c r="B183" s="115"/>
      <c r="C183" s="115"/>
      <c r="D183" s="115"/>
      <c r="E183" s="115"/>
      <c r="F183" s="115"/>
      <c r="G183" s="115"/>
      <c r="H183" s="116"/>
      <c r="J183" s="54"/>
    </row>
    <row r="184" spans="1:14" s="18" customFormat="1" ht="15.75" customHeight="1">
      <c r="A184" s="114" t="s">
        <v>206</v>
      </c>
      <c r="B184" s="115"/>
      <c r="C184" s="115"/>
      <c r="D184" s="115"/>
      <c r="E184" s="115"/>
      <c r="F184" s="115"/>
      <c r="G184" s="115"/>
      <c r="H184" s="116"/>
      <c r="J184" s="54"/>
    </row>
    <row r="185" spans="1:14" s="18" customFormat="1" ht="15.75" customHeight="1">
      <c r="A185" s="114" t="s">
        <v>207</v>
      </c>
      <c r="B185" s="115"/>
      <c r="C185" s="115"/>
      <c r="D185" s="115"/>
      <c r="E185" s="115"/>
      <c r="F185" s="115"/>
      <c r="G185" s="115"/>
      <c r="H185" s="116"/>
      <c r="J185" s="54"/>
    </row>
    <row r="186" spans="1:14" s="18" customFormat="1" ht="15.75" customHeight="1">
      <c r="A186" s="114" t="s">
        <v>208</v>
      </c>
      <c r="B186" s="115"/>
      <c r="C186" s="115"/>
      <c r="D186" s="115"/>
      <c r="E186" s="115"/>
      <c r="F186" s="115"/>
      <c r="G186" s="115"/>
      <c r="H186" s="116"/>
      <c r="J186" s="54"/>
      <c r="L186" s="18">
        <f>55000/1.55</f>
        <v>35483.870967741932</v>
      </c>
    </row>
    <row r="187" spans="1:14" s="18" customFormat="1" ht="15.75" customHeight="1">
      <c r="A187" s="114" t="s">
        <v>199</v>
      </c>
      <c r="B187" s="115"/>
      <c r="C187" s="115"/>
      <c r="D187" s="115"/>
      <c r="E187" s="115"/>
      <c r="F187" s="115"/>
      <c r="G187" s="115"/>
      <c r="H187" s="116"/>
      <c r="J187" s="54"/>
    </row>
    <row r="188" spans="1:14" s="18" customFormat="1" ht="33" customHeight="1">
      <c r="A188" s="114" t="s">
        <v>200</v>
      </c>
      <c r="B188" s="115"/>
      <c r="C188" s="115"/>
      <c r="D188" s="115"/>
      <c r="E188" s="115"/>
      <c r="F188" s="115"/>
      <c r="G188" s="115"/>
      <c r="H188" s="116"/>
      <c r="J188" s="54"/>
    </row>
    <row r="189" spans="1:14" s="18" customFormat="1" ht="15.75" customHeight="1">
      <c r="A189" s="104">
        <v>1</v>
      </c>
      <c r="B189" s="105"/>
      <c r="C189" s="52">
        <v>2</v>
      </c>
      <c r="D189" s="53">
        <f>(58.7+2.75)*10.764</f>
        <v>661.44780000000003</v>
      </c>
      <c r="E189" s="51">
        <v>0</v>
      </c>
      <c r="F189" s="51">
        <f t="shared" ref="F189:F196" si="10">D189*(($F$148)+1)+(IF(E189&lt;101,E189,IF(E189&lt;201,E189/2,IF(E189&lt;=301,E189/3,E189/4))))</f>
        <v>992.1717000000001</v>
      </c>
      <c r="G189" s="94" t="str">
        <f>A188</f>
        <v>1st to 4th, 6th to 9th, 11th to 14th, 16th to 19th, 21st to 24th, 26th to 28th, 30th to 33rd, 35th to 38th, 40th to 43rd, 45th to 48th &amp; 50th Floor For Residential</v>
      </c>
      <c r="H189" s="89"/>
      <c r="I189" s="54"/>
      <c r="J189" s="53">
        <f>10.764</f>
        <v>10.763999999999999</v>
      </c>
      <c r="L189" s="110"/>
      <c r="M189" s="110"/>
      <c r="N189" s="54"/>
    </row>
    <row r="190" spans="1:14" s="18" customFormat="1" ht="15.75" customHeight="1">
      <c r="A190" s="104">
        <f t="shared" ref="A190:A198" si="11">A189+1</f>
        <v>2</v>
      </c>
      <c r="B190" s="105"/>
      <c r="C190" s="52">
        <v>2</v>
      </c>
      <c r="D190" s="53">
        <f>(58.7+2.75)*10.764</f>
        <v>661.44780000000003</v>
      </c>
      <c r="E190" s="51">
        <v>0</v>
      </c>
      <c r="F190" s="51">
        <f t="shared" si="10"/>
        <v>992.1717000000001</v>
      </c>
      <c r="G190" s="95"/>
      <c r="H190" s="91"/>
      <c r="I190" s="54"/>
      <c r="L190" s="110"/>
      <c r="M190" s="110"/>
      <c r="N190" s="54"/>
    </row>
    <row r="191" spans="1:14" s="18" customFormat="1" ht="15.75" customHeight="1">
      <c r="A191" s="104">
        <f t="shared" si="11"/>
        <v>3</v>
      </c>
      <c r="B191" s="105"/>
      <c r="C191" s="52">
        <v>2</v>
      </c>
      <c r="D191" s="53">
        <f>56.8*10.764</f>
        <v>611.39519999999993</v>
      </c>
      <c r="E191" s="51">
        <v>0</v>
      </c>
      <c r="F191" s="51">
        <f t="shared" si="10"/>
        <v>917.0927999999999</v>
      </c>
      <c r="G191" s="95"/>
      <c r="H191" s="91"/>
      <c r="I191" s="54"/>
      <c r="L191" s="110"/>
      <c r="M191" s="110"/>
      <c r="N191" s="54"/>
    </row>
    <row r="192" spans="1:14" s="18" customFormat="1" ht="15.75" customHeight="1">
      <c r="A192" s="104">
        <f t="shared" si="11"/>
        <v>4</v>
      </c>
      <c r="B192" s="105"/>
      <c r="C192" s="52">
        <v>2</v>
      </c>
      <c r="D192" s="53">
        <f>52.5*10.764</f>
        <v>565.11</v>
      </c>
      <c r="E192" s="51">
        <v>0</v>
      </c>
      <c r="F192" s="51">
        <f t="shared" si="10"/>
        <v>847.66499999999996</v>
      </c>
      <c r="G192" s="95"/>
      <c r="H192" s="91"/>
      <c r="I192" s="54"/>
      <c r="L192" s="110"/>
      <c r="M192" s="110"/>
      <c r="N192" s="54"/>
    </row>
    <row r="193" spans="1:14" s="18" customFormat="1" ht="15.75" customHeight="1">
      <c r="A193" s="104">
        <f t="shared" si="11"/>
        <v>5</v>
      </c>
      <c r="B193" s="105"/>
      <c r="C193" s="52">
        <v>2</v>
      </c>
      <c r="D193" s="53">
        <f>52.5*10.764</f>
        <v>565.11</v>
      </c>
      <c r="E193" s="51">
        <v>0</v>
      </c>
      <c r="F193" s="51">
        <f t="shared" si="10"/>
        <v>847.66499999999996</v>
      </c>
      <c r="G193" s="95"/>
      <c r="H193" s="91"/>
      <c r="I193" s="54"/>
      <c r="L193" s="110"/>
      <c r="M193" s="110"/>
      <c r="N193" s="54"/>
    </row>
    <row r="194" spans="1:14" s="18" customFormat="1" ht="15.75" customHeight="1">
      <c r="A194" s="104">
        <f t="shared" si="11"/>
        <v>6</v>
      </c>
      <c r="B194" s="105"/>
      <c r="C194" s="52">
        <v>2</v>
      </c>
      <c r="D194" s="53">
        <f>52.49*10.764</f>
        <v>565.00235999999995</v>
      </c>
      <c r="E194" s="51">
        <v>0</v>
      </c>
      <c r="F194" s="51">
        <f t="shared" si="10"/>
        <v>847.50353999999993</v>
      </c>
      <c r="G194" s="95"/>
      <c r="H194" s="91"/>
      <c r="I194" s="54"/>
      <c r="L194" s="110"/>
      <c r="M194" s="110"/>
      <c r="N194" s="54"/>
    </row>
    <row r="195" spans="1:14" s="18" customFormat="1" ht="15.75" customHeight="1">
      <c r="A195" s="104">
        <f t="shared" si="11"/>
        <v>7</v>
      </c>
      <c r="B195" s="105"/>
      <c r="C195" s="52">
        <v>2</v>
      </c>
      <c r="D195" s="53">
        <f>52.49*10.764</f>
        <v>565.00235999999995</v>
      </c>
      <c r="E195" s="51">
        <v>0</v>
      </c>
      <c r="F195" s="51">
        <f t="shared" si="10"/>
        <v>847.50353999999993</v>
      </c>
      <c r="G195" s="95"/>
      <c r="H195" s="91"/>
      <c r="I195" s="54"/>
      <c r="L195" s="110"/>
      <c r="M195" s="110"/>
      <c r="N195" s="54"/>
    </row>
    <row r="196" spans="1:14" s="18" customFormat="1" ht="15.75" customHeight="1">
      <c r="A196" s="104">
        <f t="shared" si="11"/>
        <v>8</v>
      </c>
      <c r="B196" s="105"/>
      <c r="C196" s="52">
        <v>2</v>
      </c>
      <c r="D196" s="53">
        <f>56.8*(10.764)</f>
        <v>611.39519999999993</v>
      </c>
      <c r="E196" s="51">
        <v>0</v>
      </c>
      <c r="F196" s="51">
        <f t="shared" si="10"/>
        <v>917.0927999999999</v>
      </c>
      <c r="G196" s="95"/>
      <c r="H196" s="91"/>
      <c r="I196" s="54"/>
      <c r="L196" s="110"/>
      <c r="M196" s="110"/>
      <c r="N196" s="54"/>
    </row>
    <row r="197" spans="1:14" s="18" customFormat="1" ht="15.75" customHeight="1">
      <c r="A197" s="104">
        <f t="shared" si="11"/>
        <v>9</v>
      </c>
      <c r="B197" s="105"/>
      <c r="C197" s="52">
        <v>2</v>
      </c>
      <c r="D197" s="53">
        <f>(55.28+2.57)*(10.764)</f>
        <v>622.69740000000002</v>
      </c>
      <c r="E197" s="51">
        <v>0</v>
      </c>
      <c r="F197" s="51">
        <f t="shared" ref="F197:F198" si="12">D197*(($F$148)+1)+(IF(E197&lt;101,E197,IF(E197&lt;201,E197/2,IF(E197&lt;=301,E197/3,E197/4))))</f>
        <v>934.04610000000002</v>
      </c>
      <c r="G197" s="95"/>
      <c r="H197" s="91"/>
      <c r="I197" s="54"/>
      <c r="L197" s="110"/>
      <c r="M197" s="110"/>
      <c r="N197" s="54"/>
    </row>
    <row r="198" spans="1:14" s="18" customFormat="1" ht="15.75" customHeight="1">
      <c r="A198" s="104">
        <f t="shared" si="11"/>
        <v>10</v>
      </c>
      <c r="B198" s="105"/>
      <c r="C198" s="52">
        <v>2</v>
      </c>
      <c r="D198" s="53">
        <f>(55.28+2.57)*(10.764)</f>
        <v>622.69740000000002</v>
      </c>
      <c r="E198" s="51">
        <v>0</v>
      </c>
      <c r="F198" s="51">
        <f t="shared" si="12"/>
        <v>934.04610000000002</v>
      </c>
      <c r="G198" s="96"/>
      <c r="H198" s="93"/>
      <c r="I198" s="54"/>
      <c r="L198" s="110"/>
      <c r="M198" s="110"/>
      <c r="N198" s="54"/>
    </row>
    <row r="199" spans="1:14" s="18" customFormat="1">
      <c r="A199" s="111" t="s">
        <v>203</v>
      </c>
      <c r="B199" s="112"/>
      <c r="C199" s="112"/>
      <c r="D199" s="112"/>
      <c r="E199" s="112"/>
      <c r="F199" s="112"/>
      <c r="G199" s="112"/>
      <c r="H199" s="113"/>
      <c r="J199" s="54"/>
    </row>
    <row r="200" spans="1:14" s="18" customFormat="1" ht="15.75" customHeight="1">
      <c r="A200" s="114" t="s">
        <v>204</v>
      </c>
      <c r="B200" s="115"/>
      <c r="C200" s="115"/>
      <c r="D200" s="115"/>
      <c r="E200" s="115"/>
      <c r="F200" s="115"/>
      <c r="G200" s="115"/>
      <c r="H200" s="116"/>
      <c r="I200" s="54"/>
      <c r="J200" s="53">
        <f>10.764</f>
        <v>10.763999999999999</v>
      </c>
      <c r="L200" s="110"/>
      <c r="M200" s="110"/>
      <c r="N200" s="54"/>
    </row>
    <row r="201" spans="1:14" s="18" customFormat="1" ht="15.75" customHeight="1">
      <c r="A201" s="104">
        <v>1</v>
      </c>
      <c r="B201" s="105"/>
      <c r="C201" s="52">
        <v>2</v>
      </c>
      <c r="D201" s="53">
        <f>(58.7+2.75)*10.764</f>
        <v>661.44780000000003</v>
      </c>
      <c r="E201" s="51">
        <v>0</v>
      </c>
      <c r="F201" s="51">
        <f t="shared" ref="F201:F210" si="13">D201*(($F$148)+1)+(IF(E201&lt;101,E201,IF(E201&lt;201,E201/2,IF(E201&lt;=301,E201/3,E201/4))))</f>
        <v>992.1717000000001</v>
      </c>
      <c r="G201" s="94" t="str">
        <f>A200</f>
        <v>5th, 10th, 15th, 20th, 25th, 29th, 34th, 39th, 44th &amp; 49th Floor (Part Refuge Area)</v>
      </c>
      <c r="H201" s="89"/>
      <c r="I201" s="54"/>
      <c r="L201" s="110"/>
      <c r="M201" s="110"/>
      <c r="N201" s="54"/>
    </row>
    <row r="202" spans="1:14" s="18" customFormat="1" ht="15.75" customHeight="1">
      <c r="A202" s="104">
        <f t="shared" ref="A202:A210" si="14">A201+1</f>
        <v>2</v>
      </c>
      <c r="B202" s="105"/>
      <c r="C202" s="52">
        <v>2</v>
      </c>
      <c r="D202" s="53">
        <f>(58.7+2.75)*10.764</f>
        <v>661.44780000000003</v>
      </c>
      <c r="E202" s="51">
        <v>0</v>
      </c>
      <c r="F202" s="51">
        <f t="shared" si="13"/>
        <v>992.1717000000001</v>
      </c>
      <c r="G202" s="95"/>
      <c r="H202" s="91"/>
      <c r="I202" s="54"/>
      <c r="L202" s="110"/>
      <c r="M202" s="110"/>
      <c r="N202" s="54"/>
    </row>
    <row r="203" spans="1:14" s="18" customFormat="1" ht="15.75" customHeight="1">
      <c r="A203" s="104">
        <f t="shared" si="14"/>
        <v>3</v>
      </c>
      <c r="B203" s="105"/>
      <c r="C203" s="52">
        <v>2</v>
      </c>
      <c r="D203" s="53">
        <f>56.8*10.764</f>
        <v>611.39519999999993</v>
      </c>
      <c r="E203" s="51">
        <v>0</v>
      </c>
      <c r="F203" s="51">
        <f t="shared" si="13"/>
        <v>917.0927999999999</v>
      </c>
      <c r="G203" s="95"/>
      <c r="H203" s="91"/>
      <c r="I203" s="54"/>
      <c r="L203" s="110"/>
      <c r="M203" s="110"/>
      <c r="N203" s="54"/>
    </row>
    <row r="204" spans="1:14" s="18" customFormat="1" ht="15.75" customHeight="1">
      <c r="A204" s="104">
        <f t="shared" si="14"/>
        <v>4</v>
      </c>
      <c r="B204" s="105"/>
      <c r="C204" s="52">
        <v>2</v>
      </c>
      <c r="D204" s="53">
        <f>52.5*10.764</f>
        <v>565.11</v>
      </c>
      <c r="E204" s="51">
        <v>0</v>
      </c>
      <c r="F204" s="51">
        <f t="shared" si="13"/>
        <v>847.66499999999996</v>
      </c>
      <c r="G204" s="95"/>
      <c r="H204" s="91"/>
      <c r="I204" s="54"/>
      <c r="L204" s="110"/>
      <c r="M204" s="110"/>
      <c r="N204" s="54"/>
    </row>
    <row r="205" spans="1:14" s="18" customFormat="1" ht="15.75" customHeight="1">
      <c r="A205" s="104">
        <f t="shared" si="14"/>
        <v>5</v>
      </c>
      <c r="B205" s="105"/>
      <c r="C205" s="52">
        <v>2</v>
      </c>
      <c r="D205" s="53">
        <f>52.5*10.764</f>
        <v>565.11</v>
      </c>
      <c r="E205" s="51">
        <v>0</v>
      </c>
      <c r="F205" s="51">
        <f t="shared" si="13"/>
        <v>847.66499999999996</v>
      </c>
      <c r="G205" s="95"/>
      <c r="H205" s="91"/>
      <c r="I205" s="54"/>
      <c r="L205" s="110"/>
      <c r="M205" s="110"/>
      <c r="N205" s="54"/>
    </row>
    <row r="206" spans="1:14" s="18" customFormat="1" ht="15.75" customHeight="1">
      <c r="A206" s="104">
        <f t="shared" si="14"/>
        <v>6</v>
      </c>
      <c r="B206" s="105"/>
      <c r="C206" s="52">
        <v>2</v>
      </c>
      <c r="D206" s="53">
        <f>52.49*10.764</f>
        <v>565.00235999999995</v>
      </c>
      <c r="E206" s="51">
        <v>0</v>
      </c>
      <c r="F206" s="51">
        <f t="shared" si="13"/>
        <v>847.50353999999993</v>
      </c>
      <c r="G206" s="95"/>
      <c r="H206" s="91"/>
      <c r="I206" s="54"/>
      <c r="L206" s="110"/>
      <c r="M206" s="110"/>
      <c r="N206" s="54"/>
    </row>
    <row r="207" spans="1:14" s="18" customFormat="1" ht="15.75" customHeight="1">
      <c r="A207" s="104">
        <v>7</v>
      </c>
      <c r="B207" s="105"/>
      <c r="C207" s="117" t="s">
        <v>205</v>
      </c>
      <c r="D207" s="118"/>
      <c r="E207" s="118"/>
      <c r="F207" s="119"/>
      <c r="G207" s="95"/>
      <c r="H207" s="91"/>
      <c r="I207" s="54"/>
      <c r="L207" s="110"/>
      <c r="M207" s="110"/>
      <c r="N207" s="54"/>
    </row>
    <row r="208" spans="1:14" s="18" customFormat="1" ht="15.75" customHeight="1">
      <c r="A208" s="104">
        <v>8</v>
      </c>
      <c r="B208" s="105"/>
      <c r="C208" s="52">
        <v>2</v>
      </c>
      <c r="D208" s="53">
        <f>56.8*(10.764)</f>
        <v>611.39519999999993</v>
      </c>
      <c r="E208" s="51">
        <v>0</v>
      </c>
      <c r="F208" s="51">
        <f t="shared" si="13"/>
        <v>917.0927999999999</v>
      </c>
      <c r="G208" s="95"/>
      <c r="H208" s="91"/>
      <c r="I208" s="54"/>
      <c r="L208" s="110"/>
      <c r="M208" s="110"/>
      <c r="N208" s="54"/>
    </row>
    <row r="209" spans="1:14" s="18" customFormat="1" ht="15.75" customHeight="1">
      <c r="A209" s="104">
        <f t="shared" si="14"/>
        <v>9</v>
      </c>
      <c r="B209" s="105"/>
      <c r="C209" s="52">
        <v>2</v>
      </c>
      <c r="D209" s="53">
        <f>(55.28+2.57)*(10.764)</f>
        <v>622.69740000000002</v>
      </c>
      <c r="E209" s="51">
        <v>0</v>
      </c>
      <c r="F209" s="51">
        <f t="shared" si="13"/>
        <v>934.04610000000002</v>
      </c>
      <c r="G209" s="95"/>
      <c r="H209" s="91"/>
      <c r="I209" s="54"/>
      <c r="L209" s="110"/>
      <c r="M209" s="110"/>
      <c r="N209" s="54"/>
    </row>
    <row r="210" spans="1:14" s="18" customFormat="1">
      <c r="A210" s="104">
        <f t="shared" si="14"/>
        <v>10</v>
      </c>
      <c r="B210" s="105"/>
      <c r="C210" s="52">
        <v>2</v>
      </c>
      <c r="D210" s="53">
        <f>(55.28+2.57)*(10.764)</f>
        <v>622.69740000000002</v>
      </c>
      <c r="E210" s="51">
        <v>0</v>
      </c>
      <c r="F210" s="51">
        <f t="shared" si="13"/>
        <v>934.04610000000002</v>
      </c>
      <c r="G210" s="96"/>
      <c r="H210" s="93"/>
      <c r="J210" s="54"/>
    </row>
    <row r="211" spans="1:14" s="18" customFormat="1">
      <c r="A211" s="114" t="s">
        <v>180</v>
      </c>
      <c r="B211" s="115"/>
      <c r="C211" s="115"/>
      <c r="D211" s="115"/>
      <c r="E211" s="115"/>
      <c r="F211" s="115"/>
      <c r="G211" s="115"/>
      <c r="H211" s="116"/>
      <c r="J211" s="54"/>
    </row>
    <row r="212" spans="1:14" s="18" customFormat="1">
      <c r="A212" s="114" t="s">
        <v>206</v>
      </c>
      <c r="B212" s="115"/>
      <c r="C212" s="115"/>
      <c r="D212" s="115"/>
      <c r="E212" s="115"/>
      <c r="F212" s="115"/>
      <c r="G212" s="115"/>
      <c r="H212" s="116"/>
      <c r="J212" s="54"/>
    </row>
    <row r="213" spans="1:14" s="18" customFormat="1">
      <c r="A213" s="114" t="s">
        <v>207</v>
      </c>
      <c r="B213" s="115"/>
      <c r="C213" s="115"/>
      <c r="D213" s="115"/>
      <c r="E213" s="115"/>
      <c r="F213" s="115"/>
      <c r="G213" s="115"/>
      <c r="H213" s="116"/>
      <c r="J213" s="54"/>
    </row>
    <row r="214" spans="1:14" s="18" customFormat="1">
      <c r="A214" s="114" t="s">
        <v>208</v>
      </c>
      <c r="B214" s="115"/>
      <c r="C214" s="115"/>
      <c r="D214" s="115"/>
      <c r="E214" s="115"/>
      <c r="F214" s="115"/>
      <c r="G214" s="115"/>
      <c r="H214" s="116"/>
      <c r="J214" s="54"/>
    </row>
    <row r="215" spans="1:14" s="18" customFormat="1">
      <c r="A215" s="114" t="s">
        <v>199</v>
      </c>
      <c r="B215" s="115"/>
      <c r="C215" s="115"/>
      <c r="D215" s="115"/>
      <c r="E215" s="115"/>
      <c r="F215" s="115"/>
      <c r="G215" s="115"/>
      <c r="H215" s="116"/>
      <c r="J215" s="54"/>
    </row>
    <row r="216" spans="1:14" s="18" customFormat="1" ht="36" customHeight="1">
      <c r="A216" s="114" t="s">
        <v>200</v>
      </c>
      <c r="B216" s="115"/>
      <c r="C216" s="115"/>
      <c r="D216" s="115"/>
      <c r="E216" s="115"/>
      <c r="F216" s="115"/>
      <c r="G216" s="115"/>
      <c r="H216" s="116"/>
      <c r="I216" s="54"/>
      <c r="J216" s="53">
        <f>10.764</f>
        <v>10.763999999999999</v>
      </c>
      <c r="L216" s="110"/>
      <c r="M216" s="110"/>
      <c r="N216" s="54"/>
    </row>
    <row r="217" spans="1:14" s="18" customFormat="1" ht="15.75" customHeight="1">
      <c r="A217" s="104">
        <v>1</v>
      </c>
      <c r="B217" s="105"/>
      <c r="C217" s="52" t="s">
        <v>209</v>
      </c>
      <c r="D217" s="53">
        <f>(83.96+5.65)*10.764</f>
        <v>964.56203999999991</v>
      </c>
      <c r="E217" s="51">
        <v>0</v>
      </c>
      <c r="F217" s="51">
        <f t="shared" ref="F217:F222" si="15">D217*(($F$148)+1)+(IF(E217&lt;101,E217,IF(E217&lt;201,E217/2,IF(E217&lt;=301,E217/3,E217/4))))</f>
        <v>1446.8430599999999</v>
      </c>
      <c r="G217" s="94" t="str">
        <f>A216</f>
        <v>1st to 4th, 6th to 9th, 11th to 14th, 16th to 19th, 21st to 24th, 26th to 28th, 30th to 33rd, 35th to 38th, 40th to 43rd, 45th to 48th &amp; 50th Floor For Residential</v>
      </c>
      <c r="H217" s="89"/>
      <c r="I217" s="54"/>
      <c r="L217" s="110"/>
      <c r="M217" s="110"/>
      <c r="N217" s="54"/>
    </row>
    <row r="218" spans="1:14" s="18" customFormat="1" ht="15.75" customHeight="1">
      <c r="A218" s="104">
        <f t="shared" ref="A218:A222" si="16">A217+1</f>
        <v>2</v>
      </c>
      <c r="B218" s="105"/>
      <c r="C218" s="52">
        <v>2</v>
      </c>
      <c r="D218" s="53">
        <f>(58.73+2.45)*10.764</f>
        <v>658.54151999999999</v>
      </c>
      <c r="E218" s="51">
        <v>0</v>
      </c>
      <c r="F218" s="51">
        <f t="shared" si="15"/>
        <v>987.81227999999999</v>
      </c>
      <c r="G218" s="95"/>
      <c r="H218" s="91"/>
      <c r="I218" s="54"/>
      <c r="L218" s="110"/>
      <c r="M218" s="110"/>
      <c r="N218" s="54"/>
    </row>
    <row r="219" spans="1:14" s="18" customFormat="1" ht="15.75" customHeight="1">
      <c r="A219" s="104">
        <f t="shared" si="16"/>
        <v>3</v>
      </c>
      <c r="B219" s="105"/>
      <c r="C219" s="52" t="s">
        <v>209</v>
      </c>
      <c r="D219" s="53">
        <f>(84.22+4.55)*10.764</f>
        <v>955.52027999999984</v>
      </c>
      <c r="E219" s="51">
        <v>0</v>
      </c>
      <c r="F219" s="51">
        <f t="shared" si="15"/>
        <v>1433.2804199999998</v>
      </c>
      <c r="G219" s="95"/>
      <c r="H219" s="91"/>
      <c r="I219" s="54"/>
      <c r="L219" s="110"/>
      <c r="M219" s="110"/>
      <c r="N219" s="54"/>
    </row>
    <row r="220" spans="1:14" s="18" customFormat="1" ht="15.75" customHeight="1">
      <c r="A220" s="104">
        <f t="shared" si="16"/>
        <v>4</v>
      </c>
      <c r="B220" s="105"/>
      <c r="C220" s="52" t="s">
        <v>209</v>
      </c>
      <c r="D220" s="53">
        <f>(84.22+4.55)*10.764</f>
        <v>955.52027999999984</v>
      </c>
      <c r="E220" s="51">
        <v>0</v>
      </c>
      <c r="F220" s="51">
        <f t="shared" si="15"/>
        <v>1433.2804199999998</v>
      </c>
      <c r="G220" s="95"/>
      <c r="H220" s="91"/>
      <c r="I220" s="54"/>
      <c r="L220" s="110"/>
      <c r="M220" s="110"/>
      <c r="N220" s="54"/>
    </row>
    <row r="221" spans="1:14" s="18" customFormat="1" ht="15.75" customHeight="1">
      <c r="A221" s="104">
        <f t="shared" si="16"/>
        <v>5</v>
      </c>
      <c r="B221" s="105"/>
      <c r="C221" s="52">
        <v>2</v>
      </c>
      <c r="D221" s="53">
        <f>(58.73+2.45)*10.764</f>
        <v>658.54151999999999</v>
      </c>
      <c r="E221" s="51">
        <v>0</v>
      </c>
      <c r="F221" s="51">
        <f t="shared" si="15"/>
        <v>987.81227999999999</v>
      </c>
      <c r="G221" s="95"/>
      <c r="H221" s="91"/>
      <c r="I221" s="54"/>
      <c r="L221" s="110"/>
      <c r="M221" s="110"/>
      <c r="N221" s="54"/>
    </row>
    <row r="222" spans="1:14" s="18" customFormat="1">
      <c r="A222" s="104">
        <f t="shared" si="16"/>
        <v>6</v>
      </c>
      <c r="B222" s="105"/>
      <c r="C222" s="52" t="s">
        <v>209</v>
      </c>
      <c r="D222" s="53">
        <f>(83.96+5.65)*10.764</f>
        <v>964.56203999999991</v>
      </c>
      <c r="E222" s="51">
        <v>0</v>
      </c>
      <c r="F222" s="51">
        <f t="shared" si="15"/>
        <v>1446.8430599999999</v>
      </c>
      <c r="G222" s="96"/>
      <c r="H222" s="93"/>
      <c r="J222" s="54"/>
    </row>
    <row r="223" spans="1:14" s="18" customFormat="1" ht="15.75" customHeight="1">
      <c r="A223" s="111" t="s">
        <v>203</v>
      </c>
      <c r="B223" s="112"/>
      <c r="C223" s="112"/>
      <c r="D223" s="112"/>
      <c r="E223" s="112"/>
      <c r="F223" s="112"/>
      <c r="G223" s="112"/>
      <c r="H223" s="113"/>
      <c r="I223" s="54"/>
      <c r="J223" s="53">
        <f>10.764</f>
        <v>10.763999999999999</v>
      </c>
      <c r="L223" s="110"/>
      <c r="M223" s="110"/>
      <c r="N223" s="54"/>
    </row>
    <row r="224" spans="1:14" s="18" customFormat="1" ht="15.75" customHeight="1">
      <c r="A224" s="114" t="s">
        <v>204</v>
      </c>
      <c r="B224" s="115"/>
      <c r="C224" s="115"/>
      <c r="D224" s="115"/>
      <c r="E224" s="115"/>
      <c r="F224" s="115"/>
      <c r="G224" s="115"/>
      <c r="H224" s="116"/>
      <c r="I224" s="54"/>
      <c r="L224" s="110"/>
      <c r="M224" s="110"/>
      <c r="N224" s="54"/>
    </row>
    <row r="225" spans="1:14" s="18" customFormat="1" ht="15.75" customHeight="1">
      <c r="A225" s="104">
        <v>1</v>
      </c>
      <c r="B225" s="105"/>
      <c r="C225" s="52" t="s">
        <v>209</v>
      </c>
      <c r="D225" s="53">
        <f>(83.96+5.65)*10.764</f>
        <v>964.56203999999991</v>
      </c>
      <c r="E225" s="51">
        <v>0</v>
      </c>
      <c r="F225" s="51">
        <f t="shared" ref="F225:F230" si="17">D225*(($F$148)+1)+(IF(E225&lt;101,E225,IF(E225&lt;201,E225/2,IF(E225&lt;=301,E225/3,E225/4))))</f>
        <v>1446.8430599999999</v>
      </c>
      <c r="G225" s="94" t="str">
        <f>A224</f>
        <v>5th, 10th, 15th, 20th, 25th, 29th, 34th, 39th, 44th &amp; 49th Floor (Part Refuge Area)</v>
      </c>
      <c r="H225" s="89"/>
      <c r="I225" s="54"/>
      <c r="L225" s="110"/>
      <c r="M225" s="110"/>
      <c r="N225" s="54"/>
    </row>
    <row r="226" spans="1:14" s="18" customFormat="1" ht="15.75" customHeight="1">
      <c r="A226" s="104">
        <f t="shared" ref="A226:A230" si="18">A225+1</f>
        <v>2</v>
      </c>
      <c r="B226" s="105"/>
      <c r="C226" s="52">
        <v>2</v>
      </c>
      <c r="D226" s="53">
        <f>(58.73+2.45)*10.764</f>
        <v>658.54151999999999</v>
      </c>
      <c r="E226" s="51">
        <v>0</v>
      </c>
      <c r="F226" s="51">
        <f t="shared" si="17"/>
        <v>987.81227999999999</v>
      </c>
      <c r="G226" s="95"/>
      <c r="H226" s="91"/>
      <c r="I226" s="54"/>
      <c r="L226" s="110"/>
      <c r="M226" s="110"/>
      <c r="N226" s="54"/>
    </row>
    <row r="227" spans="1:14" s="18" customFormat="1" ht="15.75" customHeight="1">
      <c r="A227" s="104">
        <f t="shared" si="18"/>
        <v>3</v>
      </c>
      <c r="B227" s="105"/>
      <c r="C227" s="52" t="s">
        <v>209</v>
      </c>
      <c r="D227" s="53">
        <f>(84.22+4.55)*10.764</f>
        <v>955.52027999999984</v>
      </c>
      <c r="E227" s="51">
        <v>0</v>
      </c>
      <c r="F227" s="51">
        <f t="shared" si="17"/>
        <v>1433.2804199999998</v>
      </c>
      <c r="G227" s="95"/>
      <c r="H227" s="91"/>
      <c r="I227" s="54"/>
      <c r="L227" s="110"/>
      <c r="M227" s="110"/>
      <c r="N227" s="54"/>
    </row>
    <row r="228" spans="1:14" s="18" customFormat="1" ht="15.75" customHeight="1">
      <c r="A228" s="104">
        <f t="shared" si="18"/>
        <v>4</v>
      </c>
      <c r="B228" s="105"/>
      <c r="C228" s="52" t="s">
        <v>201</v>
      </c>
      <c r="D228" s="53">
        <f>(47.27+4.55)*10.764</f>
        <v>557.79048</v>
      </c>
      <c r="E228" s="51">
        <v>0</v>
      </c>
      <c r="F228" s="51">
        <f t="shared" si="17"/>
        <v>836.68571999999995</v>
      </c>
      <c r="G228" s="95"/>
      <c r="H228" s="91"/>
      <c r="I228" s="54"/>
      <c r="L228" s="110"/>
      <c r="M228" s="110"/>
      <c r="N228" s="54"/>
    </row>
    <row r="229" spans="1:14" s="17" customFormat="1">
      <c r="A229" s="104">
        <f t="shared" si="18"/>
        <v>5</v>
      </c>
      <c r="B229" s="105"/>
      <c r="C229" s="52">
        <v>2</v>
      </c>
      <c r="D229" s="53">
        <f>(58.73+2.45)*10.764</f>
        <v>658.54151999999999</v>
      </c>
      <c r="E229" s="51">
        <v>0</v>
      </c>
      <c r="F229" s="51">
        <f t="shared" si="17"/>
        <v>987.81227999999999</v>
      </c>
      <c r="G229" s="95"/>
      <c r="H229" s="91"/>
    </row>
    <row r="230" spans="1:14" s="17" customFormat="1">
      <c r="A230" s="104">
        <f t="shared" si="18"/>
        <v>6</v>
      </c>
      <c r="B230" s="105"/>
      <c r="C230" s="52" t="s">
        <v>209</v>
      </c>
      <c r="D230" s="53">
        <f>(83.96+5.65)*10.764</f>
        <v>964.56203999999991</v>
      </c>
      <c r="E230" s="51">
        <v>0</v>
      </c>
      <c r="F230" s="51">
        <f t="shared" si="17"/>
        <v>1446.8430599999999</v>
      </c>
      <c r="G230" s="96"/>
      <c r="H230" s="93"/>
    </row>
    <row r="231" spans="1:14" s="17" customFormat="1" ht="15.75" customHeight="1">
      <c r="A231" s="106" t="s">
        <v>210</v>
      </c>
      <c r="B231" s="106"/>
      <c r="C231" s="106"/>
      <c r="D231" s="106"/>
      <c r="E231" s="106"/>
      <c r="F231" s="106"/>
      <c r="G231" s="106"/>
      <c r="H231" s="106"/>
    </row>
    <row r="232" spans="1:14" s="17" customFormat="1" ht="30.95" customHeight="1">
      <c r="A232" s="36" t="s">
        <v>211</v>
      </c>
      <c r="B232" s="107" t="s">
        <v>212</v>
      </c>
      <c r="C232" s="108"/>
      <c r="D232" s="108"/>
      <c r="E232" s="108"/>
      <c r="F232" s="108"/>
      <c r="G232" s="108"/>
      <c r="H232" s="109"/>
    </row>
    <row r="233" spans="1:14" s="17" customFormat="1" ht="15.75" customHeight="1">
      <c r="A233" s="36" t="s">
        <v>211</v>
      </c>
      <c r="B233" s="107" t="str">
        <f>(IF(F147="Saleable area Loading :","We have considered Saleable area of Flats as per our Calculation.","We considered Saleable area of Flat as per Builder area Sheet."))</f>
        <v>We have considered Saleable area of Flats as per our Calculation.</v>
      </c>
      <c r="C233" s="108"/>
      <c r="D233" s="108"/>
      <c r="E233" s="108"/>
      <c r="F233" s="108"/>
      <c r="G233" s="108"/>
      <c r="H233" s="109"/>
    </row>
    <row r="234" spans="1:14" s="17" customFormat="1" ht="15.75" hidden="1" customHeight="1">
      <c r="A234" s="36" t="s">
        <v>211</v>
      </c>
      <c r="B234" s="107" t="str">
        <f>(IF(F139="Saleable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4" s="108"/>
      <c r="D234" s="108"/>
      <c r="E234" s="108"/>
      <c r="F234" s="108"/>
      <c r="G234" s="108"/>
      <c r="H234" s="109"/>
    </row>
    <row r="235" spans="1:14" s="17" customFormat="1" ht="15.75" customHeight="1">
      <c r="A235" s="36" t="s">
        <v>211</v>
      </c>
      <c r="B235" s="100" t="s">
        <v>213</v>
      </c>
      <c r="C235" s="101"/>
      <c r="D235" s="101"/>
      <c r="E235" s="101"/>
      <c r="F235" s="101"/>
      <c r="G235" s="101"/>
      <c r="H235" s="102"/>
    </row>
    <row r="236" spans="1:14" s="17" customFormat="1">
      <c r="A236" s="36" t="s">
        <v>211</v>
      </c>
      <c r="B236" s="100" t="s">
        <v>214</v>
      </c>
      <c r="C236" s="101"/>
      <c r="D236" s="101"/>
      <c r="E236" s="101"/>
      <c r="F236" s="101"/>
      <c r="G236" s="101"/>
      <c r="H236" s="102"/>
    </row>
    <row r="237" spans="1:14" s="17" customFormat="1">
      <c r="A237" s="36" t="s">
        <v>211</v>
      </c>
      <c r="B237" s="100" t="s">
        <v>215</v>
      </c>
      <c r="C237" s="101"/>
      <c r="D237" s="101"/>
      <c r="E237" s="101"/>
      <c r="F237" s="101"/>
      <c r="G237" s="101"/>
      <c r="H237" s="102"/>
    </row>
    <row r="238" spans="1:14" s="17" customFormat="1">
      <c r="A238" s="36" t="s">
        <v>211</v>
      </c>
      <c r="B238" s="100" t="s">
        <v>216</v>
      </c>
      <c r="C238" s="101"/>
      <c r="D238" s="101"/>
      <c r="E238" s="101"/>
      <c r="F238" s="101"/>
      <c r="G238" s="101"/>
      <c r="H238" s="102"/>
    </row>
    <row r="239" spans="1:14" s="17" customFormat="1" ht="33" customHeight="1">
      <c r="A239" s="36" t="s">
        <v>211</v>
      </c>
      <c r="B239" s="100" t="s">
        <v>217</v>
      </c>
      <c r="C239" s="101"/>
      <c r="D239" s="101"/>
      <c r="E239" s="101"/>
      <c r="F239" s="101"/>
      <c r="G239" s="101"/>
      <c r="H239" s="102"/>
    </row>
    <row r="240" spans="1:14" s="17" customFormat="1">
      <c r="A240" s="36" t="s">
        <v>211</v>
      </c>
      <c r="B240" s="100" t="s">
        <v>218</v>
      </c>
      <c r="C240" s="101"/>
      <c r="D240" s="101"/>
      <c r="E240" s="101"/>
      <c r="F240" s="101"/>
      <c r="G240" s="101"/>
      <c r="H240" s="102"/>
    </row>
    <row r="241" spans="1:8" s="17" customFormat="1">
      <c r="A241" s="36" t="s">
        <v>211</v>
      </c>
      <c r="B241" s="100" t="s">
        <v>219</v>
      </c>
      <c r="C241" s="101"/>
      <c r="D241" s="101"/>
      <c r="E241" s="101"/>
      <c r="F241" s="101"/>
      <c r="G241" s="101"/>
      <c r="H241" s="102"/>
    </row>
    <row r="242" spans="1:8" s="17" customFormat="1" ht="36" customHeight="1">
      <c r="A242" s="36" t="s">
        <v>211</v>
      </c>
      <c r="B242" s="100" t="s">
        <v>220</v>
      </c>
      <c r="C242" s="101"/>
      <c r="D242" s="101"/>
      <c r="E242" s="101"/>
      <c r="F242" s="101"/>
      <c r="G242" s="101"/>
      <c r="H242" s="102"/>
    </row>
    <row r="243" spans="1:8">
      <c r="A243" s="36" t="s">
        <v>211</v>
      </c>
      <c r="B243" s="100" t="s">
        <v>221</v>
      </c>
      <c r="C243" s="101"/>
      <c r="D243" s="101"/>
      <c r="E243" s="101"/>
      <c r="F243" s="101"/>
      <c r="G243" s="101"/>
      <c r="H243" s="102"/>
    </row>
    <row r="244" spans="1:8" ht="30.75" customHeight="1">
      <c r="A244" s="36" t="s">
        <v>211</v>
      </c>
      <c r="B244" s="100" t="s">
        <v>222</v>
      </c>
      <c r="C244" s="101"/>
      <c r="D244" s="101"/>
      <c r="E244" s="101"/>
      <c r="F244" s="101"/>
      <c r="G244" s="101"/>
      <c r="H244" s="102"/>
    </row>
    <row r="245" spans="1:8">
      <c r="A245" s="36" t="s">
        <v>211</v>
      </c>
      <c r="B245" s="100" t="s">
        <v>223</v>
      </c>
      <c r="C245" s="101"/>
      <c r="D245" s="101"/>
      <c r="E245" s="101"/>
      <c r="F245" s="101"/>
      <c r="G245" s="101"/>
      <c r="H245" s="102"/>
    </row>
    <row r="246" spans="1:8" ht="15.75" customHeight="1">
      <c r="A246" s="103" t="s">
        <v>224</v>
      </c>
      <c r="B246" s="103"/>
      <c r="C246" s="103"/>
      <c r="D246" s="103"/>
      <c r="E246" s="103"/>
      <c r="F246" s="103"/>
      <c r="G246" s="103"/>
      <c r="H246" s="103"/>
    </row>
    <row r="247" spans="1:8">
      <c r="A247" s="98" t="s">
        <v>225</v>
      </c>
      <c r="B247" s="98"/>
      <c r="C247" s="98"/>
      <c r="D247" s="98"/>
      <c r="E247" s="98"/>
      <c r="F247" s="98"/>
      <c r="G247" s="98"/>
      <c r="H247" s="98"/>
    </row>
    <row r="248" spans="1:8">
      <c r="A248" s="97" t="s">
        <v>226</v>
      </c>
      <c r="B248" s="97"/>
      <c r="C248" s="97"/>
      <c r="D248" s="97"/>
      <c r="E248" s="97"/>
      <c r="F248" s="97"/>
      <c r="G248" s="97"/>
      <c r="H248" s="97"/>
    </row>
    <row r="249" spans="1:8">
      <c r="A249" s="98" t="s">
        <v>227</v>
      </c>
      <c r="B249" s="98"/>
      <c r="C249" s="98"/>
      <c r="D249" s="98"/>
      <c r="E249" s="98"/>
      <c r="F249" s="98"/>
      <c r="G249" s="98"/>
      <c r="H249" s="98"/>
    </row>
    <row r="250" spans="1:8">
      <c r="A250" s="98" t="s">
        <v>228</v>
      </c>
      <c r="B250" s="98"/>
      <c r="C250" s="98"/>
      <c r="D250" s="98"/>
      <c r="E250" s="98"/>
      <c r="F250" s="98"/>
      <c r="G250" s="98"/>
      <c r="H250" s="98"/>
    </row>
    <row r="251" spans="1:8">
      <c r="A251" s="98" t="s">
        <v>229</v>
      </c>
      <c r="B251" s="98"/>
      <c r="C251" s="98"/>
      <c r="D251" s="98"/>
      <c r="E251" s="98"/>
      <c r="F251" s="98"/>
      <c r="G251" s="98"/>
      <c r="H251" s="98"/>
    </row>
    <row r="252" spans="1:8">
      <c r="A252" s="60" t="s">
        <v>230</v>
      </c>
      <c r="B252" s="60"/>
      <c r="C252" s="60"/>
      <c r="D252" s="60"/>
      <c r="E252" s="60"/>
      <c r="F252" s="60"/>
      <c r="G252" s="60"/>
      <c r="H252" s="60"/>
    </row>
    <row r="253" spans="1:8">
      <c r="A253" s="99" t="s">
        <v>231</v>
      </c>
      <c r="B253" s="99"/>
      <c r="C253" s="99" t="s">
        <v>232</v>
      </c>
      <c r="D253" s="99"/>
      <c r="E253" s="99" t="s">
        <v>233</v>
      </c>
      <c r="F253" s="99"/>
      <c r="G253" s="99" t="s">
        <v>251</v>
      </c>
      <c r="H253" s="99"/>
    </row>
    <row r="254" spans="1:8">
      <c r="A254" s="59" t="s">
        <v>234</v>
      </c>
      <c r="B254" s="59"/>
      <c r="C254" s="59"/>
      <c r="D254" s="59"/>
      <c r="E254" s="59"/>
      <c r="F254" s="59"/>
      <c r="G254" s="59"/>
      <c r="H254" s="59"/>
    </row>
    <row r="255" spans="1:8">
      <c r="A255" s="59"/>
      <c r="B255" s="59"/>
      <c r="C255" s="59"/>
      <c r="D255" s="59"/>
      <c r="E255" s="59"/>
      <c r="F255" s="59"/>
      <c r="G255" s="59"/>
      <c r="H255" s="59"/>
    </row>
    <row r="256" spans="1:8">
      <c r="A256" s="59"/>
      <c r="B256" s="59"/>
      <c r="C256" s="59"/>
      <c r="D256" s="59"/>
      <c r="E256" s="59"/>
      <c r="F256" s="59"/>
      <c r="G256" s="59"/>
      <c r="H256" s="59"/>
    </row>
    <row r="257" spans="1:8">
      <c r="A257" s="59"/>
      <c r="B257" s="59"/>
      <c r="C257" s="59"/>
      <c r="D257" s="59"/>
      <c r="E257" s="59"/>
      <c r="F257" s="59"/>
      <c r="G257" s="59"/>
      <c r="H257" s="59"/>
    </row>
    <row r="258" spans="1:8">
      <c r="A258" s="56" t="s">
        <v>235</v>
      </c>
      <c r="B258" s="56"/>
      <c r="C258" s="57"/>
      <c r="D258" s="56" t="str">
        <f>E8</f>
        <v>25 Hourlife</v>
      </c>
      <c r="F258" s="57"/>
      <c r="G258" s="57"/>
      <c r="H258" s="57"/>
    </row>
    <row r="259" spans="1:8" ht="15" customHeight="1">
      <c r="A259" s="57"/>
      <c r="B259" s="57"/>
      <c r="C259" s="57"/>
      <c r="D259" s="57"/>
      <c r="E259" s="57"/>
      <c r="F259" s="57"/>
      <c r="G259" s="57"/>
      <c r="H259" s="57"/>
    </row>
    <row r="260" spans="1:8">
      <c r="A260" s="57"/>
      <c r="B260" s="57"/>
      <c r="C260" s="57"/>
      <c r="D260" s="57"/>
      <c r="E260" s="57"/>
      <c r="F260" s="57"/>
      <c r="G260" s="57"/>
      <c r="H260" s="57"/>
    </row>
    <row r="297" spans="1:1">
      <c r="A297" s="58" t="s">
        <v>236</v>
      </c>
    </row>
    <row r="339" spans="1:1">
      <c r="A339" s="58" t="s">
        <v>237</v>
      </c>
    </row>
  </sheetData>
  <mergeCells count="444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C52:E52"/>
    <mergeCell ref="G52:H52"/>
    <mergeCell ref="C53:H53"/>
    <mergeCell ref="A54:B54"/>
    <mergeCell ref="C54:E54"/>
    <mergeCell ref="G54:H54"/>
    <mergeCell ref="A55:H55"/>
    <mergeCell ref="A56:C56"/>
    <mergeCell ref="D56:H56"/>
    <mergeCell ref="A52:B53"/>
    <mergeCell ref="A57:C57"/>
    <mergeCell ref="D57:H57"/>
    <mergeCell ref="A58:C58"/>
    <mergeCell ref="D58:H58"/>
    <mergeCell ref="D59:H59"/>
    <mergeCell ref="D60:H60"/>
    <mergeCell ref="D61:H61"/>
    <mergeCell ref="A62:C62"/>
    <mergeCell ref="D62:H62"/>
    <mergeCell ref="A63:C63"/>
    <mergeCell ref="D63:H63"/>
    <mergeCell ref="A64:C64"/>
    <mergeCell ref="D64:H64"/>
    <mergeCell ref="A65:C65"/>
    <mergeCell ref="D65:H65"/>
    <mergeCell ref="A66:C66"/>
    <mergeCell ref="D66:H66"/>
    <mergeCell ref="A67:C67"/>
    <mergeCell ref="D67:H67"/>
    <mergeCell ref="A68:C68"/>
    <mergeCell ref="D68:H68"/>
    <mergeCell ref="A69:B69"/>
    <mergeCell ref="C69:H69"/>
    <mergeCell ref="A71:B71"/>
    <mergeCell ref="C71:H71"/>
    <mergeCell ref="A72:B72"/>
    <mergeCell ref="E72:F72"/>
    <mergeCell ref="G72:H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C97:H97"/>
    <mergeCell ref="A99:B99"/>
    <mergeCell ref="C99:H99"/>
    <mergeCell ref="A100:B100"/>
    <mergeCell ref="E100:F100"/>
    <mergeCell ref="G100:H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E111"/>
    <mergeCell ref="F111:H111"/>
    <mergeCell ref="A112:E112"/>
    <mergeCell ref="F112:H112"/>
    <mergeCell ref="A113:E113"/>
    <mergeCell ref="F113:H113"/>
    <mergeCell ref="A114:E114"/>
    <mergeCell ref="F114:H114"/>
    <mergeCell ref="A115:E115"/>
    <mergeCell ref="F115:H115"/>
    <mergeCell ref="A116:E116"/>
    <mergeCell ref="F116:H116"/>
    <mergeCell ref="A117:E117"/>
    <mergeCell ref="F117:H117"/>
    <mergeCell ref="A118:E118"/>
    <mergeCell ref="F118:H118"/>
    <mergeCell ref="A119:E119"/>
    <mergeCell ref="F119:H119"/>
    <mergeCell ref="A120:E120"/>
    <mergeCell ref="F120:H120"/>
    <mergeCell ref="A121:E121"/>
    <mergeCell ref="F121:H121"/>
    <mergeCell ref="A122:E122"/>
    <mergeCell ref="F122:H122"/>
    <mergeCell ref="A123:E123"/>
    <mergeCell ref="F123:H123"/>
    <mergeCell ref="A124:E124"/>
    <mergeCell ref="F124:H124"/>
    <mergeCell ref="A125:E125"/>
    <mergeCell ref="F125:H125"/>
    <mergeCell ref="A126:H126"/>
    <mergeCell ref="A127:B127"/>
    <mergeCell ref="C127:D127"/>
    <mergeCell ref="E127:F127"/>
    <mergeCell ref="G127:H127"/>
    <mergeCell ref="A128:B128"/>
    <mergeCell ref="C128:D128"/>
    <mergeCell ref="E128:F128"/>
    <mergeCell ref="G128:H128"/>
    <mergeCell ref="A129:B129"/>
    <mergeCell ref="C129:D129"/>
    <mergeCell ref="E129:F129"/>
    <mergeCell ref="G129:H129"/>
    <mergeCell ref="A130:B130"/>
    <mergeCell ref="C130:D130"/>
    <mergeCell ref="E130:F130"/>
    <mergeCell ref="G130:H130"/>
    <mergeCell ref="A131:H131"/>
    <mergeCell ref="A132:B132"/>
    <mergeCell ref="C132:D132"/>
    <mergeCell ref="E132:F132"/>
    <mergeCell ref="G132:H132"/>
    <mergeCell ref="A133:B133"/>
    <mergeCell ref="C133:D133"/>
    <mergeCell ref="E133:F133"/>
    <mergeCell ref="G133:H133"/>
    <mergeCell ref="A134:B134"/>
    <mergeCell ref="C134:D134"/>
    <mergeCell ref="E134:F134"/>
    <mergeCell ref="G134:H134"/>
    <mergeCell ref="A135:B135"/>
    <mergeCell ref="C135:D135"/>
    <mergeCell ref="E135:F135"/>
    <mergeCell ref="G135:H135"/>
    <mergeCell ref="A136:B136"/>
    <mergeCell ref="C136:D136"/>
    <mergeCell ref="E136:F136"/>
    <mergeCell ref="G136:H136"/>
    <mergeCell ref="A137:H137"/>
    <mergeCell ref="A138:H138"/>
    <mergeCell ref="A141:H141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A139:A140"/>
    <mergeCell ref="B139:B140"/>
    <mergeCell ref="C139:C140"/>
    <mergeCell ref="D139:D140"/>
    <mergeCell ref="E139:E140"/>
    <mergeCell ref="A145:B145"/>
    <mergeCell ref="G145:H145"/>
    <mergeCell ref="L145:M145"/>
    <mergeCell ref="A146:H146"/>
    <mergeCell ref="A149:H149"/>
    <mergeCell ref="A150:H150"/>
    <mergeCell ref="A151:H151"/>
    <mergeCell ref="A152:H152"/>
    <mergeCell ref="A153:H153"/>
    <mergeCell ref="A147:A148"/>
    <mergeCell ref="B147:B148"/>
    <mergeCell ref="C147:C148"/>
    <mergeCell ref="D147:D148"/>
    <mergeCell ref="E147:E148"/>
    <mergeCell ref="A154:H154"/>
    <mergeCell ref="A155:H155"/>
    <mergeCell ref="A156:H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H169"/>
    <mergeCell ref="A170:H170"/>
    <mergeCell ref="A171:B171"/>
    <mergeCell ref="A172:B172"/>
    <mergeCell ref="A173:B173"/>
    <mergeCell ref="A174:B174"/>
    <mergeCell ref="A175:B175"/>
    <mergeCell ref="A176:B176"/>
    <mergeCell ref="A177:B177"/>
    <mergeCell ref="C177:F177"/>
    <mergeCell ref="A178:B178"/>
    <mergeCell ref="A179:B179"/>
    <mergeCell ref="A180:B180"/>
    <mergeCell ref="A181:B181"/>
    <mergeCell ref="A182:B182"/>
    <mergeCell ref="A183:H183"/>
    <mergeCell ref="A184:H184"/>
    <mergeCell ref="A185:H185"/>
    <mergeCell ref="A186:H186"/>
    <mergeCell ref="A187:H187"/>
    <mergeCell ref="A188:H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199:H199"/>
    <mergeCell ref="A200:H200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C207:F207"/>
    <mergeCell ref="L207:M207"/>
    <mergeCell ref="A208:B208"/>
    <mergeCell ref="L208:M208"/>
    <mergeCell ref="A209:B209"/>
    <mergeCell ref="L209:M209"/>
    <mergeCell ref="A210:B210"/>
    <mergeCell ref="A211:H211"/>
    <mergeCell ref="A212:H212"/>
    <mergeCell ref="A213:H213"/>
    <mergeCell ref="A214:H214"/>
    <mergeCell ref="A215:H215"/>
    <mergeCell ref="A216:H216"/>
    <mergeCell ref="L216:M216"/>
    <mergeCell ref="A217:B217"/>
    <mergeCell ref="L217:M217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A223:H223"/>
    <mergeCell ref="L223:M223"/>
    <mergeCell ref="A224:H224"/>
    <mergeCell ref="L224:M224"/>
    <mergeCell ref="A225:B225"/>
    <mergeCell ref="L225:M225"/>
    <mergeCell ref="A226:B226"/>
    <mergeCell ref="L226:M226"/>
    <mergeCell ref="A227:B227"/>
    <mergeCell ref="L227:M227"/>
    <mergeCell ref="A228:B228"/>
    <mergeCell ref="L228:M228"/>
    <mergeCell ref="A229:B229"/>
    <mergeCell ref="A230:B230"/>
    <mergeCell ref="A231:H231"/>
    <mergeCell ref="B232:H232"/>
    <mergeCell ref="B233:H233"/>
    <mergeCell ref="B234:H234"/>
    <mergeCell ref="B235:H235"/>
    <mergeCell ref="B236:H236"/>
    <mergeCell ref="B237:H237"/>
    <mergeCell ref="B238:H238"/>
    <mergeCell ref="E253:F253"/>
    <mergeCell ref="G253:H253"/>
    <mergeCell ref="B239:H239"/>
    <mergeCell ref="B240:H240"/>
    <mergeCell ref="B241:H241"/>
    <mergeCell ref="B242:H242"/>
    <mergeCell ref="B243:H243"/>
    <mergeCell ref="B244:H244"/>
    <mergeCell ref="B245:H245"/>
    <mergeCell ref="A246:H246"/>
    <mergeCell ref="A247:H247"/>
    <mergeCell ref="A254:H257"/>
    <mergeCell ref="A21:D22"/>
    <mergeCell ref="E21:H22"/>
    <mergeCell ref="A50:B51"/>
    <mergeCell ref="A59:C61"/>
    <mergeCell ref="G139:H140"/>
    <mergeCell ref="G147:H148"/>
    <mergeCell ref="E101:F110"/>
    <mergeCell ref="G101:H110"/>
    <mergeCell ref="G157:H168"/>
    <mergeCell ref="G171:H182"/>
    <mergeCell ref="G189:H198"/>
    <mergeCell ref="G201:H210"/>
    <mergeCell ref="G217:H222"/>
    <mergeCell ref="G225:H230"/>
    <mergeCell ref="E73:F82"/>
    <mergeCell ref="G73:H82"/>
    <mergeCell ref="A248:H248"/>
    <mergeCell ref="A249:H249"/>
    <mergeCell ref="A250:H250"/>
    <mergeCell ref="A251:H251"/>
    <mergeCell ref="A252:H252"/>
    <mergeCell ref="A253:B253"/>
    <mergeCell ref="C253:D253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6" max="7" man="1"/>
    <brk id="96" max="16383" man="1"/>
    <brk id="257" max="7" man="1"/>
    <brk id="296" max="7" man="1"/>
    <brk id="338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99" t="s">
        <v>238</v>
      </c>
      <c r="C3" s="199"/>
      <c r="D3" s="199"/>
      <c r="E3" s="199"/>
      <c r="F3" s="199"/>
      <c r="G3" s="199"/>
      <c r="H3" s="199"/>
    </row>
    <row r="4" spans="1:9">
      <c r="A4" s="2"/>
      <c r="B4" s="3" t="s">
        <v>239</v>
      </c>
      <c r="C4" s="3" t="s">
        <v>240</v>
      </c>
      <c r="D4" s="3" t="s">
        <v>241</v>
      </c>
      <c r="E4" s="3" t="s">
        <v>242</v>
      </c>
      <c r="F4" s="3" t="s">
        <v>243</v>
      </c>
      <c r="G4" s="3" t="s">
        <v>244</v>
      </c>
      <c r="H4" s="3" t="s">
        <v>245</v>
      </c>
    </row>
    <row r="5" spans="1:9" ht="15" customHeight="1">
      <c r="A5" s="2"/>
      <c r="B5" s="4" t="s">
        <v>246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246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246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246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246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247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247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248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249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2025-09-08T12:17:23Z</cp:lastPrinted>
  <dcterms:created xsi:type="dcterms:W3CDTF">2019-07-16T09:29:00Z</dcterms:created>
  <dcterms:modified xsi:type="dcterms:W3CDTF">2025-09-08T12:19:40Z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892E483E754C46FA945D809FEA9F0ED8_12</vt:lpwstr>
  </property>
  <property fmtid="{D5CDD505-2E9C-101B-9397-08002B2CF9AE}" pid="3" name="KSOProductBuildVer">
    <vt:lpwstr>1033-12.2.0.17562</vt:lpwstr>
  </property>
</Properties>
</file>