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F8E217C7-3159-4BE5-937A-F3A6534EE421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Report!$A$1:$H$375</definedName>
  </definedNames>
  <calcPr calcId="191029"/>
</workbook>
</file>

<file path=xl/calcChain.xml><?xml version="1.0" encoding="utf-8"?>
<calcChain xmlns="http://schemas.openxmlformats.org/spreadsheetml/2006/main">
  <c r="E163" i="1" l="1"/>
  <c r="G163" i="1"/>
  <c r="C163" i="1"/>
  <c r="G12" i="5" l="1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D300" i="1"/>
  <c r="B280" i="1"/>
  <c r="B279" i="1"/>
  <c r="D276" i="1"/>
  <c r="D275" i="1"/>
  <c r="G274" i="1"/>
  <c r="G275" i="1" s="1"/>
  <c r="G276" i="1" s="1"/>
  <c r="D274" i="1"/>
  <c r="G273" i="1"/>
  <c r="D273" i="1"/>
  <c r="D271" i="1"/>
  <c r="A271" i="1"/>
  <c r="G270" i="1"/>
  <c r="G271" i="1" s="1"/>
  <c r="D270" i="1"/>
  <c r="A270" i="1"/>
  <c r="G269" i="1"/>
  <c r="E269" i="1"/>
  <c r="D269" i="1"/>
  <c r="A269" i="1"/>
  <c r="G268" i="1"/>
  <c r="D268" i="1"/>
  <c r="G265" i="1"/>
  <c r="D265" i="1"/>
  <c r="G264" i="1"/>
  <c r="D264" i="1"/>
  <c r="G263" i="1"/>
  <c r="D263" i="1"/>
  <c r="G262" i="1"/>
  <c r="D262" i="1"/>
  <c r="G260" i="1"/>
  <c r="D260" i="1"/>
  <c r="A260" i="1"/>
  <c r="G259" i="1"/>
  <c r="D259" i="1"/>
  <c r="A259" i="1"/>
  <c r="G258" i="1"/>
  <c r="D258" i="1"/>
  <c r="A258" i="1"/>
  <c r="G257" i="1"/>
  <c r="D257" i="1"/>
  <c r="I253" i="1"/>
  <c r="G253" i="1"/>
  <c r="D253" i="1"/>
  <c r="G252" i="1"/>
  <c r="D252" i="1"/>
  <c r="G251" i="1"/>
  <c r="D251" i="1"/>
  <c r="G250" i="1"/>
  <c r="D250" i="1"/>
  <c r="D248" i="1"/>
  <c r="A248" i="1"/>
  <c r="G247" i="1"/>
  <c r="G248" i="1" s="1"/>
  <c r="D247" i="1"/>
  <c r="A247" i="1"/>
  <c r="G246" i="1"/>
  <c r="D246" i="1"/>
  <c r="A246" i="1"/>
  <c r="G245" i="1"/>
  <c r="D245" i="1"/>
  <c r="G241" i="1"/>
  <c r="D241" i="1"/>
  <c r="G240" i="1"/>
  <c r="D240" i="1"/>
  <c r="G239" i="1"/>
  <c r="D239" i="1"/>
  <c r="G238" i="1"/>
  <c r="D238" i="1"/>
  <c r="G236" i="1"/>
  <c r="D236" i="1"/>
  <c r="A236" i="1"/>
  <c r="G235" i="1"/>
  <c r="D235" i="1"/>
  <c r="A235" i="1"/>
  <c r="G234" i="1"/>
  <c r="D234" i="1"/>
  <c r="A234" i="1"/>
  <c r="G233" i="1"/>
  <c r="D233" i="1"/>
  <c r="D229" i="1"/>
  <c r="D228" i="1"/>
  <c r="I227" i="1"/>
  <c r="G227" i="1"/>
  <c r="G228" i="1" s="1"/>
  <c r="G229" i="1" s="1"/>
  <c r="D227" i="1"/>
  <c r="G226" i="1"/>
  <c r="D226" i="1"/>
  <c r="G224" i="1"/>
  <c r="D224" i="1"/>
  <c r="A224" i="1"/>
  <c r="G223" i="1"/>
  <c r="D223" i="1"/>
  <c r="A223" i="1"/>
  <c r="G222" i="1"/>
  <c r="D222" i="1"/>
  <c r="A222" i="1"/>
  <c r="I221" i="1"/>
  <c r="G221" i="1"/>
  <c r="D221" i="1"/>
  <c r="G217" i="1"/>
  <c r="D217" i="1"/>
  <c r="G216" i="1"/>
  <c r="D216" i="1"/>
  <c r="I215" i="1"/>
  <c r="G215" i="1"/>
  <c r="D215" i="1"/>
  <c r="I214" i="1"/>
  <c r="G214" i="1"/>
  <c r="D214" i="1"/>
  <c r="I213" i="1"/>
  <c r="I212" i="1"/>
  <c r="D212" i="1"/>
  <c r="A212" i="1"/>
  <c r="I211" i="1"/>
  <c r="G211" i="1"/>
  <c r="G212" i="1" s="1"/>
  <c r="D211" i="1"/>
  <c r="A211" i="1"/>
  <c r="I210" i="1"/>
  <c r="G210" i="1"/>
  <c r="D210" i="1"/>
  <c r="A210" i="1"/>
  <c r="I209" i="1"/>
  <c r="G209" i="1"/>
  <c r="D209" i="1"/>
  <c r="I208" i="1"/>
  <c r="I207" i="1"/>
  <c r="I206" i="1"/>
  <c r="I205" i="1"/>
  <c r="D205" i="1"/>
  <c r="I204" i="1"/>
  <c r="G204" i="1"/>
  <c r="G205" i="1" s="1"/>
  <c r="D204" i="1"/>
  <c r="J203" i="1"/>
  <c r="I203" i="1"/>
  <c r="G203" i="1"/>
  <c r="D203" i="1"/>
  <c r="J202" i="1"/>
  <c r="I202" i="1"/>
  <c r="G202" i="1"/>
  <c r="D202" i="1"/>
  <c r="J201" i="1"/>
  <c r="I201" i="1"/>
  <c r="J200" i="1"/>
  <c r="I200" i="1"/>
  <c r="D200" i="1"/>
  <c r="A200" i="1"/>
  <c r="J199" i="1"/>
  <c r="I199" i="1"/>
  <c r="D199" i="1"/>
  <c r="A199" i="1"/>
  <c r="J198" i="1"/>
  <c r="I198" i="1"/>
  <c r="G198" i="1"/>
  <c r="G199" i="1" s="1"/>
  <c r="G200" i="1" s="1"/>
  <c r="D198" i="1"/>
  <c r="A198" i="1"/>
  <c r="J197" i="1"/>
  <c r="I197" i="1"/>
  <c r="G197" i="1"/>
  <c r="D197" i="1"/>
  <c r="J196" i="1"/>
  <c r="I196" i="1"/>
  <c r="I195" i="1"/>
  <c r="I194" i="1"/>
  <c r="J193" i="1"/>
  <c r="I193" i="1"/>
  <c r="D193" i="1"/>
  <c r="I192" i="1"/>
  <c r="G192" i="1"/>
  <c r="G193" i="1" s="1"/>
  <c r="D192" i="1"/>
  <c r="I191" i="1"/>
  <c r="G191" i="1"/>
  <c r="D191" i="1"/>
  <c r="I190" i="1"/>
  <c r="G190" i="1"/>
  <c r="D190" i="1"/>
  <c r="I189" i="1"/>
  <c r="I188" i="1"/>
  <c r="D188" i="1"/>
  <c r="A188" i="1"/>
  <c r="I187" i="1"/>
  <c r="E187" i="1"/>
  <c r="D187" i="1"/>
  <c r="A187" i="1"/>
  <c r="J186" i="1"/>
  <c r="G186" i="1"/>
  <c r="G187" i="1" s="1"/>
  <c r="G188" i="1" s="1"/>
  <c r="D186" i="1"/>
  <c r="A186" i="1"/>
  <c r="K185" i="1"/>
  <c r="J185" i="1"/>
  <c r="I185" i="1"/>
  <c r="G185" i="1"/>
  <c r="D185" i="1"/>
  <c r="F179" i="1"/>
  <c r="I179" i="1" s="1"/>
  <c r="D179" i="1"/>
  <c r="F178" i="1"/>
  <c r="I178" i="1" s="1"/>
  <c r="D178" i="1"/>
  <c r="F177" i="1"/>
  <c r="I177" i="1" s="1"/>
  <c r="D177" i="1"/>
  <c r="F176" i="1"/>
  <c r="I176" i="1" s="1"/>
  <c r="D176" i="1"/>
  <c r="F175" i="1"/>
  <c r="I175" i="1" s="1"/>
  <c r="D175" i="1"/>
  <c r="F174" i="1"/>
  <c r="I174" i="1" s="1"/>
  <c r="D174" i="1"/>
  <c r="F173" i="1"/>
  <c r="I173" i="1" s="1"/>
  <c r="D173" i="1"/>
  <c r="F172" i="1"/>
  <c r="I172" i="1" s="1"/>
  <c r="D172" i="1"/>
  <c r="A172" i="1"/>
  <c r="A173" i="1" s="1"/>
  <c r="A174" i="1" s="1"/>
  <c r="A175" i="1" s="1"/>
  <c r="A176" i="1" s="1"/>
  <c r="A177" i="1" s="1"/>
  <c r="A178" i="1" s="1"/>
  <c r="A179" i="1" s="1"/>
  <c r="F171" i="1"/>
  <c r="I171" i="1" s="1"/>
  <c r="D171" i="1"/>
  <c r="A171" i="1"/>
  <c r="I170" i="1"/>
  <c r="G170" i="1"/>
  <c r="F170" i="1"/>
  <c r="D170" i="1"/>
  <c r="G162" i="1"/>
  <c r="G161" i="1"/>
  <c r="E161" i="1"/>
  <c r="C161" i="1"/>
  <c r="G160" i="1"/>
  <c r="E160" i="1"/>
  <c r="C160" i="1"/>
  <c r="G159" i="1"/>
  <c r="E159" i="1"/>
  <c r="C159" i="1"/>
  <c r="G158" i="1"/>
  <c r="E158" i="1"/>
  <c r="C158" i="1"/>
  <c r="G157" i="1"/>
  <c r="E157" i="1"/>
  <c r="C157" i="1"/>
  <c r="G156" i="1"/>
  <c r="E156" i="1"/>
  <c r="C156" i="1"/>
  <c r="G155" i="1"/>
  <c r="E155" i="1"/>
  <c r="C155" i="1"/>
  <c r="G154" i="1"/>
  <c r="E154" i="1"/>
  <c r="E162" i="1" s="1"/>
  <c r="C154" i="1"/>
  <c r="C162" i="1" s="1"/>
  <c r="E151" i="1"/>
  <c r="C151" i="1"/>
  <c r="F148" i="1"/>
  <c r="J132" i="1"/>
  <c r="J131" i="1"/>
  <c r="J130" i="1"/>
  <c r="J129" i="1"/>
  <c r="J118" i="1"/>
  <c r="J117" i="1"/>
  <c r="J116" i="1"/>
  <c r="J115" i="1"/>
  <c r="J104" i="1"/>
  <c r="J103" i="1"/>
  <c r="J102" i="1"/>
  <c r="J101" i="1"/>
  <c r="J90" i="1"/>
  <c r="J89" i="1"/>
  <c r="J88" i="1"/>
  <c r="J87" i="1"/>
  <c r="J76" i="1"/>
  <c r="J75" i="1"/>
  <c r="J74" i="1"/>
  <c r="J73" i="1"/>
  <c r="D59" i="1"/>
  <c r="D54" i="1"/>
  <c r="G49" i="1"/>
  <c r="C49" i="1"/>
  <c r="E43" i="1"/>
  <c r="E42" i="1"/>
  <c r="E29" i="1"/>
  <c r="E26" i="1"/>
  <c r="E24" i="1"/>
  <c r="C15" i="1"/>
  <c r="E7" i="1"/>
  <c r="E3" i="1"/>
  <c r="A250" i="1"/>
  <c r="A214" i="1"/>
  <c r="A190" i="1"/>
  <c r="A262" i="1"/>
  <c r="H108" i="1"/>
  <c r="A202" i="1"/>
  <c r="A226" i="1"/>
  <c r="H94" i="1"/>
  <c r="H66" i="1"/>
  <c r="A273" i="1"/>
  <c r="A238" i="1"/>
  <c r="H80" i="1"/>
  <c r="H122" i="1"/>
  <c r="G151" i="1" l="1"/>
  <c r="D117" i="1"/>
  <c r="D113" i="1"/>
  <c r="J110" i="1"/>
  <c r="J112" i="1"/>
  <c r="C111" i="1" s="1"/>
  <c r="D111" i="1" s="1"/>
  <c r="D120" i="1"/>
  <c r="D116" i="1"/>
  <c r="D112" i="1"/>
  <c r="J111" i="1"/>
  <c r="E111" i="1"/>
  <c r="D115" i="1"/>
  <c r="D118" i="1"/>
  <c r="D114" i="1"/>
  <c r="J113" i="1"/>
  <c r="J114" i="1" s="1"/>
  <c r="J119" i="1" s="1"/>
  <c r="J120" i="1" s="1"/>
  <c r="J107" i="1"/>
  <c r="J109" i="1" s="1"/>
  <c r="D119" i="1"/>
  <c r="D103" i="1"/>
  <c r="D99" i="1"/>
  <c r="J97" i="1"/>
  <c r="J98" i="1"/>
  <c r="G97" i="1"/>
  <c r="D106" i="1"/>
  <c r="D102" i="1"/>
  <c r="D98" i="1"/>
  <c r="E97" i="1"/>
  <c r="D101" i="1"/>
  <c r="D104" i="1"/>
  <c r="D100" i="1"/>
  <c r="D97" i="1"/>
  <c r="J93" i="1"/>
  <c r="J95" i="1" s="1"/>
  <c r="J99" i="1"/>
  <c r="J100" i="1" s="1"/>
  <c r="J105" i="1" s="1"/>
  <c r="J106" i="1" s="1"/>
  <c r="J96" i="1"/>
  <c r="D105" i="1"/>
  <c r="J126" i="1"/>
  <c r="C125" i="1" s="1"/>
  <c r="J124" i="1"/>
  <c r="D134" i="1"/>
  <c r="D130" i="1"/>
  <c r="D129" i="1"/>
  <c r="D133" i="1"/>
  <c r="D128" i="1"/>
  <c r="J127" i="1"/>
  <c r="J128" i="1" s="1"/>
  <c r="J133" i="1" s="1"/>
  <c r="J134" i="1" s="1"/>
  <c r="C126" i="1" s="1"/>
  <c r="D132" i="1"/>
  <c r="D131" i="1"/>
  <c r="D127" i="1"/>
  <c r="J121" i="1"/>
  <c r="J123" i="1" s="1"/>
  <c r="J125" i="1"/>
  <c r="J84" i="1"/>
  <c r="D87" i="1"/>
  <c r="D92" i="1"/>
  <c r="D88" i="1"/>
  <c r="D84" i="1"/>
  <c r="D91" i="1"/>
  <c r="G83" i="1"/>
  <c r="E83" i="1"/>
  <c r="J83" i="1"/>
  <c r="D90" i="1"/>
  <c r="J79" i="1"/>
  <c r="J81" i="1" s="1"/>
  <c r="D83" i="1"/>
  <c r="J85" i="1"/>
  <c r="J86" i="1" s="1"/>
  <c r="J91" i="1" s="1"/>
  <c r="J92" i="1" s="1"/>
  <c r="J82" i="1"/>
  <c r="D86" i="1"/>
  <c r="D89" i="1"/>
  <c r="D85" i="1"/>
  <c r="D78" i="1"/>
  <c r="D74" i="1"/>
  <c r="D70" i="1"/>
  <c r="D76" i="1"/>
  <c r="J65" i="1"/>
  <c r="J67" i="1" s="1"/>
  <c r="J69" i="1"/>
  <c r="E69" i="1"/>
  <c r="D77" i="1"/>
  <c r="D73" i="1"/>
  <c r="G69" i="1"/>
  <c r="D63" i="1" s="1"/>
  <c r="J68" i="1"/>
  <c r="D75" i="1"/>
  <c r="D69" i="1"/>
  <c r="D71" i="1"/>
  <c r="J71" i="1"/>
  <c r="J72" i="1" s="1"/>
  <c r="J77" i="1" s="1"/>
  <c r="J78" i="1" s="1"/>
  <c r="J70" i="1"/>
  <c r="D72" i="1"/>
  <c r="A263" i="1"/>
  <c r="A203" i="1"/>
  <c r="A251" i="1"/>
  <c r="A239" i="1"/>
  <c r="A274" i="1"/>
  <c r="A191" i="1"/>
  <c r="A227" i="1"/>
  <c r="A215" i="1"/>
  <c r="I108" i="1" l="1"/>
  <c r="I109" i="1" s="1"/>
  <c r="E125" i="1"/>
  <c r="D126" i="1"/>
  <c r="F64" i="1"/>
  <c r="D64" i="1"/>
  <c r="G125" i="1"/>
  <c r="I94" i="1"/>
  <c r="I95" i="1" s="1"/>
  <c r="J94" i="1"/>
  <c r="J66" i="1"/>
  <c r="I66" i="1"/>
  <c r="I67" i="1" s="1"/>
  <c r="J108" i="1"/>
  <c r="G111" i="1"/>
  <c r="I80" i="1"/>
  <c r="I81" i="1" s="1"/>
  <c r="J80" i="1"/>
  <c r="D125" i="1"/>
  <c r="A240" i="1"/>
  <c r="A204" i="1"/>
  <c r="A252" i="1"/>
  <c r="A275" i="1"/>
  <c r="A264" i="1"/>
  <c r="A216" i="1"/>
  <c r="A192" i="1"/>
  <c r="A228" i="1"/>
  <c r="I107" i="1" l="1"/>
  <c r="C109" i="1" s="1"/>
  <c r="I122" i="1"/>
  <c r="I123" i="1" s="1"/>
  <c r="J122" i="1"/>
  <c r="I79" i="1"/>
  <c r="C81" i="1" s="1"/>
  <c r="I65" i="1"/>
  <c r="C67" i="1" s="1"/>
  <c r="I93" i="1"/>
  <c r="C95" i="1" s="1"/>
  <c r="A205" i="1"/>
  <c r="A265" i="1"/>
  <c r="A253" i="1"/>
  <c r="A217" i="1"/>
  <c r="A276" i="1"/>
  <c r="A229" i="1"/>
  <c r="A193" i="1"/>
  <c r="A241" i="1"/>
  <c r="I121" i="1" l="1"/>
  <c r="C123" i="1" s="1"/>
</calcChain>
</file>

<file path=xl/sharedStrings.xml><?xml version="1.0" encoding="utf-8"?>
<sst xmlns="http://schemas.openxmlformats.org/spreadsheetml/2006/main" count="522" uniqueCount="234">
  <si>
    <t>Office No. 1031, Wing J, Akshar Business Park, Plot No. 03 Sector 25, Near APMC Market, 
Vashi, Navi Mumbai, Maharashtra 400703 TEL: 022-46090378/79/8
E mail : vsjcapf@gmail.com. Web site : www.vsjadon.com</t>
  </si>
  <si>
    <t xml:space="preserve">Valuation Report </t>
  </si>
  <si>
    <t>Date:</t>
  </si>
  <si>
    <t>CPC Name:</t>
  </si>
  <si>
    <t>Axis Sanpada</t>
  </si>
  <si>
    <t>Date Of Property Visit</t>
  </si>
  <si>
    <t>Name of the builder group</t>
  </si>
  <si>
    <t>M/s. C J Estates</t>
  </si>
  <si>
    <t>Name of the builder company</t>
  </si>
  <si>
    <t>Name of the Project</t>
  </si>
  <si>
    <t>CJ Greens</t>
  </si>
  <si>
    <t>Contact Details ( Name &amp; Contact No.)</t>
  </si>
  <si>
    <t xml:space="preserve">Site Person - Contact Details ( Name &amp; Contact No.)
</t>
  </si>
  <si>
    <t>Mr. Pankaj 9082804960</t>
  </si>
  <si>
    <t>Site Meet Person Contact Details ( Name &amp; Contact No.)</t>
  </si>
  <si>
    <t>Mr. Amir Hussain 9594287631</t>
  </si>
  <si>
    <t>Name / No of the Building</t>
  </si>
  <si>
    <t>Wing A to H</t>
  </si>
  <si>
    <t>Docouments Provided</t>
  </si>
  <si>
    <t>Approved Plans, CC, Sale Plans, Builder Saleable Area, Cost Sheet</t>
  </si>
  <si>
    <t>RERA No.</t>
  </si>
  <si>
    <t>P52000033390</t>
  </si>
  <si>
    <t xml:space="preserve">Project location details       </t>
  </si>
  <si>
    <t>Gut No.</t>
  </si>
  <si>
    <t>30/1/2/A</t>
  </si>
  <si>
    <t>Road</t>
  </si>
  <si>
    <t>Savroli-Kharpada Road</t>
  </si>
  <si>
    <t>Locality/Village</t>
  </si>
  <si>
    <t>Karade Khurd</t>
  </si>
  <si>
    <t>City</t>
  </si>
  <si>
    <t>Rasayani</t>
  </si>
  <si>
    <t>District</t>
  </si>
  <si>
    <t>Raigad</t>
  </si>
  <si>
    <t>Taluka</t>
  </si>
  <si>
    <t>Panvel</t>
  </si>
  <si>
    <t>Pin Code</t>
  </si>
  <si>
    <t>Nearby Landmark</t>
  </si>
  <si>
    <t>Akshar Emperia Garden</t>
  </si>
  <si>
    <t xml:space="preserve">Distance from city centre: </t>
  </si>
  <si>
    <t>4.7KM from Rasayani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</si>
  <si>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</si>
  <si>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</si>
  <si>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</si>
  <si>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</si>
  <si>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</si>
  <si>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</si>
  <si>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</si>
  <si>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</si>
  <si>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</si>
  <si>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</si>
  <si>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</si>
  <si>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</si>
  <si>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</si>
  <si>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</si>
  <si>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</si>
  <si>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</si>
  <si>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deed</t>
  </si>
  <si>
    <t>At site</t>
  </si>
  <si>
    <t>East</t>
  </si>
  <si>
    <t>NA</t>
  </si>
  <si>
    <t>Open Plot</t>
  </si>
  <si>
    <t>West</t>
  </si>
  <si>
    <t>North</t>
  </si>
  <si>
    <t>South</t>
  </si>
  <si>
    <t>Does the boundaries at site match, as mentioned in the Docoumentation: NA</t>
  </si>
  <si>
    <t>Latitude, Longitude</t>
  </si>
  <si>
    <t>18.879464155, 73.163803434</t>
  </si>
  <si>
    <t>Location Link</t>
  </si>
  <si>
    <t>https://goo.gl/maps/rvXJxBnmAevfg4jP9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</si>
  <si>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</si>
  <si>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</si>
  <si>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</si>
  <si>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</si>
  <si>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</si>
  <si>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</si>
  <si>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</si>
  <si>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>08 Wings</t>
  </si>
  <si>
    <t xml:space="preserve">Approval Detail : Plan approval </t>
  </si>
  <si>
    <t>Name of Municipal Corporation/Authority</t>
  </si>
  <si>
    <t>Zilla Adhikari Karyalay, Raigad</t>
  </si>
  <si>
    <t xml:space="preserve">Layout Approval No     </t>
  </si>
  <si>
    <t>MASHA/L.N.A/P.NO.23/2019</t>
  </si>
  <si>
    <t>Dated</t>
  </si>
  <si>
    <t xml:space="preserve">Approved Floor plan No.  </t>
  </si>
  <si>
    <t xml:space="preserve">Commencement-CC No
Valid Up to: </t>
  </si>
  <si>
    <t>MASHA/L.N.A.1(B)/P.NO.23/2019</t>
  </si>
  <si>
    <t>Ground + 1st to 7th Floor</t>
  </si>
  <si>
    <t xml:space="preserve">O. Certificate No.: </t>
  </si>
  <si>
    <t>NA
Approved upto : NA</t>
  </si>
  <si>
    <t>Building wise Construction details</t>
  </si>
  <si>
    <t>Approved area of building (Sq.Mt)</t>
  </si>
  <si>
    <t>Approved no of units</t>
  </si>
  <si>
    <t>Flats - 224 , Shops - 10</t>
  </si>
  <si>
    <t>Approved no of Floors</t>
  </si>
  <si>
    <t>Wing A to H = Gr + 1st to 7th Floor</t>
  </si>
  <si>
    <t>Proposed no of Floors</t>
  </si>
  <si>
    <t>Expected Completion</t>
  </si>
  <si>
    <t>As per RERA - 31/12/2026</t>
  </si>
  <si>
    <t>Projected life of the structure</t>
  </si>
  <si>
    <t xml:space="preserve">Quality of construction: </t>
  </si>
  <si>
    <r>
      <rPr>
        <sz val="12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</si>
  <si>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Vitrified tiles flooring, Kitchen Platform, Decorative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</si>
  <si>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</si>
  <si>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</si>
  <si>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</si>
  <si>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</si>
  <si>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Wing A &amp; B = Gr + 1st to 7th Floor</t>
  </si>
  <si>
    <t>Basement</t>
  </si>
  <si>
    <t>Ground</t>
  </si>
  <si>
    <t>Podium</t>
  </si>
  <si>
    <t>Floors</t>
  </si>
  <si>
    <t xml:space="preserve">Stage of construction: 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</si>
  <si>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</si>
  <si>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</si>
  <si>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</si>
  <si>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</si>
  <si>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</si>
  <si>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</si>
  <si>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</si>
  <si>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</si>
  <si>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</si>
  <si>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</si>
  <si>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</si>
  <si>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</si>
  <si>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</si>
  <si>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</si>
  <si>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</si>
  <si>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</si>
  <si>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</si>
  <si>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</si>
  <si>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</si>
  <si>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</si>
  <si>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</si>
  <si>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</si>
  <si>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</si>
  <si>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</si>
  <si>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</si>
  <si>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</si>
  <si>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</si>
  <si>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</si>
  <si>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Wing C = Gr + 1st to 7th Floor</t>
  </si>
  <si>
    <t>Wing D = Gr + 1st to 7th Floor</t>
  </si>
  <si>
    <t>Wing G= Gr + 1st to 7th Floor</t>
  </si>
  <si>
    <t xml:space="preserve">Recommended Rates of the Property : </t>
  </si>
  <si>
    <t>On Saleable Area</t>
  </si>
  <si>
    <t>Recommended rate of the Flat Per Sq. Ft.</t>
  </si>
  <si>
    <t>Recommended rate of the Shop Per Sq. Ft.</t>
  </si>
  <si>
    <t>Recommended rate of the Office Per Sq. Ft.</t>
  </si>
  <si>
    <t>Grill &amp; MSEB Charges</t>
  </si>
  <si>
    <t>Development Charges</t>
  </si>
  <si>
    <t>Club Charges</t>
  </si>
  <si>
    <t>Other Charges</t>
  </si>
  <si>
    <t>Gas Connection Charges</t>
  </si>
  <si>
    <t>Water, Electricity, Drainages, Sewerage Connection</t>
  </si>
  <si>
    <t>Society Formation Charges</t>
  </si>
  <si>
    <t>Advance Maintenance Charges</t>
  </si>
  <si>
    <t xml:space="preserve">Recommended rate of Parking </t>
  </si>
  <si>
    <t>Distressed valuation of the Property</t>
  </si>
  <si>
    <t>Commercial Area Details :</t>
  </si>
  <si>
    <t>Building &amp; Wing</t>
  </si>
  <si>
    <t>No. of Units</t>
  </si>
  <si>
    <t>Total Carpet Area</t>
  </si>
  <si>
    <t>Total Saleable Area</t>
  </si>
  <si>
    <t>Shop</t>
  </si>
  <si>
    <t>Residential Area Details :</t>
  </si>
  <si>
    <t>Wing A</t>
  </si>
  <si>
    <t>Wing B</t>
  </si>
  <si>
    <t>Wing C</t>
  </si>
  <si>
    <t>Wing D</t>
  </si>
  <si>
    <t>Wing E</t>
  </si>
  <si>
    <t>Wing F</t>
  </si>
  <si>
    <t>Wing G</t>
  </si>
  <si>
    <t>Wing H</t>
  </si>
  <si>
    <t>Total</t>
  </si>
  <si>
    <t>Building details Floor Wise</t>
  </si>
  <si>
    <t xml:space="preserve">Details of Flats in Building   </t>
  </si>
  <si>
    <r>
      <rPr>
        <b/>
        <sz val="12"/>
        <color indexed="8"/>
        <rFont val="Times New Roman"/>
        <family val="1"/>
      </rP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</si>
  <si>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</si>
  <si>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Description</t>
  </si>
  <si>
    <t>Gross Carpet area</t>
  </si>
  <si>
    <t>Attached Loft area</t>
  </si>
  <si>
    <t>Saleable area Loading :</t>
  </si>
  <si>
    <t>Floor</t>
  </si>
  <si>
    <t xml:space="preserve">Wing A &amp; H </t>
  </si>
  <si>
    <t>Ground Floor for Commercial &amp; Parking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</si>
  <si>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</si>
  <si>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</si>
  <si>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Attached Terrace area</t>
  </si>
  <si>
    <t>Builder Saleable area Loading :</t>
  </si>
  <si>
    <t>1st Floor for Residential</t>
  </si>
  <si>
    <t>1BHK</t>
  </si>
  <si>
    <t>2BHK</t>
  </si>
  <si>
    <t>2nd to 7th Floor</t>
  </si>
  <si>
    <t>Ground Floor for Parking</t>
  </si>
  <si>
    <t>1RK</t>
  </si>
  <si>
    <t xml:space="preserve">Remarks:  </t>
  </si>
  <si>
    <t>*</t>
  </si>
  <si>
    <t>Wing A to E, F, G &amp; H = Construction work is in process at the time of Visit.</t>
  </si>
  <si>
    <t>We considered Carpet area as per Approved Plan.</t>
  </si>
  <si>
    <t>We considered Gross carpet area = Net carpet + Enclose balcony + Open Balcony.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</si>
  <si>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</si>
  <si>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</si>
  <si>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</si>
  <si>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</si>
  <si>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On Site, we meet Mr........(........).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</si>
  <si>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</si>
  <si>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</si>
  <si>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</si>
  <si>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</si>
  <si>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</si>
  <si>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</si>
  <si>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</si>
  <si>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</si>
  <si>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Report By :</t>
  </si>
  <si>
    <t>Authorized Signatory
Name &amp; Seal of the agency</t>
  </si>
  <si>
    <t xml:space="preserve">PHOTOGRAPHS OF PROPERTY : 
</t>
  </si>
  <si>
    <t>V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</si>
  <si>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</si>
  <si>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</si>
  <si>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</si>
  <si>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</si>
  <si>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</si>
  <si>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</si>
  <si>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</si>
  <si>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</si>
  <si>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</si>
  <si>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</si>
  <si>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</si>
  <si>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</si>
  <si>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</si>
  <si>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Gaurav Panchal</t>
  </si>
  <si>
    <t>Nitesh Patil</t>
  </si>
  <si>
    <t>Wing E, F, G &amp; H = Gr + 1st to 7th Floor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</si>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</sst>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* #,##0_ ;_ * \-#,##0_ ;_ * &quot;-&quot;??_ ;_ @_ "/>
    <numFmt numFmtId="168" formatCode="0.00000000"/>
  </numFmts>
  <fonts count="26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0" borderId="0"/>
    <xf numFmtId="0" fontId="2" fillId="0" borderId="0"/>
  </cellStyleXfs>
  <cellXfs count="192">
    <xf numFmtId="0" fontId="0" fillId="0" borderId="0" xfId="0"/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8" fillId="0" borderId="0" xfId="8" applyFont="1"/>
    <xf numFmtId="0" fontId="9" fillId="0" borderId="0" xfId="5" applyFont="1"/>
    <xf numFmtId="0" fontId="10" fillId="0" borderId="0" xfId="0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0" xfId="8" applyFont="1" applyProtection="1">
      <protection locked="0"/>
    </xf>
    <xf numFmtId="0" fontId="10" fillId="0" borderId="0" xfId="8" applyFont="1"/>
    <xf numFmtId="0" fontId="7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vertical="top" wrapText="1"/>
      <protection locked="0"/>
    </xf>
    <xf numFmtId="0" fontId="9" fillId="0" borderId="1" xfId="8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1" fontId="10" fillId="0" borderId="0" xfId="8" applyNumberFormat="1" applyFont="1"/>
    <xf numFmtId="14" fontId="10" fillId="0" borderId="0" xfId="8" applyNumberFormat="1" applyFont="1"/>
    <xf numFmtId="0" fontId="10" fillId="0" borderId="0" xfId="8" applyFont="1" applyProtection="1">
      <protection hidden="1"/>
    </xf>
    <xf numFmtId="0" fontId="15" fillId="0" borderId="0" xfId="8" applyFont="1"/>
    <xf numFmtId="0" fontId="7" fillId="0" borderId="16" xfId="8" applyFont="1" applyBorder="1" applyAlignment="1" applyProtection="1">
      <alignment horizontal="center" vertical="top"/>
      <protection locked="0"/>
    </xf>
    <xf numFmtId="0" fontId="7" fillId="0" borderId="17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9" fontId="7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23" xfId="8" applyFont="1" applyBorder="1" applyAlignment="1" applyProtection="1">
      <alignment horizontal="center" vertical="top" wrapText="1"/>
      <protection locked="0"/>
    </xf>
    <xf numFmtId="9" fontId="7" fillId="0" borderId="23" xfId="2" applyFont="1" applyFill="1" applyBorder="1" applyAlignment="1" applyProtection="1">
      <alignment horizontal="center" vertical="top" wrapText="1"/>
      <protection locked="0"/>
    </xf>
    <xf numFmtId="1" fontId="7" fillId="0" borderId="1" xfId="8" applyNumberFormat="1" applyFont="1" applyBorder="1" applyAlignment="1" applyProtection="1">
      <alignment horizontal="center" vertical="top" wrapText="1"/>
      <protection locked="0"/>
    </xf>
    <xf numFmtId="0" fontId="16" fillId="2" borderId="27" xfId="0" applyFont="1" applyFill="1" applyBorder="1"/>
    <xf numFmtId="0" fontId="17" fillId="0" borderId="28" xfId="0" applyFont="1" applyBorder="1"/>
    <xf numFmtId="0" fontId="17" fillId="0" borderId="1" xfId="0" applyFont="1" applyBorder="1"/>
    <xf numFmtId="0" fontId="17" fillId="0" borderId="17" xfId="0" applyFont="1" applyBorder="1"/>
    <xf numFmtId="0" fontId="18" fillId="0" borderId="0" xfId="0" applyFont="1" applyProtection="1">
      <protection hidden="1"/>
    </xf>
    <xf numFmtId="0" fontId="10" fillId="0" borderId="21" xfId="8" applyFont="1" applyBorder="1"/>
    <xf numFmtId="0" fontId="18" fillId="0" borderId="21" xfId="0" applyFont="1" applyBorder="1" applyProtection="1">
      <protection hidden="1"/>
    </xf>
    <xf numFmtId="1" fontId="0" fillId="0" borderId="21" xfId="0" applyNumberFormat="1" applyBorder="1"/>
    <xf numFmtId="1" fontId="0" fillId="0" borderId="21" xfId="0" applyNumberFormat="1" applyBorder="1" applyAlignment="1">
      <alignment horizontal="right"/>
    </xf>
    <xf numFmtId="0" fontId="18" fillId="0" borderId="29" xfId="0" applyFont="1" applyBorder="1" applyProtection="1">
      <protection hidden="1"/>
    </xf>
    <xf numFmtId="1" fontId="0" fillId="0" borderId="26" xfId="0" applyNumberFormat="1" applyBorder="1"/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9" fontId="12" fillId="0" borderId="30" xfId="2" applyFont="1" applyFill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top" wrapText="1"/>
      <protection locked="0"/>
    </xf>
    <xf numFmtId="9" fontId="12" fillId="0" borderId="1" xfId="2" applyFont="1" applyFill="1" applyBorder="1" applyAlignment="1" applyProtection="1">
      <alignment horizontal="center" vertical="top" wrapText="1"/>
      <protection locked="0"/>
    </xf>
    <xf numFmtId="1" fontId="10" fillId="0" borderId="0" xfId="8" applyNumberFormat="1" applyFont="1" applyAlignment="1">
      <alignment horizontal="center" vertical="center"/>
    </xf>
    <xf numFmtId="168" fontId="10" fillId="0" borderId="0" xfId="8" applyNumberFormat="1" applyFont="1" applyAlignment="1">
      <alignment horizontal="center" vertical="center"/>
    </xf>
    <xf numFmtId="166" fontId="10" fillId="0" borderId="0" xfId="8" applyNumberFormat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8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 wrapText="1"/>
      <protection locked="0"/>
    </xf>
    <xf numFmtId="0" fontId="19" fillId="0" borderId="0" xfId="8" applyFont="1" applyProtection="1"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0" fontId="12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14" fontId="7" fillId="0" borderId="1" xfId="8" applyNumberFormat="1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/>
      <protection locked="0"/>
    </xf>
    <xf numFmtId="0" fontId="9" fillId="0" borderId="1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10" fillId="0" borderId="2" xfId="8" applyFont="1" applyBorder="1" applyAlignment="1" applyProtection="1">
      <alignment horizontal="left"/>
      <protection locked="0"/>
    </xf>
    <xf numFmtId="0" fontId="10" fillId="0" borderId="3" xfId="8" applyFont="1" applyBorder="1" applyAlignment="1" applyProtection="1">
      <alignment horizontal="left"/>
      <protection locked="0"/>
    </xf>
    <xf numFmtId="0" fontId="10" fillId="0" borderId="4" xfId="8" applyFont="1" applyBorder="1" applyAlignment="1" applyProtection="1">
      <alignment horizontal="left"/>
      <protection locked="0"/>
    </xf>
    <xf numFmtId="0" fontId="14" fillId="0" borderId="2" xfId="3" applyBorder="1" applyAlignment="1" applyProtection="1">
      <alignment horizontal="left"/>
      <protection locked="0"/>
    </xf>
    <xf numFmtId="0" fontId="12" fillId="0" borderId="1" xfId="8" applyFont="1" applyBorder="1" applyAlignment="1" applyProtection="1">
      <alignment horizontal="left" vertical="top"/>
      <protection locked="0"/>
    </xf>
    <xf numFmtId="2" fontId="9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1" xfId="8" applyNumberFormat="1" applyFont="1" applyBorder="1" applyAlignment="1" applyProtection="1">
      <alignment horizontal="left" vertical="top"/>
      <protection locked="0"/>
    </xf>
    <xf numFmtId="2" fontId="7" fillId="0" borderId="1" xfId="8" applyNumberFormat="1" applyFont="1" applyBorder="1" applyAlignment="1" applyProtection="1">
      <alignment horizontal="left" vertical="top"/>
      <protection locked="0"/>
    </xf>
    <xf numFmtId="0" fontId="7" fillId="0" borderId="2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/>
      <protection locked="0"/>
    </xf>
    <xf numFmtId="0" fontId="13" fillId="0" borderId="2" xfId="8" applyFont="1" applyBorder="1" applyAlignment="1" applyProtection="1">
      <alignment horizontal="left" vertical="top"/>
      <protection locked="0"/>
    </xf>
    <xf numFmtId="0" fontId="13" fillId="0" borderId="3" xfId="8" applyFont="1" applyBorder="1" applyAlignment="1" applyProtection="1">
      <alignment horizontal="left" vertical="top"/>
      <protection locked="0"/>
    </xf>
    <xf numFmtId="0" fontId="13" fillId="0" borderId="4" xfId="8" applyFont="1" applyBorder="1" applyAlignment="1" applyProtection="1">
      <alignment horizontal="left" vertical="top"/>
      <protection locked="0"/>
    </xf>
    <xf numFmtId="0" fontId="7" fillId="0" borderId="3" xfId="8" applyFont="1" applyBorder="1" applyAlignment="1" applyProtection="1">
      <alignment horizontal="left" vertical="top" wrapText="1"/>
      <protection locked="0"/>
    </xf>
    <xf numFmtId="14" fontId="7" fillId="0" borderId="2" xfId="8" applyNumberFormat="1" applyFont="1" applyBorder="1" applyAlignment="1" applyProtection="1">
      <alignment horizontal="left" vertical="top" wrapText="1"/>
      <protection locked="0"/>
    </xf>
    <xf numFmtId="0" fontId="9" fillId="0" borderId="2" xfId="8" applyFont="1" applyBorder="1" applyAlignment="1" applyProtection="1">
      <alignment horizontal="left" vertical="top" wrapText="1"/>
      <protection locked="0"/>
    </xf>
    <xf numFmtId="0" fontId="9" fillId="0" borderId="3" xfId="8" applyFont="1" applyBorder="1" applyAlignment="1" applyProtection="1">
      <alignment horizontal="left" vertical="top" wrapText="1"/>
      <protection locked="0"/>
    </xf>
    <xf numFmtId="0" fontId="9" fillId="0" borderId="4" xfId="8" applyFont="1" applyBorder="1" applyAlignment="1" applyProtection="1">
      <alignment horizontal="left" vertical="top" wrapText="1"/>
      <protection locked="0"/>
    </xf>
    <xf numFmtId="14" fontId="9" fillId="0" borderId="2" xfId="8" applyNumberFormat="1" applyFont="1" applyBorder="1" applyAlignment="1" applyProtection="1">
      <alignment horizontal="left" vertical="top" wrapText="1"/>
      <protection locked="0"/>
    </xf>
    <xf numFmtId="0" fontId="9" fillId="0" borderId="5" xfId="8" applyFont="1" applyBorder="1" applyAlignment="1" applyProtection="1">
      <alignment horizontal="left" vertical="top" wrapText="1"/>
      <protection locked="0"/>
    </xf>
    <xf numFmtId="0" fontId="9" fillId="0" borderId="6" xfId="8" applyFont="1" applyBorder="1" applyAlignment="1" applyProtection="1">
      <alignment horizontal="left" vertical="top" wrapText="1"/>
      <protection locked="0"/>
    </xf>
    <xf numFmtId="0" fontId="9" fillId="0" borderId="7" xfId="8" applyFont="1" applyBorder="1" applyAlignment="1" applyProtection="1">
      <alignment horizontal="left" vertical="top" wrapText="1"/>
      <protection locked="0"/>
    </xf>
    <xf numFmtId="0" fontId="9" fillId="0" borderId="8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 wrapText="1"/>
      <protection locked="0"/>
    </xf>
    <xf numFmtId="0" fontId="12" fillId="0" borderId="4" xfId="8" applyFont="1" applyBorder="1" applyAlignment="1" applyProtection="1">
      <alignment horizontal="left" vertical="top" wrapText="1"/>
      <protection locked="0"/>
    </xf>
    <xf numFmtId="0" fontId="12" fillId="0" borderId="3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/>
      <protection locked="0"/>
    </xf>
    <xf numFmtId="0" fontId="12" fillId="0" borderId="4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horizontal="left" vertical="top" wrapText="1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1" fontId="7" fillId="0" borderId="1" xfId="8" applyNumberFormat="1" applyFont="1" applyBorder="1" applyAlignment="1" applyProtection="1">
      <alignment horizontal="left" vertical="top" wrapText="1"/>
      <protection locked="0"/>
    </xf>
    <xf numFmtId="0" fontId="7" fillId="0" borderId="10" xfId="8" applyFont="1" applyBorder="1" applyAlignment="1" applyProtection="1">
      <alignment horizontal="left" vertical="top"/>
      <protection locked="0"/>
    </xf>
    <xf numFmtId="0" fontId="7" fillId="0" borderId="10" xfId="8" applyFont="1" applyBorder="1" applyAlignment="1" applyProtection="1">
      <alignment horizontal="left" vertical="top" wrapText="1"/>
      <protection locked="0"/>
    </xf>
    <xf numFmtId="0" fontId="9" fillId="0" borderId="10" xfId="8" applyFont="1" applyBorder="1" applyAlignment="1" applyProtection="1">
      <alignment horizontal="left" vertical="top" wrapText="1"/>
      <protection locked="0"/>
    </xf>
    <xf numFmtId="0" fontId="13" fillId="0" borderId="11" xfId="8" applyFont="1" applyBorder="1" applyAlignment="1" applyProtection="1">
      <alignment horizontal="left" vertical="top" wrapText="1"/>
      <protection locked="0"/>
    </xf>
    <xf numFmtId="0" fontId="13" fillId="0" borderId="12" xfId="8" applyFont="1" applyBorder="1" applyAlignment="1" applyProtection="1">
      <alignment horizontal="left" vertical="top" wrapText="1"/>
      <protection locked="0"/>
    </xf>
    <xf numFmtId="0" fontId="13" fillId="0" borderId="13" xfId="8" applyFont="1" applyBorder="1" applyAlignment="1" applyProtection="1">
      <alignment horizontal="left" vertical="top" wrapText="1"/>
      <protection locked="0"/>
    </xf>
    <xf numFmtId="0" fontId="13" fillId="0" borderId="14" xfId="8" applyFont="1" applyBorder="1" applyAlignment="1" applyProtection="1">
      <alignment horizontal="left" vertical="top" wrapText="1"/>
      <protection locked="0"/>
    </xf>
    <xf numFmtId="0" fontId="13" fillId="0" borderId="15" xfId="8" applyFont="1" applyBorder="1" applyAlignment="1" applyProtection="1">
      <alignment horizontal="left" vertical="top" wrapText="1"/>
      <protection locked="0"/>
    </xf>
    <xf numFmtId="0" fontId="13" fillId="0" borderId="16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 wrapText="1"/>
      <protection locked="0"/>
    </xf>
    <xf numFmtId="0" fontId="13" fillId="0" borderId="17" xfId="8" applyFont="1" applyBorder="1" applyAlignment="1" applyProtection="1">
      <alignment horizontal="left" vertical="top" wrapText="1"/>
      <protection locked="0"/>
    </xf>
    <xf numFmtId="0" fontId="7" fillId="0" borderId="16" xfId="8" applyFont="1" applyBorder="1" applyAlignment="1" applyProtection="1">
      <alignment horizontal="center" vertical="top" wrapText="1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0" fontId="7" fillId="0" borderId="17" xfId="8" applyFont="1" applyBorder="1" applyAlignment="1" applyProtection="1">
      <alignment horizontal="center" vertical="top" wrapText="1"/>
      <protection locked="0"/>
    </xf>
    <xf numFmtId="0" fontId="7" fillId="0" borderId="22" xfId="8" applyFont="1" applyBorder="1" applyAlignment="1" applyProtection="1">
      <alignment horizontal="center" vertical="top" wrapText="1"/>
      <protection locked="0"/>
    </xf>
    <xf numFmtId="0" fontId="7" fillId="0" borderId="23" xfId="8" applyFont="1" applyBorder="1" applyAlignment="1" applyProtection="1">
      <alignment horizontal="center" vertical="top" wrapText="1"/>
      <protection locked="0"/>
    </xf>
    <xf numFmtId="9" fontId="7" fillId="0" borderId="5" xfId="2" applyFont="1" applyFill="1" applyBorder="1" applyAlignment="1" applyProtection="1">
      <alignment horizontal="center" vertical="center" wrapText="1"/>
      <protection locked="0"/>
    </xf>
    <xf numFmtId="9" fontId="7" fillId="0" borderId="6" xfId="2" applyFont="1" applyFill="1" applyBorder="1" applyAlignment="1" applyProtection="1">
      <alignment horizontal="center" vertical="center" wrapText="1"/>
      <protection locked="0"/>
    </xf>
    <xf numFmtId="9" fontId="7" fillId="0" borderId="19" xfId="2" applyFont="1" applyFill="1" applyBorder="1" applyAlignment="1" applyProtection="1">
      <alignment horizontal="center" vertical="center" wrapText="1"/>
      <protection locked="0"/>
    </xf>
    <xf numFmtId="9" fontId="7" fillId="0" borderId="20" xfId="2" applyFont="1" applyFill="1" applyBorder="1" applyAlignment="1" applyProtection="1">
      <alignment horizontal="center" vertical="center" wrapText="1"/>
      <protection locked="0"/>
    </xf>
    <xf numFmtId="9" fontId="7" fillId="0" borderId="24" xfId="2" applyFont="1" applyFill="1" applyBorder="1" applyAlignment="1" applyProtection="1">
      <alignment horizontal="center" vertical="center" wrapText="1"/>
      <protection locked="0"/>
    </xf>
    <xf numFmtId="9" fontId="7" fillId="0" borderId="25" xfId="2" applyFont="1" applyFill="1" applyBorder="1" applyAlignment="1" applyProtection="1">
      <alignment horizontal="center" vertical="center" wrapText="1"/>
      <protection locked="0"/>
    </xf>
    <xf numFmtId="9" fontId="7" fillId="0" borderId="18" xfId="2" applyFont="1" applyFill="1" applyBorder="1" applyAlignment="1" applyProtection="1">
      <alignment horizontal="center" vertical="center" wrapText="1"/>
      <protection locked="0"/>
    </xf>
    <xf numFmtId="9" fontId="7" fillId="0" borderId="21" xfId="2" applyFont="1" applyFill="1" applyBorder="1" applyAlignment="1" applyProtection="1">
      <alignment horizontal="center" vertical="center" wrapText="1"/>
      <protection locked="0"/>
    </xf>
    <xf numFmtId="9" fontId="7" fillId="0" borderId="26" xfId="2" applyFont="1" applyFill="1" applyBorder="1" applyAlignment="1" applyProtection="1">
      <alignment horizontal="center" vertical="center" wrapText="1"/>
      <protection locked="0"/>
    </xf>
    <xf numFmtId="0" fontId="12" fillId="0" borderId="30" xfId="8" applyFont="1" applyBorder="1" applyAlignment="1" applyProtection="1">
      <alignment horizontal="left" vertical="top"/>
      <protection locked="0"/>
    </xf>
    <xf numFmtId="0" fontId="12" fillId="0" borderId="30" xfId="8" applyFont="1" applyBorder="1" applyAlignment="1" applyProtection="1">
      <alignment horizontal="center"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/>
      <protection locked="0"/>
    </xf>
    <xf numFmtId="167" fontId="7" fillId="0" borderId="1" xfId="1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9" fillId="0" borderId="2" xfId="0" applyNumberFormat="1" applyFont="1" applyBorder="1" applyAlignment="1" applyProtection="1">
      <alignment horizontal="center" vertical="center" wrapText="1"/>
      <protection locked="0"/>
    </xf>
    <xf numFmtId="1" fontId="9" fillId="0" borderId="4" xfId="0" applyNumberFormat="1" applyFont="1" applyBorder="1" applyAlignment="1" applyProtection="1">
      <alignment horizontal="center" vertical="center" wrapText="1"/>
      <protection locked="0"/>
    </xf>
    <xf numFmtId="1" fontId="12" fillId="0" borderId="2" xfId="8" applyNumberFormat="1" applyFont="1" applyBorder="1" applyAlignment="1" applyProtection="1">
      <alignment horizontal="center" vertical="center" wrapText="1"/>
      <protection locked="0"/>
    </xf>
    <xf numFmtId="1" fontId="12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4" xfId="8" applyNumberFormat="1" applyFont="1" applyBorder="1" applyAlignment="1" applyProtection="1">
      <alignment horizontal="center" vertical="center" wrapText="1"/>
      <protection locked="0"/>
    </xf>
    <xf numFmtId="1" fontId="9" fillId="0" borderId="2" xfId="8" applyNumberFormat="1" applyFont="1" applyBorder="1" applyAlignment="1" applyProtection="1">
      <alignment horizontal="center" vertical="center" wrapText="1"/>
      <protection locked="0"/>
    </xf>
    <xf numFmtId="1" fontId="9" fillId="0" borderId="4" xfId="8" applyNumberFormat="1" applyFont="1" applyBorder="1" applyAlignment="1" applyProtection="1">
      <alignment horizontal="center" vertical="center" wrapText="1"/>
      <protection locked="0"/>
    </xf>
    <xf numFmtId="0" fontId="10" fillId="0" borderId="0" xfId="8" applyFont="1" applyAlignment="1">
      <alignment horizontal="center" vertical="center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1" fontId="12" fillId="0" borderId="30" xfId="8" applyNumberFormat="1" applyFont="1" applyBorder="1" applyAlignment="1" applyProtection="1">
      <alignment horizontal="center" vertical="top" wrapText="1"/>
      <protection locked="0"/>
    </xf>
    <xf numFmtId="1" fontId="20" fillId="0" borderId="10" xfId="8" applyNumberFormat="1" applyFont="1" applyBorder="1" applyAlignment="1" applyProtection="1">
      <alignment horizontal="center" vertical="top" wrapText="1"/>
      <protection locked="0"/>
    </xf>
    <xf numFmtId="1" fontId="20" fillId="0" borderId="30" xfId="8" applyNumberFormat="1" applyFont="1" applyBorder="1" applyAlignment="1" applyProtection="1">
      <alignment horizontal="center" vertical="top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12" fillId="0" borderId="6" xfId="8" applyNumberFormat="1" applyFont="1" applyBorder="1" applyAlignment="1" applyProtection="1">
      <alignment horizontal="center" vertical="top" wrapText="1"/>
      <protection locked="0"/>
    </xf>
    <xf numFmtId="1" fontId="12" fillId="0" borderId="7" xfId="8" applyNumberFormat="1" applyFont="1" applyBorder="1" applyAlignment="1" applyProtection="1">
      <alignment horizontal="center" vertical="top" wrapText="1"/>
      <protection locked="0"/>
    </xf>
    <xf numFmtId="1" fontId="12" fillId="0" borderId="8" xfId="8" applyNumberFormat="1" applyFont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top" wrapText="1"/>
      <protection locked="0"/>
    </xf>
    <xf numFmtId="1" fontId="20" fillId="0" borderId="1" xfId="8" applyNumberFormat="1" applyFont="1" applyBorder="1" applyAlignment="1" applyProtection="1">
      <alignment horizontal="center" vertical="top" wrapText="1"/>
      <protection locked="0"/>
    </xf>
    <xf numFmtId="1" fontId="12" fillId="0" borderId="2" xfId="0" applyNumberFormat="1" applyFont="1" applyBorder="1" applyAlignment="1" applyProtection="1">
      <alignment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1" fontId="21" fillId="0" borderId="2" xfId="0" applyNumberFormat="1" applyFont="1" applyBorder="1" applyAlignment="1" applyProtection="1">
      <alignment vertical="top" wrapText="1"/>
      <protection locked="0"/>
    </xf>
    <xf numFmtId="1" fontId="21" fillId="0" borderId="3" xfId="0" applyNumberFormat="1" applyFont="1" applyBorder="1" applyAlignment="1" applyProtection="1">
      <alignment vertical="top" wrapText="1"/>
      <protection locked="0"/>
    </xf>
    <xf numFmtId="1" fontId="21" fillId="0" borderId="4" xfId="0" applyNumberFormat="1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1" fontId="9" fillId="0" borderId="5" xfId="8" applyNumberFormat="1" applyFont="1" applyBorder="1" applyAlignment="1" applyProtection="1">
      <alignment horizontal="center" vertical="center" wrapText="1"/>
      <protection locked="0"/>
    </xf>
    <xf numFmtId="1" fontId="9" fillId="0" borderId="6" xfId="8" applyNumberFormat="1" applyFont="1" applyBorder="1" applyAlignment="1" applyProtection="1">
      <alignment horizontal="center" vertical="center" wrapText="1"/>
      <protection locked="0"/>
    </xf>
    <xf numFmtId="1" fontId="9" fillId="0" borderId="19" xfId="8" applyNumberFormat="1" applyFont="1" applyBorder="1" applyAlignment="1" applyProtection="1">
      <alignment horizontal="center" vertical="center" wrapText="1"/>
      <protection locked="0"/>
    </xf>
    <xf numFmtId="1" fontId="9" fillId="0" borderId="20" xfId="8" applyNumberFormat="1" applyFont="1" applyBorder="1" applyAlignment="1" applyProtection="1">
      <alignment horizontal="center" vertical="center" wrapText="1"/>
      <protection locked="0"/>
    </xf>
    <xf numFmtId="1" fontId="9" fillId="0" borderId="7" xfId="8" applyNumberFormat="1" applyFont="1" applyBorder="1" applyAlignment="1" applyProtection="1">
      <alignment horizontal="center" vertical="center" wrapText="1"/>
      <protection locked="0"/>
    </xf>
    <xf numFmtId="1" fontId="9" fillId="0" borderId="8" xfId="8" applyNumberFormat="1" applyFont="1" applyBorder="1" applyAlignment="1" applyProtection="1">
      <alignment horizontal="center" vertical="center" wrapText="1"/>
      <protection locked="0"/>
    </xf>
    <xf numFmtId="0" fontId="9" fillId="0" borderId="1" xfId="8" applyFont="1" applyBorder="1" applyAlignment="1" applyProtection="1">
      <alignment vertical="top"/>
      <protection locked="0"/>
    </xf>
    <xf numFmtId="0" fontId="9" fillId="0" borderId="1" xfId="8" applyFont="1" applyBorder="1" applyAlignment="1" applyProtection="1">
      <alignment horizontal="left" vertical="top" wrapText="1"/>
      <protection locked="0"/>
    </xf>
    <xf numFmtId="0" fontId="22" fillId="0" borderId="1" xfId="8" applyFont="1" applyBorder="1" applyAlignment="1" applyProtection="1">
      <alignment horizontal="center" vertical="top" wrapText="1"/>
      <protection locked="0"/>
    </xf>
    <xf numFmtId="0" fontId="3" fillId="0" borderId="1" xfId="10" applyFont="1" applyBorder="1" applyAlignment="1">
      <alignment horizontal="left"/>
    </xf>
    <xf numFmtId="1" fontId="12" fillId="0" borderId="10" xfId="0" applyNumberFormat="1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1" fontId="19" fillId="0" borderId="10" xfId="0" applyNumberFormat="1" applyFont="1" applyBorder="1" applyAlignment="1" applyProtection="1">
      <alignment horizontal="center" vertical="top" wrapText="1"/>
      <protection locked="0"/>
    </xf>
    <xf numFmtId="0" fontId="19" fillId="0" borderId="10" xfId="0" applyFont="1" applyBorder="1" applyAlignment="1" applyProtection="1">
      <alignment horizontal="center" vertical="top" wrapText="1"/>
      <protection locked="0"/>
    </xf>
    <xf numFmtId="1" fontId="12" fillId="0" borderId="10" xfId="0" applyNumberFormat="1" applyFont="1" applyBorder="1" applyAlignment="1" applyProtection="1">
      <alignment horizontal="center" vertical="top" wrapText="1"/>
      <protection locked="0"/>
    </xf>
    <xf numFmtId="1" fontId="12" fillId="0" borderId="31" xfId="0" applyNumberFormat="1" applyFont="1" applyBorder="1" applyAlignment="1" applyProtection="1">
      <alignment horizontal="center" vertical="center" wrapText="1"/>
      <protection locked="0"/>
    </xf>
    <xf numFmtId="1" fontId="12" fillId="0" borderId="32" xfId="0" applyNumberFormat="1" applyFont="1" applyBorder="1" applyAlignment="1" applyProtection="1">
      <alignment horizontal="center" vertical="center" wrapText="1"/>
      <protection locked="0"/>
    </xf>
    <xf numFmtId="1" fontId="12" fillId="0" borderId="33" xfId="0" applyNumberFormat="1" applyFont="1" applyBorder="1" applyAlignment="1" applyProtection="1">
      <alignment horizontal="center" vertical="center" wrapText="1"/>
      <protection locked="0"/>
    </xf>
    <xf numFmtId="1" fontId="12" fillId="0" borderId="34" xfId="0" applyNumberFormat="1" applyFont="1" applyBorder="1" applyAlignment="1" applyProtection="1">
      <alignment horizontal="center" vertical="center" wrapText="1"/>
      <protection locked="0"/>
    </xf>
  </cellXfs>
  <cellStyles count="11">
    <cellStyle name="Comma" xfId="1" builtinId="3"/>
    <cellStyle name="Comma 2" xfId="4" xr:uid="{00000000-0005-0000-0000-000001000000}"/>
    <cellStyle name="Excel Built-in Normal" xfId="5" xr:uid="{00000000-0005-0000-0000-000002000000}"/>
    <cellStyle name="Excel Built-in Normal 2" xfId="6" xr:uid="{00000000-0005-0000-0000-000003000000}"/>
    <cellStyle name="Hyperlink" xfId="3" builtinId="8"/>
    <cellStyle name="Normal" xfId="0" builtinId="0"/>
    <cellStyle name="Normal 2" xfId="7" xr:uid="{00000000-0005-0000-0000-000006000000}"/>
    <cellStyle name="Normal 3" xfId="8" xr:uid="{00000000-0005-0000-0000-000007000000}"/>
    <cellStyle name="Normal 3 3" xfId="9" xr:uid="{00000000-0005-0000-0000-000008000000}"/>
    <cellStyle name="Normal 4" xfId="10" xr:uid="{00000000-0005-0000-0000-000009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1.png"/><Relationship Id="rId1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185916</xdr:colOff>
      <xdr:row>360</xdr:row>
      <xdr:rowOff>24528</xdr:rowOff>
    </xdr:from>
    <xdr:to>
      <xdr:col>6</xdr:col>
      <xdr:colOff>518782</xdr:colOff>
      <xdr:row>374</xdr:row>
      <xdr:rowOff>80646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49325" y="73700005"/>
          <a:ext cx="4490085" cy="285686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197122</xdr:colOff>
      <xdr:row>345</xdr:row>
      <xdr:rowOff>64688</xdr:rowOff>
    </xdr:from>
    <xdr:to>
      <xdr:col>6</xdr:col>
      <xdr:colOff>529991</xdr:colOff>
      <xdr:row>359</xdr:row>
      <xdr:rowOff>120807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960755" y="70739635"/>
          <a:ext cx="4490085" cy="285686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10</xdr:col>
      <xdr:colOff>174625</xdr:colOff>
      <xdr:row>317</xdr:row>
      <xdr:rowOff>62881</xdr:rowOff>
    </xdr:from>
    <xdr:ext cx="622927" cy="28338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993505" y="65137665"/>
          <a:ext cx="622300" cy="28321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Wing F</a:t>
          </a:r>
        </a:p>
      </xdr:txBody>
    </xdr:sp>
    <xdr:clientData/>
  </xdr:oneCellAnchor>
  <xdr:oneCellAnchor>
    <xdr:from>
      <xdr:col>10</xdr:col>
      <xdr:colOff>584955</xdr:colOff>
      <xdr:row>301</xdr:row>
      <xdr:rowOff>28575</xdr:rowOff>
    </xdr:from>
    <xdr:ext cx="622927" cy="28338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9403715" y="61912500"/>
          <a:ext cx="622935" cy="28321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Wing F</a:t>
          </a:r>
        </a:p>
      </xdr:txBody>
    </xdr:sp>
    <xdr:clientData/>
  </xdr:oneCellAnchor>
  <xdr:oneCellAnchor>
    <xdr:from>
      <xdr:col>12</xdr:col>
      <xdr:colOff>644238</xdr:colOff>
      <xdr:row>301</xdr:row>
      <xdr:rowOff>26348</xdr:rowOff>
    </xdr:from>
    <xdr:ext cx="650306" cy="28338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868660" y="61909960"/>
          <a:ext cx="650240" cy="28321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Wing G</a:t>
          </a:r>
        </a:p>
      </xdr:txBody>
    </xdr:sp>
    <xdr:clientData/>
  </xdr:oneCellAnchor>
  <xdr:oneCellAnchor>
    <xdr:from>
      <xdr:col>20</xdr:col>
      <xdr:colOff>210584</xdr:colOff>
      <xdr:row>307</xdr:row>
      <xdr:rowOff>69677</xdr:rowOff>
    </xdr:from>
    <xdr:ext cx="649345" cy="28338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5944215" y="63143765"/>
          <a:ext cx="649605" cy="28321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Wing H</a:t>
          </a:r>
        </a:p>
      </xdr:txBody>
    </xdr:sp>
    <xdr:clientData/>
  </xdr:oneCellAnchor>
  <xdr:twoCellAnchor>
    <xdr:from>
      <xdr:col>12</xdr:col>
      <xdr:colOff>13335</xdr:colOff>
      <xdr:row>296</xdr:row>
      <xdr:rowOff>128905</xdr:rowOff>
    </xdr:from>
    <xdr:to>
      <xdr:col>12</xdr:col>
      <xdr:colOff>803275</xdr:colOff>
      <xdr:row>298</xdr:row>
      <xdr:rowOff>86360</xdr:rowOff>
    </xdr:to>
    <xdr:sp macro="" textlink="">
      <xdr:nvSpPr>
        <xdr:cNvPr id="19" name="TextBox 4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513695" y="60410725"/>
          <a:ext cx="789940" cy="353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6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</a:t>
          </a:r>
          <a:r>
            <a:rPr lang="en-US" altLang="en-IN" sz="16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</a:t>
          </a:r>
        </a:p>
      </xdr:txBody>
    </xdr:sp>
    <xdr:clientData/>
  </xdr:twoCellAnchor>
  <xdr:twoCellAnchor>
    <xdr:from>
      <xdr:col>8</xdr:col>
      <xdr:colOff>878205</xdr:colOff>
      <xdr:row>299</xdr:row>
      <xdr:rowOff>182245</xdr:rowOff>
    </xdr:from>
    <xdr:to>
      <xdr:col>17</xdr:col>
      <xdr:colOff>489585</xdr:colOff>
      <xdr:row>342</xdr:row>
      <xdr:rowOff>132715</xdr:rowOff>
    </xdr:to>
    <xdr:grpSp>
      <xdr:nvGrpSpPr>
        <xdr:cNvPr id="57" name="Group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pSpPr/>
      </xdr:nvGrpSpPr>
      <xdr:grpSpPr>
        <a:xfrm>
          <a:off x="7764780" y="58827670"/>
          <a:ext cx="6621780" cy="8542020"/>
          <a:chOff x="120" y="96899"/>
          <a:chExt cx="10506" cy="13452"/>
        </a:xfrm>
      </xdr:grpSpPr>
      <xdr:grpSp>
        <xdr:nvGrpSpPr>
          <xdr:cNvPr id="60" name="Group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GrpSpPr/>
        </xdr:nvGrpSpPr>
        <xdr:grpSpPr>
          <a:xfrm>
            <a:off x="120" y="96899"/>
            <a:ext cx="10506" cy="13453"/>
            <a:chOff x="120" y="96899"/>
            <a:chExt cx="10506" cy="13453"/>
          </a:xfrm>
        </xdr:grpSpPr>
        <xdr:pic>
          <xdr:nvPicPr>
            <xdr:cNvPr id="3" name="Picture 29" descr="https://vsjcllp.vsjadon.com/upload/insp-220667-1525.jpg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>
            <a:xfrm>
              <a:off x="5553" y="107520"/>
              <a:ext cx="2118" cy="283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" name="Picture 31" descr="https://vsjcllp.vsjadon.com/upload/insp-220667-843.jpg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>
            <a:xfrm>
              <a:off x="4050" y="103919"/>
              <a:ext cx="2553" cy="341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" name="Picture 33" descr="https://vsjcllp.vsjadon.com/upload/insp-220667-845.jpg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>
            <a:xfrm>
              <a:off x="6765" y="103949"/>
              <a:ext cx="2556" cy="341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" name="Picture 37" descr="https://vsjcllp.vsjadon.com/upload/insp-220667-847.jpg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>
            <a:xfrm>
              <a:off x="3300" y="107520"/>
              <a:ext cx="2116" cy="283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" name="Picture 39" descr="https://vsjcllp.vsjadon.com/upload/insp-220667-851.jpg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>
            <a:xfrm>
              <a:off x="1335" y="103934"/>
              <a:ext cx="2556" cy="341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56" name="Group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GrpSpPr/>
          </xdr:nvGrpSpPr>
          <xdr:grpSpPr>
            <a:xfrm>
              <a:off x="135" y="96899"/>
              <a:ext cx="2488" cy="3328"/>
              <a:chOff x="135" y="96899"/>
              <a:chExt cx="2488" cy="3328"/>
            </a:xfrm>
          </xdr:grpSpPr>
          <xdr:pic>
            <xdr:nvPicPr>
              <xdr:cNvPr id="6" name="Picture 35" descr="https://vsjcllp.vsjadon.com/upload/insp-220667-844.jpg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8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135" y="96899"/>
                <a:ext cx="2488" cy="3328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18" name="TextBox 46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 txBox="1"/>
            </xdr:nvSpPr>
            <xdr:spPr>
              <a:xfrm>
                <a:off x="135" y="96899"/>
                <a:ext cx="1178" cy="54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>
                <a:defPPr>
                  <a:defRPr lang="en-US">
                    <a:solidFill>
                      <a:schemeClr val="tx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IN" sz="1600" b="0" cap="none" spc="0">
                    <a:ln w="0"/>
                    <a:solidFill>
                      <a:sysClr val="windowText" lastClr="000000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</a:rPr>
                  <a:t>Wing A</a:t>
                </a:r>
              </a:p>
            </xdr:txBody>
          </xdr:sp>
        </xdr:grpSp>
        <xdr:grpSp>
          <xdr:nvGrpSpPr>
            <xdr:cNvPr id="58" name="Group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GrpSpPr/>
          </xdr:nvGrpSpPr>
          <xdr:grpSpPr>
            <a:xfrm>
              <a:off x="5415" y="96899"/>
              <a:ext cx="2488" cy="3328"/>
              <a:chOff x="5415" y="96899"/>
              <a:chExt cx="2488" cy="3328"/>
            </a:xfrm>
          </xdr:grpSpPr>
          <xdr:pic>
            <xdr:nvPicPr>
              <xdr:cNvPr id="12" name="Picture 43" descr="https://vsjcllp.vsjadon.com/upload/insp-220667-862.jpg">
                <a:extLst>
                  <a:ext uri="{FF2B5EF4-FFF2-40B4-BE49-F238E27FC236}">
                    <a16:creationId xmlns:a16="http://schemas.microsoft.com/office/drawing/2014/main" id="{00000000-0008-0000-0000-00000C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9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5415" y="96899"/>
                <a:ext cx="2489" cy="3328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21" name="TextBox 46">
                <a:extLst>
                  <a:ext uri="{FF2B5EF4-FFF2-40B4-BE49-F238E27FC236}">
                    <a16:creationId xmlns:a16="http://schemas.microsoft.com/office/drawing/2014/main" id="{00000000-0008-0000-0000-000015000000}"/>
                  </a:ext>
                </a:extLst>
              </xdr:cNvPr>
              <xdr:cNvSpPr txBox="1"/>
            </xdr:nvSpPr>
            <xdr:spPr>
              <a:xfrm>
                <a:off x="5415" y="96899"/>
                <a:ext cx="1208" cy="56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>
                <a:defPPr>
                  <a:defRPr lang="en-US">
                    <a:solidFill>
                      <a:schemeClr val="tx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IN" sz="1600" b="0" cap="none" spc="0">
                    <a:ln w="0"/>
                    <a:solidFill>
                      <a:sysClr val="windowText" lastClr="000000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</a:rPr>
                  <a:t>Wing </a:t>
                </a:r>
                <a:r>
                  <a:rPr lang="en-US" altLang="en-IN" sz="1600" b="0" cap="none" spc="0">
                    <a:ln w="0"/>
                    <a:solidFill>
                      <a:sysClr val="windowText" lastClr="000000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</a:rPr>
                  <a:t>C</a:t>
                </a:r>
              </a:p>
            </xdr:txBody>
          </xdr:sp>
        </xdr:grpSp>
        <xdr:grpSp>
          <xdr:nvGrpSpPr>
            <xdr:cNvPr id="59" name="Group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GrpSpPr/>
          </xdr:nvGrpSpPr>
          <xdr:grpSpPr>
            <a:xfrm>
              <a:off x="8040" y="96899"/>
              <a:ext cx="2490" cy="3328"/>
              <a:chOff x="8040" y="96899"/>
              <a:chExt cx="2490" cy="3328"/>
            </a:xfrm>
          </xdr:grpSpPr>
          <xdr:pic>
            <xdr:nvPicPr>
              <xdr:cNvPr id="13" name="Picture 45" descr="https://vsjcllp.vsjadon.com/upload/insp-220667-860.jpg">
                <a:extLs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0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8040" y="96899"/>
                <a:ext cx="2490" cy="3328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22" name="TextBox 46">
                <a:extLst>
                  <a:ext uri="{FF2B5EF4-FFF2-40B4-BE49-F238E27FC236}">
                    <a16:creationId xmlns:a16="http://schemas.microsoft.com/office/drawing/2014/main" id="{00000000-0008-0000-0000-000016000000}"/>
                  </a:ext>
                </a:extLst>
              </xdr:cNvPr>
              <xdr:cNvSpPr txBox="1"/>
            </xdr:nvSpPr>
            <xdr:spPr>
              <a:xfrm>
                <a:off x="8040" y="96899"/>
                <a:ext cx="1234" cy="56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>
                <a:defPPr>
                  <a:defRPr lang="en-US">
                    <a:solidFill>
                      <a:schemeClr val="tx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IN" sz="1600" b="0" cap="none" spc="0">
                    <a:ln w="0"/>
                    <a:solidFill>
                      <a:sysClr val="windowText" lastClr="000000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</a:rPr>
                  <a:t>Wing </a:t>
                </a:r>
                <a:r>
                  <a:rPr lang="en-US" altLang="en-IN" sz="1600" b="0" cap="none" spc="0">
                    <a:ln w="0"/>
                    <a:solidFill>
                      <a:sysClr val="windowText" lastClr="000000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</a:rPr>
                  <a:t>D</a:t>
                </a:r>
              </a:p>
            </xdr:txBody>
          </xdr:sp>
        </xdr:grpSp>
        <xdr:grpSp>
          <xdr:nvGrpSpPr>
            <xdr:cNvPr id="55" name="Group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GrpSpPr/>
          </xdr:nvGrpSpPr>
          <xdr:grpSpPr>
            <a:xfrm>
              <a:off x="120" y="100393"/>
              <a:ext cx="2522" cy="3374"/>
              <a:chOff x="120" y="100393"/>
              <a:chExt cx="2522" cy="3374"/>
            </a:xfrm>
          </xdr:grpSpPr>
          <xdr:pic>
            <xdr:nvPicPr>
              <xdr:cNvPr id="14" name="Picture 47" descr="https://vsjcllp.vsjadon.com/upload/insp-220667-871.jpg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1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120" y="100393"/>
                <a:ext cx="2523" cy="3374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24" name="TextBox 46">
                <a:extLst>
                  <a:ext uri="{FF2B5EF4-FFF2-40B4-BE49-F238E27FC236}">
                    <a16:creationId xmlns:a16="http://schemas.microsoft.com/office/drawing/2014/main" id="{00000000-0008-0000-0000-000018000000}"/>
                  </a:ext>
                </a:extLst>
              </xdr:cNvPr>
              <xdr:cNvSpPr txBox="1"/>
            </xdr:nvSpPr>
            <xdr:spPr>
              <a:xfrm>
                <a:off x="120" y="100393"/>
                <a:ext cx="1193" cy="56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>
                <a:defPPr>
                  <a:defRPr lang="en-US">
                    <a:solidFill>
                      <a:schemeClr val="tx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IN" sz="1600" b="0" cap="none" spc="0">
                    <a:ln w="0"/>
                    <a:solidFill>
                      <a:sysClr val="windowText" lastClr="000000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</a:rPr>
                  <a:t>Wing </a:t>
                </a:r>
                <a:r>
                  <a:rPr lang="en-US" altLang="en-IN" sz="1600" b="0" cap="none" spc="0">
                    <a:ln w="0"/>
                    <a:solidFill>
                      <a:sysClr val="windowText" lastClr="000000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</a:rPr>
                  <a:t>E</a:t>
                </a:r>
              </a:p>
            </xdr:txBody>
          </xdr:sp>
        </xdr:grpSp>
        <xdr:grpSp>
          <xdr:nvGrpSpPr>
            <xdr:cNvPr id="31" name="Group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GrpSpPr/>
          </xdr:nvGrpSpPr>
          <xdr:grpSpPr>
            <a:xfrm>
              <a:off x="2791" y="100393"/>
              <a:ext cx="2520" cy="3374"/>
              <a:chOff x="2791" y="100393"/>
              <a:chExt cx="2520" cy="3374"/>
            </a:xfrm>
          </xdr:grpSpPr>
          <xdr:pic>
            <xdr:nvPicPr>
              <xdr:cNvPr id="15" name="Picture 49" descr="https://vsjcllp.vsjadon.com/upload/insp-220667-874.jpg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2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2791" y="100393"/>
                <a:ext cx="2521" cy="3374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25" name="TextBox 46">
                <a:extLst>
                  <a:ext uri="{FF2B5EF4-FFF2-40B4-BE49-F238E27FC236}">
                    <a16:creationId xmlns:a16="http://schemas.microsoft.com/office/drawing/2014/main" id="{00000000-0008-0000-0000-000019000000}"/>
                  </a:ext>
                </a:extLst>
              </xdr:cNvPr>
              <xdr:cNvSpPr txBox="1"/>
            </xdr:nvSpPr>
            <xdr:spPr>
              <a:xfrm>
                <a:off x="2791" y="100393"/>
                <a:ext cx="1184" cy="56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>
                <a:defPPr>
                  <a:defRPr lang="en-US">
                    <a:solidFill>
                      <a:schemeClr val="tx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IN" sz="1600" b="0" cap="none" spc="0">
                    <a:ln w="0"/>
                    <a:solidFill>
                      <a:sysClr val="windowText" lastClr="000000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</a:rPr>
                  <a:t>Wing </a:t>
                </a:r>
                <a:r>
                  <a:rPr lang="en-US" altLang="en-IN" sz="1600" b="0" cap="none" spc="0">
                    <a:ln w="0"/>
                    <a:solidFill>
                      <a:sysClr val="windowText" lastClr="000000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</a:rPr>
                  <a:t>F</a:t>
                </a:r>
              </a:p>
            </xdr:txBody>
          </xdr:sp>
        </xdr:grpSp>
        <xdr:grpSp>
          <xdr:nvGrpSpPr>
            <xdr:cNvPr id="29" name="Group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GrpSpPr/>
          </xdr:nvGrpSpPr>
          <xdr:grpSpPr>
            <a:xfrm>
              <a:off x="5443" y="100393"/>
              <a:ext cx="2522" cy="3374"/>
              <a:chOff x="5443" y="100393"/>
              <a:chExt cx="2522" cy="3374"/>
            </a:xfrm>
          </xdr:grpSpPr>
          <xdr:pic>
            <xdr:nvPicPr>
              <xdr:cNvPr id="16" name="Picture 51" descr="https://vsjcllp.vsjadon.com/upload/insp-220667-880.jpg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3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5443" y="100393"/>
                <a:ext cx="2523" cy="3374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26" name="TextBox 46">
                <a:extLst>
                  <a:ext uri="{FF2B5EF4-FFF2-40B4-BE49-F238E27FC236}">
                    <a16:creationId xmlns:a16="http://schemas.microsoft.com/office/drawing/2014/main" id="{00000000-0008-0000-0000-00001A000000}"/>
                  </a:ext>
                </a:extLst>
              </xdr:cNvPr>
              <xdr:cNvSpPr txBox="1"/>
            </xdr:nvSpPr>
            <xdr:spPr>
              <a:xfrm>
                <a:off x="5443" y="100393"/>
                <a:ext cx="1239" cy="56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>
                <a:defPPr>
                  <a:defRPr lang="en-US">
                    <a:solidFill>
                      <a:schemeClr val="tx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IN" sz="1600" b="0" cap="none" spc="0">
                    <a:ln w="0"/>
                    <a:solidFill>
                      <a:sysClr val="windowText" lastClr="000000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</a:rPr>
                  <a:t>Wing </a:t>
                </a:r>
                <a:r>
                  <a:rPr lang="en-US" altLang="en-IN" sz="1600" b="0" cap="none" spc="0">
                    <a:ln w="0"/>
                    <a:solidFill>
                      <a:sysClr val="windowText" lastClr="000000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</a:rPr>
                  <a:t>G</a:t>
                </a:r>
              </a:p>
            </xdr:txBody>
          </xdr:sp>
        </xdr:grpSp>
        <xdr:grpSp>
          <xdr:nvGrpSpPr>
            <xdr:cNvPr id="28" name="Group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GrpSpPr/>
          </xdr:nvGrpSpPr>
          <xdr:grpSpPr>
            <a:xfrm>
              <a:off x="7984" y="100388"/>
              <a:ext cx="2642" cy="3374"/>
              <a:chOff x="7984" y="100388"/>
              <a:chExt cx="2642" cy="3374"/>
            </a:xfrm>
          </xdr:grpSpPr>
          <xdr:pic>
            <xdr:nvPicPr>
              <xdr:cNvPr id="17" name="Picture 53" descr="https://vsjcllp.vsjadon.com/upload/insp-220667-883.jpg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4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8104" y="100388"/>
                <a:ext cx="2523" cy="3374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27" name="TextBox 46">
                <a:extLst>
                  <a:ext uri="{FF2B5EF4-FFF2-40B4-BE49-F238E27FC236}">
                    <a16:creationId xmlns:a16="http://schemas.microsoft.com/office/drawing/2014/main" id="{00000000-0008-0000-0000-00001B000000}"/>
                  </a:ext>
                </a:extLst>
              </xdr:cNvPr>
              <xdr:cNvSpPr txBox="1"/>
            </xdr:nvSpPr>
            <xdr:spPr>
              <a:xfrm>
                <a:off x="7984" y="100388"/>
                <a:ext cx="1236" cy="56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>
                <a:defPPr>
                  <a:defRPr lang="en-US">
                    <a:solidFill>
                      <a:schemeClr val="tx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IN" sz="1600" b="0" cap="none" spc="0">
                    <a:ln w="0"/>
                    <a:solidFill>
                      <a:sysClr val="windowText" lastClr="000000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</a:rPr>
                  <a:t>Wing </a:t>
                </a:r>
                <a:r>
                  <a:rPr lang="en-US" altLang="en-IN" sz="1600" b="0" cap="none" spc="0">
                    <a:ln w="0"/>
                    <a:solidFill>
                      <a:sysClr val="windowText" lastClr="000000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</a:rPr>
                  <a:t>H</a:t>
                </a:r>
              </a:p>
            </xdr:txBody>
          </xdr:sp>
        </xdr:grpSp>
        <xdr:pic>
          <xdr:nvPicPr>
            <xdr:cNvPr id="11" name="Picture 41" descr="https://vsjcllp.vsjadon.com/upload/insp-220667-861.jpg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>
            <a:xfrm>
              <a:off x="2790" y="96899"/>
              <a:ext cx="2491" cy="332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23" name="TextBox 46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2790" y="96899"/>
            <a:ext cx="1211" cy="5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>
            <a:defPPr>
              <a:defRPr lang="en-US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6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</a:t>
            </a:r>
            <a:r>
              <a:rPr lang="en-US" altLang="en-IN" sz="16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</a:t>
            </a:r>
          </a:p>
        </xdr:txBody>
      </xdr:sp>
    </xdr:grpSp>
    <xdr:clientData/>
  </xdr:twoCellAnchor>
  <xdr:twoCellAnchor>
    <xdr:from>
      <xdr:col>8</xdr:col>
      <xdr:colOff>580240</xdr:colOff>
      <xdr:row>299</xdr:row>
      <xdr:rowOff>5155</xdr:rowOff>
    </xdr:from>
    <xdr:to>
      <xdr:col>17</xdr:col>
      <xdr:colOff>378310</xdr:colOff>
      <xdr:row>332</xdr:row>
      <xdr:rowOff>58508</xdr:rowOff>
    </xdr:to>
    <xdr:grpSp>
      <xdr:nvGrpSpPr>
        <xdr:cNvPr id="61" name="Group 60">
          <a:extLst>
            <a:ext uri="{FF2B5EF4-FFF2-40B4-BE49-F238E27FC236}">
              <a16:creationId xmlns:a16="http://schemas.microsoft.com/office/drawing/2014/main" id="{D4FBD5A1-D012-E2ED-96D9-89BC6F3F5D48}"/>
            </a:ext>
          </a:extLst>
        </xdr:cNvPr>
        <xdr:cNvGrpSpPr/>
      </xdr:nvGrpSpPr>
      <xdr:grpSpPr>
        <a:xfrm>
          <a:off x="7466815" y="58650580"/>
          <a:ext cx="6808470" cy="6644653"/>
          <a:chOff x="62203" y="146304"/>
          <a:chExt cx="8069506" cy="7231393"/>
        </a:xfrm>
      </xdr:grpSpPr>
      <xdr:pic>
        <xdr:nvPicPr>
          <xdr:cNvPr id="62" name="Picture 61">
            <a:extLst>
              <a:ext uri="{FF2B5EF4-FFF2-40B4-BE49-F238E27FC236}">
                <a16:creationId xmlns:a16="http://schemas.microsoft.com/office/drawing/2014/main" id="{6D582CC7-04B3-058D-FDD3-516D172DDA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44334" y="146304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>
            <a:extLst>
              <a:ext uri="{FF2B5EF4-FFF2-40B4-BE49-F238E27FC236}">
                <a16:creationId xmlns:a16="http://schemas.microsoft.com/office/drawing/2014/main" id="{426768F2-907A-3232-FFE0-C3BD22753F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22914" y="146304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>
            <a:extLst>
              <a:ext uri="{FF2B5EF4-FFF2-40B4-BE49-F238E27FC236}">
                <a16:creationId xmlns:a16="http://schemas.microsoft.com/office/drawing/2014/main" id="{BC0B39B9-AF20-F877-E5E0-221CFC6DCC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83624" y="146304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>
            <a:extLst>
              <a:ext uri="{FF2B5EF4-FFF2-40B4-BE49-F238E27FC236}">
                <a16:creationId xmlns:a16="http://schemas.microsoft.com/office/drawing/2014/main" id="{A31EC4B8-0F48-BE14-81F3-6DEAEBAC82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3" y="2812289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>
            <a:extLst>
              <a:ext uri="{FF2B5EF4-FFF2-40B4-BE49-F238E27FC236}">
                <a16:creationId xmlns:a16="http://schemas.microsoft.com/office/drawing/2014/main" id="{9713322B-EA12-4639-5908-A5E6B22CB5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17810" y="2812289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>
            <a:extLst>
              <a:ext uri="{FF2B5EF4-FFF2-40B4-BE49-F238E27FC236}">
                <a16:creationId xmlns:a16="http://schemas.microsoft.com/office/drawing/2014/main" id="{F9872C6B-C981-3695-5162-11402B614D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83624" y="2812289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>
            <a:extLst>
              <a:ext uri="{FF2B5EF4-FFF2-40B4-BE49-F238E27FC236}">
                <a16:creationId xmlns:a16="http://schemas.microsoft.com/office/drawing/2014/main" id="{CD70AD7E-5700-A718-7281-639DFB95BE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44334" y="2812289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69" name="Group 68">
            <a:extLst>
              <a:ext uri="{FF2B5EF4-FFF2-40B4-BE49-F238E27FC236}">
                <a16:creationId xmlns:a16="http://schemas.microsoft.com/office/drawing/2014/main" id="{EB58707E-F106-884F-2A1A-C5D9B420F00C}"/>
              </a:ext>
            </a:extLst>
          </xdr:cNvPr>
          <xdr:cNvGrpSpPr/>
        </xdr:nvGrpSpPr>
        <xdr:grpSpPr>
          <a:xfrm>
            <a:off x="532316" y="5577697"/>
            <a:ext cx="6945737" cy="1800000"/>
            <a:chOff x="-447088" y="5577697"/>
            <a:chExt cx="6945737" cy="1800000"/>
          </a:xfrm>
        </xdr:grpSpPr>
        <xdr:pic>
          <xdr:nvPicPr>
            <xdr:cNvPr id="79" name="Picture 78">
              <a:extLst>
                <a:ext uri="{FF2B5EF4-FFF2-40B4-BE49-F238E27FC236}">
                  <a16:creationId xmlns:a16="http://schemas.microsoft.com/office/drawing/2014/main" id="{182C0B92-7C46-FC34-522E-F36F26F6907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17810" y="5577697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0" name="Picture 79">
              <a:extLst>
                <a:ext uri="{FF2B5EF4-FFF2-40B4-BE49-F238E27FC236}">
                  <a16:creationId xmlns:a16="http://schemas.microsoft.com/office/drawing/2014/main" id="{E1BAAC07-9720-0A07-FBC6-98D0CF22284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150524" y="5577697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1" name="Picture 80">
              <a:extLst>
                <a:ext uri="{FF2B5EF4-FFF2-40B4-BE49-F238E27FC236}">
                  <a16:creationId xmlns:a16="http://schemas.microsoft.com/office/drawing/2014/main" id="{FAC5BFBA-A6F8-4D9A-BF21-B83CE2EF1E3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447088" y="5577697"/>
              <a:ext cx="23966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2" name="Picture 81">
              <a:extLst>
                <a:ext uri="{FF2B5EF4-FFF2-40B4-BE49-F238E27FC236}">
                  <a16:creationId xmlns:a16="http://schemas.microsoft.com/office/drawing/2014/main" id="{078007D3-25B9-68B7-8F94-42B862D613F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34167" y="5577697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pic>
        <xdr:nvPicPr>
          <xdr:cNvPr id="70" name="Picture 69">
            <a:extLst>
              <a:ext uri="{FF2B5EF4-FFF2-40B4-BE49-F238E27FC236}">
                <a16:creationId xmlns:a16="http://schemas.microsoft.com/office/drawing/2014/main" id="{67CD2149-2D39-4782-7B4B-E88909E700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4" y="146304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1" name="TextBox 26">
            <a:extLst>
              <a:ext uri="{FF2B5EF4-FFF2-40B4-BE49-F238E27FC236}">
                <a16:creationId xmlns:a16="http://schemas.microsoft.com/office/drawing/2014/main" id="{192AA32E-D744-F0D9-B5E3-74B649F8F279}"/>
              </a:ext>
            </a:extLst>
          </xdr:cNvPr>
          <xdr:cNvSpPr txBox="1"/>
        </xdr:nvSpPr>
        <xdr:spPr>
          <a:xfrm>
            <a:off x="381000" y="388620"/>
            <a:ext cx="717555" cy="2905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Wing A</a:t>
            </a:r>
          </a:p>
        </xdr:txBody>
      </xdr:sp>
      <xdr:sp macro="" textlink="">
        <xdr:nvSpPr>
          <xdr:cNvPr id="72" name="TextBox 27">
            <a:extLst>
              <a:ext uri="{FF2B5EF4-FFF2-40B4-BE49-F238E27FC236}">
                <a16:creationId xmlns:a16="http://schemas.microsoft.com/office/drawing/2014/main" id="{44A48F85-ADD4-43A9-2E95-E40C06CB0A1A}"/>
              </a:ext>
            </a:extLst>
          </xdr:cNvPr>
          <xdr:cNvSpPr txBox="1"/>
        </xdr:nvSpPr>
        <xdr:spPr>
          <a:xfrm>
            <a:off x="2716530" y="198120"/>
            <a:ext cx="709985" cy="2905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Wing B</a:t>
            </a:r>
          </a:p>
        </xdr:txBody>
      </xdr:sp>
      <xdr:sp macro="" textlink="">
        <xdr:nvSpPr>
          <xdr:cNvPr id="73" name="TextBox 28">
            <a:extLst>
              <a:ext uri="{FF2B5EF4-FFF2-40B4-BE49-F238E27FC236}">
                <a16:creationId xmlns:a16="http://schemas.microsoft.com/office/drawing/2014/main" id="{7EB4C4D7-BF67-F56E-04D9-9E4EAB123536}"/>
              </a:ext>
            </a:extLst>
          </xdr:cNvPr>
          <xdr:cNvSpPr txBox="1"/>
        </xdr:nvSpPr>
        <xdr:spPr>
          <a:xfrm>
            <a:off x="4309641" y="328925"/>
            <a:ext cx="717555" cy="2905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Wing C</a:t>
            </a:r>
          </a:p>
        </xdr:txBody>
      </xdr:sp>
      <xdr:sp macro="" textlink="">
        <xdr:nvSpPr>
          <xdr:cNvPr id="74" name="TextBox 29">
            <a:extLst>
              <a:ext uri="{FF2B5EF4-FFF2-40B4-BE49-F238E27FC236}">
                <a16:creationId xmlns:a16="http://schemas.microsoft.com/office/drawing/2014/main" id="{FD750A0A-CB68-1643-BBC6-DA68D95F1316}"/>
              </a:ext>
            </a:extLst>
          </xdr:cNvPr>
          <xdr:cNvSpPr txBox="1"/>
        </xdr:nvSpPr>
        <xdr:spPr>
          <a:xfrm>
            <a:off x="6343401" y="650230"/>
            <a:ext cx="717555" cy="2905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Wing D</a:t>
            </a:r>
          </a:p>
        </xdr:txBody>
      </xdr:sp>
      <xdr:sp macro="" textlink="">
        <xdr:nvSpPr>
          <xdr:cNvPr id="75" name="TextBox 30">
            <a:extLst>
              <a:ext uri="{FF2B5EF4-FFF2-40B4-BE49-F238E27FC236}">
                <a16:creationId xmlns:a16="http://schemas.microsoft.com/office/drawing/2014/main" id="{C9573D5B-AA68-76C7-4C0C-B2A8EBF370D0}"/>
              </a:ext>
            </a:extLst>
          </xdr:cNvPr>
          <xdr:cNvSpPr txBox="1"/>
        </xdr:nvSpPr>
        <xdr:spPr>
          <a:xfrm>
            <a:off x="228386" y="2952750"/>
            <a:ext cx="717555" cy="2905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Wing E</a:t>
            </a:r>
          </a:p>
        </xdr:txBody>
      </xdr:sp>
      <xdr:sp macro="" textlink="">
        <xdr:nvSpPr>
          <xdr:cNvPr id="76" name="TextBox 31">
            <a:extLst>
              <a:ext uri="{FF2B5EF4-FFF2-40B4-BE49-F238E27FC236}">
                <a16:creationId xmlns:a16="http://schemas.microsoft.com/office/drawing/2014/main" id="{530BA6D1-8217-005C-29C2-1122AA14E908}"/>
              </a:ext>
            </a:extLst>
          </xdr:cNvPr>
          <xdr:cNvSpPr txBox="1"/>
        </xdr:nvSpPr>
        <xdr:spPr>
          <a:xfrm>
            <a:off x="2108671" y="2911711"/>
            <a:ext cx="717555" cy="2905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Wing F</a:t>
            </a:r>
          </a:p>
        </xdr:txBody>
      </xdr:sp>
      <xdr:sp macro="" textlink="">
        <xdr:nvSpPr>
          <xdr:cNvPr id="77" name="TextBox 32">
            <a:extLst>
              <a:ext uri="{FF2B5EF4-FFF2-40B4-BE49-F238E27FC236}">
                <a16:creationId xmlns:a16="http://schemas.microsoft.com/office/drawing/2014/main" id="{769E91BD-05FE-44DC-8353-5B55998EA06F}"/>
              </a:ext>
            </a:extLst>
          </xdr:cNvPr>
          <xdr:cNvSpPr txBox="1"/>
        </xdr:nvSpPr>
        <xdr:spPr>
          <a:xfrm>
            <a:off x="4225076" y="2911711"/>
            <a:ext cx="717555" cy="2905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Wing G</a:t>
            </a:r>
          </a:p>
        </xdr:txBody>
      </xdr:sp>
      <xdr:sp macro="" textlink="">
        <xdr:nvSpPr>
          <xdr:cNvPr id="78" name="TextBox 33">
            <a:extLst>
              <a:ext uri="{FF2B5EF4-FFF2-40B4-BE49-F238E27FC236}">
                <a16:creationId xmlns:a16="http://schemas.microsoft.com/office/drawing/2014/main" id="{A0F849BD-E826-33DC-6703-02D8AB29F88C}"/>
              </a:ext>
            </a:extLst>
          </xdr:cNvPr>
          <xdr:cNvSpPr txBox="1"/>
        </xdr:nvSpPr>
        <xdr:spPr>
          <a:xfrm>
            <a:off x="6400894" y="2826492"/>
            <a:ext cx="723231" cy="2905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Wing H</a:t>
            </a:r>
          </a:p>
        </xdr:txBody>
      </xdr:sp>
    </xdr:grpSp>
    <xdr:clientData/>
  </xdr:twoCellAnchor>
  <xdr:twoCellAnchor>
    <xdr:from>
      <xdr:col>0</xdr:col>
      <xdr:colOff>85725</xdr:colOff>
      <xdr:row>300</xdr:row>
      <xdr:rowOff>33730</xdr:rowOff>
    </xdr:from>
    <xdr:to>
      <xdr:col>7</xdr:col>
      <xdr:colOff>1143000</xdr:colOff>
      <xdr:row>333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06F487B-3C2C-4B52-AF5E-553DB421767E}"/>
            </a:ext>
          </a:extLst>
        </xdr:cNvPr>
        <xdr:cNvGrpSpPr/>
      </xdr:nvGrpSpPr>
      <xdr:grpSpPr>
        <a:xfrm>
          <a:off x="85725" y="58879180"/>
          <a:ext cx="6753225" cy="6690920"/>
          <a:chOff x="85725" y="61670005"/>
          <a:chExt cx="6753225" cy="6690920"/>
        </a:xfrm>
      </xdr:grpSpPr>
      <xdr:grpSp>
        <xdr:nvGrpSpPr>
          <xdr:cNvPr id="83" name="Group 82">
            <a:extLst>
              <a:ext uri="{FF2B5EF4-FFF2-40B4-BE49-F238E27FC236}">
                <a16:creationId xmlns:a16="http://schemas.microsoft.com/office/drawing/2014/main" id="{D088807C-5C5F-4784-A0CE-02B95432BA31}"/>
              </a:ext>
            </a:extLst>
          </xdr:cNvPr>
          <xdr:cNvGrpSpPr/>
        </xdr:nvGrpSpPr>
        <xdr:grpSpPr>
          <a:xfrm>
            <a:off x="85725" y="61712475"/>
            <a:ext cx="6753225" cy="6648450"/>
            <a:chOff x="-48479" y="327211"/>
            <a:chExt cx="6950072" cy="6505590"/>
          </a:xfrm>
        </xdr:grpSpPr>
        <xdr:pic>
          <xdr:nvPicPr>
            <xdr:cNvPr id="84" name="Picture 83">
              <a:extLst>
                <a:ext uri="{FF2B5EF4-FFF2-40B4-BE49-F238E27FC236}">
                  <a16:creationId xmlns:a16="http://schemas.microsoft.com/office/drawing/2014/main" id="{A9B30B51-4449-4B4A-B045-FA254E5F9E7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48479" y="327211"/>
              <a:ext cx="1617751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5" name="Picture 84">
              <a:extLst>
                <a:ext uri="{FF2B5EF4-FFF2-40B4-BE49-F238E27FC236}">
                  <a16:creationId xmlns:a16="http://schemas.microsoft.com/office/drawing/2014/main" id="{0422936D-551E-41F1-A4D5-52DC7415367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240251" y="327211"/>
              <a:ext cx="1617749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6" name="Picture 85">
              <a:extLst>
                <a:ext uri="{FF2B5EF4-FFF2-40B4-BE49-F238E27FC236}">
                  <a16:creationId xmlns:a16="http://schemas.microsoft.com/office/drawing/2014/main" id="{49985F88-92DB-4615-8D04-A90E869F69C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14431" y="327211"/>
              <a:ext cx="1617751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7" name="Picture 86">
              <a:extLst>
                <a:ext uri="{FF2B5EF4-FFF2-40B4-BE49-F238E27FC236}">
                  <a16:creationId xmlns:a16="http://schemas.microsoft.com/office/drawing/2014/main" id="{1F4B8EFF-E339-4169-971F-97D8985B74F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77341" y="327211"/>
              <a:ext cx="1617751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8" name="Picture 87">
              <a:extLst>
                <a:ext uri="{FF2B5EF4-FFF2-40B4-BE49-F238E27FC236}">
                  <a16:creationId xmlns:a16="http://schemas.microsoft.com/office/drawing/2014/main" id="{466CA14B-A313-429E-B9D5-515F49CD7AD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48479" y="2681647"/>
              <a:ext cx="1617751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9" name="Picture 88">
              <a:extLst>
                <a:ext uri="{FF2B5EF4-FFF2-40B4-BE49-F238E27FC236}">
                  <a16:creationId xmlns:a16="http://schemas.microsoft.com/office/drawing/2014/main" id="{509A235A-B588-4889-A51E-E6399145D4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14431" y="2697935"/>
              <a:ext cx="161775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0" name="Picture 89">
              <a:extLst>
                <a:ext uri="{FF2B5EF4-FFF2-40B4-BE49-F238E27FC236}">
                  <a16:creationId xmlns:a16="http://schemas.microsoft.com/office/drawing/2014/main" id="{66D0BFD5-FEFC-4398-B133-F1D1D01EFC1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77340" y="2681647"/>
              <a:ext cx="1617751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1" name="Picture 90">
              <a:extLst>
                <a:ext uri="{FF2B5EF4-FFF2-40B4-BE49-F238E27FC236}">
                  <a16:creationId xmlns:a16="http://schemas.microsoft.com/office/drawing/2014/main" id="{B2151751-ABA4-483A-B180-6A5CD644B02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240250" y="2681647"/>
              <a:ext cx="161775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2" name="Picture 91">
              <a:extLst>
                <a:ext uri="{FF2B5EF4-FFF2-40B4-BE49-F238E27FC236}">
                  <a16:creationId xmlns:a16="http://schemas.microsoft.com/office/drawing/2014/main" id="{FDD536D7-F404-4E82-9035-9EEF9223172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35966" y="5032801"/>
              <a:ext cx="23966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3" name="Picture 92">
              <a:extLst>
                <a:ext uri="{FF2B5EF4-FFF2-40B4-BE49-F238E27FC236}">
                  <a16:creationId xmlns:a16="http://schemas.microsoft.com/office/drawing/2014/main" id="{5621200A-C90B-437B-8BDA-B39D9880BDD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38387" y="5032801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4" name="Picture 93">
              <a:extLst>
                <a:ext uri="{FF2B5EF4-FFF2-40B4-BE49-F238E27FC236}">
                  <a16:creationId xmlns:a16="http://schemas.microsoft.com/office/drawing/2014/main" id="{240C409B-02E9-4C10-836E-50413962283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23306" y="5032801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5" name="Picture 94">
              <a:extLst>
                <a:ext uri="{FF2B5EF4-FFF2-40B4-BE49-F238E27FC236}">
                  <a16:creationId xmlns:a16="http://schemas.microsoft.com/office/drawing/2014/main" id="{7CD79680-DC5F-4914-BF26-0959AB7A1BD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553468" y="5032801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96" name="TextBox 26">
            <a:extLst>
              <a:ext uri="{FF2B5EF4-FFF2-40B4-BE49-F238E27FC236}">
                <a16:creationId xmlns:a16="http://schemas.microsoft.com/office/drawing/2014/main" id="{7CA34722-F2F9-4732-8E5D-FD603088F8B5}"/>
              </a:ext>
            </a:extLst>
          </xdr:cNvPr>
          <xdr:cNvSpPr txBox="1"/>
        </xdr:nvSpPr>
        <xdr:spPr>
          <a:xfrm>
            <a:off x="185130" y="61768848"/>
            <a:ext cx="605421" cy="26700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Wing A</a:t>
            </a:r>
          </a:p>
        </xdr:txBody>
      </xdr:sp>
      <xdr:sp macro="" textlink="">
        <xdr:nvSpPr>
          <xdr:cNvPr id="97" name="TextBox 27">
            <a:extLst>
              <a:ext uri="{FF2B5EF4-FFF2-40B4-BE49-F238E27FC236}">
                <a16:creationId xmlns:a16="http://schemas.microsoft.com/office/drawing/2014/main" id="{3C1D72FA-7882-45A5-B49E-A4C418EEC278}"/>
              </a:ext>
            </a:extLst>
          </xdr:cNvPr>
          <xdr:cNvSpPr txBox="1"/>
        </xdr:nvSpPr>
        <xdr:spPr>
          <a:xfrm>
            <a:off x="2250933" y="61670005"/>
            <a:ext cx="599034" cy="26700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Wing B</a:t>
            </a:r>
          </a:p>
        </xdr:txBody>
      </xdr:sp>
      <xdr:sp macro="" textlink="">
        <xdr:nvSpPr>
          <xdr:cNvPr id="98" name="TextBox 28">
            <a:extLst>
              <a:ext uri="{FF2B5EF4-FFF2-40B4-BE49-F238E27FC236}">
                <a16:creationId xmlns:a16="http://schemas.microsoft.com/office/drawing/2014/main" id="{1D5E076E-9BCB-4551-8D21-D8CCE71C927C}"/>
              </a:ext>
            </a:extLst>
          </xdr:cNvPr>
          <xdr:cNvSpPr txBox="1"/>
        </xdr:nvSpPr>
        <xdr:spPr>
          <a:xfrm>
            <a:off x="3595085" y="61790197"/>
            <a:ext cx="605421" cy="26700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Wing C</a:t>
            </a:r>
          </a:p>
        </xdr:txBody>
      </xdr:sp>
      <xdr:sp macro="" textlink="">
        <xdr:nvSpPr>
          <xdr:cNvPr id="99" name="TextBox 30">
            <a:extLst>
              <a:ext uri="{FF2B5EF4-FFF2-40B4-BE49-F238E27FC236}">
                <a16:creationId xmlns:a16="http://schemas.microsoft.com/office/drawing/2014/main" id="{37FB3ECF-744F-4F8B-B7DC-6B8C4C9D21AB}"/>
              </a:ext>
            </a:extLst>
          </xdr:cNvPr>
          <xdr:cNvSpPr txBox="1"/>
        </xdr:nvSpPr>
        <xdr:spPr>
          <a:xfrm>
            <a:off x="151615" y="64201130"/>
            <a:ext cx="605421" cy="26700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Wing E</a:t>
            </a:r>
          </a:p>
        </xdr:txBody>
      </xdr:sp>
      <xdr:sp macro="" textlink="">
        <xdr:nvSpPr>
          <xdr:cNvPr id="100" name="TextBox 31">
            <a:extLst>
              <a:ext uri="{FF2B5EF4-FFF2-40B4-BE49-F238E27FC236}">
                <a16:creationId xmlns:a16="http://schemas.microsoft.com/office/drawing/2014/main" id="{E7270609-27C2-43B0-8456-76D93A7C534A}"/>
              </a:ext>
            </a:extLst>
          </xdr:cNvPr>
          <xdr:cNvSpPr txBox="1"/>
        </xdr:nvSpPr>
        <xdr:spPr>
          <a:xfrm>
            <a:off x="1738065" y="64163421"/>
            <a:ext cx="605421" cy="26700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Wing F</a:t>
            </a:r>
          </a:p>
        </xdr:txBody>
      </xdr:sp>
      <xdr:sp macro="" textlink="">
        <xdr:nvSpPr>
          <xdr:cNvPr id="101" name="TextBox 32">
            <a:extLst>
              <a:ext uri="{FF2B5EF4-FFF2-40B4-BE49-F238E27FC236}">
                <a16:creationId xmlns:a16="http://schemas.microsoft.com/office/drawing/2014/main" id="{4DA4DC79-23EA-48D0-B8F1-144456C788AC}"/>
              </a:ext>
            </a:extLst>
          </xdr:cNvPr>
          <xdr:cNvSpPr txBox="1"/>
        </xdr:nvSpPr>
        <xdr:spPr>
          <a:xfrm>
            <a:off x="3523735" y="64163421"/>
            <a:ext cx="605421" cy="26700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Wing G</a:t>
            </a:r>
          </a:p>
        </xdr:txBody>
      </xdr:sp>
      <xdr:sp macro="" textlink="">
        <xdr:nvSpPr>
          <xdr:cNvPr id="102" name="TextBox 28">
            <a:extLst>
              <a:ext uri="{FF2B5EF4-FFF2-40B4-BE49-F238E27FC236}">
                <a16:creationId xmlns:a16="http://schemas.microsoft.com/office/drawing/2014/main" id="{42C0E80C-C296-406F-9AE5-6C79000EDBB9}"/>
              </a:ext>
            </a:extLst>
          </xdr:cNvPr>
          <xdr:cNvSpPr txBox="1"/>
        </xdr:nvSpPr>
        <xdr:spPr>
          <a:xfrm>
            <a:off x="5385785" y="61818772"/>
            <a:ext cx="605421" cy="26700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Wing D</a:t>
            </a:r>
          </a:p>
        </xdr:txBody>
      </xdr:sp>
      <xdr:sp macro="" textlink="">
        <xdr:nvSpPr>
          <xdr:cNvPr id="103" name="TextBox 28">
            <a:extLst>
              <a:ext uri="{FF2B5EF4-FFF2-40B4-BE49-F238E27FC236}">
                <a16:creationId xmlns:a16="http://schemas.microsoft.com/office/drawing/2014/main" id="{A261472B-2276-40CE-80B8-A40F1B9643AD}"/>
              </a:ext>
            </a:extLst>
          </xdr:cNvPr>
          <xdr:cNvSpPr txBox="1"/>
        </xdr:nvSpPr>
        <xdr:spPr>
          <a:xfrm>
            <a:off x="6100160" y="64152397"/>
            <a:ext cx="605421" cy="26700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Wing H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rvXJxBnmAevfg4jP9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45"/>
  <sheetViews>
    <sheetView tabSelected="1" view="pageBreakPreview" topLeftCell="A295" zoomScaleNormal="100" zoomScaleSheetLayoutView="100" zoomScalePageLayoutView="85" workbookViewId="0">
      <selection activeCell="I297" sqref="I297"/>
    </sheetView>
  </sheetViews>
  <sheetFormatPr defaultColWidth="9.140625" defaultRowHeight="15.75"/>
  <cols>
    <col min="1" max="1" width="11.42578125" style="19" customWidth="1"/>
    <col min="2" max="2" width="12" style="19" customWidth="1"/>
    <col min="3" max="3" width="12.7109375" style="19" customWidth="1"/>
    <col min="4" max="4" width="14.140625" style="19" customWidth="1"/>
    <col min="5" max="7" width="11.7109375" style="19" customWidth="1"/>
    <col min="8" max="8" width="17.85546875" style="19" customWidth="1"/>
    <col min="9" max="9" width="17.42578125" style="20" customWidth="1"/>
    <col min="10" max="10" width="11.42578125" style="20" customWidth="1"/>
    <col min="11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>
      <c r="A1" s="60" t="s">
        <v>0</v>
      </c>
      <c r="B1" s="60"/>
      <c r="C1" s="60"/>
      <c r="D1" s="60"/>
      <c r="E1" s="60"/>
      <c r="F1" s="60"/>
      <c r="G1" s="60"/>
      <c r="H1" s="60"/>
    </row>
    <row r="2" spans="1:8" ht="16.5" customHeight="1">
      <c r="A2" s="61" t="s">
        <v>1</v>
      </c>
      <c r="B2" s="61"/>
      <c r="C2" s="61"/>
      <c r="D2" s="61"/>
      <c r="E2" s="61"/>
      <c r="F2" s="61"/>
      <c r="G2" s="61"/>
      <c r="H2" s="61"/>
    </row>
    <row r="3" spans="1:8">
      <c r="A3" s="62" t="s">
        <v>2</v>
      </c>
      <c r="B3" s="62"/>
      <c r="C3" s="62"/>
      <c r="D3" s="62"/>
      <c r="E3" s="63" t="str">
        <f ca="1">TEXT(TODAY(),"DD/MM/YYYY")</f>
        <v>09/09/2025</v>
      </c>
      <c r="F3" s="62"/>
      <c r="G3" s="62"/>
      <c r="H3" s="62"/>
    </row>
    <row r="4" spans="1:8" ht="15" customHeight="1">
      <c r="A4" s="62" t="s">
        <v>3</v>
      </c>
      <c r="B4" s="62"/>
      <c r="C4" s="62"/>
      <c r="D4" s="62"/>
      <c r="E4" s="62" t="s">
        <v>4</v>
      </c>
      <c r="F4" s="62"/>
      <c r="G4" s="62"/>
      <c r="H4" s="62"/>
    </row>
    <row r="5" spans="1:8">
      <c r="A5" s="62" t="s">
        <v>5</v>
      </c>
      <c r="B5" s="62"/>
      <c r="C5" s="62"/>
      <c r="D5" s="62"/>
      <c r="E5" s="63">
        <v>45907</v>
      </c>
      <c r="F5" s="62"/>
      <c r="G5" s="62"/>
      <c r="H5" s="62"/>
    </row>
    <row r="6" spans="1:8" ht="16.5" customHeight="1">
      <c r="A6" s="62" t="s">
        <v>6</v>
      </c>
      <c r="B6" s="62"/>
      <c r="C6" s="62"/>
      <c r="D6" s="62"/>
      <c r="E6" s="62" t="s">
        <v>7</v>
      </c>
      <c r="F6" s="62"/>
      <c r="G6" s="62"/>
      <c r="H6" s="62"/>
    </row>
    <row r="7" spans="1:8" ht="15" customHeight="1">
      <c r="A7" s="62" t="s">
        <v>8</v>
      </c>
      <c r="B7" s="62"/>
      <c r="C7" s="62"/>
      <c r="D7" s="62"/>
      <c r="E7" s="62" t="str">
        <f>E6</f>
        <v>M/s. C J Estates</v>
      </c>
      <c r="F7" s="62"/>
      <c r="G7" s="62"/>
      <c r="H7" s="62"/>
    </row>
    <row r="8" spans="1:8">
      <c r="A8" s="62" t="s">
        <v>9</v>
      </c>
      <c r="B8" s="62"/>
      <c r="C8" s="62"/>
      <c r="D8" s="62"/>
      <c r="E8" s="64" t="s">
        <v>10</v>
      </c>
      <c r="F8" s="64"/>
      <c r="G8" s="64"/>
      <c r="H8" s="64"/>
    </row>
    <row r="9" spans="1:8">
      <c r="A9" s="62" t="s">
        <v>11</v>
      </c>
      <c r="B9" s="62"/>
      <c r="C9" s="62"/>
      <c r="D9" s="62"/>
      <c r="E9" s="62">
        <v>9833504123</v>
      </c>
      <c r="F9" s="62"/>
      <c r="G9" s="62"/>
      <c r="H9" s="62"/>
    </row>
    <row r="10" spans="1:8">
      <c r="A10" s="65" t="s">
        <v>12</v>
      </c>
      <c r="B10" s="62"/>
      <c r="C10" s="62"/>
      <c r="D10" s="62"/>
      <c r="E10" s="62" t="s">
        <v>13</v>
      </c>
      <c r="F10" s="62"/>
      <c r="G10" s="62"/>
      <c r="H10" s="62"/>
    </row>
    <row r="11" spans="1:8" hidden="1">
      <c r="A11" s="62" t="s">
        <v>14</v>
      </c>
      <c r="B11" s="62"/>
      <c r="C11" s="62"/>
      <c r="D11" s="62"/>
      <c r="E11" s="62" t="s">
        <v>15</v>
      </c>
      <c r="F11" s="62"/>
      <c r="G11" s="62"/>
      <c r="H11" s="62"/>
    </row>
    <row r="12" spans="1:8">
      <c r="A12" s="62" t="s">
        <v>16</v>
      </c>
      <c r="B12" s="62"/>
      <c r="C12" s="62"/>
      <c r="D12" s="62"/>
      <c r="E12" s="62" t="s">
        <v>17</v>
      </c>
      <c r="F12" s="62"/>
      <c r="G12" s="62"/>
      <c r="H12" s="62"/>
    </row>
    <row r="13" spans="1:8" ht="32.25" customHeight="1">
      <c r="A13" s="62" t="s">
        <v>18</v>
      </c>
      <c r="B13" s="62"/>
      <c r="C13" s="62"/>
      <c r="D13" s="62"/>
      <c r="E13" s="65" t="s">
        <v>19</v>
      </c>
      <c r="F13" s="65"/>
      <c r="G13" s="65"/>
      <c r="H13" s="65"/>
    </row>
    <row r="14" spans="1:8">
      <c r="A14" s="62" t="s">
        <v>20</v>
      </c>
      <c r="B14" s="62"/>
      <c r="C14" s="62"/>
      <c r="D14" s="62"/>
      <c r="E14" s="65" t="s">
        <v>21</v>
      </c>
      <c r="F14" s="62"/>
      <c r="G14" s="62"/>
      <c r="H14" s="62"/>
    </row>
    <row r="15" spans="1:8" ht="36.75" customHeight="1">
      <c r="A15" s="65" t="s">
        <v>22</v>
      </c>
      <c r="B15" s="65"/>
      <c r="C15" s="65" t="str">
        <f>CONCATENATE((IF(OR(E8="",E8="NA"),"",E8)),", ",(IF(OR(A16="",A16="NA"),"",A16)),".",(IF(OR(C16="",C16="NA"),"",C16)),", near ",(IF(OR(C20="",C20="NA"),"",C20)),", ",(IF(OR(C17="",C17="NA"),"",C17)),", ",(IF(OR(G17="",G17="NA"),"",G17)),", ",(IF(OR(C18="",C18="NA"),"",C18)),", ",(IF(OR(C19="",C19="NA"),"",C19)),", ",(IF(OR(G18="",G18="NA"),"",G18))," - ",(IF(OR(G19="",G19="NA"),"",G19)),".")</f>
        <v>CJ Greens, Gut No..30/1/2/A, near Akshar Emperia Garden, Savroli-Kharpada Road, Karade Khurd, Rasayani, Panvel, Raigad - 410220.</v>
      </c>
      <c r="D15" s="65"/>
      <c r="E15" s="65"/>
      <c r="F15" s="65"/>
      <c r="G15" s="65"/>
      <c r="H15" s="65"/>
    </row>
    <row r="16" spans="1:8">
      <c r="A16" s="65" t="s">
        <v>23</v>
      </c>
      <c r="B16" s="65"/>
      <c r="C16" s="65" t="s">
        <v>24</v>
      </c>
      <c r="D16" s="65"/>
      <c r="E16" s="65"/>
      <c r="F16" s="65"/>
      <c r="G16" s="65"/>
      <c r="H16" s="65"/>
    </row>
    <row r="17" spans="1:8" ht="15.75" customHeight="1">
      <c r="A17" s="65" t="s">
        <v>25</v>
      </c>
      <c r="B17" s="65"/>
      <c r="C17" s="62" t="s">
        <v>26</v>
      </c>
      <c r="D17" s="62"/>
      <c r="E17" s="65" t="s">
        <v>27</v>
      </c>
      <c r="F17" s="65"/>
      <c r="G17" s="65" t="s">
        <v>28</v>
      </c>
      <c r="H17" s="65"/>
    </row>
    <row r="18" spans="1:8">
      <c r="A18" s="62" t="s">
        <v>29</v>
      </c>
      <c r="B18" s="62"/>
      <c r="C18" s="65" t="s">
        <v>30</v>
      </c>
      <c r="D18" s="65"/>
      <c r="E18" s="65" t="s">
        <v>31</v>
      </c>
      <c r="F18" s="65"/>
      <c r="G18" s="66" t="s">
        <v>32</v>
      </c>
      <c r="H18" s="66"/>
    </row>
    <row r="19" spans="1:8">
      <c r="A19" s="62" t="s">
        <v>33</v>
      </c>
      <c r="B19" s="62"/>
      <c r="C19" s="65" t="s">
        <v>34</v>
      </c>
      <c r="D19" s="65"/>
      <c r="E19" s="65" t="s">
        <v>35</v>
      </c>
      <c r="F19" s="65"/>
      <c r="G19" s="65">
        <v>410220</v>
      </c>
      <c r="H19" s="65"/>
    </row>
    <row r="20" spans="1:8" ht="32.25" customHeight="1">
      <c r="A20" s="62" t="s">
        <v>36</v>
      </c>
      <c r="B20" s="62"/>
      <c r="C20" s="65" t="s">
        <v>37</v>
      </c>
      <c r="D20" s="65"/>
      <c r="E20" s="65" t="s">
        <v>38</v>
      </c>
      <c r="F20" s="65"/>
      <c r="G20" s="65" t="s">
        <v>39</v>
      </c>
      <c r="H20" s="65"/>
    </row>
    <row r="21" spans="1:8" ht="15" customHeight="1">
      <c r="A21" s="65" t="s">
        <v>40</v>
      </c>
      <c r="B21" s="65"/>
      <c r="C21" s="65"/>
      <c r="D21" s="65"/>
      <c r="E21" s="62" t="s">
        <v>41</v>
      </c>
      <c r="F21" s="62"/>
      <c r="G21" s="62"/>
      <c r="H21" s="62"/>
    </row>
    <row r="22" spans="1:8" ht="18.75" customHeight="1">
      <c r="A22" s="65"/>
      <c r="B22" s="65"/>
      <c r="C22" s="65"/>
      <c r="D22" s="65"/>
      <c r="E22" s="62"/>
      <c r="F22" s="62"/>
      <c r="G22" s="62"/>
      <c r="H22" s="62"/>
    </row>
    <row r="23" spans="1:8" ht="15" customHeight="1">
      <c r="A23" s="65" t="s">
        <v>42</v>
      </c>
      <c r="B23" s="65"/>
      <c r="C23" s="65"/>
      <c r="D23" s="65"/>
      <c r="E23" s="65" t="s">
        <v>43</v>
      </c>
      <c r="F23" s="65"/>
      <c r="G23" s="65"/>
      <c r="H23" s="65"/>
    </row>
    <row r="24" spans="1:8" ht="15" customHeight="1">
      <c r="A24" s="67" t="s">
        <v>44</v>
      </c>
      <c r="B24" s="67"/>
      <c r="C24" s="67"/>
      <c r="D24" s="67"/>
      <c r="E24" s="65" t="str">
        <f>IF(AND(G18="Mumbai"),"Upper Class","Middle Class")</f>
        <v>Middle Class</v>
      </c>
      <c r="F24" s="65"/>
      <c r="G24" s="65"/>
      <c r="H24" s="65"/>
    </row>
    <row r="25" spans="1:8">
      <c r="A25" s="67" t="s">
        <v>45</v>
      </c>
      <c r="B25" s="67"/>
      <c r="C25" s="67"/>
      <c r="D25" s="67"/>
      <c r="E25" s="65" t="s">
        <v>46</v>
      </c>
      <c r="F25" s="65"/>
      <c r="G25" s="65"/>
      <c r="H25" s="65"/>
    </row>
    <row r="26" spans="1:8" ht="15.75" customHeight="1">
      <c r="A26" s="67" t="s">
        <v>47</v>
      </c>
      <c r="B26" s="67"/>
      <c r="C26" s="67"/>
      <c r="D26" s="67"/>
      <c r="E26" s="65" t="str">
        <f>IF(AND(G18="Mumbai"),"Developed","Developing")</f>
        <v>Developing</v>
      </c>
      <c r="F26" s="65"/>
      <c r="G26" s="65"/>
      <c r="H26" s="65"/>
    </row>
    <row r="27" spans="1:8">
      <c r="A27" s="67" t="s">
        <v>48</v>
      </c>
      <c r="B27" s="67"/>
      <c r="C27" s="67"/>
      <c r="D27" s="67"/>
      <c r="E27" s="65" t="s">
        <v>49</v>
      </c>
      <c r="F27" s="65"/>
      <c r="G27" s="65"/>
      <c r="H27" s="65"/>
    </row>
    <row r="28" spans="1:8" ht="15.75" customHeight="1">
      <c r="A28" s="67" t="s">
        <v>50</v>
      </c>
      <c r="B28" s="67"/>
      <c r="C28" s="67"/>
      <c r="D28" s="67"/>
      <c r="E28" s="65" t="s">
        <v>51</v>
      </c>
      <c r="F28" s="65"/>
      <c r="G28" s="65"/>
      <c r="H28" s="65"/>
    </row>
    <row r="29" spans="1:8" ht="15" customHeight="1">
      <c r="A29" s="67" t="s">
        <v>52</v>
      </c>
      <c r="B29" s="67"/>
      <c r="C29" s="67"/>
      <c r="D29" s="67"/>
      <c r="E29" s="65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65"/>
      <c r="G29" s="65"/>
      <c r="H29" s="65"/>
    </row>
    <row r="30" spans="1:8" ht="15.75" customHeight="1">
      <c r="A30" s="67" t="s">
        <v>53</v>
      </c>
      <c r="B30" s="67"/>
      <c r="C30" s="67"/>
      <c r="D30" s="67"/>
      <c r="E30" s="65" t="s">
        <v>54</v>
      </c>
      <c r="F30" s="65"/>
      <c r="G30" s="65"/>
      <c r="H30" s="65"/>
    </row>
    <row r="31" spans="1:8" s="13" customFormat="1">
      <c r="A31" s="68" t="s">
        <v>55</v>
      </c>
      <c r="B31" s="68"/>
      <c r="C31" s="69" t="s">
        <v>56</v>
      </c>
      <c r="D31" s="69"/>
      <c r="E31" s="69"/>
      <c r="F31" s="69" t="s">
        <v>57</v>
      </c>
      <c r="G31" s="69"/>
      <c r="H31" s="69"/>
    </row>
    <row r="32" spans="1:8" s="13" customFormat="1">
      <c r="A32" s="70" t="s">
        <v>58</v>
      </c>
      <c r="B32" s="70" t="s">
        <v>59</v>
      </c>
      <c r="C32" s="71" t="s">
        <v>59</v>
      </c>
      <c r="D32" s="71"/>
      <c r="E32" s="71"/>
      <c r="F32" s="71" t="s">
        <v>60</v>
      </c>
      <c r="G32" s="71"/>
      <c r="H32" s="71"/>
    </row>
    <row r="33" spans="1:8">
      <c r="A33" s="70" t="s">
        <v>61</v>
      </c>
      <c r="B33" s="70" t="s">
        <v>59</v>
      </c>
      <c r="C33" s="71" t="s">
        <v>59</v>
      </c>
      <c r="D33" s="71"/>
      <c r="E33" s="71"/>
      <c r="F33" s="71" t="s">
        <v>60</v>
      </c>
      <c r="G33" s="71"/>
      <c r="H33" s="71"/>
    </row>
    <row r="34" spans="1:8" s="13" customFormat="1">
      <c r="A34" s="70" t="s">
        <v>62</v>
      </c>
      <c r="B34" s="70" t="s">
        <v>59</v>
      </c>
      <c r="C34" s="71" t="s">
        <v>59</v>
      </c>
      <c r="D34" s="71"/>
      <c r="E34" s="71"/>
      <c r="F34" s="71" t="s">
        <v>60</v>
      </c>
      <c r="G34" s="71"/>
      <c r="H34" s="71"/>
    </row>
    <row r="35" spans="1:8">
      <c r="A35" s="70" t="s">
        <v>63</v>
      </c>
      <c r="B35" s="70" t="s">
        <v>59</v>
      </c>
      <c r="C35" s="71" t="s">
        <v>59</v>
      </c>
      <c r="D35" s="71"/>
      <c r="E35" s="71"/>
      <c r="F35" s="71" t="s">
        <v>26</v>
      </c>
      <c r="G35" s="71"/>
      <c r="H35" s="71"/>
    </row>
    <row r="36" spans="1:8">
      <c r="A36" s="67" t="s">
        <v>64</v>
      </c>
      <c r="B36" s="67"/>
      <c r="C36" s="67"/>
      <c r="D36" s="67"/>
      <c r="E36" s="67"/>
      <c r="F36" s="67"/>
      <c r="G36" s="67"/>
      <c r="H36" s="67"/>
    </row>
    <row r="37" spans="1:8" ht="15.75" customHeight="1">
      <c r="A37" s="61" t="s">
        <v>65</v>
      </c>
      <c r="B37" s="61"/>
      <c r="C37" s="72" t="s">
        <v>66</v>
      </c>
      <c r="D37" s="73"/>
      <c r="E37" s="73"/>
      <c r="F37" s="73"/>
      <c r="G37" s="73"/>
      <c r="H37" s="74"/>
    </row>
    <row r="38" spans="1:8" ht="15.75" customHeight="1">
      <c r="A38" s="61" t="s">
        <v>67</v>
      </c>
      <c r="B38" s="61"/>
      <c r="C38" s="75" t="s">
        <v>68</v>
      </c>
      <c r="D38" s="73"/>
      <c r="E38" s="73"/>
      <c r="F38" s="73"/>
      <c r="G38" s="73"/>
      <c r="H38" s="74"/>
    </row>
    <row r="39" spans="1:8">
      <c r="A39" s="76" t="s">
        <v>69</v>
      </c>
      <c r="B39" s="76"/>
      <c r="C39" s="76"/>
      <c r="D39" s="76"/>
      <c r="E39" s="76"/>
      <c r="F39" s="76"/>
      <c r="G39" s="76"/>
      <c r="H39" s="76"/>
    </row>
    <row r="40" spans="1:8">
      <c r="A40" s="67" t="s">
        <v>70</v>
      </c>
      <c r="B40" s="67"/>
      <c r="C40" s="67"/>
      <c r="D40" s="67"/>
      <c r="E40" s="77">
        <v>4650</v>
      </c>
      <c r="F40" s="77"/>
      <c r="G40" s="77"/>
      <c r="H40" s="77"/>
    </row>
    <row r="41" spans="1:8">
      <c r="A41" s="67" t="s">
        <v>71</v>
      </c>
      <c r="B41" s="67"/>
      <c r="C41" s="67"/>
      <c r="D41" s="67"/>
      <c r="E41" s="78">
        <v>1.1000000000000001</v>
      </c>
      <c r="F41" s="78"/>
      <c r="G41" s="78"/>
      <c r="H41" s="78"/>
    </row>
    <row r="42" spans="1:8">
      <c r="A42" s="67" t="s">
        <v>72</v>
      </c>
      <c r="B42" s="67"/>
      <c r="C42" s="67"/>
      <c r="D42" s="67"/>
      <c r="E42" s="78">
        <f>E44/E40-E41</f>
        <v>0</v>
      </c>
      <c r="F42" s="78"/>
      <c r="G42" s="78"/>
      <c r="H42" s="78"/>
    </row>
    <row r="43" spans="1:8">
      <c r="A43" s="67" t="s">
        <v>73</v>
      </c>
      <c r="B43" s="67"/>
      <c r="C43" s="67"/>
      <c r="D43" s="67"/>
      <c r="E43" s="78">
        <f>E41+E42</f>
        <v>1.1000000000000001</v>
      </c>
      <c r="F43" s="78"/>
      <c r="G43" s="78"/>
      <c r="H43" s="78"/>
    </row>
    <row r="44" spans="1:8">
      <c r="A44" s="62" t="s">
        <v>74</v>
      </c>
      <c r="B44" s="62"/>
      <c r="C44" s="62"/>
      <c r="D44" s="62"/>
      <c r="E44" s="79">
        <v>5115</v>
      </c>
      <c r="F44" s="79"/>
      <c r="G44" s="79"/>
      <c r="H44" s="79"/>
    </row>
    <row r="45" spans="1:8">
      <c r="A45" s="62" t="s">
        <v>75</v>
      </c>
      <c r="B45" s="62"/>
      <c r="C45" s="62"/>
      <c r="D45" s="62"/>
      <c r="E45" s="62" t="s">
        <v>76</v>
      </c>
      <c r="F45" s="62"/>
      <c r="G45" s="62"/>
      <c r="H45" s="62"/>
    </row>
    <row r="46" spans="1:8">
      <c r="A46" s="64" t="s">
        <v>77</v>
      </c>
      <c r="B46" s="64"/>
      <c r="C46" s="64"/>
      <c r="D46" s="64"/>
      <c r="E46" s="64"/>
      <c r="F46" s="64"/>
      <c r="G46" s="64"/>
      <c r="H46" s="64"/>
    </row>
    <row r="47" spans="1:8" ht="33.75" customHeight="1">
      <c r="A47" s="80" t="s">
        <v>78</v>
      </c>
      <c r="B47" s="81"/>
      <c r="C47" s="82" t="s">
        <v>79</v>
      </c>
      <c r="D47" s="83"/>
      <c r="E47" s="83"/>
      <c r="F47" s="83"/>
      <c r="G47" s="83"/>
      <c r="H47" s="84"/>
    </row>
    <row r="48" spans="1:8" ht="15.75" customHeight="1">
      <c r="A48" s="80" t="s">
        <v>80</v>
      </c>
      <c r="B48" s="81"/>
      <c r="C48" s="80" t="s">
        <v>81</v>
      </c>
      <c r="D48" s="85"/>
      <c r="E48" s="81"/>
      <c r="F48" s="22" t="s">
        <v>82</v>
      </c>
      <c r="G48" s="86">
        <v>44512</v>
      </c>
      <c r="H48" s="81"/>
    </row>
    <row r="49" spans="1:14">
      <c r="A49" s="80" t="s">
        <v>83</v>
      </c>
      <c r="B49" s="81"/>
      <c r="C49" s="80" t="str">
        <f>C48</f>
        <v>MASHA/L.N.A/P.NO.23/2019</v>
      </c>
      <c r="D49" s="85"/>
      <c r="E49" s="81"/>
      <c r="F49" s="22" t="s">
        <v>82</v>
      </c>
      <c r="G49" s="86">
        <f>G48</f>
        <v>44512</v>
      </c>
      <c r="H49" s="81"/>
    </row>
    <row r="50" spans="1:14" s="14" customFormat="1" ht="15.75" customHeight="1">
      <c r="A50" s="91" t="s">
        <v>84</v>
      </c>
      <c r="B50" s="92"/>
      <c r="C50" s="87" t="s">
        <v>85</v>
      </c>
      <c r="D50" s="88"/>
      <c r="E50" s="89"/>
      <c r="F50" s="23" t="s">
        <v>82</v>
      </c>
      <c r="G50" s="90">
        <v>44512</v>
      </c>
      <c r="H50" s="89"/>
    </row>
    <row r="51" spans="1:14" s="14" customFormat="1">
      <c r="A51" s="93"/>
      <c r="B51" s="94"/>
      <c r="C51" s="87" t="s">
        <v>86</v>
      </c>
      <c r="D51" s="88"/>
      <c r="E51" s="88"/>
      <c r="F51" s="88"/>
      <c r="G51" s="88"/>
      <c r="H51" s="89"/>
    </row>
    <row r="52" spans="1:14">
      <c r="A52" s="95" t="s">
        <v>87</v>
      </c>
      <c r="B52" s="96"/>
      <c r="C52" s="95" t="s">
        <v>88</v>
      </c>
      <c r="D52" s="97"/>
      <c r="E52" s="96"/>
      <c r="F52" s="24" t="s">
        <v>82</v>
      </c>
      <c r="G52" s="98" t="s">
        <v>59</v>
      </c>
      <c r="H52" s="99"/>
    </row>
    <row r="53" spans="1:14">
      <c r="A53" s="100" t="s">
        <v>89</v>
      </c>
      <c r="B53" s="100"/>
      <c r="C53" s="100"/>
      <c r="D53" s="100"/>
      <c r="E53" s="100"/>
      <c r="F53" s="100"/>
      <c r="G53" s="100"/>
      <c r="H53" s="100"/>
    </row>
    <row r="54" spans="1:14">
      <c r="A54" s="65" t="s">
        <v>90</v>
      </c>
      <c r="B54" s="65"/>
      <c r="C54" s="65"/>
      <c r="D54" s="62">
        <f>E44</f>
        <v>5115</v>
      </c>
      <c r="E54" s="62"/>
      <c r="F54" s="62"/>
      <c r="G54" s="62"/>
      <c r="H54" s="62"/>
    </row>
    <row r="55" spans="1:14">
      <c r="A55" s="65" t="s">
        <v>91</v>
      </c>
      <c r="B55" s="62"/>
      <c r="C55" s="62"/>
      <c r="D55" s="62" t="s">
        <v>92</v>
      </c>
      <c r="E55" s="62"/>
      <c r="F55" s="62"/>
      <c r="G55" s="62"/>
      <c r="H55" s="62"/>
      <c r="I55" s="25"/>
    </row>
    <row r="56" spans="1:14">
      <c r="A56" s="101" t="s">
        <v>93</v>
      </c>
      <c r="B56" s="102"/>
      <c r="C56" s="103"/>
      <c r="D56" s="65" t="s">
        <v>94</v>
      </c>
      <c r="E56" s="62"/>
      <c r="F56" s="62"/>
      <c r="G56" s="62"/>
      <c r="H56" s="62"/>
    </row>
    <row r="57" spans="1:14">
      <c r="A57" s="101" t="s">
        <v>95</v>
      </c>
      <c r="B57" s="102"/>
      <c r="C57" s="102"/>
      <c r="D57" s="65" t="s">
        <v>94</v>
      </c>
      <c r="E57" s="62"/>
      <c r="F57" s="62"/>
      <c r="G57" s="62"/>
      <c r="H57" s="62"/>
    </row>
    <row r="58" spans="1:14" ht="15.75" customHeight="1">
      <c r="A58" s="62" t="s">
        <v>96</v>
      </c>
      <c r="B58" s="62"/>
      <c r="C58" s="62"/>
      <c r="D58" s="65" t="s">
        <v>97</v>
      </c>
      <c r="E58" s="65"/>
      <c r="F58" s="65"/>
      <c r="G58" s="65"/>
      <c r="H58" s="65"/>
      <c r="J58" s="26"/>
      <c r="K58" s="25"/>
      <c r="N58" s="25"/>
    </row>
    <row r="59" spans="1:14" ht="15.75" customHeight="1">
      <c r="A59" s="62" t="s">
        <v>98</v>
      </c>
      <c r="B59" s="62"/>
      <c r="C59" s="62"/>
      <c r="D59" s="104" t="str">
        <f>(IF(G52="NA","60 Years After Completion",IF(G52&lt;&gt;"NA",""&amp;60-ROUNDDOWN((E3-G52)/360,0)&amp;" Years"," ")))</f>
        <v>60 Years After Completion</v>
      </c>
      <c r="E59" s="104"/>
      <c r="F59" s="104"/>
      <c r="G59" s="104"/>
      <c r="H59" s="104"/>
      <c r="N59" s="25"/>
    </row>
    <row r="60" spans="1:14" ht="15.75" customHeight="1">
      <c r="A60" s="62" t="s">
        <v>99</v>
      </c>
      <c r="B60" s="62"/>
      <c r="C60" s="62"/>
      <c r="D60" s="65" t="s">
        <v>49</v>
      </c>
      <c r="E60" s="65"/>
      <c r="F60" s="65"/>
      <c r="G60" s="65"/>
      <c r="H60" s="65"/>
      <c r="J60" s="27"/>
      <c r="K60" s="27"/>
    </row>
    <row r="61" spans="1:14" ht="15" hidden="1" customHeight="1">
      <c r="A61" s="62" t="s">
        <v>100</v>
      </c>
      <c r="B61" s="62"/>
      <c r="C61" s="62"/>
      <c r="D61" s="65" t="s">
        <v>101</v>
      </c>
      <c r="E61" s="65"/>
      <c r="F61" s="65"/>
      <c r="G61" s="65"/>
      <c r="H61" s="65"/>
    </row>
    <row r="62" spans="1:14">
      <c r="A62" s="65" t="s">
        <v>102</v>
      </c>
      <c r="B62" s="65"/>
      <c r="C62" s="65"/>
      <c r="D62" s="65" t="s">
        <v>59</v>
      </c>
      <c r="E62" s="65"/>
      <c r="F62" s="65"/>
      <c r="G62" s="65"/>
      <c r="H62" s="65"/>
      <c r="I62" s="28"/>
      <c r="J62" s="28"/>
      <c r="K62" s="28"/>
      <c r="L62" s="28"/>
      <c r="M62" s="28"/>
      <c r="N62" s="28"/>
    </row>
    <row r="63" spans="1:14" ht="15.75" customHeight="1">
      <c r="A63" s="105" t="s">
        <v>103</v>
      </c>
      <c r="B63" s="105"/>
      <c r="C63" s="105"/>
      <c r="D63" s="106" t="str">
        <f ca="1">(IF(G69&gt;95%,"Nothing",IF(G69&gt;0%,"Cement, Aggregate, Steel, etc",IF(G69=0%,"Work not yet Started"))))</f>
        <v>Cement, Aggregate, Steel, etc</v>
      </c>
      <c r="E63" s="106"/>
      <c r="F63" s="106"/>
      <c r="G63" s="106"/>
      <c r="H63" s="106"/>
      <c r="J63" s="27"/>
    </row>
    <row r="64" spans="1:14" ht="33.75" customHeight="1">
      <c r="A64" s="107" t="s">
        <v>104</v>
      </c>
      <c r="B64" s="107"/>
      <c r="C64" s="107"/>
      <c r="D64" s="106" t="str">
        <f ca="1">(IF(D63="Nothing","Yes",IF(D63="Cement, Aggregate, Steel, etc","Under Construction",IF(D63="Work not yet Started","Work not yet Started"))))</f>
        <v>Under Construction</v>
      </c>
      <c r="E64" s="106"/>
      <c r="F64" s="106" t="str">
        <f ca="1">(IF(D63="Nothing","Yes",IF(D63="Cement, Aggregate, Steel, etc","Under Construction",IF(D63="Work not yet Started","Work not yet Started"))))</f>
        <v>Under Construction</v>
      </c>
      <c r="G64" s="106"/>
      <c r="H64" s="106"/>
    </row>
    <row r="65" spans="1:10" ht="15.75" customHeight="1">
      <c r="A65" s="108" t="s">
        <v>105</v>
      </c>
      <c r="B65" s="109"/>
      <c r="C65" s="110" t="s">
        <v>106</v>
      </c>
      <c r="D65" s="111"/>
      <c r="E65" s="111"/>
      <c r="F65" s="111"/>
      <c r="G65" s="111"/>
      <c r="H65" s="112"/>
      <c r="I65" s="36" t="str">
        <f ca="1">IF(D78=100%,"All work Completed. Possession granted to the Building.",IF(D77=100%,"All work Completed, Waiting for OC",I66&amp;""&amp;I67&amp;""&amp;J66&amp;""&amp;J65&amp;" "&amp;J67))</f>
        <v>Excavation, Plinth, RCC Slab Completed, Brickwork upto 6 Floor Completed</v>
      </c>
      <c r="J65" s="37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Brickwork upto 6 Floor</v>
      </c>
    </row>
    <row r="66" spans="1:10">
      <c r="A66" s="29" t="s">
        <v>107</v>
      </c>
      <c r="B66" s="21">
        <v>0</v>
      </c>
      <c r="C66" s="21" t="s">
        <v>108</v>
      </c>
      <c r="D66" s="21">
        <v>1</v>
      </c>
      <c r="E66" s="21" t="s">
        <v>109</v>
      </c>
      <c r="F66" s="21">
        <v>0</v>
      </c>
      <c r="G66" s="21" t="s">
        <v>110</v>
      </c>
      <c r="H66" s="30">
        <f ca="1">--TRIM(RIGHT(SUBSTITUTE(LEFT(C65,_xlfn.AGGREGATE(16,6,FIND({0,1,2,3,4,5,6,7,8,9},C65,ROW(INDIRECT("1:"&amp;LEN(C65)))),1))," ",REPT(" ",LEN(C65))),LEN(C65)))</f>
        <v>7</v>
      </c>
      <c r="I66" s="38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</v>
      </c>
      <c r="J66" s="39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>
      <c r="A67" s="113" t="s">
        <v>111</v>
      </c>
      <c r="B67" s="64"/>
      <c r="C67" s="114" t="str">
        <f ca="1">(IF($G$52="NA",I65,"All work Completed. OC Received."))</f>
        <v>Excavation, Plinth, RCC Slab Completed, Brickwork upto 6 Floor Completed</v>
      </c>
      <c r="D67" s="114"/>
      <c r="E67" s="114"/>
      <c r="F67" s="114"/>
      <c r="G67" s="114"/>
      <c r="H67" s="115"/>
      <c r="I67" s="38" t="str">
        <f ca="1">IF(I66&lt;&gt;""," Completed","")</f>
        <v xml:space="preserve"> Completed</v>
      </c>
      <c r="J67" s="39" t="str">
        <f ca="1">IF(J65&lt;&gt;"","Completed","")</f>
        <v>Completed</v>
      </c>
    </row>
    <row r="68" spans="1:10" ht="15.75" customHeight="1">
      <c r="A68" s="116" t="s">
        <v>112</v>
      </c>
      <c r="B68" s="117"/>
      <c r="C68" s="31" t="s">
        <v>113</v>
      </c>
      <c r="D68" s="31" t="s">
        <v>114</v>
      </c>
      <c r="E68" s="117" t="s">
        <v>115</v>
      </c>
      <c r="F68" s="117"/>
      <c r="G68" s="117" t="s">
        <v>116</v>
      </c>
      <c r="H68" s="118"/>
      <c r="I68" s="40" t="s">
        <v>117</v>
      </c>
      <c r="J68" s="41">
        <f ca="1">H66*25%</f>
        <v>1.75</v>
      </c>
    </row>
    <row r="69" spans="1:10">
      <c r="A69" s="116" t="s">
        <v>118</v>
      </c>
      <c r="B69" s="117"/>
      <c r="C69" s="31">
        <v>7</v>
      </c>
      <c r="D69" s="32">
        <f ca="1">((100/H66)*C69)/100</f>
        <v>1</v>
      </c>
      <c r="E69" s="121">
        <f ca="1">(((C70/H66*10)+(40/(D66+F66+H66)*C71)+(7.5/(H66)*C72)+(7.5/(H66)*C73)+(10/H66*C74)+(10/H66*C75)+(5/H66*C76)+(5/H66*C77)+(5/H66*C78))/100)</f>
        <v>0.56428571428571428</v>
      </c>
      <c r="F69" s="122"/>
      <c r="G69" s="121">
        <f ca="1">((((C69/H66)*20)+((C70/H66)*25)+(30/(H66+F66+D66)*C71)+(5/H66*C72)+(5/H66*C73)+(5/H66*C74)+(5/H66*C75)+(0/H66*C76)+(0/H66*C77)+(5/H66*C78))/100)</f>
        <v>0.79285714285714293</v>
      </c>
      <c r="H69" s="127"/>
      <c r="I69" s="40" t="s">
        <v>119</v>
      </c>
      <c r="J69" s="42">
        <f ca="1">H66*50%</f>
        <v>3.5</v>
      </c>
    </row>
    <row r="70" spans="1:10">
      <c r="A70" s="116" t="s">
        <v>120</v>
      </c>
      <c r="B70" s="117"/>
      <c r="C70" s="31">
        <v>7</v>
      </c>
      <c r="D70" s="32">
        <f ca="1">((100/H66)*C70)/100</f>
        <v>1</v>
      </c>
      <c r="E70" s="123"/>
      <c r="F70" s="124"/>
      <c r="G70" s="123"/>
      <c r="H70" s="128"/>
      <c r="I70" s="40" t="s">
        <v>121</v>
      </c>
      <c r="J70" s="42">
        <f ca="1">H66</f>
        <v>7</v>
      </c>
    </row>
    <row r="71" spans="1:10" ht="15.75" customHeight="1">
      <c r="A71" s="116" t="s">
        <v>122</v>
      </c>
      <c r="B71" s="117"/>
      <c r="C71" s="31">
        <v>8</v>
      </c>
      <c r="D71" s="32">
        <f ca="1">((100/(D66+F66+H66))*C71)/100</f>
        <v>1</v>
      </c>
      <c r="E71" s="123"/>
      <c r="F71" s="124"/>
      <c r="G71" s="123"/>
      <c r="H71" s="128"/>
      <c r="I71" s="40" t="s">
        <v>123</v>
      </c>
      <c r="J71" s="43">
        <f ca="1">(IF(B66&gt;1,(H66/(B66+2)),H66/4))</f>
        <v>1.75</v>
      </c>
    </row>
    <row r="72" spans="1:10" ht="15.75" customHeight="1">
      <c r="A72" s="116" t="s">
        <v>124</v>
      </c>
      <c r="B72" s="117" t="s">
        <v>125</v>
      </c>
      <c r="C72" s="31">
        <v>6</v>
      </c>
      <c r="D72" s="32">
        <f ca="1">((100/H66)*C72)/100</f>
        <v>0.85714285714285721</v>
      </c>
      <c r="E72" s="123"/>
      <c r="F72" s="124"/>
      <c r="G72" s="123"/>
      <c r="H72" s="128"/>
      <c r="I72" s="40" t="s">
        <v>126</v>
      </c>
      <c r="J72" s="43">
        <f ca="1">(IF(B66&gt;1,(H66/(B66+2)+J71),H66/4+J71))</f>
        <v>3.5</v>
      </c>
    </row>
    <row r="73" spans="1:10" ht="15.75" customHeight="1">
      <c r="A73" s="116" t="s">
        <v>127</v>
      </c>
      <c r="B73" s="117" t="s">
        <v>125</v>
      </c>
      <c r="C73" s="31">
        <v>0</v>
      </c>
      <c r="D73" s="32">
        <f ca="1">((100/H66)*C73)/100</f>
        <v>0</v>
      </c>
      <c r="E73" s="123"/>
      <c r="F73" s="124"/>
      <c r="G73" s="123"/>
      <c r="H73" s="128"/>
      <c r="I73" s="40" t="s">
        <v>128</v>
      </c>
      <c r="J73" s="43">
        <f>(IF(B66&gt;1,(H66/(B66+2)+J72),0))</f>
        <v>0</v>
      </c>
    </row>
    <row r="74" spans="1:10" ht="15" customHeight="1">
      <c r="A74" s="116" t="s">
        <v>129</v>
      </c>
      <c r="B74" s="117" t="s">
        <v>130</v>
      </c>
      <c r="C74" s="31">
        <v>0</v>
      </c>
      <c r="D74" s="32">
        <f ca="1">((100/(H66))*C74)/100</f>
        <v>0</v>
      </c>
      <c r="E74" s="123"/>
      <c r="F74" s="124"/>
      <c r="G74" s="123"/>
      <c r="H74" s="128"/>
      <c r="I74" s="40" t="s">
        <v>131</v>
      </c>
      <c r="J74" s="43">
        <f>(IF(B66&gt;2,(H66/(B66+2)+J73),0))</f>
        <v>0</v>
      </c>
    </row>
    <row r="75" spans="1:10" ht="15.75" customHeight="1">
      <c r="A75" s="116" t="s">
        <v>132</v>
      </c>
      <c r="B75" s="117" t="s">
        <v>132</v>
      </c>
      <c r="C75" s="31">
        <v>0</v>
      </c>
      <c r="D75" s="32">
        <f ca="1">((100/H66)*C75)/100</f>
        <v>0</v>
      </c>
      <c r="E75" s="123"/>
      <c r="F75" s="124"/>
      <c r="G75" s="123"/>
      <c r="H75" s="128"/>
      <c r="I75" s="40" t="s">
        <v>133</v>
      </c>
      <c r="J75" s="44">
        <f>(IF(B66&gt;3,(H66/(B66+2)+J74),0))</f>
        <v>0</v>
      </c>
    </row>
    <row r="76" spans="1:10" ht="15.75" customHeight="1">
      <c r="A76" s="116" t="s">
        <v>134</v>
      </c>
      <c r="B76" s="117"/>
      <c r="C76" s="31">
        <v>0</v>
      </c>
      <c r="D76" s="32">
        <f ca="1">((100/H66)*C76)/100</f>
        <v>0</v>
      </c>
      <c r="E76" s="123"/>
      <c r="F76" s="124"/>
      <c r="G76" s="123"/>
      <c r="H76" s="128"/>
      <c r="I76" s="40" t="s">
        <v>135</v>
      </c>
      <c r="J76" s="43">
        <f>(IF(B66&gt;4,(H66/(B66+2)+J75),0))</f>
        <v>0</v>
      </c>
    </row>
    <row r="77" spans="1:10" ht="15.75" customHeight="1">
      <c r="A77" s="116" t="s">
        <v>136</v>
      </c>
      <c r="B77" s="117" t="s">
        <v>136</v>
      </c>
      <c r="C77" s="31">
        <v>0</v>
      </c>
      <c r="D77" s="32">
        <f ca="1">((100/(H66))*C77)/100</f>
        <v>0</v>
      </c>
      <c r="E77" s="123"/>
      <c r="F77" s="124"/>
      <c r="G77" s="123"/>
      <c r="H77" s="128"/>
      <c r="I77" s="40" t="s">
        <v>137</v>
      </c>
      <c r="J77" s="43">
        <f ca="1">(IF(B66=1,(H66/(B66+3)+J72),IF(B66=0,(H66/4+J72),IF(B66&gt;1,0))))</f>
        <v>5.25</v>
      </c>
    </row>
    <row r="78" spans="1:10">
      <c r="A78" s="119" t="s">
        <v>138</v>
      </c>
      <c r="B78" s="120"/>
      <c r="C78" s="33">
        <v>0</v>
      </c>
      <c r="D78" s="34">
        <f ca="1">((100/(H66))*C78)/100</f>
        <v>0</v>
      </c>
      <c r="E78" s="125"/>
      <c r="F78" s="126"/>
      <c r="G78" s="125"/>
      <c r="H78" s="129"/>
      <c r="I78" s="45" t="s">
        <v>139</v>
      </c>
      <c r="J78" s="46">
        <f ca="1">(IF(B66&gt;1.5,(H66/(B66+2)+J72+MAX(0,J73-J72)+MAX(0,J74-J73)+MAX(0,J75-J74)+MAX(0,J76-J75)+MAX(0,J77-J76)),IF(B66=1,(H66/(B66+3)+J77),IF(B66=0,H66/4+J77))))</f>
        <v>7</v>
      </c>
    </row>
    <row r="79" spans="1:10" ht="15.75" customHeight="1">
      <c r="A79" s="108" t="s">
        <v>105</v>
      </c>
      <c r="B79" s="109"/>
      <c r="C79" s="110" t="s">
        <v>140</v>
      </c>
      <c r="D79" s="111"/>
      <c r="E79" s="111"/>
      <c r="F79" s="111"/>
      <c r="G79" s="111"/>
      <c r="H79" s="112"/>
      <c r="I79" s="36" t="str">
        <f ca="1">IF(D92=100%,"All work Completed. Possession granted to the Building.",IF(D91=100%,"All work Completed, Waiting for OC",I80&amp;""&amp;I81&amp;""&amp;J80&amp;""&amp;J79&amp;" "&amp;J81))</f>
        <v>Excavation, Plinth, RCC Slab Completed, Brickwork upto 6 Floor Completed</v>
      </c>
      <c r="J79" s="37" t="str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>, Brickwork upto 6 Floor</v>
      </c>
    </row>
    <row r="80" spans="1:10">
      <c r="A80" s="29" t="s">
        <v>107</v>
      </c>
      <c r="B80" s="21">
        <v>0</v>
      </c>
      <c r="C80" s="21" t="s">
        <v>108</v>
      </c>
      <c r="D80" s="21">
        <v>1</v>
      </c>
      <c r="E80" s="21" t="s">
        <v>109</v>
      </c>
      <c r="F80" s="21">
        <v>0</v>
      </c>
      <c r="G80" s="21" t="s">
        <v>110</v>
      </c>
      <c r="H80" s="30">
        <f ca="1">--TRIM(RIGHT(SUBSTITUTE(LEFT(C79,_xlfn.AGGREGATE(16,6,FIND({0,1,2,3,4,5,6,7,8,9},C79,ROW(INDIRECT("1:"&amp;LEN(C79)))),1))," ",REPT(" ",LEN(C79))),LEN(C79)))</f>
        <v>7</v>
      </c>
      <c r="I80" s="38" t="str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Excavation, Plinth, RCC Slab</v>
      </c>
      <c r="J80" s="39" t="str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/>
      </c>
    </row>
    <row r="81" spans="1:10">
      <c r="A81" s="113" t="s">
        <v>111</v>
      </c>
      <c r="B81" s="64"/>
      <c r="C81" s="114" t="str">
        <f ca="1">(IF($G$52="NA",I79,"All work Completed. OC Received."))</f>
        <v>Excavation, Plinth, RCC Slab Completed, Brickwork upto 6 Floor Completed</v>
      </c>
      <c r="D81" s="114"/>
      <c r="E81" s="114"/>
      <c r="F81" s="114"/>
      <c r="G81" s="114"/>
      <c r="H81" s="115"/>
      <c r="I81" s="38" t="str">
        <f ca="1">IF(I80&lt;&gt;""," Completed","")</f>
        <v xml:space="preserve"> Completed</v>
      </c>
      <c r="J81" s="39" t="str">
        <f ca="1">IF(J79&lt;&gt;"","Completed","")</f>
        <v>Completed</v>
      </c>
    </row>
    <row r="82" spans="1:10" ht="15.75" customHeight="1">
      <c r="A82" s="116" t="s">
        <v>112</v>
      </c>
      <c r="B82" s="117"/>
      <c r="C82" s="31" t="s">
        <v>113</v>
      </c>
      <c r="D82" s="31" t="s">
        <v>114</v>
      </c>
      <c r="E82" s="117" t="s">
        <v>115</v>
      </c>
      <c r="F82" s="117"/>
      <c r="G82" s="117" t="s">
        <v>116</v>
      </c>
      <c r="H82" s="118"/>
      <c r="I82" s="40" t="s">
        <v>117</v>
      </c>
      <c r="J82" s="41">
        <f ca="1">H80*25%</f>
        <v>1.75</v>
      </c>
    </row>
    <row r="83" spans="1:10">
      <c r="A83" s="116" t="s">
        <v>118</v>
      </c>
      <c r="B83" s="117"/>
      <c r="C83" s="31">
        <v>7</v>
      </c>
      <c r="D83" s="32">
        <f ca="1">((100/H80)*C83)/100</f>
        <v>1</v>
      </c>
      <c r="E83" s="121">
        <f ca="1">(((C84/H80*10)+(40/(D80+F80+H80)*C85)+(7.5/(H80)*C86)+(7.5/(H80)*C87)+(10/H80*C88)+(10/H80*C89)+(5/H80*C90)+(5/H80*C91)+(5/H80*C92))/100)</f>
        <v>0.56428571428571428</v>
      </c>
      <c r="F83" s="122"/>
      <c r="G83" s="121">
        <f ca="1">((((C83/H80)*20)+((C84/H80)*25)+(30/(H80+F80+D80)*C85)+(5/H80*C86)+(5/H80*C87)+(5/H80*C88)+(5/H80*C89)+(0/H80*C90)+(0/H80*C91)+(5/H80*C92))/100)</f>
        <v>0.79285714285714293</v>
      </c>
      <c r="H83" s="127"/>
      <c r="I83" s="40" t="s">
        <v>119</v>
      </c>
      <c r="J83" s="42">
        <f ca="1">H80*50%</f>
        <v>3.5</v>
      </c>
    </row>
    <row r="84" spans="1:10">
      <c r="A84" s="116" t="s">
        <v>120</v>
      </c>
      <c r="B84" s="117"/>
      <c r="C84" s="35">
        <v>7</v>
      </c>
      <c r="D84" s="32">
        <f ca="1">((100/H80)*C84)/100</f>
        <v>1</v>
      </c>
      <c r="E84" s="123"/>
      <c r="F84" s="124"/>
      <c r="G84" s="123"/>
      <c r="H84" s="128"/>
      <c r="I84" s="40" t="s">
        <v>121</v>
      </c>
      <c r="J84" s="42">
        <f ca="1">H80</f>
        <v>7</v>
      </c>
    </row>
    <row r="85" spans="1:10" ht="15.75" customHeight="1">
      <c r="A85" s="116" t="s">
        <v>122</v>
      </c>
      <c r="B85" s="117"/>
      <c r="C85" s="31">
        <v>8</v>
      </c>
      <c r="D85" s="32">
        <f ca="1">((100/(D80+F80+H80))*C85)/100</f>
        <v>1</v>
      </c>
      <c r="E85" s="123"/>
      <c r="F85" s="124"/>
      <c r="G85" s="123"/>
      <c r="H85" s="128"/>
      <c r="I85" s="40" t="s">
        <v>123</v>
      </c>
      <c r="J85" s="43">
        <f ca="1">(IF(B80&gt;1,(H80/(B80+2)),H80/4))</f>
        <v>1.75</v>
      </c>
    </row>
    <row r="86" spans="1:10" ht="15.75" customHeight="1">
      <c r="A86" s="116" t="s">
        <v>124</v>
      </c>
      <c r="B86" s="117" t="s">
        <v>125</v>
      </c>
      <c r="C86" s="31">
        <v>6</v>
      </c>
      <c r="D86" s="32">
        <f ca="1">((100/H80)*C86)/100</f>
        <v>0.85714285714285721</v>
      </c>
      <c r="E86" s="123"/>
      <c r="F86" s="124"/>
      <c r="G86" s="123"/>
      <c r="H86" s="128"/>
      <c r="I86" s="40" t="s">
        <v>126</v>
      </c>
      <c r="J86" s="43">
        <f ca="1">(IF(B80&gt;1,(H80/(B80+2)+J85),H80/4+J85))</f>
        <v>3.5</v>
      </c>
    </row>
    <row r="87" spans="1:10" ht="15.75" customHeight="1">
      <c r="A87" s="116" t="s">
        <v>127</v>
      </c>
      <c r="B87" s="117" t="s">
        <v>125</v>
      </c>
      <c r="C87" s="31">
        <v>0</v>
      </c>
      <c r="D87" s="32">
        <f ca="1">((100/H80)*C87)/100</f>
        <v>0</v>
      </c>
      <c r="E87" s="123"/>
      <c r="F87" s="124"/>
      <c r="G87" s="123"/>
      <c r="H87" s="128"/>
      <c r="I87" s="40" t="s">
        <v>128</v>
      </c>
      <c r="J87" s="43">
        <f>(IF(B80&gt;1,(H80/(B80+2)+J86),0))</f>
        <v>0</v>
      </c>
    </row>
    <row r="88" spans="1:10" ht="15" customHeight="1">
      <c r="A88" s="116" t="s">
        <v>129</v>
      </c>
      <c r="B88" s="117" t="s">
        <v>130</v>
      </c>
      <c r="C88" s="31">
        <v>0</v>
      </c>
      <c r="D88" s="32">
        <f ca="1">((100/(H80))*C88)/100</f>
        <v>0</v>
      </c>
      <c r="E88" s="123"/>
      <c r="F88" s="124"/>
      <c r="G88" s="123"/>
      <c r="H88" s="128"/>
      <c r="I88" s="40" t="s">
        <v>131</v>
      </c>
      <c r="J88" s="43">
        <f>(IF(B80&gt;2,(H80/(B80+2)+J87),0))</f>
        <v>0</v>
      </c>
    </row>
    <row r="89" spans="1:10" ht="15.75" customHeight="1">
      <c r="A89" s="116" t="s">
        <v>132</v>
      </c>
      <c r="B89" s="117" t="s">
        <v>132</v>
      </c>
      <c r="C89" s="31">
        <v>0</v>
      </c>
      <c r="D89" s="32">
        <f ca="1">((100/H80)*C89)/100</f>
        <v>0</v>
      </c>
      <c r="E89" s="123"/>
      <c r="F89" s="124"/>
      <c r="G89" s="123"/>
      <c r="H89" s="128"/>
      <c r="I89" s="40" t="s">
        <v>133</v>
      </c>
      <c r="J89" s="44">
        <f>(IF(B80&gt;3,(H80/(B80+2)+J88),0))</f>
        <v>0</v>
      </c>
    </row>
    <row r="90" spans="1:10" ht="15.75" customHeight="1">
      <c r="A90" s="116" t="s">
        <v>134</v>
      </c>
      <c r="B90" s="117"/>
      <c r="C90" s="31">
        <v>0</v>
      </c>
      <c r="D90" s="32">
        <f ca="1">((100/H80)*C90)/100</f>
        <v>0</v>
      </c>
      <c r="E90" s="123"/>
      <c r="F90" s="124"/>
      <c r="G90" s="123"/>
      <c r="H90" s="128"/>
      <c r="I90" s="40" t="s">
        <v>135</v>
      </c>
      <c r="J90" s="43">
        <f>(IF(B80&gt;4,(H80/(B80+2)+J89),0))</f>
        <v>0</v>
      </c>
    </row>
    <row r="91" spans="1:10" ht="15.75" customHeight="1">
      <c r="A91" s="116" t="s">
        <v>136</v>
      </c>
      <c r="B91" s="117" t="s">
        <v>136</v>
      </c>
      <c r="C91" s="31">
        <v>0</v>
      </c>
      <c r="D91" s="32">
        <f ca="1">((100/(H80))*C91)/100</f>
        <v>0</v>
      </c>
      <c r="E91" s="123"/>
      <c r="F91" s="124"/>
      <c r="G91" s="123"/>
      <c r="H91" s="128"/>
      <c r="I91" s="40" t="s">
        <v>137</v>
      </c>
      <c r="J91" s="43">
        <f ca="1">(IF(B80=1,(H80/(B80+3)+J86),IF(B80=0,(H80/4+J86),IF(B80&gt;1,0))))</f>
        <v>5.25</v>
      </c>
    </row>
    <row r="92" spans="1:10">
      <c r="A92" s="119" t="s">
        <v>138</v>
      </c>
      <c r="B92" s="120"/>
      <c r="C92" s="33">
        <v>0</v>
      </c>
      <c r="D92" s="34">
        <f ca="1">((100/(H80))*C92)/100</f>
        <v>0</v>
      </c>
      <c r="E92" s="125"/>
      <c r="F92" s="126"/>
      <c r="G92" s="125"/>
      <c r="H92" s="129"/>
      <c r="I92" s="45" t="s">
        <v>139</v>
      </c>
      <c r="J92" s="46">
        <f ca="1">(IF(B80&gt;1.5,(H80/(B80+2)+J86+MAX(0,J87-J86)+MAX(0,J88-J87)+MAX(0,J89-J88)+MAX(0,J90-J89)+MAX(0,J91-J90)),IF(B80=1,(H80/(B80+3)+J91),IF(B80=0,H80/4+J91))))</f>
        <v>7</v>
      </c>
    </row>
    <row r="93" spans="1:10" ht="15.75" customHeight="1">
      <c r="A93" s="108" t="s">
        <v>105</v>
      </c>
      <c r="B93" s="109"/>
      <c r="C93" s="110" t="s">
        <v>141</v>
      </c>
      <c r="D93" s="111"/>
      <c r="E93" s="111"/>
      <c r="F93" s="111"/>
      <c r="G93" s="111"/>
      <c r="H93" s="112"/>
      <c r="I93" s="36" t="str">
        <f ca="1">IF(D106=100%,"All work Completed. Possession granted to the Building.",IF(D105=100%,"All work Completed, Waiting for OC",I94&amp;""&amp;I95&amp;""&amp;J94&amp;""&amp;J93&amp;" "&amp;J95))</f>
        <v>Excavation, Plinth, RCC Slab Completed, Brickwork upto 6 Floor Completed</v>
      </c>
      <c r="J93" s="37" t="str">
        <f ca="1">(IF(C99=(D94+F94+H94),"",IF(C99&gt;0,", RCC upto "&amp;C99&amp;" Slab","")))&amp;(IF(C100=H94,"",IF(C100&gt;0,", Brickwork upto "&amp;C100&amp;" Floor","")))&amp;(IF(C101=H94,"",IF(C101&gt;0,", Internal Plaster upto "&amp;C101&amp;" Floor","")))&amp;(IF(C102=H94,"",IF(C102&gt;0,", External Plaster upto "&amp;C102&amp;" Floor","")))&amp;(IF(C103=H94,"",IF(C103&gt;0,", Flooring upto "&amp;C103&amp;" Floor","")))&amp;(IF(C104=H94,"",IF(C104&gt;0,", Painting upto "&amp;C104&amp;" Floor","")))&amp;(IF(C105=H94,"",IF(C105&gt;0,", Finishing upto "&amp;C105&amp;" Floor","")))&amp;(IF(C106=H94,"",IF(C106&gt;0,", Possession upto "&amp;C106&amp;" Floor","")))</f>
        <v>, Brickwork upto 6 Floor</v>
      </c>
    </row>
    <row r="94" spans="1:10">
      <c r="A94" s="29" t="s">
        <v>107</v>
      </c>
      <c r="B94" s="21">
        <v>0</v>
      </c>
      <c r="C94" s="21" t="s">
        <v>108</v>
      </c>
      <c r="D94" s="21">
        <v>1</v>
      </c>
      <c r="E94" s="21" t="s">
        <v>109</v>
      </c>
      <c r="F94" s="21">
        <v>0</v>
      </c>
      <c r="G94" s="21" t="s">
        <v>110</v>
      </c>
      <c r="H94" s="30">
        <f ca="1">--TRIM(RIGHT(SUBSTITUTE(LEFT(C93,_xlfn.AGGREGATE(16,6,FIND({0,1,2,3,4,5,6,7,8,9},C93,ROW(INDIRECT("1:"&amp;LEN(C93)))),1))," ",REPT(" ",LEN(C93))),LEN(C93)))</f>
        <v>7</v>
      </c>
      <c r="I94" s="38" t="str">
        <f ca="1">IF(D97=100%,"Excavation","")&amp;IF(D98=100%,", Plinth","")&amp;IF(D99=100%,", RCC Slab","")&amp;IF(D100=100%,", Brickwork","")&amp;IF(D101=100%,", Internal Plaster","")&amp;IF(D102=100%,", External Plaster","")&amp;IF(D103=100%,", Flooring","")&amp;IF(D104=100%,", Painting","")&amp;IF(D105=100%,", Building common Amenities","")</f>
        <v>Excavation, Plinth, RCC Slab</v>
      </c>
      <c r="J94" s="39" t="str">
        <f ca="1">(IF(C97=0,"Work not yet Started.",IF(D97=25%,"Piling work in process",IF(D97=50%,"Excavation work in process",IF(D97=100%,"","0")))))&amp;(IF(C98=0%,"",IF(C98=J99,", Footing work is process",IF(C98=J100,", Footing work Completed",IF(C98=J101,", 1st Basement Completed",IF(C98=J102,", 1st &amp; 2nd Basement Completed",IF(C98=J103,", 1st to 3rd Basement Completed",IF(C98=J104,", 1st to 4th Basement Completed",IF(C98=J105,", Plinth work is process",IF(C98=J106,"","0"))))))))))</f>
        <v/>
      </c>
    </row>
    <row r="95" spans="1:10">
      <c r="A95" s="113" t="s">
        <v>111</v>
      </c>
      <c r="B95" s="64"/>
      <c r="C95" s="114" t="str">
        <f ca="1">(IF($G$52="NA",I93,"All work Completed. OC Received."))</f>
        <v>Excavation, Plinth, RCC Slab Completed, Brickwork upto 6 Floor Completed</v>
      </c>
      <c r="D95" s="114"/>
      <c r="E95" s="114"/>
      <c r="F95" s="114"/>
      <c r="G95" s="114"/>
      <c r="H95" s="115"/>
      <c r="I95" s="38" t="str">
        <f ca="1">IF(I94&lt;&gt;""," Completed","")</f>
        <v xml:space="preserve"> Completed</v>
      </c>
      <c r="J95" s="39" t="str">
        <f ca="1">IF(J93&lt;&gt;"","Completed","")</f>
        <v>Completed</v>
      </c>
    </row>
    <row r="96" spans="1:10" ht="15.75" customHeight="1">
      <c r="A96" s="116" t="s">
        <v>112</v>
      </c>
      <c r="B96" s="117"/>
      <c r="C96" s="31" t="s">
        <v>113</v>
      </c>
      <c r="D96" s="31" t="s">
        <v>114</v>
      </c>
      <c r="E96" s="117" t="s">
        <v>115</v>
      </c>
      <c r="F96" s="117"/>
      <c r="G96" s="117" t="s">
        <v>116</v>
      </c>
      <c r="H96" s="118"/>
      <c r="I96" s="40" t="s">
        <v>117</v>
      </c>
      <c r="J96" s="41">
        <f ca="1">H94*25%</f>
        <v>1.75</v>
      </c>
    </row>
    <row r="97" spans="1:10">
      <c r="A97" s="116" t="s">
        <v>118</v>
      </c>
      <c r="B97" s="117"/>
      <c r="C97" s="31">
        <v>7</v>
      </c>
      <c r="D97" s="32">
        <f ca="1">((100/H94)*C97)/100</f>
        <v>1</v>
      </c>
      <c r="E97" s="121">
        <f ca="1">(((C98/H94*10)+(40/(D94+F94+H94)*C99)+(7.5/(H94)*C100)+(7.5/(H94)*C101)+(10/H94*C102)+(10/H94*C103)+(5/H94*C104)+(5/H94*C105)+(5/H94*C106))/100)</f>
        <v>0.56428571428571428</v>
      </c>
      <c r="F97" s="122"/>
      <c r="G97" s="121">
        <f ca="1">((((C97/H94)*20)+((C98/H94)*25)+(30/(H94+F94+D94)*C99)+(5/H94*C100)+(5/H94*C101)+(5/H94*C102)+(5/H94*C103)+(0/H94*C104)+(0/H94*C105)+(5/H94*C106))/100)</f>
        <v>0.79285714285714293</v>
      </c>
      <c r="H97" s="127"/>
      <c r="I97" s="40" t="s">
        <v>119</v>
      </c>
      <c r="J97" s="42">
        <f ca="1">H94*50%</f>
        <v>3.5</v>
      </c>
    </row>
    <row r="98" spans="1:10">
      <c r="A98" s="116" t="s">
        <v>120</v>
      </c>
      <c r="B98" s="117"/>
      <c r="C98" s="35">
        <v>7</v>
      </c>
      <c r="D98" s="32">
        <f ca="1">((100/H94)*C98)/100</f>
        <v>1</v>
      </c>
      <c r="E98" s="123"/>
      <c r="F98" s="124"/>
      <c r="G98" s="123"/>
      <c r="H98" s="128"/>
      <c r="I98" s="40" t="s">
        <v>121</v>
      </c>
      <c r="J98" s="42">
        <f ca="1">H94</f>
        <v>7</v>
      </c>
    </row>
    <row r="99" spans="1:10" ht="15.75" customHeight="1">
      <c r="A99" s="116" t="s">
        <v>122</v>
      </c>
      <c r="B99" s="117"/>
      <c r="C99" s="31">
        <v>8</v>
      </c>
      <c r="D99" s="32">
        <f ca="1">((100/(D94+F94+H94))*C99)/100</f>
        <v>1</v>
      </c>
      <c r="E99" s="123"/>
      <c r="F99" s="124"/>
      <c r="G99" s="123"/>
      <c r="H99" s="128"/>
      <c r="I99" s="40" t="s">
        <v>123</v>
      </c>
      <c r="J99" s="43">
        <f ca="1">(IF(B94&gt;1,(H94/(B94+2)),H94/4))</f>
        <v>1.75</v>
      </c>
    </row>
    <row r="100" spans="1:10" ht="15.75" customHeight="1">
      <c r="A100" s="116" t="s">
        <v>124</v>
      </c>
      <c r="B100" s="117" t="s">
        <v>125</v>
      </c>
      <c r="C100" s="31">
        <v>6</v>
      </c>
      <c r="D100" s="32">
        <f ca="1">((100/H94)*C100)/100</f>
        <v>0.85714285714285721</v>
      </c>
      <c r="E100" s="123"/>
      <c r="F100" s="124"/>
      <c r="G100" s="123"/>
      <c r="H100" s="128"/>
      <c r="I100" s="40" t="s">
        <v>126</v>
      </c>
      <c r="J100" s="43">
        <f ca="1">(IF(B94&gt;1,(H94/(B94+2)+J99),H94/4+J99))</f>
        <v>3.5</v>
      </c>
    </row>
    <row r="101" spans="1:10" ht="15.75" customHeight="1">
      <c r="A101" s="116" t="s">
        <v>127</v>
      </c>
      <c r="B101" s="117" t="s">
        <v>125</v>
      </c>
      <c r="C101" s="31">
        <v>0</v>
      </c>
      <c r="D101" s="32">
        <f ca="1">((100/H94)*C101)/100</f>
        <v>0</v>
      </c>
      <c r="E101" s="123"/>
      <c r="F101" s="124"/>
      <c r="G101" s="123"/>
      <c r="H101" s="128"/>
      <c r="I101" s="40" t="s">
        <v>128</v>
      </c>
      <c r="J101" s="43">
        <f>(IF(B94&gt;1,(H94/(B94+2)+J100),0))</f>
        <v>0</v>
      </c>
    </row>
    <row r="102" spans="1:10" ht="15" customHeight="1">
      <c r="A102" s="116" t="s">
        <v>129</v>
      </c>
      <c r="B102" s="117" t="s">
        <v>130</v>
      </c>
      <c r="C102" s="31">
        <v>0</v>
      </c>
      <c r="D102" s="32">
        <f ca="1">((100/(H94))*C102)/100</f>
        <v>0</v>
      </c>
      <c r="E102" s="123"/>
      <c r="F102" s="124"/>
      <c r="G102" s="123"/>
      <c r="H102" s="128"/>
      <c r="I102" s="40" t="s">
        <v>131</v>
      </c>
      <c r="J102" s="43">
        <f>(IF(B94&gt;2,(H94/(B94+2)+J101),0))</f>
        <v>0</v>
      </c>
    </row>
    <row r="103" spans="1:10" ht="15.75" customHeight="1">
      <c r="A103" s="116" t="s">
        <v>132</v>
      </c>
      <c r="B103" s="117" t="s">
        <v>132</v>
      </c>
      <c r="C103" s="31">
        <v>0</v>
      </c>
      <c r="D103" s="32">
        <f ca="1">((100/H94)*C103)/100</f>
        <v>0</v>
      </c>
      <c r="E103" s="123"/>
      <c r="F103" s="124"/>
      <c r="G103" s="123"/>
      <c r="H103" s="128"/>
      <c r="I103" s="40" t="s">
        <v>133</v>
      </c>
      <c r="J103" s="44">
        <f>(IF(B94&gt;3,(H94/(B94+2)+J102),0))</f>
        <v>0</v>
      </c>
    </row>
    <row r="104" spans="1:10" ht="15.75" customHeight="1">
      <c r="A104" s="116" t="s">
        <v>134</v>
      </c>
      <c r="B104" s="117"/>
      <c r="C104" s="31">
        <v>0</v>
      </c>
      <c r="D104" s="32">
        <f ca="1">((100/H94)*C104)/100</f>
        <v>0</v>
      </c>
      <c r="E104" s="123"/>
      <c r="F104" s="124"/>
      <c r="G104" s="123"/>
      <c r="H104" s="128"/>
      <c r="I104" s="40" t="s">
        <v>135</v>
      </c>
      <c r="J104" s="43">
        <f>(IF(B94&gt;4,(H94/(B94+2)+J103),0))</f>
        <v>0</v>
      </c>
    </row>
    <row r="105" spans="1:10" ht="15.75" customHeight="1">
      <c r="A105" s="116" t="s">
        <v>136</v>
      </c>
      <c r="B105" s="117" t="s">
        <v>136</v>
      </c>
      <c r="C105" s="31">
        <v>0</v>
      </c>
      <c r="D105" s="32">
        <f ca="1">((100/(H94))*C105)/100</f>
        <v>0</v>
      </c>
      <c r="E105" s="123"/>
      <c r="F105" s="124"/>
      <c r="G105" s="123"/>
      <c r="H105" s="128"/>
      <c r="I105" s="40" t="s">
        <v>137</v>
      </c>
      <c r="J105" s="43">
        <f ca="1">(IF(B94=1,(H94/(B94+3)+J100),IF(B94=0,(H94/4+J100),IF(B94&gt;1,0))))</f>
        <v>5.25</v>
      </c>
    </row>
    <row r="106" spans="1:10">
      <c r="A106" s="119" t="s">
        <v>138</v>
      </c>
      <c r="B106" s="120"/>
      <c r="C106" s="33">
        <v>0</v>
      </c>
      <c r="D106" s="34">
        <f ca="1">((100/(H94))*C106)/100</f>
        <v>0</v>
      </c>
      <c r="E106" s="125"/>
      <c r="F106" s="126"/>
      <c r="G106" s="125"/>
      <c r="H106" s="129"/>
      <c r="I106" s="45" t="s">
        <v>139</v>
      </c>
      <c r="J106" s="46">
        <f ca="1">(IF(B94&gt;1.5,(H94/(B94+2)+J100+MAX(0,J101-J100)+MAX(0,J102-J101)+MAX(0,J103-J102)+MAX(0,J104-J103)+MAX(0,J105-J104)),IF(B94=1,(H94/(B94+3)+J105),IF(B94=0,H94/4+J105))))</f>
        <v>7</v>
      </c>
    </row>
    <row r="107" spans="1:10" ht="15.75" customHeight="1">
      <c r="A107" s="108" t="s">
        <v>105</v>
      </c>
      <c r="B107" s="109"/>
      <c r="C107" s="110" t="s">
        <v>232</v>
      </c>
      <c r="D107" s="111"/>
      <c r="E107" s="111"/>
      <c r="F107" s="111"/>
      <c r="G107" s="111"/>
      <c r="H107" s="112"/>
      <c r="I107" s="36" t="str">
        <f ca="1">IF(D120=100%,"All work Completed. Possession granted to the Building.",IF(D119=100%,"All work Completed, Waiting for OC",I108&amp;""&amp;I109&amp;""&amp;J108&amp;""&amp;J107&amp;" "&amp;J109))</f>
        <v>Excavation, Plinth, RCC Slab, Brickwork, Internal Plaster, External Plaster, Flooring Completed, Painting upto 6 Floor Completed</v>
      </c>
      <c r="J107" s="37" t="str">
        <f ca="1">(IF(C113=(D108+F108+H108),"",IF(C113&gt;0,", RCC upto "&amp;C113&amp;" Slab","")))&amp;(IF(C114=H108,"",IF(C114&gt;0,", Brickwork upto "&amp;C114&amp;" Floor","")))&amp;(IF(C115=H108,"",IF(C115&gt;0,", Internal Plaster upto "&amp;C115&amp;" Floor","")))&amp;(IF(C116=H108,"",IF(C116&gt;0,", External Plaster upto "&amp;C116&amp;" Floor","")))&amp;(IF(C117=H108,"",IF(C117&gt;0,", Flooring upto "&amp;C117&amp;" Floor","")))&amp;(IF(C118=H108,"",IF(C118&gt;0,", Painting upto "&amp;C118&amp;" Floor","")))&amp;(IF(C119=H108,"",IF(C119&gt;0,", Finishing upto "&amp;C119&amp;" Floor","")))&amp;(IF(C120=H108,"",IF(C120&gt;0,", Possession upto "&amp;C120&amp;" Floor","")))</f>
        <v>, Painting upto 6 Floor</v>
      </c>
    </row>
    <row r="108" spans="1:10">
      <c r="A108" s="29" t="s">
        <v>107</v>
      </c>
      <c r="B108" s="21">
        <v>0</v>
      </c>
      <c r="C108" s="21" t="s">
        <v>108</v>
      </c>
      <c r="D108" s="21">
        <v>1</v>
      </c>
      <c r="E108" s="21" t="s">
        <v>109</v>
      </c>
      <c r="F108" s="21">
        <v>0</v>
      </c>
      <c r="G108" s="21" t="s">
        <v>110</v>
      </c>
      <c r="H108" s="30">
        <f ca="1">--TRIM(RIGHT(SUBSTITUTE(LEFT(C107,_xlfn.AGGREGATE(16,6,FIND({0,1,2,3,4,5,6,7,8,9},C107,ROW(INDIRECT("1:"&amp;LEN(C107)))),1))," ",REPT(" ",LEN(C107))),LEN(C107)))</f>
        <v>7</v>
      </c>
      <c r="I108" s="38" t="str">
        <f ca="1">IF(D111=100%,"Excavation","")&amp;IF(D112=100%,", Plinth","")&amp;IF(D113=100%,", RCC Slab","")&amp;IF(D114=100%,", Brickwork","")&amp;IF(D115=100%,", Internal Plaster","")&amp;IF(D116=100%,", External Plaster","")&amp;IF(D117=100%,", Flooring","")&amp;IF(D118=100%,", Painting","")&amp;IF(D119=100%,", Building common Amenities","")</f>
        <v>Excavation, Plinth, RCC Slab, Brickwork, Internal Plaster, External Plaster, Flooring</v>
      </c>
      <c r="J108" s="39" t="str">
        <f ca="1">(IF(C111=0,"Work not yet Started.",IF(D111=25%,"Piling work in process",IF(D111=50%,"Excavation work in process",IF(D111=100%,"","0")))))&amp;(IF(C112=0%,"",IF(C112=J113,", Footing work is process",IF(C112=J114,", Footing work Completed",IF(C112=J115,", 1st Basement Completed",IF(C112=J116,", 1st &amp; 2nd Basement Completed",IF(C112=J117,", 1st to 3rd Basement Completed",IF(C112=J118,", 1st to 4th Basement Completed",IF(C112=J119,", Plinth work is process",IF(C112=J120,"","0"))))))))))</f>
        <v/>
      </c>
    </row>
    <row r="109" spans="1:10" ht="34.5" customHeight="1">
      <c r="A109" s="113" t="s">
        <v>111</v>
      </c>
      <c r="B109" s="64"/>
      <c r="C109" s="114" t="str">
        <f ca="1">(IF($G$52="NA",I107,"All work Completed. OC Received."))</f>
        <v>Excavation, Plinth, RCC Slab, Brickwork, Internal Plaster, External Plaster, Flooring Completed, Painting upto 6 Floor Completed</v>
      </c>
      <c r="D109" s="114"/>
      <c r="E109" s="114"/>
      <c r="F109" s="114"/>
      <c r="G109" s="114"/>
      <c r="H109" s="115"/>
      <c r="I109" s="38" t="str">
        <f ca="1">IF(I108&lt;&gt;""," Completed","")</f>
        <v xml:space="preserve"> Completed</v>
      </c>
      <c r="J109" s="39" t="str">
        <f ca="1">IF(J107&lt;&gt;"","Completed","")</f>
        <v>Completed</v>
      </c>
    </row>
    <row r="110" spans="1:10" ht="15.75" customHeight="1">
      <c r="A110" s="116" t="s">
        <v>112</v>
      </c>
      <c r="B110" s="117"/>
      <c r="C110" s="31" t="s">
        <v>113</v>
      </c>
      <c r="D110" s="31" t="s">
        <v>114</v>
      </c>
      <c r="E110" s="117" t="s">
        <v>115</v>
      </c>
      <c r="F110" s="117"/>
      <c r="G110" s="117" t="s">
        <v>116</v>
      </c>
      <c r="H110" s="118"/>
      <c r="I110" s="40" t="s">
        <v>117</v>
      </c>
      <c r="J110" s="41">
        <f ca="1">H108*25%</f>
        <v>1.75</v>
      </c>
    </row>
    <row r="111" spans="1:10">
      <c r="A111" s="116" t="s">
        <v>118</v>
      </c>
      <c r="B111" s="117"/>
      <c r="C111" s="31">
        <f ca="1">J112</f>
        <v>7</v>
      </c>
      <c r="D111" s="32">
        <f ca="1">((100/H108)*C111)/100</f>
        <v>1</v>
      </c>
      <c r="E111" s="121">
        <f ca="1">(((C112/H108*10)+(40/(D108+F108+H108)*C113)+(7.5/(H108)*C114)+(7.5/(H108)*C115)+(10/H108*C116)+(10/H108*C117)+(5/H108*C118)+(5/H108*C119)+(5/H108*C120))/100)</f>
        <v>0.8928571428571429</v>
      </c>
      <c r="F111" s="122"/>
      <c r="G111" s="121">
        <f ca="1">((((C111/H108)*20)+((C112/H108)*25)+(30/(H108+F108+D108)*C113)+(5/H108*C114)+(5/H108*C115)+(5/H108*C116)+(5/H108*C117)+(0/H108*C118)+(0/H108*C119)+(5/H108*C120))/100)</f>
        <v>0.95</v>
      </c>
      <c r="H111" s="127"/>
      <c r="I111" s="40" t="s">
        <v>119</v>
      </c>
      <c r="J111" s="42">
        <f ca="1">H108*50%</f>
        <v>3.5</v>
      </c>
    </row>
    <row r="112" spans="1:10">
      <c r="A112" s="116" t="s">
        <v>120</v>
      </c>
      <c r="B112" s="117"/>
      <c r="C112" s="35">
        <v>7</v>
      </c>
      <c r="D112" s="32">
        <f ca="1">((100/H108)*C112)/100</f>
        <v>1</v>
      </c>
      <c r="E112" s="123"/>
      <c r="F112" s="124"/>
      <c r="G112" s="123"/>
      <c r="H112" s="128"/>
      <c r="I112" s="40" t="s">
        <v>121</v>
      </c>
      <c r="J112" s="42">
        <f ca="1">H108</f>
        <v>7</v>
      </c>
    </row>
    <row r="113" spans="1:10" ht="15.75" customHeight="1">
      <c r="A113" s="116" t="s">
        <v>122</v>
      </c>
      <c r="B113" s="117"/>
      <c r="C113" s="31">
        <v>8</v>
      </c>
      <c r="D113" s="32">
        <f ca="1">((100/(D108+F108+H108))*C113)/100</f>
        <v>1</v>
      </c>
      <c r="E113" s="123"/>
      <c r="F113" s="124"/>
      <c r="G113" s="123"/>
      <c r="H113" s="128"/>
      <c r="I113" s="40" t="s">
        <v>123</v>
      </c>
      <c r="J113" s="43">
        <f ca="1">(IF(B108&gt;1,(H108/(B108+2)),H108/4))</f>
        <v>1.75</v>
      </c>
    </row>
    <row r="114" spans="1:10" ht="15.75" customHeight="1">
      <c r="A114" s="116" t="s">
        <v>124</v>
      </c>
      <c r="B114" s="117" t="s">
        <v>125</v>
      </c>
      <c r="C114" s="31">
        <v>7</v>
      </c>
      <c r="D114" s="32">
        <f ca="1">((100/H108)*C114)/100</f>
        <v>1</v>
      </c>
      <c r="E114" s="123"/>
      <c r="F114" s="124"/>
      <c r="G114" s="123"/>
      <c r="H114" s="128"/>
      <c r="I114" s="40" t="s">
        <v>126</v>
      </c>
      <c r="J114" s="43">
        <f ca="1">(IF(B108&gt;1,(H108/(B108+2)+J113),H108/4+J113))</f>
        <v>3.5</v>
      </c>
    </row>
    <row r="115" spans="1:10" ht="15.75" customHeight="1">
      <c r="A115" s="116" t="s">
        <v>127</v>
      </c>
      <c r="B115" s="117" t="s">
        <v>125</v>
      </c>
      <c r="C115" s="31">
        <v>7</v>
      </c>
      <c r="D115" s="32">
        <f ca="1">((100/H108)*C115)/100</f>
        <v>1</v>
      </c>
      <c r="E115" s="123"/>
      <c r="F115" s="124"/>
      <c r="G115" s="123"/>
      <c r="H115" s="128"/>
      <c r="I115" s="40" t="s">
        <v>128</v>
      </c>
      <c r="J115" s="43">
        <f>(IF(B108&gt;1,(H108/(B108+2)+J114),0))</f>
        <v>0</v>
      </c>
    </row>
    <row r="116" spans="1:10" ht="15" customHeight="1">
      <c r="A116" s="116" t="s">
        <v>129</v>
      </c>
      <c r="B116" s="117" t="s">
        <v>130</v>
      </c>
      <c r="C116" s="31">
        <v>7</v>
      </c>
      <c r="D116" s="32">
        <f ca="1">((100/(H108))*C116)/100</f>
        <v>1</v>
      </c>
      <c r="E116" s="123"/>
      <c r="F116" s="124"/>
      <c r="G116" s="123"/>
      <c r="H116" s="128"/>
      <c r="I116" s="40" t="s">
        <v>131</v>
      </c>
      <c r="J116" s="43">
        <f>(IF(B108&gt;2,(H108/(B108+2)+J115),0))</f>
        <v>0</v>
      </c>
    </row>
    <row r="117" spans="1:10" ht="15.75" customHeight="1">
      <c r="A117" s="116" t="s">
        <v>132</v>
      </c>
      <c r="B117" s="117" t="s">
        <v>132</v>
      </c>
      <c r="C117" s="31">
        <v>7</v>
      </c>
      <c r="D117" s="32">
        <f ca="1">((100/H108)*C117)/100</f>
        <v>1</v>
      </c>
      <c r="E117" s="123"/>
      <c r="F117" s="124"/>
      <c r="G117" s="123"/>
      <c r="H117" s="128"/>
      <c r="I117" s="40" t="s">
        <v>133</v>
      </c>
      <c r="J117" s="44">
        <f>(IF(B108&gt;3,(H108/(B108+2)+J116),0))</f>
        <v>0</v>
      </c>
    </row>
    <row r="118" spans="1:10" ht="15.75" customHeight="1">
      <c r="A118" s="116" t="s">
        <v>134</v>
      </c>
      <c r="B118" s="117"/>
      <c r="C118" s="31">
        <v>6</v>
      </c>
      <c r="D118" s="32">
        <f ca="1">((100/H108)*C118)/100</f>
        <v>0.85714285714285721</v>
      </c>
      <c r="E118" s="123"/>
      <c r="F118" s="124"/>
      <c r="G118" s="123"/>
      <c r="H118" s="128"/>
      <c r="I118" s="40" t="s">
        <v>135</v>
      </c>
      <c r="J118" s="43">
        <f>(IF(B108&gt;4,(H108/(B108+2)+J117),0))</f>
        <v>0</v>
      </c>
    </row>
    <row r="119" spans="1:10" ht="15.75" customHeight="1">
      <c r="A119" s="116" t="s">
        <v>136</v>
      </c>
      <c r="B119" s="117" t="s">
        <v>136</v>
      </c>
      <c r="C119" s="31">
        <v>0</v>
      </c>
      <c r="D119" s="32">
        <f ca="1">((100/(H108))*C119)/100</f>
        <v>0</v>
      </c>
      <c r="E119" s="123"/>
      <c r="F119" s="124"/>
      <c r="G119" s="123"/>
      <c r="H119" s="128"/>
      <c r="I119" s="40" t="s">
        <v>137</v>
      </c>
      <c r="J119" s="43">
        <f ca="1">(IF(B108=1,(H108/(B108+3)+J114),IF(B108=0,(H108/4+J114),IF(B108&gt;1,0))))</f>
        <v>5.25</v>
      </c>
    </row>
    <row r="120" spans="1:10">
      <c r="A120" s="119" t="s">
        <v>138</v>
      </c>
      <c r="B120" s="120"/>
      <c r="C120" s="33">
        <v>0</v>
      </c>
      <c r="D120" s="34">
        <f ca="1">((100/(H108))*C120)/100</f>
        <v>0</v>
      </c>
      <c r="E120" s="125"/>
      <c r="F120" s="126"/>
      <c r="G120" s="125"/>
      <c r="H120" s="129"/>
      <c r="I120" s="45" t="s">
        <v>139</v>
      </c>
      <c r="J120" s="46">
        <f ca="1">(IF(B108&gt;1.5,(H108/(B108+2)+J114+MAX(0,J115-J114)+MAX(0,J116-J115)+MAX(0,J117-J116)+MAX(0,J118-J117)+MAX(0,J119-J118)),IF(B108=1,(H108/(B108+3)+J119),IF(B108=0,H108/4+J119))))</f>
        <v>7</v>
      </c>
    </row>
    <row r="121" spans="1:10" ht="15.75" hidden="1" customHeight="1">
      <c r="A121" s="108" t="s">
        <v>105</v>
      </c>
      <c r="B121" s="109"/>
      <c r="C121" s="110" t="s">
        <v>142</v>
      </c>
      <c r="D121" s="111"/>
      <c r="E121" s="111"/>
      <c r="F121" s="111"/>
      <c r="G121" s="111"/>
      <c r="H121" s="112"/>
      <c r="I121" s="36" t="str">
        <f ca="1">IF(D134=100%,"All work Completed. Possession granted to the Building.",IF(D133=100%,"All work Completed, Waiting for OC",I122&amp;""&amp;I123&amp;""&amp;J122&amp;""&amp;J121&amp;" "&amp;J123))</f>
        <v>Excavation, Plinth, RCC Slab, Brickwork, Internal Plaster, External Plaster, Flooring Completed, Painting upto 6 Floor Completed</v>
      </c>
      <c r="J121" s="37" t="str">
        <f ca="1">(IF(C127=(D122+F122+H122),"",IF(C127&gt;0,", RCC upto "&amp;C127&amp;" Slab","")))&amp;(IF(C128=H122,"",IF(C128&gt;0,", Brickwork upto "&amp;C128&amp;" Floor","")))&amp;(IF(C129=H122,"",IF(C129&gt;0,", Internal Plaster upto "&amp;C129&amp;" Floor","")))&amp;(IF(C130=H122,"",IF(C130&gt;0,", External Plaster upto "&amp;C130&amp;" Floor","")))&amp;(IF(C131=H122,"",IF(C131&gt;0,", Flooring upto "&amp;C131&amp;" Floor","")))&amp;(IF(C132=H122,"",IF(C132&gt;0,", Painting upto "&amp;C132&amp;" Floor","")))&amp;(IF(C133=H122,"",IF(C133&gt;0,", Finishing upto "&amp;C133&amp;" Floor","")))&amp;(IF(C134=H122,"",IF(C134&gt;0,", Possession upto "&amp;C134&amp;" Floor","")))</f>
        <v>, Painting upto 6 Floor</v>
      </c>
    </row>
    <row r="122" spans="1:10" hidden="1">
      <c r="A122" s="29" t="s">
        <v>107</v>
      </c>
      <c r="B122" s="21">
        <v>0</v>
      </c>
      <c r="C122" s="21" t="s">
        <v>108</v>
      </c>
      <c r="D122" s="21">
        <v>1</v>
      </c>
      <c r="E122" s="21" t="s">
        <v>109</v>
      </c>
      <c r="F122" s="21">
        <v>0</v>
      </c>
      <c r="G122" s="21" t="s">
        <v>110</v>
      </c>
      <c r="H122" s="30">
        <f ca="1">--TRIM(RIGHT(SUBSTITUTE(LEFT(C121,_xlfn.AGGREGATE(16,6,FIND({0,1,2,3,4,5,6,7,8,9},C121,ROW(INDIRECT("1:"&amp;LEN(C121)))),1))," ",REPT(" ",LEN(C121))),LEN(C121)))</f>
        <v>7</v>
      </c>
      <c r="I122" s="38" t="str">
        <f ca="1">IF(D125=100%,"Excavation","")&amp;IF(D126=100%,", Plinth","")&amp;IF(D127=100%,", RCC Slab","")&amp;IF(D128=100%,", Brickwork","")&amp;IF(D129=100%,", Internal Plaster","")&amp;IF(D130=100%,", External Plaster","")&amp;IF(D131=100%,", Flooring","")&amp;IF(D132=100%,", Painting","")&amp;IF(D133=100%,", Building common Amenities","")</f>
        <v>Excavation, Plinth, RCC Slab, Brickwork, Internal Plaster, External Plaster, Flooring</v>
      </c>
      <c r="J122" s="39" t="str">
        <f ca="1">(IF(C125=0,"Work not yet Started.",IF(D125=25%,"Piling work in process",IF(D125=50%,"Excavation work in process",IF(D125=100%,"","0")))))&amp;(IF(C126=0%,"",IF(C126=J127,", Footing work is process",IF(C126=J128,", Footing work Completed",IF(C126=J129,", 1st Basement Completed",IF(C126=J130,", 1st &amp; 2nd Basement Completed",IF(C126=J131,", 1st to 3rd Basement Completed",IF(C126=J132,", 1st to 4th Basement Completed",IF(C126=J133,", Plinth work is process",IF(C126=J134,"","0"))))))))))</f>
        <v/>
      </c>
    </row>
    <row r="123" spans="1:10" ht="33" hidden="1" customHeight="1">
      <c r="A123" s="113" t="s">
        <v>111</v>
      </c>
      <c r="B123" s="64"/>
      <c r="C123" s="114" t="str">
        <f ca="1">(IF($G$52="NA",I121,"All work Completed. OC Received."))</f>
        <v>Excavation, Plinth, RCC Slab, Brickwork, Internal Plaster, External Plaster, Flooring Completed, Painting upto 6 Floor Completed</v>
      </c>
      <c r="D123" s="114"/>
      <c r="E123" s="114"/>
      <c r="F123" s="114"/>
      <c r="G123" s="114"/>
      <c r="H123" s="115"/>
      <c r="I123" s="38" t="str">
        <f ca="1">IF(I122&lt;&gt;""," Completed","")</f>
        <v xml:space="preserve"> Completed</v>
      </c>
      <c r="J123" s="39" t="str">
        <f ca="1">IF(J121&lt;&gt;"","Completed","")</f>
        <v>Completed</v>
      </c>
    </row>
    <row r="124" spans="1:10" ht="15.75" hidden="1" customHeight="1">
      <c r="A124" s="116" t="s">
        <v>112</v>
      </c>
      <c r="B124" s="117"/>
      <c r="C124" s="31" t="s">
        <v>113</v>
      </c>
      <c r="D124" s="31" t="s">
        <v>114</v>
      </c>
      <c r="E124" s="117" t="s">
        <v>115</v>
      </c>
      <c r="F124" s="117"/>
      <c r="G124" s="117" t="s">
        <v>116</v>
      </c>
      <c r="H124" s="118"/>
      <c r="I124" s="40" t="s">
        <v>117</v>
      </c>
      <c r="J124" s="41">
        <f ca="1">H122*25%</f>
        <v>1.75</v>
      </c>
    </row>
    <row r="125" spans="1:10" hidden="1">
      <c r="A125" s="116" t="s">
        <v>118</v>
      </c>
      <c r="B125" s="117"/>
      <c r="C125" s="31">
        <f ca="1">J126</f>
        <v>7</v>
      </c>
      <c r="D125" s="32">
        <f ca="1">((100/H122)*C125)/100</f>
        <v>1</v>
      </c>
      <c r="E125" s="121">
        <f ca="1">(((C126/H122*10)+(40/(D122+F122+H122)*C127)+(7.5/(H122)*C128)+(7.5/(H122)*C129)+(10/H122*C130)+(10/H122*C131)+(5/H122*C132)+(5/H122*C133)+(5/H122*C134))/100)</f>
        <v>0.8928571428571429</v>
      </c>
      <c r="F125" s="122"/>
      <c r="G125" s="121">
        <f ca="1">((((C125/H122)*20)+((C126/H122)*25)+(30/(H122+F122+D122)*C127)+(5/H122*C128)+(5/H122*C129)+(5/H122*C130)+(5/H122*C131)+(0/H122*C132)+(0/H122*C133)+(5/H122*C134))/100)</f>
        <v>0.95</v>
      </c>
      <c r="H125" s="127"/>
      <c r="I125" s="40" t="s">
        <v>119</v>
      </c>
      <c r="J125" s="42">
        <f ca="1">H122*50%</f>
        <v>3.5</v>
      </c>
    </row>
    <row r="126" spans="1:10" hidden="1">
      <c r="A126" s="116" t="s">
        <v>120</v>
      </c>
      <c r="B126" s="117"/>
      <c r="C126" s="35">
        <f ca="1">J134</f>
        <v>7</v>
      </c>
      <c r="D126" s="32">
        <f ca="1">((100/H122)*C126)/100</f>
        <v>1</v>
      </c>
      <c r="E126" s="123"/>
      <c r="F126" s="124"/>
      <c r="G126" s="123"/>
      <c r="H126" s="128"/>
      <c r="I126" s="40" t="s">
        <v>121</v>
      </c>
      <c r="J126" s="42">
        <f ca="1">H122</f>
        <v>7</v>
      </c>
    </row>
    <row r="127" spans="1:10" ht="15.75" hidden="1" customHeight="1">
      <c r="A127" s="116" t="s">
        <v>122</v>
      </c>
      <c r="B127" s="117"/>
      <c r="C127" s="31">
        <v>8</v>
      </c>
      <c r="D127" s="32">
        <f ca="1">((100/(D122+F122+H122))*C127)/100</f>
        <v>1</v>
      </c>
      <c r="E127" s="123"/>
      <c r="F127" s="124"/>
      <c r="G127" s="123"/>
      <c r="H127" s="128"/>
      <c r="I127" s="40" t="s">
        <v>123</v>
      </c>
      <c r="J127" s="43">
        <f ca="1">(IF(B122&gt;1,(H122/(B122+2)),H122/4))</f>
        <v>1.75</v>
      </c>
    </row>
    <row r="128" spans="1:10" ht="15.75" hidden="1" customHeight="1">
      <c r="A128" s="116" t="s">
        <v>124</v>
      </c>
      <c r="B128" s="117" t="s">
        <v>125</v>
      </c>
      <c r="C128" s="31">
        <v>7</v>
      </c>
      <c r="D128" s="32">
        <f ca="1">((100/H122)*C128)/100</f>
        <v>1</v>
      </c>
      <c r="E128" s="123"/>
      <c r="F128" s="124"/>
      <c r="G128" s="123"/>
      <c r="H128" s="128"/>
      <c r="I128" s="40" t="s">
        <v>126</v>
      </c>
      <c r="J128" s="43">
        <f ca="1">(IF(B122&gt;1,(H122/(B122+2)+J127),H122/4+J127))</f>
        <v>3.5</v>
      </c>
    </row>
    <row r="129" spans="1:10" ht="15.75" hidden="1" customHeight="1">
      <c r="A129" s="116" t="s">
        <v>127</v>
      </c>
      <c r="B129" s="117" t="s">
        <v>125</v>
      </c>
      <c r="C129" s="31">
        <v>7</v>
      </c>
      <c r="D129" s="32">
        <f ca="1">((100/H122)*C129)/100</f>
        <v>1</v>
      </c>
      <c r="E129" s="123"/>
      <c r="F129" s="124"/>
      <c r="G129" s="123"/>
      <c r="H129" s="128"/>
      <c r="I129" s="40" t="s">
        <v>128</v>
      </c>
      <c r="J129" s="43">
        <f>(IF(B122&gt;1,(H122/(B122+2)+J128),0))</f>
        <v>0</v>
      </c>
    </row>
    <row r="130" spans="1:10" ht="15" hidden="1" customHeight="1">
      <c r="A130" s="116" t="s">
        <v>129</v>
      </c>
      <c r="B130" s="117" t="s">
        <v>130</v>
      </c>
      <c r="C130" s="31">
        <v>7</v>
      </c>
      <c r="D130" s="32">
        <f ca="1">((100/(H122))*C130)/100</f>
        <v>1</v>
      </c>
      <c r="E130" s="123"/>
      <c r="F130" s="124"/>
      <c r="G130" s="123"/>
      <c r="H130" s="128"/>
      <c r="I130" s="40" t="s">
        <v>131</v>
      </c>
      <c r="J130" s="43">
        <f>(IF(B122&gt;2,(H122/(B122+2)+J129),0))</f>
        <v>0</v>
      </c>
    </row>
    <row r="131" spans="1:10" ht="15.75" hidden="1" customHeight="1">
      <c r="A131" s="116" t="s">
        <v>132</v>
      </c>
      <c r="B131" s="117" t="s">
        <v>132</v>
      </c>
      <c r="C131" s="31">
        <v>7</v>
      </c>
      <c r="D131" s="32">
        <f ca="1">((100/H122)*C131)/100</f>
        <v>1</v>
      </c>
      <c r="E131" s="123"/>
      <c r="F131" s="124"/>
      <c r="G131" s="123"/>
      <c r="H131" s="128"/>
      <c r="I131" s="40" t="s">
        <v>133</v>
      </c>
      <c r="J131" s="44">
        <f>(IF(B122&gt;3,(H122/(B122+2)+J130),0))</f>
        <v>0</v>
      </c>
    </row>
    <row r="132" spans="1:10" ht="15.75" hidden="1" customHeight="1">
      <c r="A132" s="116" t="s">
        <v>134</v>
      </c>
      <c r="B132" s="117"/>
      <c r="C132" s="31">
        <v>6</v>
      </c>
      <c r="D132" s="32">
        <f ca="1">((100/H122)*C132)/100</f>
        <v>0.85714285714285721</v>
      </c>
      <c r="E132" s="123"/>
      <c r="F132" s="124"/>
      <c r="G132" s="123"/>
      <c r="H132" s="128"/>
      <c r="I132" s="40" t="s">
        <v>135</v>
      </c>
      <c r="J132" s="43">
        <f>(IF(B122&gt;4,(H122/(B122+2)+J131),0))</f>
        <v>0</v>
      </c>
    </row>
    <row r="133" spans="1:10" ht="15.75" hidden="1" customHeight="1">
      <c r="A133" s="116" t="s">
        <v>136</v>
      </c>
      <c r="B133" s="117" t="s">
        <v>136</v>
      </c>
      <c r="C133" s="31">
        <v>0</v>
      </c>
      <c r="D133" s="32">
        <f ca="1">((100/(H122))*C133)/100</f>
        <v>0</v>
      </c>
      <c r="E133" s="123"/>
      <c r="F133" s="124"/>
      <c r="G133" s="123"/>
      <c r="H133" s="128"/>
      <c r="I133" s="40" t="s">
        <v>137</v>
      </c>
      <c r="J133" s="43">
        <f ca="1">(IF(B122=1,(H122/(B122+3)+J128),IF(B122=0,(H122/4+J128),IF(B122&gt;1,0))))</f>
        <v>5.25</v>
      </c>
    </row>
    <row r="134" spans="1:10" hidden="1">
      <c r="A134" s="119" t="s">
        <v>138</v>
      </c>
      <c r="B134" s="120"/>
      <c r="C134" s="33">
        <v>0</v>
      </c>
      <c r="D134" s="34">
        <f ca="1">((100/(H122))*C134)/100</f>
        <v>0</v>
      </c>
      <c r="E134" s="125"/>
      <c r="F134" s="126"/>
      <c r="G134" s="125"/>
      <c r="H134" s="129"/>
      <c r="I134" s="45" t="s">
        <v>139</v>
      </c>
      <c r="J134" s="46">
        <f ca="1">(IF(B122&gt;1.5,(H122/(B122+2)+J128+MAX(0,J129-J128)+MAX(0,J130-J129)+MAX(0,J131-J130)+MAX(0,J132-J131)+MAX(0,J133-J132)),IF(B122=1,(H122/(B122+3)+J133),IF(B122=0,H122/4+J133))))</f>
        <v>7</v>
      </c>
    </row>
    <row r="135" spans="1:10">
      <c r="A135" s="130" t="s">
        <v>143</v>
      </c>
      <c r="B135" s="130"/>
      <c r="C135" s="130"/>
      <c r="D135" s="130"/>
      <c r="E135" s="130"/>
      <c r="F135" s="131" t="s">
        <v>144</v>
      </c>
      <c r="G135" s="131"/>
      <c r="H135" s="131"/>
    </row>
    <row r="136" spans="1:10">
      <c r="A136" s="67" t="s">
        <v>145</v>
      </c>
      <c r="B136" s="67"/>
      <c r="C136" s="67"/>
      <c r="D136" s="67"/>
      <c r="E136" s="67"/>
      <c r="F136" s="132">
        <v>4000</v>
      </c>
      <c r="G136" s="132"/>
      <c r="H136" s="132"/>
    </row>
    <row r="137" spans="1:10">
      <c r="A137" s="67" t="s">
        <v>146</v>
      </c>
      <c r="B137" s="67"/>
      <c r="C137" s="67"/>
      <c r="D137" s="67"/>
      <c r="E137" s="67"/>
      <c r="F137" s="133">
        <v>7000</v>
      </c>
      <c r="G137" s="133"/>
      <c r="H137" s="133"/>
    </row>
    <row r="138" spans="1:10" hidden="1">
      <c r="A138" s="67" t="s">
        <v>147</v>
      </c>
      <c r="B138" s="67"/>
      <c r="C138" s="67"/>
      <c r="D138" s="67"/>
      <c r="E138" s="67"/>
      <c r="F138" s="133"/>
      <c r="G138" s="133"/>
      <c r="H138" s="133"/>
    </row>
    <row r="139" spans="1:10" s="15" customFormat="1">
      <c r="A139" s="67" t="s">
        <v>148</v>
      </c>
      <c r="B139" s="67"/>
      <c r="C139" s="67"/>
      <c r="D139" s="67"/>
      <c r="E139" s="67"/>
      <c r="F139" s="133">
        <v>60000</v>
      </c>
      <c r="G139" s="133"/>
      <c r="H139" s="133"/>
    </row>
    <row r="140" spans="1:10" s="15" customFormat="1">
      <c r="A140" s="67" t="s">
        <v>149</v>
      </c>
      <c r="B140" s="67"/>
      <c r="C140" s="67"/>
      <c r="D140" s="67"/>
      <c r="E140" s="67"/>
      <c r="F140" s="133">
        <v>300000</v>
      </c>
      <c r="G140" s="133"/>
      <c r="H140" s="133"/>
    </row>
    <row r="141" spans="1:10" s="15" customFormat="1">
      <c r="A141" s="67" t="s">
        <v>150</v>
      </c>
      <c r="B141" s="67"/>
      <c r="C141" s="67"/>
      <c r="D141" s="67"/>
      <c r="E141" s="67"/>
      <c r="F141" s="133">
        <v>50000</v>
      </c>
      <c r="G141" s="133"/>
      <c r="H141" s="133"/>
    </row>
    <row r="142" spans="1:10" s="15" customFormat="1">
      <c r="A142" s="67" t="s">
        <v>151</v>
      </c>
      <c r="B142" s="67"/>
      <c r="C142" s="67"/>
      <c r="D142" s="67"/>
      <c r="E142" s="67"/>
      <c r="F142" s="133">
        <v>80000</v>
      </c>
      <c r="G142" s="133"/>
      <c r="H142" s="133"/>
    </row>
    <row r="143" spans="1:10" s="15" customFormat="1" hidden="1">
      <c r="A143" s="67" t="s">
        <v>152</v>
      </c>
      <c r="B143" s="67"/>
      <c r="C143" s="67"/>
      <c r="D143" s="67"/>
      <c r="E143" s="67"/>
      <c r="F143" s="133"/>
      <c r="G143" s="133"/>
      <c r="H143" s="133"/>
    </row>
    <row r="144" spans="1:10" s="15" customFormat="1" hidden="1">
      <c r="A144" s="67" t="s">
        <v>153</v>
      </c>
      <c r="B144" s="67"/>
      <c r="C144" s="67"/>
      <c r="D144" s="67"/>
      <c r="E144" s="67"/>
      <c r="F144" s="133"/>
      <c r="G144" s="133"/>
      <c r="H144" s="133"/>
    </row>
    <row r="145" spans="1:8" s="15" customFormat="1">
      <c r="A145" s="67" t="s">
        <v>154</v>
      </c>
      <c r="B145" s="67"/>
      <c r="C145" s="67"/>
      <c r="D145" s="67"/>
      <c r="E145" s="67"/>
      <c r="F145" s="133">
        <v>40000</v>
      </c>
      <c r="G145" s="133"/>
      <c r="H145" s="133"/>
    </row>
    <row r="146" spans="1:8" s="15" customFormat="1">
      <c r="A146" s="67" t="s">
        <v>155</v>
      </c>
      <c r="B146" s="67"/>
      <c r="C146" s="67"/>
      <c r="D146" s="67"/>
      <c r="E146" s="67"/>
      <c r="F146" s="133">
        <v>75000</v>
      </c>
      <c r="G146" s="133"/>
      <c r="H146" s="133"/>
    </row>
    <row r="147" spans="1:8">
      <c r="A147" s="67" t="s">
        <v>156</v>
      </c>
      <c r="B147" s="67"/>
      <c r="C147" s="67"/>
      <c r="D147" s="67"/>
      <c r="E147" s="67"/>
      <c r="F147" s="133">
        <v>100000</v>
      </c>
      <c r="G147" s="133"/>
      <c r="H147" s="133"/>
    </row>
    <row r="148" spans="1:8" s="16" customFormat="1">
      <c r="A148" s="76" t="s">
        <v>157</v>
      </c>
      <c r="B148" s="76"/>
      <c r="C148" s="76"/>
      <c r="D148" s="76"/>
      <c r="E148" s="76"/>
      <c r="F148" s="133">
        <f>F136*0.8</f>
        <v>3200</v>
      </c>
      <c r="G148" s="133"/>
      <c r="H148" s="133"/>
    </row>
    <row r="149" spans="1:8" s="17" customFormat="1" ht="15.75" customHeight="1">
      <c r="A149" s="134" t="s">
        <v>158</v>
      </c>
      <c r="B149" s="134"/>
      <c r="C149" s="134"/>
      <c r="D149" s="134"/>
      <c r="E149" s="134"/>
      <c r="F149" s="134"/>
      <c r="G149" s="134"/>
      <c r="H149" s="134"/>
    </row>
    <row r="150" spans="1:8" s="17" customFormat="1" ht="15.75" customHeight="1">
      <c r="A150" s="135" t="s">
        <v>159</v>
      </c>
      <c r="B150" s="135"/>
      <c r="C150" s="136" t="s">
        <v>160</v>
      </c>
      <c r="D150" s="136"/>
      <c r="E150" s="137" t="s">
        <v>161</v>
      </c>
      <c r="F150" s="137"/>
      <c r="G150" s="135" t="s">
        <v>162</v>
      </c>
      <c r="H150" s="135"/>
    </row>
    <row r="151" spans="1:8" s="17" customFormat="1">
      <c r="A151" s="138" t="s">
        <v>163</v>
      </c>
      <c r="B151" s="138"/>
      <c r="C151" s="139">
        <f>COUNT(D170:D179)</f>
        <v>10</v>
      </c>
      <c r="D151" s="139"/>
      <c r="E151" s="140">
        <f>SUM(D170:D179)</f>
        <v>2436.4496159999994</v>
      </c>
      <c r="F151" s="141"/>
      <c r="G151" s="140">
        <f>SUM(F170:F179)</f>
        <v>3898.3193855999998</v>
      </c>
      <c r="H151" s="141"/>
    </row>
    <row r="152" spans="1:8" s="17" customFormat="1">
      <c r="A152" s="134" t="s">
        <v>164</v>
      </c>
      <c r="B152" s="134"/>
      <c r="C152" s="134"/>
      <c r="D152" s="134"/>
      <c r="E152" s="134"/>
      <c r="F152" s="134"/>
      <c r="G152" s="134"/>
      <c r="H152" s="134"/>
    </row>
    <row r="153" spans="1:8" s="17" customFormat="1" ht="15.75" customHeight="1">
      <c r="A153" s="135" t="s">
        <v>159</v>
      </c>
      <c r="B153" s="135"/>
      <c r="C153" s="136" t="s">
        <v>160</v>
      </c>
      <c r="D153" s="136"/>
      <c r="E153" s="137" t="s">
        <v>161</v>
      </c>
      <c r="F153" s="137"/>
      <c r="G153" s="135" t="s">
        <v>162</v>
      </c>
      <c r="H153" s="135"/>
    </row>
    <row r="154" spans="1:8" s="17" customFormat="1">
      <c r="A154" s="138" t="s">
        <v>165</v>
      </c>
      <c r="B154" s="138"/>
      <c r="C154" s="139">
        <f>COUNT(D185:D188)+COUNT(D190:D193)*6</f>
        <v>28</v>
      </c>
      <c r="D154" s="139"/>
      <c r="E154" s="140">
        <f>SUM(D185:D188)+SUM(D190:D193)*6</f>
        <v>13071.371039999998</v>
      </c>
      <c r="F154" s="141"/>
      <c r="G154" s="140">
        <f>SUM(F185:F188)+SUM(F190:F193)*6</f>
        <v>20294</v>
      </c>
      <c r="H154" s="141"/>
    </row>
    <row r="155" spans="1:8" s="17" customFormat="1">
      <c r="A155" s="138" t="s">
        <v>166</v>
      </c>
      <c r="B155" s="138"/>
      <c r="C155" s="139">
        <f>COUNT(D197:D200)+COUNT(D202:D205)*6</f>
        <v>28</v>
      </c>
      <c r="D155" s="139"/>
      <c r="E155" s="140">
        <f>SUM(D197:D200)+SUM(D202:D205)*6</f>
        <v>8413.3576799999973</v>
      </c>
      <c r="F155" s="141"/>
      <c r="G155" s="140">
        <f>SUM(F197:F200)+SUM(F202:F205)*6</f>
        <v>13237</v>
      </c>
      <c r="H155" s="141"/>
    </row>
    <row r="156" spans="1:8" s="17" customFormat="1">
      <c r="A156" s="142" t="s">
        <v>167</v>
      </c>
      <c r="B156" s="143"/>
      <c r="C156" s="139">
        <f>COUNT(D209:D212)+COUNT(D214:D217)*6</f>
        <v>28</v>
      </c>
      <c r="D156" s="139"/>
      <c r="E156" s="140">
        <f>SUM(D209:D212)+SUM(D214:D217)*6</f>
        <v>10086.083280000001</v>
      </c>
      <c r="F156" s="141"/>
      <c r="G156" s="140">
        <f>SUM(F209:F212)+SUM(F214:F217)*6</f>
        <v>15624</v>
      </c>
      <c r="H156" s="141"/>
    </row>
    <row r="157" spans="1:8" s="17" customFormat="1">
      <c r="A157" s="142" t="s">
        <v>168</v>
      </c>
      <c r="B157" s="143"/>
      <c r="C157" s="139">
        <f>COUNT(D221:D224)+COUNT(D226:D229)*6</f>
        <v>28</v>
      </c>
      <c r="D157" s="139"/>
      <c r="E157" s="140">
        <f>SUM(D221:D224)+SUM(D226:D229)*6</f>
        <v>13261.097304000001</v>
      </c>
      <c r="F157" s="141"/>
      <c r="G157" s="140">
        <f>SUM(F221:F224)+SUM(F226:F229)*6</f>
        <v>19929</v>
      </c>
      <c r="H157" s="141"/>
    </row>
    <row r="158" spans="1:8" s="17" customFormat="1">
      <c r="A158" s="142" t="s">
        <v>169</v>
      </c>
      <c r="B158" s="143"/>
      <c r="C158" s="139">
        <f>COUNT(D233:D236)+COUNT(D238:D241)*6</f>
        <v>28</v>
      </c>
      <c r="D158" s="139"/>
      <c r="E158" s="140">
        <f>SUM(D233:D236)+SUM(D238:D241)*6</f>
        <v>10850.86548</v>
      </c>
      <c r="F158" s="141"/>
      <c r="G158" s="140">
        <f>SUM(F233:F236)+SUM(F238:F241)*6</f>
        <v>19929</v>
      </c>
      <c r="H158" s="141"/>
    </row>
    <row r="159" spans="1:8" s="17" customFormat="1">
      <c r="A159" s="142" t="s">
        <v>170</v>
      </c>
      <c r="B159" s="143"/>
      <c r="C159" s="139">
        <f>COUNT(D245:D248)+COUNT(D250:D253)*6</f>
        <v>28</v>
      </c>
      <c r="D159" s="139"/>
      <c r="E159" s="140">
        <f>SUM(D245:D248)+SUM(D250:D253)*6</f>
        <v>10086.083280000001</v>
      </c>
      <c r="F159" s="141"/>
      <c r="G159" s="140">
        <f>SUM(F245:F248)+SUM(F250:F253)*6</f>
        <v>15624</v>
      </c>
      <c r="H159" s="141"/>
    </row>
    <row r="160" spans="1:8" s="17" customFormat="1">
      <c r="A160" s="142" t="s">
        <v>171</v>
      </c>
      <c r="B160" s="143"/>
      <c r="C160" s="139">
        <f>COUNT(D257:D260)+COUNT(D262:D265)*6</f>
        <v>28</v>
      </c>
      <c r="D160" s="139"/>
      <c r="E160" s="140">
        <f>SUM(D257:D260)+SUM(D262:D265)*6</f>
        <v>8413.3576799999973</v>
      </c>
      <c r="F160" s="141"/>
      <c r="G160" s="140">
        <f>SUM(F257:F260)+SUM(F262:F265)*6</f>
        <v>13237</v>
      </c>
      <c r="H160" s="141"/>
    </row>
    <row r="161" spans="1:14" s="17" customFormat="1">
      <c r="A161" s="142" t="s">
        <v>172</v>
      </c>
      <c r="B161" s="143"/>
      <c r="C161" s="139">
        <f>COUNT(D268:D271)+COUNT(D273:D276)*6</f>
        <v>28</v>
      </c>
      <c r="D161" s="139"/>
      <c r="E161" s="140">
        <f>SUM(D268:D271)+SUM(D273:D276)*6</f>
        <v>13071.371039999998</v>
      </c>
      <c r="F161" s="141"/>
      <c r="G161" s="140">
        <f>SUM(F268:F271)+SUM(F273:F276)*6</f>
        <v>20294</v>
      </c>
      <c r="H161" s="141"/>
    </row>
    <row r="162" spans="1:14" s="17" customFormat="1" ht="16.5" thickBot="1">
      <c r="A162" s="183" t="s">
        <v>173</v>
      </c>
      <c r="B162" s="183"/>
      <c r="C162" s="184">
        <f>SUM(C154:D161)</f>
        <v>224</v>
      </c>
      <c r="D162" s="184"/>
      <c r="E162" s="185">
        <f>SUM(E154:F161)</f>
        <v>87253.586783999999</v>
      </c>
      <c r="F162" s="186"/>
      <c r="G162" s="187">
        <f>SUM(G154:H161)</f>
        <v>138168</v>
      </c>
      <c r="H162" s="187"/>
    </row>
    <row r="163" spans="1:14" s="17" customFormat="1" ht="16.5" thickBot="1">
      <c r="A163" s="188" t="s">
        <v>233</v>
      </c>
      <c r="B163" s="189"/>
      <c r="C163" s="190">
        <f>C151+C162</f>
        <v>234</v>
      </c>
      <c r="D163" s="189"/>
      <c r="E163" s="190">
        <f t="shared" ref="E163" si="0">E151+E162</f>
        <v>89690.036399999997</v>
      </c>
      <c r="F163" s="189"/>
      <c r="G163" s="190">
        <f t="shared" ref="G163" si="1">G151+G162</f>
        <v>142066.31938559999</v>
      </c>
      <c r="H163" s="191"/>
    </row>
    <row r="164" spans="1:14" s="16" customFormat="1">
      <c r="A164" s="131" t="s">
        <v>174</v>
      </c>
      <c r="B164" s="131"/>
      <c r="C164" s="131"/>
      <c r="D164" s="131"/>
      <c r="E164" s="131"/>
      <c r="F164" s="131"/>
      <c r="G164" s="131"/>
      <c r="H164" s="131"/>
    </row>
    <row r="165" spans="1:14">
      <c r="A165" s="61" t="s">
        <v>175</v>
      </c>
      <c r="B165" s="61"/>
      <c r="C165" s="61"/>
      <c r="D165" s="61"/>
      <c r="E165" s="61"/>
      <c r="F165" s="61"/>
      <c r="G165" s="61"/>
      <c r="H165" s="61"/>
    </row>
    <row r="166" spans="1:14" ht="47.25" customHeight="1">
      <c r="A166" s="150" t="s">
        <v>176</v>
      </c>
      <c r="B166" s="150" t="s">
        <v>177</v>
      </c>
      <c r="C166" s="150" t="s">
        <v>178</v>
      </c>
      <c r="D166" s="150" t="s">
        <v>179</v>
      </c>
      <c r="E166" s="152" t="s">
        <v>180</v>
      </c>
      <c r="F166" s="48" t="s">
        <v>181</v>
      </c>
      <c r="G166" s="154" t="s">
        <v>182</v>
      </c>
      <c r="H166" s="155"/>
    </row>
    <row r="167" spans="1:14" s="18" customFormat="1">
      <c r="A167" s="151"/>
      <c r="B167" s="151"/>
      <c r="C167" s="151"/>
      <c r="D167" s="151"/>
      <c r="E167" s="153"/>
      <c r="F167" s="49">
        <v>0.6</v>
      </c>
      <c r="G167" s="156"/>
      <c r="H167" s="157"/>
    </row>
    <row r="168" spans="1:14" s="18" customFormat="1">
      <c r="A168" s="144" t="s">
        <v>183</v>
      </c>
      <c r="B168" s="145"/>
      <c r="C168" s="145"/>
      <c r="D168" s="145"/>
      <c r="E168" s="145"/>
      <c r="F168" s="145"/>
      <c r="G168" s="145"/>
      <c r="H168" s="146"/>
    </row>
    <row r="169" spans="1:14" s="18" customFormat="1">
      <c r="A169" s="144" t="s">
        <v>184</v>
      </c>
      <c r="B169" s="145"/>
      <c r="C169" s="145"/>
      <c r="D169" s="145"/>
      <c r="E169" s="145"/>
      <c r="F169" s="145"/>
      <c r="G169" s="145"/>
      <c r="H169" s="146"/>
      <c r="J169" s="53"/>
    </row>
    <row r="170" spans="1:14" s="18" customFormat="1" ht="15.75" customHeight="1">
      <c r="A170" s="147">
        <v>1</v>
      </c>
      <c r="B170" s="148"/>
      <c r="C170" s="50" t="s">
        <v>163</v>
      </c>
      <c r="D170" s="50">
        <f>10.005*10.74</f>
        <v>107.45370000000001</v>
      </c>
      <c r="E170" s="50">
        <v>0</v>
      </c>
      <c r="F170" s="50">
        <f>(D170+E170)*(($F$167)+1)</f>
        <v>171.92592000000002</v>
      </c>
      <c r="G170" s="173" t="str">
        <f>A169</f>
        <v>Ground Floor for Commercial &amp; Parking</v>
      </c>
      <c r="H170" s="174"/>
      <c r="I170" s="53">
        <f t="shared" ref="I170:I173" si="2">7500*F170</f>
        <v>1289444.4000000001</v>
      </c>
      <c r="L170" s="149"/>
      <c r="M170" s="149"/>
      <c r="N170" s="53"/>
    </row>
    <row r="171" spans="1:14" s="18" customFormat="1" ht="15.75" customHeight="1">
      <c r="A171" s="147">
        <f t="shared" ref="A171:A179" si="3">A170+1</f>
        <v>2</v>
      </c>
      <c r="B171" s="148"/>
      <c r="C171" s="50" t="s">
        <v>163</v>
      </c>
      <c r="D171" s="50">
        <f>16.996*10.764</f>
        <v>182.94494399999996</v>
      </c>
      <c r="E171" s="50">
        <v>0</v>
      </c>
      <c r="F171" s="50">
        <f t="shared" ref="F171:F173" si="4">(D171+E171)*(($F$167)+1)</f>
        <v>292.71191039999997</v>
      </c>
      <c r="G171" s="175"/>
      <c r="H171" s="176"/>
      <c r="I171" s="53">
        <f t="shared" si="2"/>
        <v>2195339.3279999997</v>
      </c>
      <c r="L171" s="149"/>
      <c r="M171" s="149"/>
      <c r="N171" s="53"/>
    </row>
    <row r="172" spans="1:14" s="18" customFormat="1" ht="15.75" customHeight="1">
      <c r="A172" s="147">
        <f t="shared" si="3"/>
        <v>3</v>
      </c>
      <c r="B172" s="148"/>
      <c r="C172" s="50" t="s">
        <v>163</v>
      </c>
      <c r="D172" s="50">
        <f>29.831*10.764</f>
        <v>321.10088399999995</v>
      </c>
      <c r="E172" s="50">
        <v>0</v>
      </c>
      <c r="F172" s="50">
        <f t="shared" si="4"/>
        <v>513.76141439999992</v>
      </c>
      <c r="G172" s="175"/>
      <c r="H172" s="176"/>
      <c r="I172" s="53">
        <f t="shared" si="2"/>
        <v>3853210.6079999995</v>
      </c>
      <c r="L172" s="149"/>
      <c r="M172" s="149"/>
      <c r="N172" s="53"/>
    </row>
    <row r="173" spans="1:14" s="18" customFormat="1" ht="15.75" customHeight="1">
      <c r="A173" s="147">
        <f t="shared" si="3"/>
        <v>4</v>
      </c>
      <c r="B173" s="148"/>
      <c r="C173" s="50" t="s">
        <v>163</v>
      </c>
      <c r="D173" s="50">
        <f>25.74*10.764</f>
        <v>277.06535999999994</v>
      </c>
      <c r="E173" s="50">
        <v>0</v>
      </c>
      <c r="F173" s="50">
        <f t="shared" si="4"/>
        <v>443.30457599999994</v>
      </c>
      <c r="G173" s="175"/>
      <c r="H173" s="176"/>
      <c r="I173" s="53">
        <f t="shared" si="2"/>
        <v>3324784.3199999994</v>
      </c>
      <c r="L173" s="149"/>
      <c r="M173" s="149"/>
      <c r="N173" s="53"/>
    </row>
    <row r="174" spans="1:14" s="18" customFormat="1" ht="15.75" customHeight="1">
      <c r="A174" s="147">
        <f t="shared" si="3"/>
        <v>5</v>
      </c>
      <c r="B174" s="148"/>
      <c r="C174" s="50" t="s">
        <v>163</v>
      </c>
      <c r="D174" s="50">
        <f>30.615*10.764</f>
        <v>329.53985999999998</v>
      </c>
      <c r="E174" s="50">
        <v>0</v>
      </c>
      <c r="F174" s="50">
        <f t="shared" ref="F174:F176" si="5">(D174+E174)*(($F$167)+1)</f>
        <v>527.26377600000001</v>
      </c>
      <c r="G174" s="175"/>
      <c r="H174" s="176"/>
      <c r="I174" s="53">
        <f t="shared" ref="I174:I179" si="6">7500*F174</f>
        <v>3954478.32</v>
      </c>
      <c r="L174" s="149"/>
      <c r="M174" s="149"/>
      <c r="N174" s="53"/>
    </row>
    <row r="175" spans="1:14" s="18" customFormat="1" ht="15.75" customHeight="1">
      <c r="A175" s="147">
        <f t="shared" si="3"/>
        <v>6</v>
      </c>
      <c r="B175" s="148"/>
      <c r="C175" s="50" t="s">
        <v>163</v>
      </c>
      <c r="D175" s="50">
        <f>30.615*10.764</f>
        <v>329.53985999999998</v>
      </c>
      <c r="E175" s="50">
        <v>0</v>
      </c>
      <c r="F175" s="50">
        <f t="shared" si="5"/>
        <v>527.26377600000001</v>
      </c>
      <c r="G175" s="175"/>
      <c r="H175" s="176"/>
      <c r="I175" s="53">
        <f t="shared" si="6"/>
        <v>3954478.32</v>
      </c>
      <c r="L175" s="149"/>
      <c r="M175" s="149"/>
      <c r="N175" s="53"/>
    </row>
    <row r="176" spans="1:14" s="18" customFormat="1" ht="15.75" customHeight="1">
      <c r="A176" s="147">
        <f t="shared" si="3"/>
        <v>7</v>
      </c>
      <c r="B176" s="148"/>
      <c r="C176" s="50" t="s">
        <v>163</v>
      </c>
      <c r="D176" s="50">
        <f>25.74*10.764</f>
        <v>277.06535999999994</v>
      </c>
      <c r="E176" s="50">
        <v>0</v>
      </c>
      <c r="F176" s="50">
        <f t="shared" si="5"/>
        <v>443.30457599999994</v>
      </c>
      <c r="G176" s="175"/>
      <c r="H176" s="176"/>
      <c r="I176" s="53">
        <f t="shared" si="6"/>
        <v>3324784.3199999994</v>
      </c>
      <c r="L176" s="149"/>
      <c r="M176" s="149"/>
      <c r="N176" s="53"/>
    </row>
    <row r="177" spans="1:14" s="18" customFormat="1" ht="15.75" customHeight="1">
      <c r="A177" s="147">
        <f t="shared" si="3"/>
        <v>8</v>
      </c>
      <c r="B177" s="148"/>
      <c r="C177" s="50" t="s">
        <v>163</v>
      </c>
      <c r="D177" s="50">
        <f>29.831*10.764</f>
        <v>321.10088399999995</v>
      </c>
      <c r="E177" s="50">
        <v>0</v>
      </c>
      <c r="F177" s="50">
        <f t="shared" ref="F177:F179" si="7">(D177+E177)*(($F$167)+1)</f>
        <v>513.76141439999992</v>
      </c>
      <c r="G177" s="175"/>
      <c r="H177" s="176"/>
      <c r="I177" s="53">
        <f t="shared" si="6"/>
        <v>3853210.6079999995</v>
      </c>
      <c r="L177" s="149"/>
      <c r="M177" s="149"/>
      <c r="N177" s="53"/>
    </row>
    <row r="178" spans="1:14" s="18" customFormat="1" ht="15.75" customHeight="1">
      <c r="A178" s="147">
        <f t="shared" si="3"/>
        <v>9</v>
      </c>
      <c r="B178" s="148"/>
      <c r="C178" s="50" t="s">
        <v>163</v>
      </c>
      <c r="D178" s="50">
        <f>16.996*10.764</f>
        <v>182.94494399999996</v>
      </c>
      <c r="E178" s="50">
        <v>0</v>
      </c>
      <c r="F178" s="50">
        <f t="shared" si="7"/>
        <v>292.71191039999997</v>
      </c>
      <c r="G178" s="175"/>
      <c r="H178" s="176"/>
      <c r="I178" s="53">
        <f t="shared" si="6"/>
        <v>2195339.3279999997</v>
      </c>
      <c r="L178" s="149"/>
      <c r="M178" s="149"/>
      <c r="N178" s="53"/>
    </row>
    <row r="179" spans="1:14" s="18" customFormat="1" ht="15.75" customHeight="1">
      <c r="A179" s="147">
        <f t="shared" si="3"/>
        <v>10</v>
      </c>
      <c r="B179" s="148"/>
      <c r="C179" s="50" t="s">
        <v>163</v>
      </c>
      <c r="D179" s="50">
        <f>10.005*10.764</f>
        <v>107.69382</v>
      </c>
      <c r="E179" s="50">
        <v>0</v>
      </c>
      <c r="F179" s="50">
        <f t="shared" si="7"/>
        <v>172.310112</v>
      </c>
      <c r="G179" s="177"/>
      <c r="H179" s="178"/>
      <c r="I179" s="53">
        <f t="shared" si="6"/>
        <v>1292325.8400000001</v>
      </c>
      <c r="L179" s="149"/>
      <c r="M179" s="149"/>
      <c r="N179" s="53"/>
    </row>
    <row r="180" spans="1:14" s="18" customFormat="1">
      <c r="A180" s="158"/>
      <c r="B180" s="158"/>
      <c r="C180" s="158"/>
      <c r="D180" s="158"/>
      <c r="E180" s="158"/>
      <c r="F180" s="158"/>
      <c r="G180" s="158"/>
      <c r="H180" s="158"/>
      <c r="I180" s="53"/>
      <c r="N180" s="53"/>
    </row>
    <row r="181" spans="1:14" ht="47.25" customHeight="1">
      <c r="A181" s="159" t="s">
        <v>185</v>
      </c>
      <c r="B181" s="159" t="s">
        <v>186</v>
      </c>
      <c r="C181" s="159" t="s">
        <v>178</v>
      </c>
      <c r="D181" s="159" t="s">
        <v>179</v>
      </c>
      <c r="E181" s="160" t="s">
        <v>187</v>
      </c>
      <c r="F181" s="51" t="s">
        <v>188</v>
      </c>
      <c r="G181" s="159" t="s">
        <v>182</v>
      </c>
      <c r="H181" s="159"/>
      <c r="I181" s="53"/>
    </row>
    <row r="182" spans="1:14" s="18" customFormat="1" hidden="1">
      <c r="A182" s="159"/>
      <c r="B182" s="159"/>
      <c r="C182" s="159"/>
      <c r="D182" s="159"/>
      <c r="E182" s="160"/>
      <c r="F182" s="52">
        <v>0.45</v>
      </c>
      <c r="G182" s="159"/>
      <c r="H182" s="159"/>
      <c r="I182" s="53"/>
    </row>
    <row r="183" spans="1:14" s="18" customFormat="1">
      <c r="A183" s="144" t="s">
        <v>165</v>
      </c>
      <c r="B183" s="145"/>
      <c r="C183" s="145"/>
      <c r="D183" s="145"/>
      <c r="E183" s="145"/>
      <c r="F183" s="145"/>
      <c r="G183" s="145"/>
      <c r="H183" s="146"/>
      <c r="I183" s="53"/>
    </row>
    <row r="184" spans="1:14" s="18" customFormat="1">
      <c r="A184" s="144" t="s">
        <v>189</v>
      </c>
      <c r="B184" s="145"/>
      <c r="C184" s="145"/>
      <c r="D184" s="145"/>
      <c r="E184" s="145"/>
      <c r="F184" s="145"/>
      <c r="G184" s="145"/>
      <c r="H184" s="146"/>
      <c r="J184" s="53"/>
    </row>
    <row r="185" spans="1:14" s="18" customFormat="1">
      <c r="A185" s="147">
        <v>101</v>
      </c>
      <c r="B185" s="148"/>
      <c r="C185" s="50" t="s">
        <v>190</v>
      </c>
      <c r="D185" s="50">
        <f>(30.83+5.45)*10.764</f>
        <v>390.51792</v>
      </c>
      <c r="E185" s="50">
        <v>0</v>
      </c>
      <c r="F185" s="50">
        <v>606</v>
      </c>
      <c r="G185" s="147" t="str">
        <f>A184</f>
        <v>1st Floor for Residential</v>
      </c>
      <c r="H185" s="148"/>
      <c r="I185" s="53">
        <f>4.2*2.8+2.15*2.05+3.05*2.05+1.2*1.8+1.95*1.2+1.2*0.2+1.2*0.6+2.75*0.75</f>
        <v>29.942499999999999</v>
      </c>
      <c r="J185" s="18">
        <f>1217785/F185</f>
        <v>2009.546204620462</v>
      </c>
      <c r="K185" s="18">
        <f>4000*F185</f>
        <v>2424000</v>
      </c>
      <c r="L185" s="149"/>
      <c r="M185" s="149"/>
      <c r="N185" s="53"/>
    </row>
    <row r="186" spans="1:14" s="18" customFormat="1">
      <c r="A186" s="147">
        <f t="shared" ref="A186:A188" si="8">A185+1</f>
        <v>102</v>
      </c>
      <c r="B186" s="148"/>
      <c r="C186" s="50" t="s">
        <v>190</v>
      </c>
      <c r="D186" s="50">
        <f>(30.83+5.45)*10.764</f>
        <v>390.51792</v>
      </c>
      <c r="E186" s="50">
        <v>0</v>
      </c>
      <c r="F186" s="50">
        <v>606</v>
      </c>
      <c r="G186" s="147" t="str">
        <f t="shared" ref="G186:G188" si="9">G185</f>
        <v>1st Floor for Residential</v>
      </c>
      <c r="H186" s="148"/>
      <c r="I186" s="53"/>
      <c r="J186" s="18">
        <f>F186/D186</f>
        <v>1.5517853828577188</v>
      </c>
      <c r="L186" s="149"/>
      <c r="M186" s="149"/>
      <c r="N186" s="53"/>
    </row>
    <row r="187" spans="1:14" s="18" customFormat="1">
      <c r="A187" s="147">
        <f t="shared" si="8"/>
        <v>103</v>
      </c>
      <c r="B187" s="148"/>
      <c r="C187" s="50" t="s">
        <v>191</v>
      </c>
      <c r="D187" s="50">
        <f>(48.251)*10.764</f>
        <v>519.37376399999994</v>
      </c>
      <c r="E187" s="50">
        <f>37.473*10.764</f>
        <v>403.35937199999995</v>
      </c>
      <c r="F187" s="50">
        <v>1177</v>
      </c>
      <c r="G187" s="147" t="str">
        <f t="shared" si="9"/>
        <v>1st Floor for Residential</v>
      </c>
      <c r="H187" s="148"/>
      <c r="I187" s="54">
        <f>F187/D187</f>
        <v>2.266190711935923</v>
      </c>
      <c r="L187" s="149"/>
      <c r="M187" s="149"/>
      <c r="N187" s="53"/>
    </row>
    <row r="188" spans="1:14" s="18" customFormat="1">
      <c r="A188" s="147">
        <f t="shared" si="8"/>
        <v>104</v>
      </c>
      <c r="B188" s="148"/>
      <c r="C188" s="50" t="s">
        <v>191</v>
      </c>
      <c r="D188" s="50">
        <f>(43.919+8.75)*10.764</f>
        <v>566.92911599999991</v>
      </c>
      <c r="E188" s="50">
        <v>0</v>
      </c>
      <c r="F188" s="50">
        <v>823</v>
      </c>
      <c r="G188" s="147" t="str">
        <f t="shared" si="9"/>
        <v>1st Floor for Residential</v>
      </c>
      <c r="H188" s="148"/>
      <c r="I188" s="54">
        <f t="shared" ref="I188:I215" si="10">F188/D188</f>
        <v>1.4516806012834946</v>
      </c>
      <c r="L188" s="149"/>
      <c r="M188" s="149"/>
      <c r="N188" s="53"/>
    </row>
    <row r="189" spans="1:14" s="18" customFormat="1">
      <c r="A189" s="144" t="s">
        <v>192</v>
      </c>
      <c r="B189" s="145"/>
      <c r="C189" s="145"/>
      <c r="D189" s="145"/>
      <c r="E189" s="145"/>
      <c r="F189" s="145"/>
      <c r="G189" s="145"/>
      <c r="H189" s="146"/>
      <c r="I189" s="54" t="e">
        <f t="shared" si="10"/>
        <v>#DIV/0!</v>
      </c>
    </row>
    <row r="190" spans="1:14" s="18" customFormat="1">
      <c r="A190" s="147" t="str">
        <f ca="1">(SUMPRODUCT(MID(0&amp;(LEFT(A189,SUM(LEN(A189)-LEN(SUBSTITUTE(A189,{"0","1","2"},""))))),LARGE(INDEX(ISNUMBER(--MID((LEFT(A189,SUM(LEN(A189)-LEN(SUBSTITUTE(A189,{"0","1","2"},""))))),ROW(INDIRECT("1:"&amp;LEN((LEFT(A189,SUM(LEN(A189)-LEN(SUBSTITUTE(A189,{"0","1","2"},"")))))))),1))*ROW(INDIRECT("1:"&amp;LEN((LEFT(A189,SUM(LEN(A189)-LEN(SUBSTITUTE(A189,{"0","1","2"},"")))))))),0),ROW(INDIRECT("1:"&amp;LEN((LEFT(A189,SUM(LEN(A189)-LEN(SUBSTITUTE(A189,{"0","1","2"},"")))))))))+1,1)*10^ROW(INDIRECT("1:"&amp;LEN((LEFT(A189,SUM(LEN(A189)-LEN(SUBSTITUTE(A189,{"0","1","2"},""))))))))/10))*100+1&amp;""&amp;" to "&amp;""&amp;(SUMPRODUCT(MID(0&amp;(--TRIM(RIGHT(SUBSTITUTE(LEFT(A189,_xlfn.AGGREGATE(16,6,FIND({0,1,2,3,4,5,6,7,8,9},A189,ROW(INDIRECT("1:"&amp;LEN(A189)))),1))," ",REPT(" ",LEN(A189))),LEN(A189)))),LARGE(INDEX(ISNUMBER(--MID((--TRIM(RIGHT(SUBSTITUTE(LEFT(A189,_xlfn.AGGREGATE(16,6,FIND({0,1,2,3,4,5,6,7,8,9},A189,ROW(INDIRECT("1:"&amp;LEN(A189)))),1))," ",REPT(" ",LEN(A189))),LEN(A189)))),ROW(INDIRECT("1:"&amp;LEN((--TRIM(RIGHT(SUBSTITUTE(LEFT(A189,_xlfn.AGGREGATE(16,6,FIND({0,1,2,3,4,5,6,7,8,9},A189,ROW(INDIRECT("1:"&amp;LEN(A189)))),1))," ",REPT(" ",LEN(A189))),LEN(A189))))))),1))*ROW(INDIRECT("1:"&amp;LEN((--TRIM(RIGHT(SUBSTITUTE(LEFT(A189,_xlfn.AGGREGATE(16,6,FIND({0,1,2,3,4,5,6,7,8,9},A189,ROW(INDIRECT("1:"&amp;LEN(A189)))),1))," ",REPT(" ",LEN(A189))),LEN(A189))))))),0),ROW(INDIRECT("1:"&amp;LEN((--TRIM(RIGHT(SUBSTITUTE(LEFT(A189,_xlfn.AGGREGATE(16,6,FIND({0,1,2,3,4,5,6,7,8,9},A189,ROW(INDIRECT("1:"&amp;LEN(A189)))),1))," ",REPT(" ",LEN(A189))),LEN(A189))))))))+1,1)*10^ROW(INDIRECT("1:"&amp;LEN((--TRIM(RIGHT(SUBSTITUTE(LEFT(A189,_xlfn.AGGREGATE(16,6,FIND({0,1,2,3,4,5,6,7,8,9},A189,ROW(INDIRECT("1:"&amp;LEN(A189)))),1))," ",REPT(" ",LEN(A189))),LEN(A189)))))))/10))*100+1</f>
        <v>201 to 701</v>
      </c>
      <c r="B190" s="148"/>
      <c r="C190" s="50" t="s">
        <v>190</v>
      </c>
      <c r="D190" s="50">
        <f>(30.83+5.45)*10.764</f>
        <v>390.51792</v>
      </c>
      <c r="E190" s="50">
        <v>0</v>
      </c>
      <c r="F190" s="50">
        <v>606</v>
      </c>
      <c r="G190" s="147" t="str">
        <f>A189</f>
        <v>2nd to 7th Floor</v>
      </c>
      <c r="H190" s="148"/>
      <c r="I190" s="54">
        <f t="shared" si="10"/>
        <v>1.5517853828577188</v>
      </c>
    </row>
    <row r="191" spans="1:14" s="18" customFormat="1">
      <c r="A191" s="147" t="str">
        <f ca="1">(SUMPRODUCT(MID(0&amp;(LEFT(A190,SUM(LEN(A190)-LEN(SUBSTITUTE(A190,{"0","1","2"},""))))),LARGE(INDEX(ISNUMBER(--MID((LEFT(A190,SUM(LEN(A190)-LEN(SUBSTITUTE(A190,{"0","1","2"},""))))),ROW(INDIRECT("1:"&amp;LEN((LEFT(A190,SUM(LEN(A190)-LEN(SUBSTITUTE(A190,{"0","1","2"},"")))))))),1))*ROW(INDIRECT("1:"&amp;LEN((LEFT(A190,SUM(LEN(A190)-LEN(SUBSTITUTE(A190,{"0","1","2"},"")))))))),0),ROW(INDIRECT("1:"&amp;LEN((LEFT(A190,SUM(LEN(A190)-LEN(SUBSTITUTE(A190,{"0","1","2"},"")))))))))+1,1)*10^ROW(INDIRECT("1:"&amp;LEN((LEFT(A190,SUM(LEN(A190)-LEN(SUBSTITUTE(A190,{"0","1","2"},""))))))))/10))*1+1&amp;""&amp;" to "&amp;""&amp;(SUMPRODUCT(MID(0&amp;(--TRIM(RIGHT(SUBSTITUTE(LEFT(A190,_xlfn.AGGREGATE(16,6,FIND({0,1,2,3,4,5,6,7,8,9},A190,ROW(INDIRECT("1:"&amp;LEN(A190)))),1))," ",REPT(" ",LEN(A190))),LEN(A190)))),LARGE(INDEX(ISNUMBER(--MID((--TRIM(RIGHT(SUBSTITUTE(LEFT(A190,_xlfn.AGGREGATE(16,6,FIND({0,1,2,3,4,5,6,7,8,9},A190,ROW(INDIRECT("1:"&amp;LEN(A190)))),1))," ",REPT(" ",LEN(A190))),LEN(A190)))),ROW(INDIRECT("1:"&amp;LEN((--TRIM(RIGHT(SUBSTITUTE(LEFT(A190,_xlfn.AGGREGATE(16,6,FIND({0,1,2,3,4,5,6,7,8,9},A190,ROW(INDIRECT("1:"&amp;LEN(A190)))),1))," ",REPT(" ",LEN(A190))),LEN(A190))))))),1))*ROW(INDIRECT("1:"&amp;LEN((--TRIM(RIGHT(SUBSTITUTE(LEFT(A190,_xlfn.AGGREGATE(16,6,FIND({0,1,2,3,4,5,6,7,8,9},A190,ROW(INDIRECT("1:"&amp;LEN(A190)))),1))," ",REPT(" ",LEN(A190))),LEN(A190))))))),0),ROW(INDIRECT("1:"&amp;LEN((--TRIM(RIGHT(SUBSTITUTE(LEFT(A190,_xlfn.AGGREGATE(16,6,FIND({0,1,2,3,4,5,6,7,8,9},A190,ROW(INDIRECT("1:"&amp;LEN(A190)))),1))," ",REPT(" ",LEN(A190))),LEN(A190))))))))+1,1)*10^ROW(INDIRECT("1:"&amp;LEN((--TRIM(RIGHT(SUBSTITUTE(LEFT(A190,_xlfn.AGGREGATE(16,6,FIND({0,1,2,3,4,5,6,7,8,9},A190,ROW(INDIRECT("1:"&amp;LEN(A190)))),1))," ",REPT(" ",LEN(A190))),LEN(A190)))))))/10))*1+1</f>
        <v>202 to 702</v>
      </c>
      <c r="B191" s="148"/>
      <c r="C191" s="50" t="s">
        <v>190</v>
      </c>
      <c r="D191" s="50">
        <f>(30.83+5.45)*10.764</f>
        <v>390.51792</v>
      </c>
      <c r="E191" s="50">
        <v>0</v>
      </c>
      <c r="F191" s="50">
        <v>606</v>
      </c>
      <c r="G191" s="147" t="str">
        <f>G190</f>
        <v>2nd to 7th Floor</v>
      </c>
      <c r="H191" s="148"/>
      <c r="I191" s="54">
        <f t="shared" si="10"/>
        <v>1.5517853828577188</v>
      </c>
    </row>
    <row r="192" spans="1:14" s="18" customFormat="1">
      <c r="A192" s="147" t="str">
        <f ca="1">(SUMPRODUCT(MID(0&amp;(LEFT(A191,SUM(LEN(A191)-LEN(SUBSTITUTE(A191,{"0","1","2"},""))))),LARGE(INDEX(ISNUMBER(--MID((LEFT(A191,SUM(LEN(A191)-LEN(SUBSTITUTE(A191,{"0","1","2"},""))))),ROW(INDIRECT("1:"&amp;LEN((LEFT(A191,SUM(LEN(A191)-LEN(SUBSTITUTE(A191,{"0","1","2"},"")))))))),1))*ROW(INDIRECT("1:"&amp;LEN((LEFT(A191,SUM(LEN(A191)-LEN(SUBSTITUTE(A191,{"0","1","2"},"")))))))),0),ROW(INDIRECT("1:"&amp;LEN((LEFT(A191,SUM(LEN(A191)-LEN(SUBSTITUTE(A191,{"0","1","2"},"")))))))))+1,1)*10^ROW(INDIRECT("1:"&amp;LEN((LEFT(A191,SUM(LEN(A191)-LEN(SUBSTITUTE(A191,{"0","1","2"},""))))))))/10))*1+1&amp;""&amp;" to "&amp;""&amp;(SUMPRODUCT(MID(0&amp;(--TRIM(RIGHT(SUBSTITUTE(LEFT(A191,_xlfn.AGGREGATE(16,6,FIND({0,1,2,3,4,5,6,7,8,9},A191,ROW(INDIRECT("1:"&amp;LEN(A191)))),1))," ",REPT(" ",LEN(A191))),LEN(A191)))),LARGE(INDEX(ISNUMBER(--MID((--TRIM(RIGHT(SUBSTITUTE(LEFT(A191,_xlfn.AGGREGATE(16,6,FIND({0,1,2,3,4,5,6,7,8,9},A191,ROW(INDIRECT("1:"&amp;LEN(A191)))),1))," ",REPT(" ",LEN(A191))),LEN(A191)))),ROW(INDIRECT("1:"&amp;LEN((--TRIM(RIGHT(SUBSTITUTE(LEFT(A191,_xlfn.AGGREGATE(16,6,FIND({0,1,2,3,4,5,6,7,8,9},A191,ROW(INDIRECT("1:"&amp;LEN(A191)))),1))," ",REPT(" ",LEN(A191))),LEN(A191))))))),1))*ROW(INDIRECT("1:"&amp;LEN((--TRIM(RIGHT(SUBSTITUTE(LEFT(A191,_xlfn.AGGREGATE(16,6,FIND({0,1,2,3,4,5,6,7,8,9},A191,ROW(INDIRECT("1:"&amp;LEN(A191)))),1))," ",REPT(" ",LEN(A191))),LEN(A191))))))),0),ROW(INDIRECT("1:"&amp;LEN((--TRIM(RIGHT(SUBSTITUTE(LEFT(A191,_xlfn.AGGREGATE(16,6,FIND({0,1,2,3,4,5,6,7,8,9},A191,ROW(INDIRECT("1:"&amp;LEN(A191)))),1))," ",REPT(" ",LEN(A191))),LEN(A191))))))))+1,1)*10^ROW(INDIRECT("1:"&amp;LEN((--TRIM(RIGHT(SUBSTITUTE(LEFT(A191,_xlfn.AGGREGATE(16,6,FIND({0,1,2,3,4,5,6,7,8,9},A191,ROW(INDIRECT("1:"&amp;LEN(A191)))),1))," ",REPT(" ",LEN(A191))),LEN(A191)))))))/10))*1+1</f>
        <v>203 to 703</v>
      </c>
      <c r="B192" s="148"/>
      <c r="C192" s="50" t="s">
        <v>191</v>
      </c>
      <c r="D192" s="50">
        <f>(48.251)*10.764</f>
        <v>519.37376399999994</v>
      </c>
      <c r="E192" s="50">
        <v>0</v>
      </c>
      <c r="F192" s="50">
        <v>812</v>
      </c>
      <c r="G192" s="147" t="str">
        <f>G191</f>
        <v>2nd to 7th Floor</v>
      </c>
      <c r="H192" s="148"/>
      <c r="I192" s="54">
        <f t="shared" si="10"/>
        <v>1.5634212897977651</v>
      </c>
    </row>
    <row r="193" spans="1:14" s="18" customFormat="1">
      <c r="A193" s="147" t="str">
        <f ca="1">(SUMPRODUCT(MID(0&amp;(LEFT(A192,SUM(LEN(A192)-LEN(SUBSTITUTE(A192,{"0","1","2"},""))))),LARGE(INDEX(ISNUMBER(--MID((LEFT(A192,SUM(LEN(A192)-LEN(SUBSTITUTE(A192,{"0","1","2"},""))))),ROW(INDIRECT("1:"&amp;LEN((LEFT(A192,SUM(LEN(A192)-LEN(SUBSTITUTE(A192,{"0","1","2"},"")))))))),1))*ROW(INDIRECT("1:"&amp;LEN((LEFT(A192,SUM(LEN(A192)-LEN(SUBSTITUTE(A192,{"0","1","2"},"")))))))),0),ROW(INDIRECT("1:"&amp;LEN((LEFT(A192,SUM(LEN(A192)-LEN(SUBSTITUTE(A192,{"0","1","2"},"")))))))))+1,1)*10^ROW(INDIRECT("1:"&amp;LEN((LEFT(A192,SUM(LEN(A192)-LEN(SUBSTITUTE(A192,{"0","1","2"},""))))))))/10))*1+1&amp;""&amp;" to "&amp;""&amp;(SUMPRODUCT(MID(0&amp;(--TRIM(RIGHT(SUBSTITUTE(LEFT(A192,_xlfn.AGGREGATE(16,6,FIND({0,1,2,3,4,5,6,7,8,9},A192,ROW(INDIRECT("1:"&amp;LEN(A192)))),1))," ",REPT(" ",LEN(A192))),LEN(A192)))),LARGE(INDEX(ISNUMBER(--MID((--TRIM(RIGHT(SUBSTITUTE(LEFT(A192,_xlfn.AGGREGATE(16,6,FIND({0,1,2,3,4,5,6,7,8,9},A192,ROW(INDIRECT("1:"&amp;LEN(A192)))),1))," ",REPT(" ",LEN(A192))),LEN(A192)))),ROW(INDIRECT("1:"&amp;LEN((--TRIM(RIGHT(SUBSTITUTE(LEFT(A192,_xlfn.AGGREGATE(16,6,FIND({0,1,2,3,4,5,6,7,8,9},A192,ROW(INDIRECT("1:"&amp;LEN(A192)))),1))," ",REPT(" ",LEN(A192))),LEN(A192))))))),1))*ROW(INDIRECT("1:"&amp;LEN((--TRIM(RIGHT(SUBSTITUTE(LEFT(A192,_xlfn.AGGREGATE(16,6,FIND({0,1,2,3,4,5,6,7,8,9},A192,ROW(INDIRECT("1:"&amp;LEN(A192)))),1))," ",REPT(" ",LEN(A192))),LEN(A192))))))),0),ROW(INDIRECT("1:"&amp;LEN((--TRIM(RIGHT(SUBSTITUTE(LEFT(A192,_xlfn.AGGREGATE(16,6,FIND({0,1,2,3,4,5,6,7,8,9},A192,ROW(INDIRECT("1:"&amp;LEN(A192)))),1))," ",REPT(" ",LEN(A192))),LEN(A192))))))))+1,1)*10^ROW(INDIRECT("1:"&amp;LEN((--TRIM(RIGHT(SUBSTITUTE(LEFT(A192,_xlfn.AGGREGATE(16,6,FIND({0,1,2,3,4,5,6,7,8,9},A192,ROW(INDIRECT("1:"&amp;LEN(A192)))),1))," ",REPT(" ",LEN(A192))),LEN(A192)))))))/10))*1+1</f>
        <v>204 to 704</v>
      </c>
      <c r="B193" s="148"/>
      <c r="C193" s="50" t="s">
        <v>191</v>
      </c>
      <c r="D193" s="50">
        <f>(43.919+8.75)*10.764</f>
        <v>566.92911599999991</v>
      </c>
      <c r="E193" s="50">
        <v>0</v>
      </c>
      <c r="F193" s="50">
        <v>823</v>
      </c>
      <c r="G193" s="147" t="str">
        <f>G192</f>
        <v>2nd to 7th Floor</v>
      </c>
      <c r="H193" s="148"/>
      <c r="I193" s="54">
        <f t="shared" si="10"/>
        <v>1.4516806012834946</v>
      </c>
      <c r="J193" s="18">
        <f>2721000/F193</f>
        <v>3306.1968408262455</v>
      </c>
    </row>
    <row r="194" spans="1:14" s="18" customFormat="1">
      <c r="A194" s="144" t="s">
        <v>166</v>
      </c>
      <c r="B194" s="145"/>
      <c r="C194" s="145"/>
      <c r="D194" s="145"/>
      <c r="E194" s="145"/>
      <c r="F194" s="145"/>
      <c r="G194" s="145"/>
      <c r="H194" s="146"/>
      <c r="I194" s="54" t="e">
        <f t="shared" si="10"/>
        <v>#DIV/0!</v>
      </c>
    </row>
    <row r="195" spans="1:14" s="18" customFormat="1">
      <c r="A195" s="144" t="s">
        <v>193</v>
      </c>
      <c r="B195" s="145"/>
      <c r="C195" s="145"/>
      <c r="D195" s="145"/>
      <c r="E195" s="145"/>
      <c r="F195" s="145"/>
      <c r="G195" s="145"/>
      <c r="H195" s="146"/>
      <c r="I195" s="54" t="e">
        <f t="shared" ref="I195" si="11">F195/D195</f>
        <v>#DIV/0!</v>
      </c>
      <c r="J195" s="53"/>
    </row>
    <row r="196" spans="1:14" s="18" customFormat="1">
      <c r="A196" s="144" t="s">
        <v>189</v>
      </c>
      <c r="B196" s="145"/>
      <c r="C196" s="145"/>
      <c r="D196" s="145"/>
      <c r="E196" s="145"/>
      <c r="F196" s="145"/>
      <c r="G196" s="145"/>
      <c r="H196" s="146"/>
      <c r="I196" s="54" t="e">
        <f t="shared" si="10"/>
        <v>#DIV/0!</v>
      </c>
      <c r="J196" s="18" t="e">
        <f t="shared" ref="J196:J203" si="12">F196/D196</f>
        <v>#DIV/0!</v>
      </c>
    </row>
    <row r="197" spans="1:14" s="18" customFormat="1">
      <c r="A197" s="147">
        <v>101</v>
      </c>
      <c r="B197" s="148"/>
      <c r="C197" s="50" t="s">
        <v>190</v>
      </c>
      <c r="D197" s="50">
        <f>(27.89+5.65)*10.764</f>
        <v>361.02455999999995</v>
      </c>
      <c r="E197" s="50">
        <v>0</v>
      </c>
      <c r="F197" s="50">
        <v>558</v>
      </c>
      <c r="G197" s="147" t="str">
        <f>A196</f>
        <v>1st Floor for Residential</v>
      </c>
      <c r="H197" s="148"/>
      <c r="I197" s="54">
        <f t="shared" si="10"/>
        <v>1.5456012189309227</v>
      </c>
      <c r="J197" s="18">
        <f t="shared" si="12"/>
        <v>1.5456012189309227</v>
      </c>
      <c r="L197" s="149"/>
      <c r="M197" s="149"/>
      <c r="N197" s="53"/>
    </row>
    <row r="198" spans="1:14" s="18" customFormat="1">
      <c r="A198" s="147">
        <f t="shared" ref="A198:A200" si="13">A197+1</f>
        <v>102</v>
      </c>
      <c r="B198" s="148"/>
      <c r="C198" s="50" t="s">
        <v>194</v>
      </c>
      <c r="D198" s="50">
        <f>(20.87+2.5)*10.764</f>
        <v>251.55467999999999</v>
      </c>
      <c r="E198" s="50">
        <v>0</v>
      </c>
      <c r="F198" s="50">
        <v>400</v>
      </c>
      <c r="G198" s="147" t="str">
        <f t="shared" ref="G198:G200" si="14">G197</f>
        <v>1st Floor for Residential</v>
      </c>
      <c r="H198" s="148"/>
      <c r="I198" s="54">
        <f t="shared" si="10"/>
        <v>1.5901115415543055</v>
      </c>
      <c r="J198" s="18">
        <f t="shared" si="12"/>
        <v>1.5901115415543055</v>
      </c>
      <c r="L198" s="149"/>
      <c r="M198" s="149"/>
      <c r="N198" s="53"/>
    </row>
    <row r="199" spans="1:14" s="18" customFormat="1">
      <c r="A199" s="147">
        <f t="shared" si="13"/>
        <v>103</v>
      </c>
      <c r="B199" s="148"/>
      <c r="C199" s="50" t="s">
        <v>194</v>
      </c>
      <c r="D199" s="50">
        <f>21.21*10.764</f>
        <v>228.30444</v>
      </c>
      <c r="E199" s="50">
        <v>0</v>
      </c>
      <c r="F199" s="50">
        <v>375</v>
      </c>
      <c r="G199" s="147" t="str">
        <f t="shared" si="14"/>
        <v>1st Floor for Residential</v>
      </c>
      <c r="H199" s="148"/>
      <c r="I199" s="54">
        <f t="shared" si="10"/>
        <v>1.6425436141320773</v>
      </c>
      <c r="J199" s="18">
        <f t="shared" si="12"/>
        <v>1.6425436141320773</v>
      </c>
      <c r="L199" s="149"/>
      <c r="M199" s="149"/>
      <c r="N199" s="53"/>
    </row>
    <row r="200" spans="1:14" s="18" customFormat="1">
      <c r="A200" s="147">
        <f t="shared" si="13"/>
        <v>104</v>
      </c>
      <c r="B200" s="148"/>
      <c r="C200" s="50" t="s">
        <v>190</v>
      </c>
      <c r="D200" s="50">
        <f>(27.89+5.65)*10.764</f>
        <v>361.02455999999995</v>
      </c>
      <c r="E200" s="50">
        <v>0</v>
      </c>
      <c r="F200" s="50">
        <v>558</v>
      </c>
      <c r="G200" s="147" t="str">
        <f t="shared" si="14"/>
        <v>1st Floor for Residential</v>
      </c>
      <c r="H200" s="148"/>
      <c r="I200" s="54">
        <f t="shared" si="10"/>
        <v>1.5456012189309227</v>
      </c>
      <c r="J200" s="18">
        <f t="shared" si="12"/>
        <v>1.5456012189309227</v>
      </c>
      <c r="L200" s="149"/>
      <c r="M200" s="149"/>
      <c r="N200" s="53"/>
    </row>
    <row r="201" spans="1:14" s="18" customFormat="1">
      <c r="A201" s="144" t="s">
        <v>192</v>
      </c>
      <c r="B201" s="145"/>
      <c r="C201" s="145"/>
      <c r="D201" s="145"/>
      <c r="E201" s="145"/>
      <c r="F201" s="145"/>
      <c r="G201" s="145"/>
      <c r="H201" s="146"/>
      <c r="I201" s="54" t="e">
        <f t="shared" si="10"/>
        <v>#DIV/0!</v>
      </c>
      <c r="J201" s="18" t="e">
        <f t="shared" si="12"/>
        <v>#DIV/0!</v>
      </c>
    </row>
    <row r="202" spans="1:14" s="18" customFormat="1">
      <c r="A202" s="147" t="str">
        <f ca="1">(SUMPRODUCT(MID(0&amp;(LEFT(A201,SUM(LEN(A201)-LEN(SUBSTITUTE(A201,{"0","1","2"},""))))),LARGE(INDEX(ISNUMBER(--MID((LEFT(A201,SUM(LEN(A201)-LEN(SUBSTITUTE(A201,{"0","1","2"},""))))),ROW(INDIRECT("1:"&amp;LEN((LEFT(A201,SUM(LEN(A201)-LEN(SUBSTITUTE(A201,{"0","1","2"},"")))))))),1))*ROW(INDIRECT("1:"&amp;LEN((LEFT(A201,SUM(LEN(A201)-LEN(SUBSTITUTE(A201,{"0","1","2"},"")))))))),0),ROW(INDIRECT("1:"&amp;LEN((LEFT(A201,SUM(LEN(A201)-LEN(SUBSTITUTE(A201,{"0","1","2"},"")))))))))+1,1)*10^ROW(INDIRECT("1:"&amp;LEN((LEFT(A201,SUM(LEN(A201)-LEN(SUBSTITUTE(A201,{"0","1","2"},""))))))))/10))*100+1&amp;""&amp;" to "&amp;""&amp;(SUMPRODUCT(MID(0&amp;(--TRIM(RIGHT(SUBSTITUTE(LEFT(A201,_xlfn.AGGREGATE(16,6,FIND({0,1,2,3,4,5,6,7,8,9},A201,ROW(INDIRECT("1:"&amp;LEN(A201)))),1))," ",REPT(" ",LEN(A201))),LEN(A201)))),LARGE(INDEX(ISNUMBER(--MID((--TRIM(RIGHT(SUBSTITUTE(LEFT(A201,_xlfn.AGGREGATE(16,6,FIND({0,1,2,3,4,5,6,7,8,9},A201,ROW(INDIRECT("1:"&amp;LEN(A201)))),1))," ",REPT(" ",LEN(A201))),LEN(A201)))),ROW(INDIRECT("1:"&amp;LEN((--TRIM(RIGHT(SUBSTITUTE(LEFT(A201,_xlfn.AGGREGATE(16,6,FIND({0,1,2,3,4,5,6,7,8,9},A201,ROW(INDIRECT("1:"&amp;LEN(A201)))),1))," ",REPT(" ",LEN(A201))),LEN(A201))))))),1))*ROW(INDIRECT("1:"&amp;LEN((--TRIM(RIGHT(SUBSTITUTE(LEFT(A201,_xlfn.AGGREGATE(16,6,FIND({0,1,2,3,4,5,6,7,8,9},A201,ROW(INDIRECT("1:"&amp;LEN(A201)))),1))," ",REPT(" ",LEN(A201))),LEN(A201))))))),0),ROW(INDIRECT("1:"&amp;LEN((--TRIM(RIGHT(SUBSTITUTE(LEFT(A201,_xlfn.AGGREGATE(16,6,FIND({0,1,2,3,4,5,6,7,8,9},A201,ROW(INDIRECT("1:"&amp;LEN(A201)))),1))," ",REPT(" ",LEN(A201))),LEN(A201))))))))+1,1)*10^ROW(INDIRECT("1:"&amp;LEN((--TRIM(RIGHT(SUBSTITUTE(LEFT(A201,_xlfn.AGGREGATE(16,6,FIND({0,1,2,3,4,5,6,7,8,9},A201,ROW(INDIRECT("1:"&amp;LEN(A201)))),1))," ",REPT(" ",LEN(A201))),LEN(A201)))))))/10))*100+1</f>
        <v>201 to 701</v>
      </c>
      <c r="B202" s="148"/>
      <c r="C202" s="50" t="s">
        <v>190</v>
      </c>
      <c r="D202" s="50">
        <f>(27.89+5.65)*10.764</f>
        <v>361.02455999999995</v>
      </c>
      <c r="E202" s="50">
        <v>0</v>
      </c>
      <c r="F202" s="50">
        <v>558</v>
      </c>
      <c r="G202" s="147" t="str">
        <f>A201</f>
        <v>2nd to 7th Floor</v>
      </c>
      <c r="H202" s="148"/>
      <c r="I202" s="54">
        <f t="shared" si="10"/>
        <v>1.5456012189309227</v>
      </c>
      <c r="J202" s="18">
        <f t="shared" si="12"/>
        <v>1.5456012189309227</v>
      </c>
    </row>
    <row r="203" spans="1:14" s="18" customFormat="1">
      <c r="A203" s="147" t="str">
        <f ca="1">(SUMPRODUCT(MID(0&amp;(LEFT(A202,SUM(LEN(A202)-LEN(SUBSTITUTE(A202,{"0","1","2"},""))))),LARGE(INDEX(ISNUMBER(--MID((LEFT(A202,SUM(LEN(A202)-LEN(SUBSTITUTE(A202,{"0","1","2"},""))))),ROW(INDIRECT("1:"&amp;LEN((LEFT(A202,SUM(LEN(A202)-LEN(SUBSTITUTE(A202,{"0","1","2"},"")))))))),1))*ROW(INDIRECT("1:"&amp;LEN((LEFT(A202,SUM(LEN(A202)-LEN(SUBSTITUTE(A202,{"0","1","2"},"")))))))),0),ROW(INDIRECT("1:"&amp;LEN((LEFT(A202,SUM(LEN(A202)-LEN(SUBSTITUTE(A202,{"0","1","2"},"")))))))))+1,1)*10^ROW(INDIRECT("1:"&amp;LEN((LEFT(A202,SUM(LEN(A202)-LEN(SUBSTITUTE(A202,{"0","1","2"},""))))))))/10))*1+1&amp;""&amp;" to "&amp;""&amp;(SUMPRODUCT(MID(0&amp;(--TRIM(RIGHT(SUBSTITUTE(LEFT(A202,_xlfn.AGGREGATE(16,6,FIND({0,1,2,3,4,5,6,7,8,9},A202,ROW(INDIRECT("1:"&amp;LEN(A202)))),1))," ",REPT(" ",LEN(A202))),LEN(A202)))),LARGE(INDEX(ISNUMBER(--MID((--TRIM(RIGHT(SUBSTITUTE(LEFT(A202,_xlfn.AGGREGATE(16,6,FIND({0,1,2,3,4,5,6,7,8,9},A202,ROW(INDIRECT("1:"&amp;LEN(A202)))),1))," ",REPT(" ",LEN(A202))),LEN(A202)))),ROW(INDIRECT("1:"&amp;LEN((--TRIM(RIGHT(SUBSTITUTE(LEFT(A202,_xlfn.AGGREGATE(16,6,FIND({0,1,2,3,4,5,6,7,8,9},A202,ROW(INDIRECT("1:"&amp;LEN(A202)))),1))," ",REPT(" ",LEN(A202))),LEN(A202))))))),1))*ROW(INDIRECT("1:"&amp;LEN((--TRIM(RIGHT(SUBSTITUTE(LEFT(A202,_xlfn.AGGREGATE(16,6,FIND({0,1,2,3,4,5,6,7,8,9},A202,ROW(INDIRECT("1:"&amp;LEN(A202)))),1))," ",REPT(" ",LEN(A202))),LEN(A202))))))),0),ROW(INDIRECT("1:"&amp;LEN((--TRIM(RIGHT(SUBSTITUTE(LEFT(A202,_xlfn.AGGREGATE(16,6,FIND({0,1,2,3,4,5,6,7,8,9},A202,ROW(INDIRECT("1:"&amp;LEN(A202)))),1))," ",REPT(" ",LEN(A202))),LEN(A202))))))))+1,1)*10^ROW(INDIRECT("1:"&amp;LEN((--TRIM(RIGHT(SUBSTITUTE(LEFT(A202,_xlfn.AGGREGATE(16,6,FIND({0,1,2,3,4,5,6,7,8,9},A202,ROW(INDIRECT("1:"&amp;LEN(A202)))),1))," ",REPT(" ",LEN(A202))),LEN(A202)))))))/10))*1+1</f>
        <v>202 to 702</v>
      </c>
      <c r="B203" s="148"/>
      <c r="C203" s="50" t="s">
        <v>194</v>
      </c>
      <c r="D203" s="50">
        <f>(20.87+2.5)*10.764</f>
        <v>251.55467999999999</v>
      </c>
      <c r="E203" s="50">
        <v>0</v>
      </c>
      <c r="F203" s="50">
        <v>400</v>
      </c>
      <c r="G203" s="147" t="str">
        <f>G202</f>
        <v>2nd to 7th Floor</v>
      </c>
      <c r="H203" s="148"/>
      <c r="I203" s="54">
        <f t="shared" si="10"/>
        <v>1.5901115415543055</v>
      </c>
      <c r="J203" s="18">
        <f t="shared" si="12"/>
        <v>1.5901115415543055</v>
      </c>
    </row>
    <row r="204" spans="1:14" s="18" customFormat="1">
      <c r="A204" s="147" t="str">
        <f ca="1">(SUMPRODUCT(MID(0&amp;(LEFT(A203,SUM(LEN(A203)-LEN(SUBSTITUTE(A203,{"0","1","2"},""))))),LARGE(INDEX(ISNUMBER(--MID((LEFT(A203,SUM(LEN(A203)-LEN(SUBSTITUTE(A203,{"0","1","2"},""))))),ROW(INDIRECT("1:"&amp;LEN((LEFT(A203,SUM(LEN(A203)-LEN(SUBSTITUTE(A203,{"0","1","2"},"")))))))),1))*ROW(INDIRECT("1:"&amp;LEN((LEFT(A203,SUM(LEN(A203)-LEN(SUBSTITUTE(A203,{"0","1","2"},"")))))))),0),ROW(INDIRECT("1:"&amp;LEN((LEFT(A203,SUM(LEN(A203)-LEN(SUBSTITUTE(A203,{"0","1","2"},"")))))))))+1,1)*10^ROW(INDIRECT("1:"&amp;LEN((LEFT(A203,SUM(LEN(A203)-LEN(SUBSTITUTE(A203,{"0","1","2"},""))))))))/10))*1+1&amp;""&amp;" to "&amp;""&amp;(SUMPRODUCT(MID(0&amp;(--TRIM(RIGHT(SUBSTITUTE(LEFT(A203,_xlfn.AGGREGATE(16,6,FIND({0,1,2,3,4,5,6,7,8,9},A203,ROW(INDIRECT("1:"&amp;LEN(A203)))),1))," ",REPT(" ",LEN(A203))),LEN(A203)))),LARGE(INDEX(ISNUMBER(--MID((--TRIM(RIGHT(SUBSTITUTE(LEFT(A203,_xlfn.AGGREGATE(16,6,FIND({0,1,2,3,4,5,6,7,8,9},A203,ROW(INDIRECT("1:"&amp;LEN(A203)))),1))," ",REPT(" ",LEN(A203))),LEN(A203)))),ROW(INDIRECT("1:"&amp;LEN((--TRIM(RIGHT(SUBSTITUTE(LEFT(A203,_xlfn.AGGREGATE(16,6,FIND({0,1,2,3,4,5,6,7,8,9},A203,ROW(INDIRECT("1:"&amp;LEN(A203)))),1))," ",REPT(" ",LEN(A203))),LEN(A203))))))),1))*ROW(INDIRECT("1:"&amp;LEN((--TRIM(RIGHT(SUBSTITUTE(LEFT(A203,_xlfn.AGGREGATE(16,6,FIND({0,1,2,3,4,5,6,7,8,9},A203,ROW(INDIRECT("1:"&amp;LEN(A203)))),1))," ",REPT(" ",LEN(A203))),LEN(A203))))))),0),ROW(INDIRECT("1:"&amp;LEN((--TRIM(RIGHT(SUBSTITUTE(LEFT(A203,_xlfn.AGGREGATE(16,6,FIND({0,1,2,3,4,5,6,7,8,9},A203,ROW(INDIRECT("1:"&amp;LEN(A203)))),1))," ",REPT(" ",LEN(A203))),LEN(A203))))))))+1,1)*10^ROW(INDIRECT("1:"&amp;LEN((--TRIM(RIGHT(SUBSTITUTE(LEFT(A203,_xlfn.AGGREGATE(16,6,FIND({0,1,2,3,4,5,6,7,8,9},A203,ROW(INDIRECT("1:"&amp;LEN(A203)))),1))," ",REPT(" ",LEN(A203))),LEN(A203)))))))/10))*1+1</f>
        <v>203 to 703</v>
      </c>
      <c r="B204" s="148"/>
      <c r="C204" s="50" t="s">
        <v>194</v>
      </c>
      <c r="D204" s="50">
        <f>21.21*10.764</f>
        <v>228.30444</v>
      </c>
      <c r="E204" s="50">
        <v>0</v>
      </c>
      <c r="F204" s="50">
        <v>375</v>
      </c>
      <c r="G204" s="147" t="str">
        <f>G203</f>
        <v>2nd to 7th Floor</v>
      </c>
      <c r="H204" s="148"/>
      <c r="I204" s="54">
        <f t="shared" si="10"/>
        <v>1.6425436141320773</v>
      </c>
    </row>
    <row r="205" spans="1:14" s="18" customFormat="1">
      <c r="A205" s="147" t="str">
        <f ca="1">(SUMPRODUCT(MID(0&amp;(LEFT(A204,SUM(LEN(A204)-LEN(SUBSTITUTE(A204,{"0","1","2"},""))))),LARGE(INDEX(ISNUMBER(--MID((LEFT(A204,SUM(LEN(A204)-LEN(SUBSTITUTE(A204,{"0","1","2"},""))))),ROW(INDIRECT("1:"&amp;LEN((LEFT(A204,SUM(LEN(A204)-LEN(SUBSTITUTE(A204,{"0","1","2"},"")))))))),1))*ROW(INDIRECT("1:"&amp;LEN((LEFT(A204,SUM(LEN(A204)-LEN(SUBSTITUTE(A204,{"0","1","2"},"")))))))),0),ROW(INDIRECT("1:"&amp;LEN((LEFT(A204,SUM(LEN(A204)-LEN(SUBSTITUTE(A204,{"0","1","2"},"")))))))))+1,1)*10^ROW(INDIRECT("1:"&amp;LEN((LEFT(A204,SUM(LEN(A204)-LEN(SUBSTITUTE(A204,{"0","1","2"},""))))))))/10))*1+1&amp;""&amp;" to "&amp;""&amp;(SUMPRODUCT(MID(0&amp;(--TRIM(RIGHT(SUBSTITUTE(LEFT(A204,_xlfn.AGGREGATE(16,6,FIND({0,1,2,3,4,5,6,7,8,9},A204,ROW(INDIRECT("1:"&amp;LEN(A204)))),1))," ",REPT(" ",LEN(A204))),LEN(A204)))),LARGE(INDEX(ISNUMBER(--MID((--TRIM(RIGHT(SUBSTITUTE(LEFT(A204,_xlfn.AGGREGATE(16,6,FIND({0,1,2,3,4,5,6,7,8,9},A204,ROW(INDIRECT("1:"&amp;LEN(A204)))),1))," ",REPT(" ",LEN(A204))),LEN(A204)))),ROW(INDIRECT("1:"&amp;LEN((--TRIM(RIGHT(SUBSTITUTE(LEFT(A204,_xlfn.AGGREGATE(16,6,FIND({0,1,2,3,4,5,6,7,8,9},A204,ROW(INDIRECT("1:"&amp;LEN(A204)))),1))," ",REPT(" ",LEN(A204))),LEN(A204))))))),1))*ROW(INDIRECT("1:"&amp;LEN((--TRIM(RIGHT(SUBSTITUTE(LEFT(A204,_xlfn.AGGREGATE(16,6,FIND({0,1,2,3,4,5,6,7,8,9},A204,ROW(INDIRECT("1:"&amp;LEN(A204)))),1))," ",REPT(" ",LEN(A204))),LEN(A204))))))),0),ROW(INDIRECT("1:"&amp;LEN((--TRIM(RIGHT(SUBSTITUTE(LEFT(A204,_xlfn.AGGREGATE(16,6,FIND({0,1,2,3,4,5,6,7,8,9},A204,ROW(INDIRECT("1:"&amp;LEN(A204)))),1))," ",REPT(" ",LEN(A204))),LEN(A204))))))))+1,1)*10^ROW(INDIRECT("1:"&amp;LEN((--TRIM(RIGHT(SUBSTITUTE(LEFT(A204,_xlfn.AGGREGATE(16,6,FIND({0,1,2,3,4,5,6,7,8,9},A204,ROW(INDIRECT("1:"&amp;LEN(A204)))),1))," ",REPT(" ",LEN(A204))),LEN(A204)))))))/10))*1+1</f>
        <v>204 to 704</v>
      </c>
      <c r="B205" s="148"/>
      <c r="C205" s="50" t="s">
        <v>190</v>
      </c>
      <c r="D205" s="50">
        <f>(27.89+5.65)*10.764</f>
        <v>361.02455999999995</v>
      </c>
      <c r="E205" s="50">
        <v>0</v>
      </c>
      <c r="F205" s="50">
        <v>558</v>
      </c>
      <c r="G205" s="147" t="str">
        <f>G204</f>
        <v>2nd to 7th Floor</v>
      </c>
      <c r="H205" s="148"/>
      <c r="I205" s="54">
        <f t="shared" si="10"/>
        <v>1.5456012189309227</v>
      </c>
    </row>
    <row r="206" spans="1:14" s="18" customFormat="1">
      <c r="A206" s="144" t="s">
        <v>167</v>
      </c>
      <c r="B206" s="145"/>
      <c r="C206" s="145"/>
      <c r="D206" s="145"/>
      <c r="E206" s="145"/>
      <c r="F206" s="145"/>
      <c r="G206" s="145"/>
      <c r="H206" s="146"/>
      <c r="I206" s="54" t="e">
        <f t="shared" si="10"/>
        <v>#DIV/0!</v>
      </c>
    </row>
    <row r="207" spans="1:14" s="18" customFormat="1">
      <c r="A207" s="144" t="s">
        <v>193</v>
      </c>
      <c r="B207" s="145"/>
      <c r="C207" s="145"/>
      <c r="D207" s="145"/>
      <c r="E207" s="145"/>
      <c r="F207" s="145"/>
      <c r="G207" s="145"/>
      <c r="H207" s="146"/>
      <c r="I207" s="54" t="e">
        <f t="shared" si="10"/>
        <v>#DIV/0!</v>
      </c>
      <c r="J207" s="53"/>
    </row>
    <row r="208" spans="1:14" s="18" customFormat="1">
      <c r="A208" s="144" t="s">
        <v>189</v>
      </c>
      <c r="B208" s="145"/>
      <c r="C208" s="145"/>
      <c r="D208" s="145"/>
      <c r="E208" s="145"/>
      <c r="F208" s="145"/>
      <c r="G208" s="145"/>
      <c r="H208" s="146"/>
      <c r="I208" s="54" t="e">
        <f t="shared" si="10"/>
        <v>#DIV/0!</v>
      </c>
      <c r="J208" s="53"/>
    </row>
    <row r="209" spans="1:14" s="18" customFormat="1">
      <c r="A209" s="147">
        <v>101</v>
      </c>
      <c r="B209" s="148"/>
      <c r="C209" s="50" t="s">
        <v>190</v>
      </c>
      <c r="D209" s="50">
        <f>(27.89+5.5)*10.764</f>
        <v>359.40996000000001</v>
      </c>
      <c r="E209" s="50">
        <v>0</v>
      </c>
      <c r="F209" s="50">
        <v>558</v>
      </c>
      <c r="G209" s="147" t="str">
        <f>A208</f>
        <v>1st Floor for Residential</v>
      </c>
      <c r="H209" s="148"/>
      <c r="I209" s="54">
        <f t="shared" si="10"/>
        <v>1.5525446206332179</v>
      </c>
      <c r="L209" s="149"/>
      <c r="M209" s="149"/>
      <c r="N209" s="53"/>
    </row>
    <row r="210" spans="1:14" s="18" customFormat="1">
      <c r="A210" s="147">
        <f t="shared" ref="A210:A212" si="15">A209+1</f>
        <v>102</v>
      </c>
      <c r="B210" s="148"/>
      <c r="C210" s="50" t="s">
        <v>190</v>
      </c>
      <c r="D210" s="50">
        <f>(27.89+5.65)*10.764</f>
        <v>361.02455999999995</v>
      </c>
      <c r="E210" s="50">
        <v>0</v>
      </c>
      <c r="F210" s="50">
        <v>558</v>
      </c>
      <c r="G210" s="147" t="str">
        <f t="shared" ref="G210:G212" si="16">G209</f>
        <v>1st Floor for Residential</v>
      </c>
      <c r="H210" s="148"/>
      <c r="I210" s="54">
        <f t="shared" si="10"/>
        <v>1.5456012189309227</v>
      </c>
      <c r="L210" s="149"/>
      <c r="M210" s="149"/>
      <c r="N210" s="53"/>
    </row>
    <row r="211" spans="1:14" s="18" customFormat="1">
      <c r="A211" s="147">
        <f t="shared" si="15"/>
        <v>103</v>
      </c>
      <c r="B211" s="148"/>
      <c r="C211" s="50" t="s">
        <v>190</v>
      </c>
      <c r="D211" s="50">
        <f>(27.89+5.65)*10.764</f>
        <v>361.02455999999995</v>
      </c>
      <c r="E211" s="50">
        <v>0</v>
      </c>
      <c r="F211" s="50">
        <v>558</v>
      </c>
      <c r="G211" s="147" t="str">
        <f t="shared" si="16"/>
        <v>1st Floor for Residential</v>
      </c>
      <c r="H211" s="148"/>
      <c r="I211" s="54">
        <f t="shared" si="10"/>
        <v>1.5456012189309227</v>
      </c>
      <c r="L211" s="149"/>
      <c r="M211" s="149"/>
      <c r="N211" s="53"/>
    </row>
    <row r="212" spans="1:14" s="18" customFormat="1">
      <c r="A212" s="147">
        <f t="shared" si="15"/>
        <v>104</v>
      </c>
      <c r="B212" s="148"/>
      <c r="C212" s="50" t="s">
        <v>190</v>
      </c>
      <c r="D212" s="50">
        <f t="shared" ref="D212" si="17">(27.89+5.5)*10.764</f>
        <v>359.40996000000001</v>
      </c>
      <c r="E212" s="50">
        <v>0</v>
      </c>
      <c r="F212" s="50">
        <v>558</v>
      </c>
      <c r="G212" s="147" t="str">
        <f t="shared" si="16"/>
        <v>1st Floor for Residential</v>
      </c>
      <c r="H212" s="148"/>
      <c r="I212" s="54">
        <f t="shared" si="10"/>
        <v>1.5525446206332179</v>
      </c>
      <c r="L212" s="149"/>
      <c r="M212" s="149"/>
      <c r="N212" s="53"/>
    </row>
    <row r="213" spans="1:14" s="18" customFormat="1">
      <c r="A213" s="144" t="s">
        <v>192</v>
      </c>
      <c r="B213" s="145"/>
      <c r="C213" s="145"/>
      <c r="D213" s="145"/>
      <c r="E213" s="145"/>
      <c r="F213" s="145"/>
      <c r="G213" s="145"/>
      <c r="H213" s="146"/>
      <c r="I213" s="54" t="e">
        <f t="shared" si="10"/>
        <v>#DIV/0!</v>
      </c>
    </row>
    <row r="214" spans="1:14" s="18" customFormat="1" ht="15.75" customHeight="1">
      <c r="A214" s="147" t="str">
        <f ca="1">(SUMPRODUCT(MID(0&amp;(LEFT(A213,SUM(LEN(A213)-LEN(SUBSTITUTE(A213,{"0","1","2"},""))))),LARGE(INDEX(ISNUMBER(--MID((LEFT(A213,SUM(LEN(A213)-LEN(SUBSTITUTE(A213,{"0","1","2"},""))))),ROW(INDIRECT("1:"&amp;LEN((LEFT(A213,SUM(LEN(A213)-LEN(SUBSTITUTE(A213,{"0","1","2"},"")))))))),1))*ROW(INDIRECT("1:"&amp;LEN((LEFT(A213,SUM(LEN(A213)-LEN(SUBSTITUTE(A213,{"0","1","2"},"")))))))),0),ROW(INDIRECT("1:"&amp;LEN((LEFT(A213,SUM(LEN(A213)-LEN(SUBSTITUTE(A213,{"0","1","2"},"")))))))))+1,1)*10^ROW(INDIRECT("1:"&amp;LEN((LEFT(A213,SUM(LEN(A213)-LEN(SUBSTITUTE(A213,{"0","1","2"},""))))))))/10))*100+1&amp;""&amp;" to "&amp;""&amp;(SUMPRODUCT(MID(0&amp;(--TRIM(RIGHT(SUBSTITUTE(LEFT(A213,_xlfn.AGGREGATE(16,6,FIND({0,1,2,3,4,5,6,7,8,9},A213,ROW(INDIRECT("1:"&amp;LEN(A213)))),1))," ",REPT(" ",LEN(A213))),LEN(A213)))),LARGE(INDEX(ISNUMBER(--MID((--TRIM(RIGHT(SUBSTITUTE(LEFT(A213,_xlfn.AGGREGATE(16,6,FIND({0,1,2,3,4,5,6,7,8,9},A213,ROW(INDIRECT("1:"&amp;LEN(A213)))),1))," ",REPT(" ",LEN(A213))),LEN(A213)))),ROW(INDIRECT("1:"&amp;LEN((--TRIM(RIGHT(SUBSTITUTE(LEFT(A213,_xlfn.AGGREGATE(16,6,FIND({0,1,2,3,4,5,6,7,8,9},A213,ROW(INDIRECT("1:"&amp;LEN(A213)))),1))," ",REPT(" ",LEN(A213))),LEN(A213))))))),1))*ROW(INDIRECT("1:"&amp;LEN((--TRIM(RIGHT(SUBSTITUTE(LEFT(A213,_xlfn.AGGREGATE(16,6,FIND({0,1,2,3,4,5,6,7,8,9},A213,ROW(INDIRECT("1:"&amp;LEN(A213)))),1))," ",REPT(" ",LEN(A213))),LEN(A213))))))),0),ROW(INDIRECT("1:"&amp;LEN((--TRIM(RIGHT(SUBSTITUTE(LEFT(A213,_xlfn.AGGREGATE(16,6,FIND({0,1,2,3,4,5,6,7,8,9},A213,ROW(INDIRECT("1:"&amp;LEN(A213)))),1))," ",REPT(" ",LEN(A213))),LEN(A213))))))))+1,1)*10^ROW(INDIRECT("1:"&amp;LEN((--TRIM(RIGHT(SUBSTITUTE(LEFT(A213,_xlfn.AGGREGATE(16,6,FIND({0,1,2,3,4,5,6,7,8,9},A213,ROW(INDIRECT("1:"&amp;LEN(A213)))),1))," ",REPT(" ",LEN(A213))),LEN(A213)))))))/10))*100+1</f>
        <v>201 to 701</v>
      </c>
      <c r="B214" s="148"/>
      <c r="C214" s="50" t="s">
        <v>190</v>
      </c>
      <c r="D214" s="50">
        <f>(27.89+5.5)*10.764</f>
        <v>359.40996000000001</v>
      </c>
      <c r="E214" s="50">
        <v>0</v>
      </c>
      <c r="F214" s="50">
        <v>558</v>
      </c>
      <c r="G214" s="147" t="str">
        <f>A213</f>
        <v>2nd to 7th Floor</v>
      </c>
      <c r="H214" s="148"/>
      <c r="I214" s="55">
        <f t="shared" si="10"/>
        <v>1.5525446206332179</v>
      </c>
    </row>
    <row r="215" spans="1:14" s="18" customFormat="1" ht="15.75" customHeight="1">
      <c r="A215" s="147" t="str">
        <f ca="1">(SUMPRODUCT(MID(0&amp;(LEFT(A214,SUM(LEN(A214)-LEN(SUBSTITUTE(A214,{"0","1","2"},""))))),LARGE(INDEX(ISNUMBER(--MID((LEFT(A214,SUM(LEN(A214)-LEN(SUBSTITUTE(A214,{"0","1","2"},""))))),ROW(INDIRECT("1:"&amp;LEN((LEFT(A214,SUM(LEN(A214)-LEN(SUBSTITUTE(A214,{"0","1","2"},"")))))))),1))*ROW(INDIRECT("1:"&amp;LEN((LEFT(A214,SUM(LEN(A214)-LEN(SUBSTITUTE(A214,{"0","1","2"},"")))))))),0),ROW(INDIRECT("1:"&amp;LEN((LEFT(A214,SUM(LEN(A214)-LEN(SUBSTITUTE(A214,{"0","1","2"},"")))))))))+1,1)*10^ROW(INDIRECT("1:"&amp;LEN((LEFT(A214,SUM(LEN(A214)-LEN(SUBSTITUTE(A214,{"0","1","2"},""))))))))/10))*1+1&amp;""&amp;" to "&amp;""&amp;(SUMPRODUCT(MID(0&amp;(--TRIM(RIGHT(SUBSTITUTE(LEFT(A214,_xlfn.AGGREGATE(16,6,FIND({0,1,2,3,4,5,6,7,8,9},A214,ROW(INDIRECT("1:"&amp;LEN(A214)))),1))," ",REPT(" ",LEN(A214))),LEN(A214)))),LARGE(INDEX(ISNUMBER(--MID((--TRIM(RIGHT(SUBSTITUTE(LEFT(A214,_xlfn.AGGREGATE(16,6,FIND({0,1,2,3,4,5,6,7,8,9},A214,ROW(INDIRECT("1:"&amp;LEN(A214)))),1))," ",REPT(" ",LEN(A214))),LEN(A214)))),ROW(INDIRECT("1:"&amp;LEN((--TRIM(RIGHT(SUBSTITUTE(LEFT(A214,_xlfn.AGGREGATE(16,6,FIND({0,1,2,3,4,5,6,7,8,9},A214,ROW(INDIRECT("1:"&amp;LEN(A214)))),1))," ",REPT(" ",LEN(A214))),LEN(A214))))))),1))*ROW(INDIRECT("1:"&amp;LEN((--TRIM(RIGHT(SUBSTITUTE(LEFT(A214,_xlfn.AGGREGATE(16,6,FIND({0,1,2,3,4,5,6,7,8,9},A214,ROW(INDIRECT("1:"&amp;LEN(A214)))),1))," ",REPT(" ",LEN(A214))),LEN(A214))))))),0),ROW(INDIRECT("1:"&amp;LEN((--TRIM(RIGHT(SUBSTITUTE(LEFT(A214,_xlfn.AGGREGATE(16,6,FIND({0,1,2,3,4,5,6,7,8,9},A214,ROW(INDIRECT("1:"&amp;LEN(A214)))),1))," ",REPT(" ",LEN(A214))),LEN(A214))))))))+1,1)*10^ROW(INDIRECT("1:"&amp;LEN((--TRIM(RIGHT(SUBSTITUTE(LEFT(A214,_xlfn.AGGREGATE(16,6,FIND({0,1,2,3,4,5,6,7,8,9},A214,ROW(INDIRECT("1:"&amp;LEN(A214)))),1))," ",REPT(" ",LEN(A214))),LEN(A214)))))))/10))*1+1</f>
        <v>202 to 702</v>
      </c>
      <c r="B215" s="148"/>
      <c r="C215" s="50" t="s">
        <v>190</v>
      </c>
      <c r="D215" s="50">
        <f>(27.89+5.65)*10.764</f>
        <v>361.02455999999995</v>
      </c>
      <c r="E215" s="50">
        <v>0</v>
      </c>
      <c r="F215" s="50">
        <v>558</v>
      </c>
      <c r="G215" s="147" t="str">
        <f>G214</f>
        <v>2nd to 7th Floor</v>
      </c>
      <c r="H215" s="148"/>
      <c r="I215" s="54">
        <f t="shared" si="10"/>
        <v>1.5456012189309227</v>
      </c>
    </row>
    <row r="216" spans="1:14" s="18" customFormat="1" ht="15.75" customHeight="1">
      <c r="A216" s="147" t="str">
        <f ca="1">(SUMPRODUCT(MID(0&amp;(LEFT(A215,SUM(LEN(A215)-LEN(SUBSTITUTE(A215,{"0","1","2"},""))))),LARGE(INDEX(ISNUMBER(--MID((LEFT(A215,SUM(LEN(A215)-LEN(SUBSTITUTE(A215,{"0","1","2"},""))))),ROW(INDIRECT("1:"&amp;LEN((LEFT(A215,SUM(LEN(A215)-LEN(SUBSTITUTE(A215,{"0","1","2"},"")))))))),1))*ROW(INDIRECT("1:"&amp;LEN((LEFT(A215,SUM(LEN(A215)-LEN(SUBSTITUTE(A215,{"0","1","2"},"")))))))),0),ROW(INDIRECT("1:"&amp;LEN((LEFT(A215,SUM(LEN(A215)-LEN(SUBSTITUTE(A215,{"0","1","2"},"")))))))))+1,1)*10^ROW(INDIRECT("1:"&amp;LEN((LEFT(A215,SUM(LEN(A215)-LEN(SUBSTITUTE(A215,{"0","1","2"},""))))))))/10))*1+1&amp;""&amp;" to "&amp;""&amp;(SUMPRODUCT(MID(0&amp;(--TRIM(RIGHT(SUBSTITUTE(LEFT(A215,_xlfn.AGGREGATE(16,6,FIND({0,1,2,3,4,5,6,7,8,9},A215,ROW(INDIRECT("1:"&amp;LEN(A215)))),1))," ",REPT(" ",LEN(A215))),LEN(A215)))),LARGE(INDEX(ISNUMBER(--MID((--TRIM(RIGHT(SUBSTITUTE(LEFT(A215,_xlfn.AGGREGATE(16,6,FIND({0,1,2,3,4,5,6,7,8,9},A215,ROW(INDIRECT("1:"&amp;LEN(A215)))),1))," ",REPT(" ",LEN(A215))),LEN(A215)))),ROW(INDIRECT("1:"&amp;LEN((--TRIM(RIGHT(SUBSTITUTE(LEFT(A215,_xlfn.AGGREGATE(16,6,FIND({0,1,2,3,4,5,6,7,8,9},A215,ROW(INDIRECT("1:"&amp;LEN(A215)))),1))," ",REPT(" ",LEN(A215))),LEN(A215))))))),1))*ROW(INDIRECT("1:"&amp;LEN((--TRIM(RIGHT(SUBSTITUTE(LEFT(A215,_xlfn.AGGREGATE(16,6,FIND({0,1,2,3,4,5,6,7,8,9},A215,ROW(INDIRECT("1:"&amp;LEN(A215)))),1))," ",REPT(" ",LEN(A215))),LEN(A215))))))),0),ROW(INDIRECT("1:"&amp;LEN((--TRIM(RIGHT(SUBSTITUTE(LEFT(A215,_xlfn.AGGREGATE(16,6,FIND({0,1,2,3,4,5,6,7,8,9},A215,ROW(INDIRECT("1:"&amp;LEN(A215)))),1))," ",REPT(" ",LEN(A215))),LEN(A215))))))))+1,1)*10^ROW(INDIRECT("1:"&amp;LEN((--TRIM(RIGHT(SUBSTITUTE(LEFT(A215,_xlfn.AGGREGATE(16,6,FIND({0,1,2,3,4,5,6,7,8,9},A215,ROW(INDIRECT("1:"&amp;LEN(A215)))),1))," ",REPT(" ",LEN(A215))),LEN(A215)))))))/10))*1+1</f>
        <v>203 to 703</v>
      </c>
      <c r="B216" s="148"/>
      <c r="C216" s="50" t="s">
        <v>190</v>
      </c>
      <c r="D216" s="50">
        <f>(27.89+5.65)*10.764</f>
        <v>361.02455999999995</v>
      </c>
      <c r="E216" s="50">
        <v>0</v>
      </c>
      <c r="F216" s="50">
        <v>558</v>
      </c>
      <c r="G216" s="147" t="str">
        <f>G215</f>
        <v>2nd to 7th Floor</v>
      </c>
      <c r="H216" s="148"/>
      <c r="I216" s="53"/>
    </row>
    <row r="217" spans="1:14" s="18" customFormat="1" ht="15.75" customHeight="1">
      <c r="A217" s="147" t="str">
        <f ca="1">(SUMPRODUCT(MID(0&amp;(LEFT(A216,SUM(LEN(A216)-LEN(SUBSTITUTE(A216,{"0","1","2"},""))))),LARGE(INDEX(ISNUMBER(--MID((LEFT(A216,SUM(LEN(A216)-LEN(SUBSTITUTE(A216,{"0","1","2"},""))))),ROW(INDIRECT("1:"&amp;LEN((LEFT(A216,SUM(LEN(A216)-LEN(SUBSTITUTE(A216,{"0","1","2"},"")))))))),1))*ROW(INDIRECT("1:"&amp;LEN((LEFT(A216,SUM(LEN(A216)-LEN(SUBSTITUTE(A216,{"0","1","2"},"")))))))),0),ROW(INDIRECT("1:"&amp;LEN((LEFT(A216,SUM(LEN(A216)-LEN(SUBSTITUTE(A216,{"0","1","2"},"")))))))))+1,1)*10^ROW(INDIRECT("1:"&amp;LEN((LEFT(A216,SUM(LEN(A216)-LEN(SUBSTITUTE(A216,{"0","1","2"},""))))))))/10))*1+1&amp;""&amp;" to "&amp;""&amp;(SUMPRODUCT(MID(0&amp;(--TRIM(RIGHT(SUBSTITUTE(LEFT(A216,_xlfn.AGGREGATE(16,6,FIND({0,1,2,3,4,5,6,7,8,9},A216,ROW(INDIRECT("1:"&amp;LEN(A216)))),1))," ",REPT(" ",LEN(A216))),LEN(A216)))),LARGE(INDEX(ISNUMBER(--MID((--TRIM(RIGHT(SUBSTITUTE(LEFT(A216,_xlfn.AGGREGATE(16,6,FIND({0,1,2,3,4,5,6,7,8,9},A216,ROW(INDIRECT("1:"&amp;LEN(A216)))),1))," ",REPT(" ",LEN(A216))),LEN(A216)))),ROW(INDIRECT("1:"&amp;LEN((--TRIM(RIGHT(SUBSTITUTE(LEFT(A216,_xlfn.AGGREGATE(16,6,FIND({0,1,2,3,4,5,6,7,8,9},A216,ROW(INDIRECT("1:"&amp;LEN(A216)))),1))," ",REPT(" ",LEN(A216))),LEN(A216))))))),1))*ROW(INDIRECT("1:"&amp;LEN((--TRIM(RIGHT(SUBSTITUTE(LEFT(A216,_xlfn.AGGREGATE(16,6,FIND({0,1,2,3,4,5,6,7,8,9},A216,ROW(INDIRECT("1:"&amp;LEN(A216)))),1))," ",REPT(" ",LEN(A216))),LEN(A216))))))),0),ROW(INDIRECT("1:"&amp;LEN((--TRIM(RIGHT(SUBSTITUTE(LEFT(A216,_xlfn.AGGREGATE(16,6,FIND({0,1,2,3,4,5,6,7,8,9},A216,ROW(INDIRECT("1:"&amp;LEN(A216)))),1))," ",REPT(" ",LEN(A216))),LEN(A216))))))))+1,1)*10^ROW(INDIRECT("1:"&amp;LEN((--TRIM(RIGHT(SUBSTITUTE(LEFT(A216,_xlfn.AGGREGATE(16,6,FIND({0,1,2,3,4,5,6,7,8,9},A216,ROW(INDIRECT("1:"&amp;LEN(A216)))),1))," ",REPT(" ",LEN(A216))),LEN(A216)))))))/10))*1+1</f>
        <v>204 to 704</v>
      </c>
      <c r="B217" s="148"/>
      <c r="C217" s="50" t="s">
        <v>190</v>
      </c>
      <c r="D217" s="50">
        <f t="shared" ref="D217" si="18">(27.89+5.5)*10.764</f>
        <v>359.40996000000001</v>
      </c>
      <c r="E217" s="50">
        <v>0</v>
      </c>
      <c r="F217" s="50">
        <v>558</v>
      </c>
      <c r="G217" s="147" t="str">
        <f>G216</f>
        <v>2nd to 7th Floor</v>
      </c>
      <c r="H217" s="148"/>
      <c r="I217" s="53"/>
    </row>
    <row r="218" spans="1:14" s="18" customFormat="1">
      <c r="A218" s="144" t="s">
        <v>168</v>
      </c>
      <c r="B218" s="145"/>
      <c r="C218" s="145"/>
      <c r="D218" s="145"/>
      <c r="E218" s="145"/>
      <c r="F218" s="145"/>
      <c r="G218" s="145"/>
      <c r="H218" s="146"/>
      <c r="I218" s="53"/>
    </row>
    <row r="219" spans="1:14" s="18" customFormat="1">
      <c r="A219" s="144" t="s">
        <v>193</v>
      </c>
      <c r="B219" s="145"/>
      <c r="C219" s="145"/>
      <c r="D219" s="145"/>
      <c r="E219" s="145"/>
      <c r="F219" s="145"/>
      <c r="G219" s="145"/>
      <c r="H219" s="146"/>
      <c r="J219" s="53"/>
    </row>
    <row r="220" spans="1:14" s="18" customFormat="1">
      <c r="A220" s="144" t="s">
        <v>189</v>
      </c>
      <c r="B220" s="145"/>
      <c r="C220" s="145"/>
      <c r="D220" s="145"/>
      <c r="E220" s="145"/>
      <c r="F220" s="145"/>
      <c r="G220" s="145"/>
      <c r="H220" s="146"/>
      <c r="J220" s="53"/>
    </row>
    <row r="221" spans="1:14" s="18" customFormat="1">
      <c r="A221" s="147">
        <v>101</v>
      </c>
      <c r="B221" s="148"/>
      <c r="C221" s="50" t="s">
        <v>191</v>
      </c>
      <c r="D221" s="50">
        <f>(41.158+12.125)*10.764</f>
        <v>573.53821199999993</v>
      </c>
      <c r="E221" s="50">
        <v>0</v>
      </c>
      <c r="F221" s="50">
        <v>823</v>
      </c>
      <c r="G221" s="147" t="str">
        <f>A220</f>
        <v>1st Floor for Residential</v>
      </c>
      <c r="H221" s="148"/>
      <c r="I221" s="53">
        <f>574*1.6</f>
        <v>918.40000000000009</v>
      </c>
      <c r="L221" s="149"/>
      <c r="M221" s="149"/>
      <c r="N221" s="53"/>
    </row>
    <row r="222" spans="1:14" s="18" customFormat="1">
      <c r="A222" s="147">
        <f t="shared" ref="A222:A224" si="19">A221+1</f>
        <v>102</v>
      </c>
      <c r="B222" s="148"/>
      <c r="C222" s="50" t="s">
        <v>191</v>
      </c>
      <c r="D222" s="50">
        <f>(40.73+9.425)*10.764</f>
        <v>539.86842000000001</v>
      </c>
      <c r="E222" s="50">
        <v>0</v>
      </c>
      <c r="F222" s="50">
        <v>812</v>
      </c>
      <c r="G222" s="147" t="str">
        <f t="shared" ref="G222:G224" si="20">G221</f>
        <v>1st Floor for Residential</v>
      </c>
      <c r="H222" s="148"/>
      <c r="I222" s="53"/>
      <c r="L222" s="149"/>
      <c r="M222" s="149"/>
      <c r="N222" s="53"/>
    </row>
    <row r="223" spans="1:14" s="18" customFormat="1">
      <c r="A223" s="147">
        <f t="shared" si="19"/>
        <v>103</v>
      </c>
      <c r="B223" s="148"/>
      <c r="C223" s="50" t="s">
        <v>190</v>
      </c>
      <c r="D223" s="50">
        <f>(30.83+5.45)*10.764</f>
        <v>390.51792</v>
      </c>
      <c r="E223" s="50">
        <v>0</v>
      </c>
      <c r="F223" s="50">
        <v>606</v>
      </c>
      <c r="G223" s="147" t="str">
        <f t="shared" si="20"/>
        <v>1st Floor for Residential</v>
      </c>
      <c r="H223" s="148"/>
      <c r="I223" s="53"/>
      <c r="L223" s="149"/>
      <c r="M223" s="149"/>
      <c r="N223" s="53"/>
    </row>
    <row r="224" spans="1:14" s="18" customFormat="1">
      <c r="A224" s="147">
        <f t="shared" si="19"/>
        <v>104</v>
      </c>
      <c r="B224" s="148"/>
      <c r="C224" s="50" t="s">
        <v>190</v>
      </c>
      <c r="D224" s="50">
        <f>(30.83+5.45)*10.764</f>
        <v>390.51792</v>
      </c>
      <c r="E224" s="50">
        <v>0</v>
      </c>
      <c r="F224" s="50">
        <v>606</v>
      </c>
      <c r="G224" s="147" t="str">
        <f t="shared" si="20"/>
        <v>1st Floor for Residential</v>
      </c>
      <c r="H224" s="148"/>
      <c r="I224" s="53"/>
      <c r="L224" s="149"/>
      <c r="M224" s="149"/>
      <c r="N224" s="53"/>
    </row>
    <row r="225" spans="1:14" s="18" customFormat="1">
      <c r="A225" s="144" t="s">
        <v>192</v>
      </c>
      <c r="B225" s="145"/>
      <c r="C225" s="145"/>
      <c r="D225" s="145"/>
      <c r="E225" s="145"/>
      <c r="F225" s="145"/>
      <c r="G225" s="145"/>
      <c r="H225" s="146"/>
      <c r="I225" s="53"/>
    </row>
    <row r="226" spans="1:14" s="18" customFormat="1">
      <c r="A226" s="147" t="str">
        <f ca="1">(SUMPRODUCT(MID(0&amp;(LEFT(A225,SUM(LEN(A225)-LEN(SUBSTITUTE(A225,{"0","1","2"},""))))),LARGE(INDEX(ISNUMBER(--MID((LEFT(A225,SUM(LEN(A225)-LEN(SUBSTITUTE(A225,{"0","1","2"},""))))),ROW(INDIRECT("1:"&amp;LEN((LEFT(A225,SUM(LEN(A225)-LEN(SUBSTITUTE(A225,{"0","1","2"},"")))))))),1))*ROW(INDIRECT("1:"&amp;LEN((LEFT(A225,SUM(LEN(A225)-LEN(SUBSTITUTE(A225,{"0","1","2"},"")))))))),0),ROW(INDIRECT("1:"&amp;LEN((LEFT(A225,SUM(LEN(A225)-LEN(SUBSTITUTE(A225,{"0","1","2"},"")))))))))+1,1)*10^ROW(INDIRECT("1:"&amp;LEN((LEFT(A225,SUM(LEN(A225)-LEN(SUBSTITUTE(A225,{"0","1","2"},""))))))))/10))*100+1&amp;""&amp;" to "&amp;""&amp;(SUMPRODUCT(MID(0&amp;(--TRIM(RIGHT(SUBSTITUTE(LEFT(A225,_xlfn.AGGREGATE(16,6,FIND({0,1,2,3,4,5,6,7,8,9},A225,ROW(INDIRECT("1:"&amp;LEN(A225)))),1))," ",REPT(" ",LEN(A225))),LEN(A225)))),LARGE(INDEX(ISNUMBER(--MID((--TRIM(RIGHT(SUBSTITUTE(LEFT(A225,_xlfn.AGGREGATE(16,6,FIND({0,1,2,3,4,5,6,7,8,9},A225,ROW(INDIRECT("1:"&amp;LEN(A225)))),1))," ",REPT(" ",LEN(A225))),LEN(A225)))),ROW(INDIRECT("1:"&amp;LEN((--TRIM(RIGHT(SUBSTITUTE(LEFT(A225,_xlfn.AGGREGATE(16,6,FIND({0,1,2,3,4,5,6,7,8,9},A225,ROW(INDIRECT("1:"&amp;LEN(A225)))),1))," ",REPT(" ",LEN(A225))),LEN(A225))))))),1))*ROW(INDIRECT("1:"&amp;LEN((--TRIM(RIGHT(SUBSTITUTE(LEFT(A225,_xlfn.AGGREGATE(16,6,FIND({0,1,2,3,4,5,6,7,8,9},A225,ROW(INDIRECT("1:"&amp;LEN(A225)))),1))," ",REPT(" ",LEN(A225))),LEN(A225))))))),0),ROW(INDIRECT("1:"&amp;LEN((--TRIM(RIGHT(SUBSTITUTE(LEFT(A225,_xlfn.AGGREGATE(16,6,FIND({0,1,2,3,4,5,6,7,8,9},A225,ROW(INDIRECT("1:"&amp;LEN(A225)))),1))," ",REPT(" ",LEN(A225))),LEN(A225))))))))+1,1)*10^ROW(INDIRECT("1:"&amp;LEN((--TRIM(RIGHT(SUBSTITUTE(LEFT(A225,_xlfn.AGGREGATE(16,6,FIND({0,1,2,3,4,5,6,7,8,9},A225,ROW(INDIRECT("1:"&amp;LEN(A225)))),1))," ",REPT(" ",LEN(A225))),LEN(A225)))))))/10))*100+1</f>
        <v>201 to 701</v>
      </c>
      <c r="B226" s="148"/>
      <c r="C226" s="50" t="s">
        <v>191</v>
      </c>
      <c r="D226" s="50">
        <f>(41.158+12.125)*10.764</f>
        <v>573.53821199999993</v>
      </c>
      <c r="E226" s="50">
        <v>0</v>
      </c>
      <c r="F226" s="50">
        <v>823</v>
      </c>
      <c r="G226" s="147" t="str">
        <f>A225</f>
        <v>2nd to 7th Floor</v>
      </c>
      <c r="H226" s="148"/>
      <c r="I226" s="53"/>
    </row>
    <row r="227" spans="1:14" s="18" customFormat="1">
      <c r="A227" s="147" t="str">
        <f ca="1">(SUMPRODUCT(MID(0&amp;(LEFT(A226,SUM(LEN(A226)-LEN(SUBSTITUTE(A226,{"0","1","2"},""))))),LARGE(INDEX(ISNUMBER(--MID((LEFT(A226,SUM(LEN(A226)-LEN(SUBSTITUTE(A226,{"0","1","2"},""))))),ROW(INDIRECT("1:"&amp;LEN((LEFT(A226,SUM(LEN(A226)-LEN(SUBSTITUTE(A226,{"0","1","2"},"")))))))),1))*ROW(INDIRECT("1:"&amp;LEN((LEFT(A226,SUM(LEN(A226)-LEN(SUBSTITUTE(A226,{"0","1","2"},"")))))))),0),ROW(INDIRECT("1:"&amp;LEN((LEFT(A226,SUM(LEN(A226)-LEN(SUBSTITUTE(A226,{"0","1","2"},"")))))))))+1,1)*10^ROW(INDIRECT("1:"&amp;LEN((LEFT(A226,SUM(LEN(A226)-LEN(SUBSTITUTE(A226,{"0","1","2"},""))))))))/10))*1+1&amp;""&amp;" to "&amp;""&amp;(SUMPRODUCT(MID(0&amp;(--TRIM(RIGHT(SUBSTITUTE(LEFT(A226,_xlfn.AGGREGATE(16,6,FIND({0,1,2,3,4,5,6,7,8,9},A226,ROW(INDIRECT("1:"&amp;LEN(A226)))),1))," ",REPT(" ",LEN(A226))),LEN(A226)))),LARGE(INDEX(ISNUMBER(--MID((--TRIM(RIGHT(SUBSTITUTE(LEFT(A226,_xlfn.AGGREGATE(16,6,FIND({0,1,2,3,4,5,6,7,8,9},A226,ROW(INDIRECT("1:"&amp;LEN(A226)))),1))," ",REPT(" ",LEN(A226))),LEN(A226)))),ROW(INDIRECT("1:"&amp;LEN((--TRIM(RIGHT(SUBSTITUTE(LEFT(A226,_xlfn.AGGREGATE(16,6,FIND({0,1,2,3,4,5,6,7,8,9},A226,ROW(INDIRECT("1:"&amp;LEN(A226)))),1))," ",REPT(" ",LEN(A226))),LEN(A226))))))),1))*ROW(INDIRECT("1:"&amp;LEN((--TRIM(RIGHT(SUBSTITUTE(LEFT(A226,_xlfn.AGGREGATE(16,6,FIND({0,1,2,3,4,5,6,7,8,9},A226,ROW(INDIRECT("1:"&amp;LEN(A226)))),1))," ",REPT(" ",LEN(A226))),LEN(A226))))))),0),ROW(INDIRECT("1:"&amp;LEN((--TRIM(RIGHT(SUBSTITUTE(LEFT(A226,_xlfn.AGGREGATE(16,6,FIND({0,1,2,3,4,5,6,7,8,9},A226,ROW(INDIRECT("1:"&amp;LEN(A226)))),1))," ",REPT(" ",LEN(A226))),LEN(A226))))))))+1,1)*10^ROW(INDIRECT("1:"&amp;LEN((--TRIM(RIGHT(SUBSTITUTE(LEFT(A226,_xlfn.AGGREGATE(16,6,FIND({0,1,2,3,4,5,6,7,8,9},A226,ROW(INDIRECT("1:"&amp;LEN(A226)))),1))," ",REPT(" ",LEN(A226))),LEN(A226)))))))/10))*1+1</f>
        <v>202 to 702</v>
      </c>
      <c r="B227" s="148"/>
      <c r="C227" s="50" t="s">
        <v>191</v>
      </c>
      <c r="D227" s="50">
        <f>(40.73+9.425)*10.764</f>
        <v>539.86842000000001</v>
      </c>
      <c r="E227" s="50">
        <v>0</v>
      </c>
      <c r="F227" s="50">
        <v>812</v>
      </c>
      <c r="G227" s="147" t="str">
        <f>G226</f>
        <v>2nd to 7th Floor</v>
      </c>
      <c r="H227" s="148"/>
      <c r="I227" s="53">
        <f>2842000/812</f>
        <v>3500</v>
      </c>
    </row>
    <row r="228" spans="1:14" s="18" customFormat="1">
      <c r="A228" s="147" t="str">
        <f ca="1">(SUMPRODUCT(MID(0&amp;(LEFT(A227,SUM(LEN(A227)-LEN(SUBSTITUTE(A227,{"0","1","2"},""))))),LARGE(INDEX(ISNUMBER(--MID((LEFT(A227,SUM(LEN(A227)-LEN(SUBSTITUTE(A227,{"0","1","2"},""))))),ROW(INDIRECT("1:"&amp;LEN((LEFT(A227,SUM(LEN(A227)-LEN(SUBSTITUTE(A227,{"0","1","2"},"")))))))),1))*ROW(INDIRECT("1:"&amp;LEN((LEFT(A227,SUM(LEN(A227)-LEN(SUBSTITUTE(A227,{"0","1","2"},"")))))))),0),ROW(INDIRECT("1:"&amp;LEN((LEFT(A227,SUM(LEN(A227)-LEN(SUBSTITUTE(A227,{"0","1","2"},"")))))))))+1,1)*10^ROW(INDIRECT("1:"&amp;LEN((LEFT(A227,SUM(LEN(A227)-LEN(SUBSTITUTE(A227,{"0","1","2"},""))))))))/10))*1+1&amp;""&amp;" to "&amp;""&amp;(SUMPRODUCT(MID(0&amp;(--TRIM(RIGHT(SUBSTITUTE(LEFT(A227,_xlfn.AGGREGATE(16,6,FIND({0,1,2,3,4,5,6,7,8,9},A227,ROW(INDIRECT("1:"&amp;LEN(A227)))),1))," ",REPT(" ",LEN(A227))),LEN(A227)))),LARGE(INDEX(ISNUMBER(--MID((--TRIM(RIGHT(SUBSTITUTE(LEFT(A227,_xlfn.AGGREGATE(16,6,FIND({0,1,2,3,4,5,6,7,8,9},A227,ROW(INDIRECT("1:"&amp;LEN(A227)))),1))," ",REPT(" ",LEN(A227))),LEN(A227)))),ROW(INDIRECT("1:"&amp;LEN((--TRIM(RIGHT(SUBSTITUTE(LEFT(A227,_xlfn.AGGREGATE(16,6,FIND({0,1,2,3,4,5,6,7,8,9},A227,ROW(INDIRECT("1:"&amp;LEN(A227)))),1))," ",REPT(" ",LEN(A227))),LEN(A227))))))),1))*ROW(INDIRECT("1:"&amp;LEN((--TRIM(RIGHT(SUBSTITUTE(LEFT(A227,_xlfn.AGGREGATE(16,6,FIND({0,1,2,3,4,5,6,7,8,9},A227,ROW(INDIRECT("1:"&amp;LEN(A227)))),1))," ",REPT(" ",LEN(A227))),LEN(A227))))))),0),ROW(INDIRECT("1:"&amp;LEN((--TRIM(RIGHT(SUBSTITUTE(LEFT(A227,_xlfn.AGGREGATE(16,6,FIND({0,1,2,3,4,5,6,7,8,9},A227,ROW(INDIRECT("1:"&amp;LEN(A227)))),1))," ",REPT(" ",LEN(A227))),LEN(A227))))))))+1,1)*10^ROW(INDIRECT("1:"&amp;LEN((--TRIM(RIGHT(SUBSTITUTE(LEFT(A227,_xlfn.AGGREGATE(16,6,FIND({0,1,2,3,4,5,6,7,8,9},A227,ROW(INDIRECT("1:"&amp;LEN(A227)))),1))," ",REPT(" ",LEN(A227))),LEN(A227)))))))/10))*1+1</f>
        <v>203 to 703</v>
      </c>
      <c r="B228" s="148"/>
      <c r="C228" s="50" t="s">
        <v>190</v>
      </c>
      <c r="D228" s="50">
        <f>(30.83+5.45)*10.764</f>
        <v>390.51792</v>
      </c>
      <c r="E228" s="50">
        <v>0</v>
      </c>
      <c r="F228" s="50">
        <v>606</v>
      </c>
      <c r="G228" s="147" t="str">
        <f>G227</f>
        <v>2nd to 7th Floor</v>
      </c>
      <c r="H228" s="148"/>
      <c r="I228" s="53"/>
    </row>
    <row r="229" spans="1:14" s="18" customFormat="1">
      <c r="A229" s="147" t="str">
        <f ca="1">(SUMPRODUCT(MID(0&amp;(LEFT(A228,SUM(LEN(A228)-LEN(SUBSTITUTE(A228,{"0","1","2"},""))))),LARGE(INDEX(ISNUMBER(--MID((LEFT(A228,SUM(LEN(A228)-LEN(SUBSTITUTE(A228,{"0","1","2"},""))))),ROW(INDIRECT("1:"&amp;LEN((LEFT(A228,SUM(LEN(A228)-LEN(SUBSTITUTE(A228,{"0","1","2"},"")))))))),1))*ROW(INDIRECT("1:"&amp;LEN((LEFT(A228,SUM(LEN(A228)-LEN(SUBSTITUTE(A228,{"0","1","2"},"")))))))),0),ROW(INDIRECT("1:"&amp;LEN((LEFT(A228,SUM(LEN(A228)-LEN(SUBSTITUTE(A228,{"0","1","2"},"")))))))))+1,1)*10^ROW(INDIRECT("1:"&amp;LEN((LEFT(A228,SUM(LEN(A228)-LEN(SUBSTITUTE(A228,{"0","1","2"},""))))))))/10))*1+1&amp;""&amp;" to "&amp;""&amp;(SUMPRODUCT(MID(0&amp;(--TRIM(RIGHT(SUBSTITUTE(LEFT(A228,_xlfn.AGGREGATE(16,6,FIND({0,1,2,3,4,5,6,7,8,9},A228,ROW(INDIRECT("1:"&amp;LEN(A228)))),1))," ",REPT(" ",LEN(A228))),LEN(A228)))),LARGE(INDEX(ISNUMBER(--MID((--TRIM(RIGHT(SUBSTITUTE(LEFT(A228,_xlfn.AGGREGATE(16,6,FIND({0,1,2,3,4,5,6,7,8,9},A228,ROW(INDIRECT("1:"&amp;LEN(A228)))),1))," ",REPT(" ",LEN(A228))),LEN(A228)))),ROW(INDIRECT("1:"&amp;LEN((--TRIM(RIGHT(SUBSTITUTE(LEFT(A228,_xlfn.AGGREGATE(16,6,FIND({0,1,2,3,4,5,6,7,8,9},A228,ROW(INDIRECT("1:"&amp;LEN(A228)))),1))," ",REPT(" ",LEN(A228))),LEN(A228))))))),1))*ROW(INDIRECT("1:"&amp;LEN((--TRIM(RIGHT(SUBSTITUTE(LEFT(A228,_xlfn.AGGREGATE(16,6,FIND({0,1,2,3,4,5,6,7,8,9},A228,ROW(INDIRECT("1:"&amp;LEN(A228)))),1))," ",REPT(" ",LEN(A228))),LEN(A228))))))),0),ROW(INDIRECT("1:"&amp;LEN((--TRIM(RIGHT(SUBSTITUTE(LEFT(A228,_xlfn.AGGREGATE(16,6,FIND({0,1,2,3,4,5,6,7,8,9},A228,ROW(INDIRECT("1:"&amp;LEN(A228)))),1))," ",REPT(" ",LEN(A228))),LEN(A228))))))))+1,1)*10^ROW(INDIRECT("1:"&amp;LEN((--TRIM(RIGHT(SUBSTITUTE(LEFT(A228,_xlfn.AGGREGATE(16,6,FIND({0,1,2,3,4,5,6,7,8,9},A228,ROW(INDIRECT("1:"&amp;LEN(A228)))),1))," ",REPT(" ",LEN(A228))),LEN(A228)))))))/10))*1+1</f>
        <v>204 to 704</v>
      </c>
      <c r="B229" s="148"/>
      <c r="C229" s="50" t="s">
        <v>190</v>
      </c>
      <c r="D229" s="50">
        <f>(30.83+5.45)*10.764</f>
        <v>390.51792</v>
      </c>
      <c r="E229" s="50">
        <v>0</v>
      </c>
      <c r="F229" s="50">
        <v>606</v>
      </c>
      <c r="G229" s="147" t="str">
        <f>G228</f>
        <v>2nd to 7th Floor</v>
      </c>
      <c r="H229" s="148"/>
      <c r="I229" s="53"/>
    </row>
    <row r="230" spans="1:14" s="18" customFormat="1">
      <c r="A230" s="144" t="s">
        <v>169</v>
      </c>
      <c r="B230" s="145"/>
      <c r="C230" s="145"/>
      <c r="D230" s="145"/>
      <c r="E230" s="145"/>
      <c r="F230" s="145"/>
      <c r="G230" s="145"/>
      <c r="H230" s="146"/>
      <c r="I230" s="53"/>
    </row>
    <row r="231" spans="1:14" s="18" customFormat="1">
      <c r="A231" s="144" t="s">
        <v>193</v>
      </c>
      <c r="B231" s="145"/>
      <c r="C231" s="145"/>
      <c r="D231" s="145"/>
      <c r="E231" s="145"/>
      <c r="F231" s="145"/>
      <c r="G231" s="145"/>
      <c r="H231" s="146"/>
      <c r="J231" s="53"/>
    </row>
    <row r="232" spans="1:14" s="18" customFormat="1">
      <c r="A232" s="144" t="s">
        <v>189</v>
      </c>
      <c r="B232" s="145"/>
      <c r="C232" s="145"/>
      <c r="D232" s="145"/>
      <c r="E232" s="145"/>
      <c r="F232" s="145"/>
      <c r="G232" s="145"/>
      <c r="H232" s="146"/>
      <c r="J232" s="53"/>
    </row>
    <row r="233" spans="1:14" s="18" customFormat="1">
      <c r="A233" s="147">
        <v>101</v>
      </c>
      <c r="B233" s="148"/>
      <c r="C233" s="50" t="s">
        <v>190</v>
      </c>
      <c r="D233" s="50">
        <f>(27.89+5.45)*10.764</f>
        <v>358.87175999999999</v>
      </c>
      <c r="E233" s="50">
        <v>0</v>
      </c>
      <c r="F233" s="50">
        <v>606</v>
      </c>
      <c r="G233" s="147" t="str">
        <f>A232</f>
        <v>1st Floor for Residential</v>
      </c>
      <c r="H233" s="148"/>
      <c r="I233" s="53"/>
      <c r="L233" s="149"/>
      <c r="M233" s="149"/>
      <c r="N233" s="53"/>
    </row>
    <row r="234" spans="1:14" s="18" customFormat="1">
      <c r="A234" s="147">
        <f t="shared" ref="A234:A236" si="21">A233+1</f>
        <v>102</v>
      </c>
      <c r="B234" s="148"/>
      <c r="C234" s="50" t="s">
        <v>190</v>
      </c>
      <c r="D234" s="50">
        <f>(27.89+5.45)*10.764</f>
        <v>358.87175999999999</v>
      </c>
      <c r="E234" s="50">
        <v>0</v>
      </c>
      <c r="F234" s="50">
        <v>606</v>
      </c>
      <c r="G234" s="147" t="str">
        <f t="shared" ref="G234:G236" si="22">G233</f>
        <v>1st Floor for Residential</v>
      </c>
      <c r="H234" s="148"/>
      <c r="I234" s="53"/>
      <c r="L234" s="149"/>
      <c r="M234" s="149"/>
      <c r="N234" s="53"/>
    </row>
    <row r="235" spans="1:14" s="18" customFormat="1">
      <c r="A235" s="147">
        <f t="shared" si="21"/>
        <v>103</v>
      </c>
      <c r="B235" s="148"/>
      <c r="C235" s="50" t="s">
        <v>191</v>
      </c>
      <c r="D235" s="50">
        <f>(27.89+9.425)*10.764</f>
        <v>401.65865999999994</v>
      </c>
      <c r="E235" s="50">
        <v>0</v>
      </c>
      <c r="F235" s="50">
        <v>812</v>
      </c>
      <c r="G235" s="147" t="str">
        <f t="shared" si="22"/>
        <v>1st Floor for Residential</v>
      </c>
      <c r="H235" s="148"/>
      <c r="I235" s="53"/>
      <c r="L235" s="149"/>
      <c r="M235" s="149"/>
      <c r="N235" s="53"/>
    </row>
    <row r="236" spans="1:14" s="18" customFormat="1">
      <c r="A236" s="147">
        <f t="shared" si="21"/>
        <v>104</v>
      </c>
      <c r="B236" s="148"/>
      <c r="C236" s="50" t="s">
        <v>191</v>
      </c>
      <c r="D236" s="50">
        <f>(27.89+12.125)*10.764</f>
        <v>430.72145999999998</v>
      </c>
      <c r="E236" s="50">
        <v>0</v>
      </c>
      <c r="F236" s="50">
        <v>823</v>
      </c>
      <c r="G236" s="147" t="str">
        <f t="shared" si="22"/>
        <v>1st Floor for Residential</v>
      </c>
      <c r="H236" s="148"/>
      <c r="I236" s="53"/>
      <c r="L236" s="149"/>
      <c r="M236" s="149"/>
      <c r="N236" s="53"/>
    </row>
    <row r="237" spans="1:14" s="18" customFormat="1">
      <c r="A237" s="144" t="s">
        <v>192</v>
      </c>
      <c r="B237" s="145"/>
      <c r="C237" s="145"/>
      <c r="D237" s="145"/>
      <c r="E237" s="145"/>
      <c r="F237" s="145"/>
      <c r="G237" s="145"/>
      <c r="H237" s="146"/>
      <c r="I237" s="53"/>
    </row>
    <row r="238" spans="1:14" s="18" customFormat="1">
      <c r="A238" s="147" t="str">
        <f ca="1">(SUMPRODUCT(MID(0&amp;(LEFT(A237,SUM(LEN(A237)-LEN(SUBSTITUTE(A237,{"0","1","2"},""))))),LARGE(INDEX(ISNUMBER(--MID((LEFT(A237,SUM(LEN(A237)-LEN(SUBSTITUTE(A237,{"0","1","2"},""))))),ROW(INDIRECT("1:"&amp;LEN((LEFT(A237,SUM(LEN(A237)-LEN(SUBSTITUTE(A237,{"0","1","2"},"")))))))),1))*ROW(INDIRECT("1:"&amp;LEN((LEFT(A237,SUM(LEN(A237)-LEN(SUBSTITUTE(A237,{"0","1","2"},"")))))))),0),ROW(INDIRECT("1:"&amp;LEN((LEFT(A237,SUM(LEN(A237)-LEN(SUBSTITUTE(A237,{"0","1","2"},"")))))))))+1,1)*10^ROW(INDIRECT("1:"&amp;LEN((LEFT(A237,SUM(LEN(A237)-LEN(SUBSTITUTE(A237,{"0","1","2"},""))))))))/10))*100+1&amp;""&amp;" to "&amp;""&amp;(SUMPRODUCT(MID(0&amp;(--TRIM(RIGHT(SUBSTITUTE(LEFT(A237,_xlfn.AGGREGATE(16,6,FIND({0,1,2,3,4,5,6,7,8,9},A237,ROW(INDIRECT("1:"&amp;LEN(A237)))),1))," ",REPT(" ",LEN(A237))),LEN(A237)))),LARGE(INDEX(ISNUMBER(--MID((--TRIM(RIGHT(SUBSTITUTE(LEFT(A237,_xlfn.AGGREGATE(16,6,FIND({0,1,2,3,4,5,6,7,8,9},A237,ROW(INDIRECT("1:"&amp;LEN(A237)))),1))," ",REPT(" ",LEN(A237))),LEN(A237)))),ROW(INDIRECT("1:"&amp;LEN((--TRIM(RIGHT(SUBSTITUTE(LEFT(A237,_xlfn.AGGREGATE(16,6,FIND({0,1,2,3,4,5,6,7,8,9},A237,ROW(INDIRECT("1:"&amp;LEN(A237)))),1))," ",REPT(" ",LEN(A237))),LEN(A237))))))),1))*ROW(INDIRECT("1:"&amp;LEN((--TRIM(RIGHT(SUBSTITUTE(LEFT(A237,_xlfn.AGGREGATE(16,6,FIND({0,1,2,3,4,5,6,7,8,9},A237,ROW(INDIRECT("1:"&amp;LEN(A237)))),1))," ",REPT(" ",LEN(A237))),LEN(A237))))))),0),ROW(INDIRECT("1:"&amp;LEN((--TRIM(RIGHT(SUBSTITUTE(LEFT(A237,_xlfn.AGGREGATE(16,6,FIND({0,1,2,3,4,5,6,7,8,9},A237,ROW(INDIRECT("1:"&amp;LEN(A237)))),1))," ",REPT(" ",LEN(A237))),LEN(A237))))))))+1,1)*10^ROW(INDIRECT("1:"&amp;LEN((--TRIM(RIGHT(SUBSTITUTE(LEFT(A237,_xlfn.AGGREGATE(16,6,FIND({0,1,2,3,4,5,6,7,8,9},A237,ROW(INDIRECT("1:"&amp;LEN(A237)))),1))," ",REPT(" ",LEN(A237))),LEN(A237)))))))/10))*100+1</f>
        <v>201 to 701</v>
      </c>
      <c r="B238" s="148"/>
      <c r="C238" s="50" t="s">
        <v>190</v>
      </c>
      <c r="D238" s="50">
        <f>(27.89+5.45)*10.764</f>
        <v>358.87175999999999</v>
      </c>
      <c r="E238" s="50">
        <v>0</v>
      </c>
      <c r="F238" s="50">
        <v>606</v>
      </c>
      <c r="G238" s="147" t="str">
        <f>A237</f>
        <v>2nd to 7th Floor</v>
      </c>
      <c r="H238" s="148"/>
      <c r="I238" s="53"/>
    </row>
    <row r="239" spans="1:14" s="18" customFormat="1">
      <c r="A239" s="147" t="str">
        <f ca="1">(SUMPRODUCT(MID(0&amp;(LEFT(A238,SUM(LEN(A238)-LEN(SUBSTITUTE(A238,{"0","1","2"},""))))),LARGE(INDEX(ISNUMBER(--MID((LEFT(A238,SUM(LEN(A238)-LEN(SUBSTITUTE(A238,{"0","1","2"},""))))),ROW(INDIRECT("1:"&amp;LEN((LEFT(A238,SUM(LEN(A238)-LEN(SUBSTITUTE(A238,{"0","1","2"},"")))))))),1))*ROW(INDIRECT("1:"&amp;LEN((LEFT(A238,SUM(LEN(A238)-LEN(SUBSTITUTE(A238,{"0","1","2"},"")))))))),0),ROW(INDIRECT("1:"&amp;LEN((LEFT(A238,SUM(LEN(A238)-LEN(SUBSTITUTE(A238,{"0","1","2"},"")))))))))+1,1)*10^ROW(INDIRECT("1:"&amp;LEN((LEFT(A238,SUM(LEN(A238)-LEN(SUBSTITUTE(A238,{"0","1","2"},""))))))))/10))*1+1&amp;""&amp;" to "&amp;""&amp;(SUMPRODUCT(MID(0&amp;(--TRIM(RIGHT(SUBSTITUTE(LEFT(A238,_xlfn.AGGREGATE(16,6,FIND({0,1,2,3,4,5,6,7,8,9},A238,ROW(INDIRECT("1:"&amp;LEN(A238)))),1))," ",REPT(" ",LEN(A238))),LEN(A238)))),LARGE(INDEX(ISNUMBER(--MID((--TRIM(RIGHT(SUBSTITUTE(LEFT(A238,_xlfn.AGGREGATE(16,6,FIND({0,1,2,3,4,5,6,7,8,9},A238,ROW(INDIRECT("1:"&amp;LEN(A238)))),1))," ",REPT(" ",LEN(A238))),LEN(A238)))),ROW(INDIRECT("1:"&amp;LEN((--TRIM(RIGHT(SUBSTITUTE(LEFT(A238,_xlfn.AGGREGATE(16,6,FIND({0,1,2,3,4,5,6,7,8,9},A238,ROW(INDIRECT("1:"&amp;LEN(A238)))),1))," ",REPT(" ",LEN(A238))),LEN(A238))))))),1))*ROW(INDIRECT("1:"&amp;LEN((--TRIM(RIGHT(SUBSTITUTE(LEFT(A238,_xlfn.AGGREGATE(16,6,FIND({0,1,2,3,4,5,6,7,8,9},A238,ROW(INDIRECT("1:"&amp;LEN(A238)))),1))," ",REPT(" ",LEN(A238))),LEN(A238))))))),0),ROW(INDIRECT("1:"&amp;LEN((--TRIM(RIGHT(SUBSTITUTE(LEFT(A238,_xlfn.AGGREGATE(16,6,FIND({0,1,2,3,4,5,6,7,8,9},A238,ROW(INDIRECT("1:"&amp;LEN(A238)))),1))," ",REPT(" ",LEN(A238))),LEN(A238))))))))+1,1)*10^ROW(INDIRECT("1:"&amp;LEN((--TRIM(RIGHT(SUBSTITUTE(LEFT(A238,_xlfn.AGGREGATE(16,6,FIND({0,1,2,3,4,5,6,7,8,9},A238,ROW(INDIRECT("1:"&amp;LEN(A238)))),1))," ",REPT(" ",LEN(A238))),LEN(A238)))))))/10))*1+1</f>
        <v>202 to 702</v>
      </c>
      <c r="B239" s="148"/>
      <c r="C239" s="50" t="s">
        <v>190</v>
      </c>
      <c r="D239" s="50">
        <f>(27.89+5.45)*10.764</f>
        <v>358.87175999999999</v>
      </c>
      <c r="E239" s="50">
        <v>0</v>
      </c>
      <c r="F239" s="50">
        <v>606</v>
      </c>
      <c r="G239" s="147" t="str">
        <f>G238</f>
        <v>2nd to 7th Floor</v>
      </c>
      <c r="H239" s="148"/>
      <c r="I239" s="53"/>
    </row>
    <row r="240" spans="1:14" s="18" customFormat="1">
      <c r="A240" s="147" t="str">
        <f ca="1">(SUMPRODUCT(MID(0&amp;(LEFT(A239,SUM(LEN(A239)-LEN(SUBSTITUTE(A239,{"0","1","2"},""))))),LARGE(INDEX(ISNUMBER(--MID((LEFT(A239,SUM(LEN(A239)-LEN(SUBSTITUTE(A239,{"0","1","2"},""))))),ROW(INDIRECT("1:"&amp;LEN((LEFT(A239,SUM(LEN(A239)-LEN(SUBSTITUTE(A239,{"0","1","2"},"")))))))),1))*ROW(INDIRECT("1:"&amp;LEN((LEFT(A239,SUM(LEN(A239)-LEN(SUBSTITUTE(A239,{"0","1","2"},"")))))))),0),ROW(INDIRECT("1:"&amp;LEN((LEFT(A239,SUM(LEN(A239)-LEN(SUBSTITUTE(A239,{"0","1","2"},"")))))))))+1,1)*10^ROW(INDIRECT("1:"&amp;LEN((LEFT(A239,SUM(LEN(A239)-LEN(SUBSTITUTE(A239,{"0","1","2"},""))))))))/10))*1+1&amp;""&amp;" to "&amp;""&amp;(SUMPRODUCT(MID(0&amp;(--TRIM(RIGHT(SUBSTITUTE(LEFT(A239,_xlfn.AGGREGATE(16,6,FIND({0,1,2,3,4,5,6,7,8,9},A239,ROW(INDIRECT("1:"&amp;LEN(A239)))),1))," ",REPT(" ",LEN(A239))),LEN(A239)))),LARGE(INDEX(ISNUMBER(--MID((--TRIM(RIGHT(SUBSTITUTE(LEFT(A239,_xlfn.AGGREGATE(16,6,FIND({0,1,2,3,4,5,6,7,8,9},A239,ROW(INDIRECT("1:"&amp;LEN(A239)))),1))," ",REPT(" ",LEN(A239))),LEN(A239)))),ROW(INDIRECT("1:"&amp;LEN((--TRIM(RIGHT(SUBSTITUTE(LEFT(A239,_xlfn.AGGREGATE(16,6,FIND({0,1,2,3,4,5,6,7,8,9},A239,ROW(INDIRECT("1:"&amp;LEN(A239)))),1))," ",REPT(" ",LEN(A239))),LEN(A239))))))),1))*ROW(INDIRECT("1:"&amp;LEN((--TRIM(RIGHT(SUBSTITUTE(LEFT(A239,_xlfn.AGGREGATE(16,6,FIND({0,1,2,3,4,5,6,7,8,9},A239,ROW(INDIRECT("1:"&amp;LEN(A239)))),1))," ",REPT(" ",LEN(A239))),LEN(A239))))))),0),ROW(INDIRECT("1:"&amp;LEN((--TRIM(RIGHT(SUBSTITUTE(LEFT(A239,_xlfn.AGGREGATE(16,6,FIND({0,1,2,3,4,5,6,7,8,9},A239,ROW(INDIRECT("1:"&amp;LEN(A239)))),1))," ",REPT(" ",LEN(A239))),LEN(A239))))))))+1,1)*10^ROW(INDIRECT("1:"&amp;LEN((--TRIM(RIGHT(SUBSTITUTE(LEFT(A239,_xlfn.AGGREGATE(16,6,FIND({0,1,2,3,4,5,6,7,8,9},A239,ROW(INDIRECT("1:"&amp;LEN(A239)))),1))," ",REPT(" ",LEN(A239))),LEN(A239)))))))/10))*1+1</f>
        <v>203 to 703</v>
      </c>
      <c r="B240" s="148"/>
      <c r="C240" s="50" t="s">
        <v>191</v>
      </c>
      <c r="D240" s="50">
        <f>(27.89+9.425)*10.764</f>
        <v>401.65865999999994</v>
      </c>
      <c r="E240" s="50">
        <v>0</v>
      </c>
      <c r="F240" s="50">
        <v>812</v>
      </c>
      <c r="G240" s="147" t="str">
        <f>G239</f>
        <v>2nd to 7th Floor</v>
      </c>
      <c r="H240" s="148"/>
      <c r="I240" s="53"/>
    </row>
    <row r="241" spans="1:14" s="18" customFormat="1">
      <c r="A241" s="147" t="str">
        <f ca="1">(SUMPRODUCT(MID(0&amp;(LEFT(A240,SUM(LEN(A240)-LEN(SUBSTITUTE(A240,{"0","1","2"},""))))),LARGE(INDEX(ISNUMBER(--MID((LEFT(A240,SUM(LEN(A240)-LEN(SUBSTITUTE(A240,{"0","1","2"},""))))),ROW(INDIRECT("1:"&amp;LEN((LEFT(A240,SUM(LEN(A240)-LEN(SUBSTITUTE(A240,{"0","1","2"},"")))))))),1))*ROW(INDIRECT("1:"&amp;LEN((LEFT(A240,SUM(LEN(A240)-LEN(SUBSTITUTE(A240,{"0","1","2"},"")))))))),0),ROW(INDIRECT("1:"&amp;LEN((LEFT(A240,SUM(LEN(A240)-LEN(SUBSTITUTE(A240,{"0","1","2"},"")))))))))+1,1)*10^ROW(INDIRECT("1:"&amp;LEN((LEFT(A240,SUM(LEN(A240)-LEN(SUBSTITUTE(A240,{"0","1","2"},""))))))))/10))*1+1&amp;""&amp;" to "&amp;""&amp;(SUMPRODUCT(MID(0&amp;(--TRIM(RIGHT(SUBSTITUTE(LEFT(A240,_xlfn.AGGREGATE(16,6,FIND({0,1,2,3,4,5,6,7,8,9},A240,ROW(INDIRECT("1:"&amp;LEN(A240)))),1))," ",REPT(" ",LEN(A240))),LEN(A240)))),LARGE(INDEX(ISNUMBER(--MID((--TRIM(RIGHT(SUBSTITUTE(LEFT(A240,_xlfn.AGGREGATE(16,6,FIND({0,1,2,3,4,5,6,7,8,9},A240,ROW(INDIRECT("1:"&amp;LEN(A240)))),1))," ",REPT(" ",LEN(A240))),LEN(A240)))),ROW(INDIRECT("1:"&amp;LEN((--TRIM(RIGHT(SUBSTITUTE(LEFT(A240,_xlfn.AGGREGATE(16,6,FIND({0,1,2,3,4,5,6,7,8,9},A240,ROW(INDIRECT("1:"&amp;LEN(A240)))),1))," ",REPT(" ",LEN(A240))),LEN(A240))))))),1))*ROW(INDIRECT("1:"&amp;LEN((--TRIM(RIGHT(SUBSTITUTE(LEFT(A240,_xlfn.AGGREGATE(16,6,FIND({0,1,2,3,4,5,6,7,8,9},A240,ROW(INDIRECT("1:"&amp;LEN(A240)))),1))," ",REPT(" ",LEN(A240))),LEN(A240))))))),0),ROW(INDIRECT("1:"&amp;LEN((--TRIM(RIGHT(SUBSTITUTE(LEFT(A240,_xlfn.AGGREGATE(16,6,FIND({0,1,2,3,4,5,6,7,8,9},A240,ROW(INDIRECT("1:"&amp;LEN(A240)))),1))," ",REPT(" ",LEN(A240))),LEN(A240))))))))+1,1)*10^ROW(INDIRECT("1:"&amp;LEN((--TRIM(RIGHT(SUBSTITUTE(LEFT(A240,_xlfn.AGGREGATE(16,6,FIND({0,1,2,3,4,5,6,7,8,9},A240,ROW(INDIRECT("1:"&amp;LEN(A240)))),1))," ",REPT(" ",LEN(A240))),LEN(A240)))))))/10))*1+1</f>
        <v>204 to 704</v>
      </c>
      <c r="B241" s="148"/>
      <c r="C241" s="50" t="s">
        <v>191</v>
      </c>
      <c r="D241" s="50">
        <f>(27.89+12.125)*10.764</f>
        <v>430.72145999999998</v>
      </c>
      <c r="E241" s="50">
        <v>0</v>
      </c>
      <c r="F241" s="50">
        <v>823</v>
      </c>
      <c r="G241" s="147" t="str">
        <f>G240</f>
        <v>2nd to 7th Floor</v>
      </c>
      <c r="H241" s="148"/>
      <c r="I241" s="53"/>
    </row>
    <row r="242" spans="1:14" s="18" customFormat="1">
      <c r="A242" s="144" t="s">
        <v>170</v>
      </c>
      <c r="B242" s="145"/>
      <c r="C242" s="145"/>
      <c r="D242" s="145"/>
      <c r="E242" s="145"/>
      <c r="F242" s="145"/>
      <c r="G242" s="145"/>
      <c r="H242" s="146"/>
      <c r="I242" s="53"/>
    </row>
    <row r="243" spans="1:14" s="18" customFormat="1">
      <c r="A243" s="144" t="s">
        <v>193</v>
      </c>
      <c r="B243" s="145"/>
      <c r="C243" s="145"/>
      <c r="D243" s="145"/>
      <c r="E243" s="145"/>
      <c r="F243" s="145"/>
      <c r="G243" s="145"/>
      <c r="H243" s="146"/>
      <c r="J243" s="53"/>
    </row>
    <row r="244" spans="1:14" s="18" customFormat="1">
      <c r="A244" s="144" t="s">
        <v>189</v>
      </c>
      <c r="B244" s="145"/>
      <c r="C244" s="145"/>
      <c r="D244" s="145"/>
      <c r="E244" s="145"/>
      <c r="F244" s="145"/>
      <c r="G244" s="145"/>
      <c r="H244" s="146"/>
      <c r="J244" s="53"/>
    </row>
    <row r="245" spans="1:14" s="18" customFormat="1">
      <c r="A245" s="147">
        <v>101</v>
      </c>
      <c r="B245" s="148"/>
      <c r="C245" s="50" t="s">
        <v>190</v>
      </c>
      <c r="D245" s="50">
        <f>(27.89+5.5)*10.764</f>
        <v>359.40996000000001</v>
      </c>
      <c r="E245" s="50">
        <v>0</v>
      </c>
      <c r="F245" s="50">
        <v>558</v>
      </c>
      <c r="G245" s="147" t="str">
        <f>A244</f>
        <v>1st Floor for Residential</v>
      </c>
      <c r="H245" s="148"/>
      <c r="I245" s="53"/>
      <c r="L245" s="149"/>
      <c r="M245" s="149"/>
      <c r="N245" s="53"/>
    </row>
    <row r="246" spans="1:14" s="18" customFormat="1">
      <c r="A246" s="147">
        <f t="shared" ref="A246:A248" si="23">A245+1</f>
        <v>102</v>
      </c>
      <c r="B246" s="148"/>
      <c r="C246" s="50" t="s">
        <v>190</v>
      </c>
      <c r="D246" s="50">
        <f>(27.89+5.65)*10.764</f>
        <v>361.02455999999995</v>
      </c>
      <c r="E246" s="50">
        <v>0</v>
      </c>
      <c r="F246" s="50">
        <v>558</v>
      </c>
      <c r="G246" s="147" t="str">
        <f t="shared" ref="G246:G248" si="24">G245</f>
        <v>1st Floor for Residential</v>
      </c>
      <c r="H246" s="148"/>
      <c r="I246" s="53"/>
      <c r="L246" s="149"/>
      <c r="M246" s="149"/>
      <c r="N246" s="53"/>
    </row>
    <row r="247" spans="1:14" s="18" customFormat="1">
      <c r="A247" s="147">
        <f t="shared" si="23"/>
        <v>103</v>
      </c>
      <c r="B247" s="148"/>
      <c r="C247" s="50" t="s">
        <v>190</v>
      </c>
      <c r="D247" s="50">
        <f>(27.89+5.65)*10.764</f>
        <v>361.02455999999995</v>
      </c>
      <c r="E247" s="50">
        <v>0</v>
      </c>
      <c r="F247" s="50">
        <v>558</v>
      </c>
      <c r="G247" s="147" t="str">
        <f t="shared" si="24"/>
        <v>1st Floor for Residential</v>
      </c>
      <c r="H247" s="148"/>
      <c r="I247" s="53"/>
      <c r="L247" s="149"/>
      <c r="M247" s="149"/>
      <c r="N247" s="53"/>
    </row>
    <row r="248" spans="1:14" s="18" customFormat="1">
      <c r="A248" s="147">
        <f t="shared" si="23"/>
        <v>104</v>
      </c>
      <c r="B248" s="148"/>
      <c r="C248" s="50" t="s">
        <v>190</v>
      </c>
      <c r="D248" s="50">
        <f t="shared" ref="D248" si="25">(27.89+5.5)*10.764</f>
        <v>359.40996000000001</v>
      </c>
      <c r="E248" s="50">
        <v>0</v>
      </c>
      <c r="F248" s="50">
        <v>558</v>
      </c>
      <c r="G248" s="147" t="str">
        <f t="shared" si="24"/>
        <v>1st Floor for Residential</v>
      </c>
      <c r="H248" s="148"/>
      <c r="I248" s="53"/>
      <c r="L248" s="149"/>
      <c r="M248" s="149"/>
      <c r="N248" s="53"/>
    </row>
    <row r="249" spans="1:14" s="18" customFormat="1">
      <c r="A249" s="144" t="s">
        <v>192</v>
      </c>
      <c r="B249" s="145"/>
      <c r="C249" s="145"/>
      <c r="D249" s="145"/>
      <c r="E249" s="145"/>
      <c r="F249" s="145"/>
      <c r="G249" s="145"/>
      <c r="H249" s="146"/>
      <c r="I249" s="53"/>
    </row>
    <row r="250" spans="1:14" s="18" customFormat="1">
      <c r="A250" s="147" t="str">
        <f ca="1">(SUMPRODUCT(MID(0&amp;(LEFT(A249,SUM(LEN(A249)-LEN(SUBSTITUTE(A249,{"0","1","2"},""))))),LARGE(INDEX(ISNUMBER(--MID((LEFT(A249,SUM(LEN(A249)-LEN(SUBSTITUTE(A249,{"0","1","2"},""))))),ROW(INDIRECT("1:"&amp;LEN((LEFT(A249,SUM(LEN(A249)-LEN(SUBSTITUTE(A249,{"0","1","2"},"")))))))),1))*ROW(INDIRECT("1:"&amp;LEN((LEFT(A249,SUM(LEN(A249)-LEN(SUBSTITUTE(A249,{"0","1","2"},"")))))))),0),ROW(INDIRECT("1:"&amp;LEN((LEFT(A249,SUM(LEN(A249)-LEN(SUBSTITUTE(A249,{"0","1","2"},"")))))))))+1,1)*10^ROW(INDIRECT("1:"&amp;LEN((LEFT(A249,SUM(LEN(A249)-LEN(SUBSTITUTE(A249,{"0","1","2"},""))))))))/10))*100+1&amp;""&amp;" to "&amp;""&amp;(SUMPRODUCT(MID(0&amp;(--TRIM(RIGHT(SUBSTITUTE(LEFT(A249,_xlfn.AGGREGATE(16,6,FIND({0,1,2,3,4,5,6,7,8,9},A249,ROW(INDIRECT("1:"&amp;LEN(A249)))),1))," ",REPT(" ",LEN(A249))),LEN(A249)))),LARGE(INDEX(ISNUMBER(--MID((--TRIM(RIGHT(SUBSTITUTE(LEFT(A249,_xlfn.AGGREGATE(16,6,FIND({0,1,2,3,4,5,6,7,8,9},A249,ROW(INDIRECT("1:"&amp;LEN(A249)))),1))," ",REPT(" ",LEN(A249))),LEN(A249)))),ROW(INDIRECT("1:"&amp;LEN((--TRIM(RIGHT(SUBSTITUTE(LEFT(A249,_xlfn.AGGREGATE(16,6,FIND({0,1,2,3,4,5,6,7,8,9},A249,ROW(INDIRECT("1:"&amp;LEN(A249)))),1))," ",REPT(" ",LEN(A249))),LEN(A249))))))),1))*ROW(INDIRECT("1:"&amp;LEN((--TRIM(RIGHT(SUBSTITUTE(LEFT(A249,_xlfn.AGGREGATE(16,6,FIND({0,1,2,3,4,5,6,7,8,9},A249,ROW(INDIRECT("1:"&amp;LEN(A249)))),1))," ",REPT(" ",LEN(A249))),LEN(A249))))))),0),ROW(INDIRECT("1:"&amp;LEN((--TRIM(RIGHT(SUBSTITUTE(LEFT(A249,_xlfn.AGGREGATE(16,6,FIND({0,1,2,3,4,5,6,7,8,9},A249,ROW(INDIRECT("1:"&amp;LEN(A249)))),1))," ",REPT(" ",LEN(A249))),LEN(A249))))))))+1,1)*10^ROW(INDIRECT("1:"&amp;LEN((--TRIM(RIGHT(SUBSTITUTE(LEFT(A249,_xlfn.AGGREGATE(16,6,FIND({0,1,2,3,4,5,6,7,8,9},A249,ROW(INDIRECT("1:"&amp;LEN(A249)))),1))," ",REPT(" ",LEN(A249))),LEN(A249)))))))/10))*100+1</f>
        <v>201 to 701</v>
      </c>
      <c r="B250" s="148"/>
      <c r="C250" s="50" t="s">
        <v>190</v>
      </c>
      <c r="D250" s="50">
        <f>(27.89+5.5)*10.764</f>
        <v>359.40996000000001</v>
      </c>
      <c r="E250" s="50">
        <v>0</v>
      </c>
      <c r="F250" s="50">
        <v>558</v>
      </c>
      <c r="G250" s="147" t="str">
        <f>A249</f>
        <v>2nd to 7th Floor</v>
      </c>
      <c r="H250" s="148"/>
      <c r="I250" s="53"/>
    </row>
    <row r="251" spans="1:14" s="18" customFormat="1">
      <c r="A251" s="147" t="str">
        <f ca="1">(SUMPRODUCT(MID(0&amp;(LEFT(A250,SUM(LEN(A250)-LEN(SUBSTITUTE(A250,{"0","1","2"},""))))),LARGE(INDEX(ISNUMBER(--MID((LEFT(A250,SUM(LEN(A250)-LEN(SUBSTITUTE(A250,{"0","1","2"},""))))),ROW(INDIRECT("1:"&amp;LEN((LEFT(A250,SUM(LEN(A250)-LEN(SUBSTITUTE(A250,{"0","1","2"},"")))))))),1))*ROW(INDIRECT("1:"&amp;LEN((LEFT(A250,SUM(LEN(A250)-LEN(SUBSTITUTE(A250,{"0","1","2"},"")))))))),0),ROW(INDIRECT("1:"&amp;LEN((LEFT(A250,SUM(LEN(A250)-LEN(SUBSTITUTE(A250,{"0","1","2"},"")))))))))+1,1)*10^ROW(INDIRECT("1:"&amp;LEN((LEFT(A250,SUM(LEN(A250)-LEN(SUBSTITUTE(A250,{"0","1","2"},""))))))))/10))*1+1&amp;""&amp;" to "&amp;""&amp;(SUMPRODUCT(MID(0&amp;(--TRIM(RIGHT(SUBSTITUTE(LEFT(A250,_xlfn.AGGREGATE(16,6,FIND({0,1,2,3,4,5,6,7,8,9},A250,ROW(INDIRECT("1:"&amp;LEN(A250)))),1))," ",REPT(" ",LEN(A250))),LEN(A250)))),LARGE(INDEX(ISNUMBER(--MID((--TRIM(RIGHT(SUBSTITUTE(LEFT(A250,_xlfn.AGGREGATE(16,6,FIND({0,1,2,3,4,5,6,7,8,9},A250,ROW(INDIRECT("1:"&amp;LEN(A250)))),1))," ",REPT(" ",LEN(A250))),LEN(A250)))),ROW(INDIRECT("1:"&amp;LEN((--TRIM(RIGHT(SUBSTITUTE(LEFT(A250,_xlfn.AGGREGATE(16,6,FIND({0,1,2,3,4,5,6,7,8,9},A250,ROW(INDIRECT("1:"&amp;LEN(A250)))),1))," ",REPT(" ",LEN(A250))),LEN(A250))))))),1))*ROW(INDIRECT("1:"&amp;LEN((--TRIM(RIGHT(SUBSTITUTE(LEFT(A250,_xlfn.AGGREGATE(16,6,FIND({0,1,2,3,4,5,6,7,8,9},A250,ROW(INDIRECT("1:"&amp;LEN(A250)))),1))," ",REPT(" ",LEN(A250))),LEN(A250))))))),0),ROW(INDIRECT("1:"&amp;LEN((--TRIM(RIGHT(SUBSTITUTE(LEFT(A250,_xlfn.AGGREGATE(16,6,FIND({0,1,2,3,4,5,6,7,8,9},A250,ROW(INDIRECT("1:"&amp;LEN(A250)))),1))," ",REPT(" ",LEN(A250))),LEN(A250))))))))+1,1)*10^ROW(INDIRECT("1:"&amp;LEN((--TRIM(RIGHT(SUBSTITUTE(LEFT(A250,_xlfn.AGGREGATE(16,6,FIND({0,1,2,3,4,5,6,7,8,9},A250,ROW(INDIRECT("1:"&amp;LEN(A250)))),1))," ",REPT(" ",LEN(A250))),LEN(A250)))))))/10))*1+1</f>
        <v>202 to 702</v>
      </c>
      <c r="B251" s="148"/>
      <c r="C251" s="50" t="s">
        <v>190</v>
      </c>
      <c r="D251" s="50">
        <f>(27.89+5.65)*10.764</f>
        <v>361.02455999999995</v>
      </c>
      <c r="E251" s="50">
        <v>0</v>
      </c>
      <c r="F251" s="50">
        <v>558</v>
      </c>
      <c r="G251" s="147" t="str">
        <f>G250</f>
        <v>2nd to 7th Floor</v>
      </c>
      <c r="H251" s="148"/>
      <c r="I251" s="53"/>
    </row>
    <row r="252" spans="1:14" s="18" customFormat="1">
      <c r="A252" s="147" t="str">
        <f ca="1">(SUMPRODUCT(MID(0&amp;(LEFT(A251,SUM(LEN(A251)-LEN(SUBSTITUTE(A251,{"0","1","2"},""))))),LARGE(INDEX(ISNUMBER(--MID((LEFT(A251,SUM(LEN(A251)-LEN(SUBSTITUTE(A251,{"0","1","2"},""))))),ROW(INDIRECT("1:"&amp;LEN((LEFT(A251,SUM(LEN(A251)-LEN(SUBSTITUTE(A251,{"0","1","2"},"")))))))),1))*ROW(INDIRECT("1:"&amp;LEN((LEFT(A251,SUM(LEN(A251)-LEN(SUBSTITUTE(A251,{"0","1","2"},"")))))))),0),ROW(INDIRECT("1:"&amp;LEN((LEFT(A251,SUM(LEN(A251)-LEN(SUBSTITUTE(A251,{"0","1","2"},"")))))))))+1,1)*10^ROW(INDIRECT("1:"&amp;LEN((LEFT(A251,SUM(LEN(A251)-LEN(SUBSTITUTE(A251,{"0","1","2"},""))))))))/10))*1+1&amp;""&amp;" to "&amp;""&amp;(SUMPRODUCT(MID(0&amp;(--TRIM(RIGHT(SUBSTITUTE(LEFT(A251,_xlfn.AGGREGATE(16,6,FIND({0,1,2,3,4,5,6,7,8,9},A251,ROW(INDIRECT("1:"&amp;LEN(A251)))),1))," ",REPT(" ",LEN(A251))),LEN(A251)))),LARGE(INDEX(ISNUMBER(--MID((--TRIM(RIGHT(SUBSTITUTE(LEFT(A251,_xlfn.AGGREGATE(16,6,FIND({0,1,2,3,4,5,6,7,8,9},A251,ROW(INDIRECT("1:"&amp;LEN(A251)))),1))," ",REPT(" ",LEN(A251))),LEN(A251)))),ROW(INDIRECT("1:"&amp;LEN((--TRIM(RIGHT(SUBSTITUTE(LEFT(A251,_xlfn.AGGREGATE(16,6,FIND({0,1,2,3,4,5,6,7,8,9},A251,ROW(INDIRECT("1:"&amp;LEN(A251)))),1))," ",REPT(" ",LEN(A251))),LEN(A251))))))),1))*ROW(INDIRECT("1:"&amp;LEN((--TRIM(RIGHT(SUBSTITUTE(LEFT(A251,_xlfn.AGGREGATE(16,6,FIND({0,1,2,3,4,5,6,7,8,9},A251,ROW(INDIRECT("1:"&amp;LEN(A251)))),1))," ",REPT(" ",LEN(A251))),LEN(A251))))))),0),ROW(INDIRECT("1:"&amp;LEN((--TRIM(RIGHT(SUBSTITUTE(LEFT(A251,_xlfn.AGGREGATE(16,6,FIND({0,1,2,3,4,5,6,7,8,9},A251,ROW(INDIRECT("1:"&amp;LEN(A251)))),1))," ",REPT(" ",LEN(A251))),LEN(A251))))))))+1,1)*10^ROW(INDIRECT("1:"&amp;LEN((--TRIM(RIGHT(SUBSTITUTE(LEFT(A251,_xlfn.AGGREGATE(16,6,FIND({0,1,2,3,4,5,6,7,8,9},A251,ROW(INDIRECT("1:"&amp;LEN(A251)))),1))," ",REPT(" ",LEN(A251))),LEN(A251)))))))/10))*1+1</f>
        <v>203 to 703</v>
      </c>
      <c r="B252" s="148"/>
      <c r="C252" s="50" t="s">
        <v>190</v>
      </c>
      <c r="D252" s="50">
        <f>(27.89+5.65)*10.764</f>
        <v>361.02455999999995</v>
      </c>
      <c r="E252" s="50">
        <v>0</v>
      </c>
      <c r="F252" s="50">
        <v>558</v>
      </c>
      <c r="G252" s="147" t="str">
        <f>G251</f>
        <v>2nd to 7th Floor</v>
      </c>
      <c r="H252" s="148"/>
      <c r="I252" s="53"/>
    </row>
    <row r="253" spans="1:14" s="18" customFormat="1">
      <c r="A253" s="147" t="str">
        <f ca="1">(SUMPRODUCT(MID(0&amp;(LEFT(A252,SUM(LEN(A252)-LEN(SUBSTITUTE(A252,{"0","1","2"},""))))),LARGE(INDEX(ISNUMBER(--MID((LEFT(A252,SUM(LEN(A252)-LEN(SUBSTITUTE(A252,{"0","1","2"},""))))),ROW(INDIRECT("1:"&amp;LEN((LEFT(A252,SUM(LEN(A252)-LEN(SUBSTITUTE(A252,{"0","1","2"},"")))))))),1))*ROW(INDIRECT("1:"&amp;LEN((LEFT(A252,SUM(LEN(A252)-LEN(SUBSTITUTE(A252,{"0","1","2"},"")))))))),0),ROW(INDIRECT("1:"&amp;LEN((LEFT(A252,SUM(LEN(A252)-LEN(SUBSTITUTE(A252,{"0","1","2"},"")))))))))+1,1)*10^ROW(INDIRECT("1:"&amp;LEN((LEFT(A252,SUM(LEN(A252)-LEN(SUBSTITUTE(A252,{"0","1","2"},""))))))))/10))*1+1&amp;""&amp;" to "&amp;""&amp;(SUMPRODUCT(MID(0&amp;(--TRIM(RIGHT(SUBSTITUTE(LEFT(A252,_xlfn.AGGREGATE(16,6,FIND({0,1,2,3,4,5,6,7,8,9},A252,ROW(INDIRECT("1:"&amp;LEN(A252)))),1))," ",REPT(" ",LEN(A252))),LEN(A252)))),LARGE(INDEX(ISNUMBER(--MID((--TRIM(RIGHT(SUBSTITUTE(LEFT(A252,_xlfn.AGGREGATE(16,6,FIND({0,1,2,3,4,5,6,7,8,9},A252,ROW(INDIRECT("1:"&amp;LEN(A252)))),1))," ",REPT(" ",LEN(A252))),LEN(A252)))),ROW(INDIRECT("1:"&amp;LEN((--TRIM(RIGHT(SUBSTITUTE(LEFT(A252,_xlfn.AGGREGATE(16,6,FIND({0,1,2,3,4,5,6,7,8,9},A252,ROW(INDIRECT("1:"&amp;LEN(A252)))),1))," ",REPT(" ",LEN(A252))),LEN(A252))))))),1))*ROW(INDIRECT("1:"&amp;LEN((--TRIM(RIGHT(SUBSTITUTE(LEFT(A252,_xlfn.AGGREGATE(16,6,FIND({0,1,2,3,4,5,6,7,8,9},A252,ROW(INDIRECT("1:"&amp;LEN(A252)))),1))," ",REPT(" ",LEN(A252))),LEN(A252))))))),0),ROW(INDIRECT("1:"&amp;LEN((--TRIM(RIGHT(SUBSTITUTE(LEFT(A252,_xlfn.AGGREGATE(16,6,FIND({0,1,2,3,4,5,6,7,8,9},A252,ROW(INDIRECT("1:"&amp;LEN(A252)))),1))," ",REPT(" ",LEN(A252))),LEN(A252))))))))+1,1)*10^ROW(INDIRECT("1:"&amp;LEN((--TRIM(RIGHT(SUBSTITUTE(LEFT(A252,_xlfn.AGGREGATE(16,6,FIND({0,1,2,3,4,5,6,7,8,9},A252,ROW(INDIRECT("1:"&amp;LEN(A252)))),1))," ",REPT(" ",LEN(A252))),LEN(A252)))))))/10))*1+1</f>
        <v>204 to 704</v>
      </c>
      <c r="B253" s="148"/>
      <c r="C253" s="50" t="s">
        <v>190</v>
      </c>
      <c r="D253" s="50">
        <f t="shared" ref="D253" si="26">(27.89+5.5)*10.764</f>
        <v>359.40996000000001</v>
      </c>
      <c r="E253" s="50">
        <v>0</v>
      </c>
      <c r="F253" s="50">
        <v>558</v>
      </c>
      <c r="G253" s="147" t="str">
        <f>G252</f>
        <v>2nd to 7th Floor</v>
      </c>
      <c r="H253" s="148"/>
      <c r="I253" s="53">
        <f>1953000/558</f>
        <v>3500</v>
      </c>
    </row>
    <row r="254" spans="1:14" s="18" customFormat="1">
      <c r="A254" s="144" t="s">
        <v>171</v>
      </c>
      <c r="B254" s="145"/>
      <c r="C254" s="145"/>
      <c r="D254" s="145"/>
      <c r="E254" s="145"/>
      <c r="F254" s="145"/>
      <c r="G254" s="145"/>
      <c r="H254" s="146"/>
      <c r="I254" s="53"/>
    </row>
    <row r="255" spans="1:14" s="18" customFormat="1">
      <c r="A255" s="144" t="s">
        <v>193</v>
      </c>
      <c r="B255" s="145"/>
      <c r="C255" s="145"/>
      <c r="D255" s="145"/>
      <c r="E255" s="145"/>
      <c r="F255" s="145"/>
      <c r="G255" s="145"/>
      <c r="H255" s="146"/>
      <c r="J255" s="53"/>
    </row>
    <row r="256" spans="1:14" s="18" customFormat="1">
      <c r="A256" s="144" t="s">
        <v>189</v>
      </c>
      <c r="B256" s="145"/>
      <c r="C256" s="145"/>
      <c r="D256" s="145"/>
      <c r="E256" s="145"/>
      <c r="F256" s="145"/>
      <c r="G256" s="145"/>
      <c r="H256" s="146"/>
      <c r="J256" s="53"/>
    </row>
    <row r="257" spans="1:14" s="18" customFormat="1">
      <c r="A257" s="147">
        <v>101</v>
      </c>
      <c r="B257" s="148"/>
      <c r="C257" s="50" t="s">
        <v>190</v>
      </c>
      <c r="D257" s="50">
        <f>(27.89+5.65)*10.764</f>
        <v>361.02455999999995</v>
      </c>
      <c r="E257" s="50">
        <v>0</v>
      </c>
      <c r="F257" s="50">
        <v>558</v>
      </c>
      <c r="G257" s="147" t="str">
        <f>A256</f>
        <v>1st Floor for Residential</v>
      </c>
      <c r="H257" s="148"/>
      <c r="I257" s="53"/>
      <c r="L257" s="149"/>
      <c r="M257" s="149"/>
      <c r="N257" s="53"/>
    </row>
    <row r="258" spans="1:14" s="18" customFormat="1">
      <c r="A258" s="147">
        <f t="shared" ref="A258:A260" si="27">A257+1</f>
        <v>102</v>
      </c>
      <c r="B258" s="148"/>
      <c r="C258" s="50" t="s">
        <v>194</v>
      </c>
      <c r="D258" s="50">
        <f>21.21*10.764</f>
        <v>228.30444</v>
      </c>
      <c r="E258" s="50">
        <v>0</v>
      </c>
      <c r="F258" s="50">
        <v>375</v>
      </c>
      <c r="G258" s="147" t="str">
        <f t="shared" ref="G258:G260" si="28">G257</f>
        <v>1st Floor for Residential</v>
      </c>
      <c r="H258" s="148"/>
      <c r="I258" s="53"/>
      <c r="L258" s="149"/>
      <c r="M258" s="149"/>
      <c r="N258" s="53"/>
    </row>
    <row r="259" spans="1:14" s="18" customFormat="1">
      <c r="A259" s="147">
        <f t="shared" si="27"/>
        <v>103</v>
      </c>
      <c r="B259" s="148"/>
      <c r="C259" s="50" t="s">
        <v>194</v>
      </c>
      <c r="D259" s="50">
        <f>(20.87+2.5)*10.764</f>
        <v>251.55467999999999</v>
      </c>
      <c r="E259" s="50">
        <v>0</v>
      </c>
      <c r="F259" s="50">
        <v>400</v>
      </c>
      <c r="G259" s="147" t="str">
        <f t="shared" si="28"/>
        <v>1st Floor for Residential</v>
      </c>
      <c r="H259" s="148"/>
      <c r="I259" s="53"/>
      <c r="L259" s="149"/>
      <c r="M259" s="149"/>
      <c r="N259" s="53"/>
    </row>
    <row r="260" spans="1:14" s="18" customFormat="1">
      <c r="A260" s="147">
        <f t="shared" si="27"/>
        <v>104</v>
      </c>
      <c r="B260" s="148"/>
      <c r="C260" s="50" t="s">
        <v>190</v>
      </c>
      <c r="D260" s="50">
        <f>(27.89+5.65)*10.764</f>
        <v>361.02455999999995</v>
      </c>
      <c r="E260" s="50">
        <v>0</v>
      </c>
      <c r="F260" s="50">
        <v>558</v>
      </c>
      <c r="G260" s="147" t="str">
        <f t="shared" si="28"/>
        <v>1st Floor for Residential</v>
      </c>
      <c r="H260" s="148"/>
      <c r="I260" s="53"/>
      <c r="L260" s="149"/>
      <c r="M260" s="149"/>
      <c r="N260" s="53"/>
    </row>
    <row r="261" spans="1:14" s="18" customFormat="1">
      <c r="A261" s="144" t="s">
        <v>192</v>
      </c>
      <c r="B261" s="145"/>
      <c r="C261" s="145"/>
      <c r="D261" s="145"/>
      <c r="E261" s="145"/>
      <c r="F261" s="145"/>
      <c r="G261" s="145"/>
      <c r="H261" s="146"/>
      <c r="I261" s="53"/>
    </row>
    <row r="262" spans="1:14" s="18" customFormat="1">
      <c r="A262" s="147" t="str">
        <f ca="1">(SUMPRODUCT(MID(0&amp;(LEFT(A261,SUM(LEN(A261)-LEN(SUBSTITUTE(A261,{"0","1","2"},""))))),LARGE(INDEX(ISNUMBER(--MID((LEFT(A261,SUM(LEN(A261)-LEN(SUBSTITUTE(A261,{"0","1","2"},""))))),ROW(INDIRECT("1:"&amp;LEN((LEFT(A261,SUM(LEN(A261)-LEN(SUBSTITUTE(A261,{"0","1","2"},"")))))))),1))*ROW(INDIRECT("1:"&amp;LEN((LEFT(A261,SUM(LEN(A261)-LEN(SUBSTITUTE(A261,{"0","1","2"},"")))))))),0),ROW(INDIRECT("1:"&amp;LEN((LEFT(A261,SUM(LEN(A261)-LEN(SUBSTITUTE(A261,{"0","1","2"},"")))))))))+1,1)*10^ROW(INDIRECT("1:"&amp;LEN((LEFT(A261,SUM(LEN(A261)-LEN(SUBSTITUTE(A261,{"0","1","2"},""))))))))/10))*100+1&amp;""&amp;" to "&amp;""&amp;(SUMPRODUCT(MID(0&amp;(--TRIM(RIGHT(SUBSTITUTE(LEFT(A261,_xlfn.AGGREGATE(16,6,FIND({0,1,2,3,4,5,6,7,8,9},A261,ROW(INDIRECT("1:"&amp;LEN(A261)))),1))," ",REPT(" ",LEN(A261))),LEN(A261)))),LARGE(INDEX(ISNUMBER(--MID((--TRIM(RIGHT(SUBSTITUTE(LEFT(A261,_xlfn.AGGREGATE(16,6,FIND({0,1,2,3,4,5,6,7,8,9},A261,ROW(INDIRECT("1:"&amp;LEN(A261)))),1))," ",REPT(" ",LEN(A261))),LEN(A261)))),ROW(INDIRECT("1:"&amp;LEN((--TRIM(RIGHT(SUBSTITUTE(LEFT(A261,_xlfn.AGGREGATE(16,6,FIND({0,1,2,3,4,5,6,7,8,9},A261,ROW(INDIRECT("1:"&amp;LEN(A261)))),1))," ",REPT(" ",LEN(A261))),LEN(A261))))))),1))*ROW(INDIRECT("1:"&amp;LEN((--TRIM(RIGHT(SUBSTITUTE(LEFT(A261,_xlfn.AGGREGATE(16,6,FIND({0,1,2,3,4,5,6,7,8,9},A261,ROW(INDIRECT("1:"&amp;LEN(A261)))),1))," ",REPT(" ",LEN(A261))),LEN(A261))))))),0),ROW(INDIRECT("1:"&amp;LEN((--TRIM(RIGHT(SUBSTITUTE(LEFT(A261,_xlfn.AGGREGATE(16,6,FIND({0,1,2,3,4,5,6,7,8,9},A261,ROW(INDIRECT("1:"&amp;LEN(A261)))),1))," ",REPT(" ",LEN(A261))),LEN(A261))))))))+1,1)*10^ROW(INDIRECT("1:"&amp;LEN((--TRIM(RIGHT(SUBSTITUTE(LEFT(A261,_xlfn.AGGREGATE(16,6,FIND({0,1,2,3,4,5,6,7,8,9},A261,ROW(INDIRECT("1:"&amp;LEN(A261)))),1))," ",REPT(" ",LEN(A261))),LEN(A261)))))))/10))*100+1</f>
        <v>201 to 701</v>
      </c>
      <c r="B262" s="148"/>
      <c r="C262" s="50" t="s">
        <v>190</v>
      </c>
      <c r="D262" s="50">
        <f>(27.89+5.65)*10.764</f>
        <v>361.02455999999995</v>
      </c>
      <c r="E262" s="50">
        <v>0</v>
      </c>
      <c r="F262" s="50">
        <v>558</v>
      </c>
      <c r="G262" s="147" t="str">
        <f>A261</f>
        <v>2nd to 7th Floor</v>
      </c>
      <c r="H262" s="148"/>
      <c r="I262" s="53"/>
    </row>
    <row r="263" spans="1:14" s="18" customFormat="1">
      <c r="A263" s="147" t="str">
        <f ca="1">(SUMPRODUCT(MID(0&amp;(LEFT(A262,SUM(LEN(A262)-LEN(SUBSTITUTE(A262,{"0","1","2"},""))))),LARGE(INDEX(ISNUMBER(--MID((LEFT(A262,SUM(LEN(A262)-LEN(SUBSTITUTE(A262,{"0","1","2"},""))))),ROW(INDIRECT("1:"&amp;LEN((LEFT(A262,SUM(LEN(A262)-LEN(SUBSTITUTE(A262,{"0","1","2"},"")))))))),1))*ROW(INDIRECT("1:"&amp;LEN((LEFT(A262,SUM(LEN(A262)-LEN(SUBSTITUTE(A262,{"0","1","2"},"")))))))),0),ROW(INDIRECT("1:"&amp;LEN((LEFT(A262,SUM(LEN(A262)-LEN(SUBSTITUTE(A262,{"0","1","2"},"")))))))))+1,1)*10^ROW(INDIRECT("1:"&amp;LEN((LEFT(A262,SUM(LEN(A262)-LEN(SUBSTITUTE(A262,{"0","1","2"},""))))))))/10))*1+1&amp;""&amp;" to "&amp;""&amp;(SUMPRODUCT(MID(0&amp;(--TRIM(RIGHT(SUBSTITUTE(LEFT(A262,_xlfn.AGGREGATE(16,6,FIND({0,1,2,3,4,5,6,7,8,9},A262,ROW(INDIRECT("1:"&amp;LEN(A262)))),1))," ",REPT(" ",LEN(A262))),LEN(A262)))),LARGE(INDEX(ISNUMBER(--MID((--TRIM(RIGHT(SUBSTITUTE(LEFT(A262,_xlfn.AGGREGATE(16,6,FIND({0,1,2,3,4,5,6,7,8,9},A262,ROW(INDIRECT("1:"&amp;LEN(A262)))),1))," ",REPT(" ",LEN(A262))),LEN(A262)))),ROW(INDIRECT("1:"&amp;LEN((--TRIM(RIGHT(SUBSTITUTE(LEFT(A262,_xlfn.AGGREGATE(16,6,FIND({0,1,2,3,4,5,6,7,8,9},A262,ROW(INDIRECT("1:"&amp;LEN(A262)))),1))," ",REPT(" ",LEN(A262))),LEN(A262))))))),1))*ROW(INDIRECT("1:"&amp;LEN((--TRIM(RIGHT(SUBSTITUTE(LEFT(A262,_xlfn.AGGREGATE(16,6,FIND({0,1,2,3,4,5,6,7,8,9},A262,ROW(INDIRECT("1:"&amp;LEN(A262)))),1))," ",REPT(" ",LEN(A262))),LEN(A262))))))),0),ROW(INDIRECT("1:"&amp;LEN((--TRIM(RIGHT(SUBSTITUTE(LEFT(A262,_xlfn.AGGREGATE(16,6,FIND({0,1,2,3,4,5,6,7,8,9},A262,ROW(INDIRECT("1:"&amp;LEN(A262)))),1))," ",REPT(" ",LEN(A262))),LEN(A262))))))))+1,1)*10^ROW(INDIRECT("1:"&amp;LEN((--TRIM(RIGHT(SUBSTITUTE(LEFT(A262,_xlfn.AGGREGATE(16,6,FIND({0,1,2,3,4,5,6,7,8,9},A262,ROW(INDIRECT("1:"&amp;LEN(A262)))),1))," ",REPT(" ",LEN(A262))),LEN(A262)))))))/10))*1+1</f>
        <v>202 to 702</v>
      </c>
      <c r="B263" s="148"/>
      <c r="C263" s="50" t="s">
        <v>194</v>
      </c>
      <c r="D263" s="50">
        <f>21.21*10.764</f>
        <v>228.30444</v>
      </c>
      <c r="E263" s="50">
        <v>0</v>
      </c>
      <c r="F263" s="50">
        <v>375</v>
      </c>
      <c r="G263" s="147" t="str">
        <f>G262</f>
        <v>2nd to 7th Floor</v>
      </c>
      <c r="H263" s="148"/>
      <c r="I263" s="53"/>
    </row>
    <row r="264" spans="1:14" s="18" customFormat="1">
      <c r="A264" s="147" t="str">
        <f ca="1">(SUMPRODUCT(MID(0&amp;(LEFT(A263,SUM(LEN(A263)-LEN(SUBSTITUTE(A263,{"0","1","2"},""))))),LARGE(INDEX(ISNUMBER(--MID((LEFT(A263,SUM(LEN(A263)-LEN(SUBSTITUTE(A263,{"0","1","2"},""))))),ROW(INDIRECT("1:"&amp;LEN((LEFT(A263,SUM(LEN(A263)-LEN(SUBSTITUTE(A263,{"0","1","2"},"")))))))),1))*ROW(INDIRECT("1:"&amp;LEN((LEFT(A263,SUM(LEN(A263)-LEN(SUBSTITUTE(A263,{"0","1","2"},"")))))))),0),ROW(INDIRECT("1:"&amp;LEN((LEFT(A263,SUM(LEN(A263)-LEN(SUBSTITUTE(A263,{"0","1","2"},"")))))))))+1,1)*10^ROW(INDIRECT("1:"&amp;LEN((LEFT(A263,SUM(LEN(A263)-LEN(SUBSTITUTE(A263,{"0","1","2"},""))))))))/10))*1+1&amp;""&amp;" to "&amp;""&amp;(SUMPRODUCT(MID(0&amp;(--TRIM(RIGHT(SUBSTITUTE(LEFT(A263,_xlfn.AGGREGATE(16,6,FIND({0,1,2,3,4,5,6,7,8,9},A263,ROW(INDIRECT("1:"&amp;LEN(A263)))),1))," ",REPT(" ",LEN(A263))),LEN(A263)))),LARGE(INDEX(ISNUMBER(--MID((--TRIM(RIGHT(SUBSTITUTE(LEFT(A263,_xlfn.AGGREGATE(16,6,FIND({0,1,2,3,4,5,6,7,8,9},A263,ROW(INDIRECT("1:"&amp;LEN(A263)))),1))," ",REPT(" ",LEN(A263))),LEN(A263)))),ROW(INDIRECT("1:"&amp;LEN((--TRIM(RIGHT(SUBSTITUTE(LEFT(A263,_xlfn.AGGREGATE(16,6,FIND({0,1,2,3,4,5,6,7,8,9},A263,ROW(INDIRECT("1:"&amp;LEN(A263)))),1))," ",REPT(" ",LEN(A263))),LEN(A263))))))),1))*ROW(INDIRECT("1:"&amp;LEN((--TRIM(RIGHT(SUBSTITUTE(LEFT(A263,_xlfn.AGGREGATE(16,6,FIND({0,1,2,3,4,5,6,7,8,9},A263,ROW(INDIRECT("1:"&amp;LEN(A263)))),1))," ",REPT(" ",LEN(A263))),LEN(A263))))))),0),ROW(INDIRECT("1:"&amp;LEN((--TRIM(RIGHT(SUBSTITUTE(LEFT(A263,_xlfn.AGGREGATE(16,6,FIND({0,1,2,3,4,5,6,7,8,9},A263,ROW(INDIRECT("1:"&amp;LEN(A263)))),1))," ",REPT(" ",LEN(A263))),LEN(A263))))))))+1,1)*10^ROW(INDIRECT("1:"&amp;LEN((--TRIM(RIGHT(SUBSTITUTE(LEFT(A263,_xlfn.AGGREGATE(16,6,FIND({0,1,2,3,4,5,6,7,8,9},A263,ROW(INDIRECT("1:"&amp;LEN(A263)))),1))," ",REPT(" ",LEN(A263))),LEN(A263)))))))/10))*1+1</f>
        <v>203 to 703</v>
      </c>
      <c r="B264" s="148"/>
      <c r="C264" s="50" t="s">
        <v>194</v>
      </c>
      <c r="D264" s="50">
        <f>(20.87+2.5)*10.764</f>
        <v>251.55467999999999</v>
      </c>
      <c r="E264" s="50">
        <v>0</v>
      </c>
      <c r="F264" s="50">
        <v>400</v>
      </c>
      <c r="G264" s="147" t="str">
        <f>G263</f>
        <v>2nd to 7th Floor</v>
      </c>
      <c r="H264" s="148"/>
      <c r="I264" s="53"/>
    </row>
    <row r="265" spans="1:14" s="18" customFormat="1">
      <c r="A265" s="147" t="str">
        <f ca="1">(SUMPRODUCT(MID(0&amp;(LEFT(A264,SUM(LEN(A264)-LEN(SUBSTITUTE(A264,{"0","1","2"},""))))),LARGE(INDEX(ISNUMBER(--MID((LEFT(A264,SUM(LEN(A264)-LEN(SUBSTITUTE(A264,{"0","1","2"},""))))),ROW(INDIRECT("1:"&amp;LEN((LEFT(A264,SUM(LEN(A264)-LEN(SUBSTITUTE(A264,{"0","1","2"},"")))))))),1))*ROW(INDIRECT("1:"&amp;LEN((LEFT(A264,SUM(LEN(A264)-LEN(SUBSTITUTE(A264,{"0","1","2"},"")))))))),0),ROW(INDIRECT("1:"&amp;LEN((LEFT(A264,SUM(LEN(A264)-LEN(SUBSTITUTE(A264,{"0","1","2"},"")))))))))+1,1)*10^ROW(INDIRECT("1:"&amp;LEN((LEFT(A264,SUM(LEN(A264)-LEN(SUBSTITUTE(A264,{"0","1","2"},""))))))))/10))*1+1&amp;""&amp;" to "&amp;""&amp;(SUMPRODUCT(MID(0&amp;(--TRIM(RIGHT(SUBSTITUTE(LEFT(A264,_xlfn.AGGREGATE(16,6,FIND({0,1,2,3,4,5,6,7,8,9},A264,ROW(INDIRECT("1:"&amp;LEN(A264)))),1))," ",REPT(" ",LEN(A264))),LEN(A264)))),LARGE(INDEX(ISNUMBER(--MID((--TRIM(RIGHT(SUBSTITUTE(LEFT(A264,_xlfn.AGGREGATE(16,6,FIND({0,1,2,3,4,5,6,7,8,9},A264,ROW(INDIRECT("1:"&amp;LEN(A264)))),1))," ",REPT(" ",LEN(A264))),LEN(A264)))),ROW(INDIRECT("1:"&amp;LEN((--TRIM(RIGHT(SUBSTITUTE(LEFT(A264,_xlfn.AGGREGATE(16,6,FIND({0,1,2,3,4,5,6,7,8,9},A264,ROW(INDIRECT("1:"&amp;LEN(A264)))),1))," ",REPT(" ",LEN(A264))),LEN(A264))))))),1))*ROW(INDIRECT("1:"&amp;LEN((--TRIM(RIGHT(SUBSTITUTE(LEFT(A264,_xlfn.AGGREGATE(16,6,FIND({0,1,2,3,4,5,6,7,8,9},A264,ROW(INDIRECT("1:"&amp;LEN(A264)))),1))," ",REPT(" ",LEN(A264))),LEN(A264))))))),0),ROW(INDIRECT("1:"&amp;LEN((--TRIM(RIGHT(SUBSTITUTE(LEFT(A264,_xlfn.AGGREGATE(16,6,FIND({0,1,2,3,4,5,6,7,8,9},A264,ROW(INDIRECT("1:"&amp;LEN(A264)))),1))," ",REPT(" ",LEN(A264))),LEN(A264))))))))+1,1)*10^ROW(INDIRECT("1:"&amp;LEN((--TRIM(RIGHT(SUBSTITUTE(LEFT(A264,_xlfn.AGGREGATE(16,6,FIND({0,1,2,3,4,5,6,7,8,9},A264,ROW(INDIRECT("1:"&amp;LEN(A264)))),1))," ",REPT(" ",LEN(A264))),LEN(A264)))))))/10))*1+1</f>
        <v>204 to 704</v>
      </c>
      <c r="B265" s="148"/>
      <c r="C265" s="50" t="s">
        <v>190</v>
      </c>
      <c r="D265" s="50">
        <f>(27.89+5.65)*10.764</f>
        <v>361.02455999999995</v>
      </c>
      <c r="E265" s="50">
        <v>0</v>
      </c>
      <c r="F265" s="50">
        <v>558</v>
      </c>
      <c r="G265" s="147" t="str">
        <f>G264</f>
        <v>2nd to 7th Floor</v>
      </c>
      <c r="H265" s="148"/>
      <c r="I265" s="53"/>
    </row>
    <row r="266" spans="1:14" s="18" customFormat="1">
      <c r="A266" s="144" t="s">
        <v>172</v>
      </c>
      <c r="B266" s="145"/>
      <c r="C266" s="145"/>
      <c r="D266" s="145"/>
      <c r="E266" s="145"/>
      <c r="F266" s="145"/>
      <c r="G266" s="145"/>
      <c r="H266" s="146"/>
      <c r="I266" s="53"/>
    </row>
    <row r="267" spans="1:14" s="18" customFormat="1">
      <c r="A267" s="144" t="s">
        <v>189</v>
      </c>
      <c r="B267" s="145"/>
      <c r="C267" s="145"/>
      <c r="D267" s="145"/>
      <c r="E267" s="145"/>
      <c r="F267" s="145"/>
      <c r="G267" s="145"/>
      <c r="H267" s="146"/>
      <c r="J267" s="53"/>
    </row>
    <row r="268" spans="1:14" s="18" customFormat="1">
      <c r="A268" s="147">
        <v>101</v>
      </c>
      <c r="B268" s="148"/>
      <c r="C268" s="50" t="s">
        <v>191</v>
      </c>
      <c r="D268" s="50">
        <f>(43.919+8.75)*10.764</f>
        <v>566.92911599999991</v>
      </c>
      <c r="E268" s="50">
        <v>0</v>
      </c>
      <c r="F268" s="50">
        <v>823</v>
      </c>
      <c r="G268" s="147" t="str">
        <f>A267</f>
        <v>1st Floor for Residential</v>
      </c>
      <c r="H268" s="148"/>
      <c r="I268" s="53"/>
      <c r="L268" s="149"/>
      <c r="M268" s="149"/>
      <c r="N268" s="53"/>
    </row>
    <row r="269" spans="1:14" s="18" customFormat="1">
      <c r="A269" s="147">
        <f t="shared" ref="A269:A271" si="29">A268+1</f>
        <v>102</v>
      </c>
      <c r="B269" s="148"/>
      <c r="C269" s="50" t="s">
        <v>191</v>
      </c>
      <c r="D269" s="50">
        <f>(48.251)*10.764</f>
        <v>519.37376399999994</v>
      </c>
      <c r="E269" s="50">
        <f>37.473*10.764</f>
        <v>403.35937199999995</v>
      </c>
      <c r="F269" s="50">
        <v>1177</v>
      </c>
      <c r="G269" s="147" t="str">
        <f t="shared" ref="G269:G271" si="30">G268</f>
        <v>1st Floor for Residential</v>
      </c>
      <c r="H269" s="148"/>
      <c r="I269" s="53"/>
      <c r="L269" s="149"/>
      <c r="M269" s="149"/>
      <c r="N269" s="53"/>
    </row>
    <row r="270" spans="1:14" s="18" customFormat="1">
      <c r="A270" s="147">
        <f t="shared" si="29"/>
        <v>103</v>
      </c>
      <c r="B270" s="148"/>
      <c r="C270" s="50" t="s">
        <v>190</v>
      </c>
      <c r="D270" s="50">
        <f>(30.83+5.45)*10.764</f>
        <v>390.51792</v>
      </c>
      <c r="E270" s="50">
        <v>0</v>
      </c>
      <c r="F270" s="50">
        <v>606</v>
      </c>
      <c r="G270" s="147" t="str">
        <f t="shared" si="30"/>
        <v>1st Floor for Residential</v>
      </c>
      <c r="H270" s="148"/>
      <c r="I270" s="53"/>
      <c r="L270" s="149"/>
      <c r="M270" s="149"/>
      <c r="N270" s="53"/>
    </row>
    <row r="271" spans="1:14" s="18" customFormat="1">
      <c r="A271" s="147">
        <f t="shared" si="29"/>
        <v>104</v>
      </c>
      <c r="B271" s="148"/>
      <c r="C271" s="50" t="s">
        <v>190</v>
      </c>
      <c r="D271" s="50">
        <f>(30.83+5.45)*10.764</f>
        <v>390.51792</v>
      </c>
      <c r="E271" s="50">
        <v>0</v>
      </c>
      <c r="F271" s="50">
        <v>606</v>
      </c>
      <c r="G271" s="147" t="str">
        <f t="shared" si="30"/>
        <v>1st Floor for Residential</v>
      </c>
      <c r="H271" s="148"/>
      <c r="I271" s="53"/>
      <c r="L271" s="149"/>
      <c r="M271" s="149"/>
      <c r="N271" s="53"/>
    </row>
    <row r="272" spans="1:14" s="18" customFormat="1">
      <c r="A272" s="144" t="s">
        <v>192</v>
      </c>
      <c r="B272" s="145"/>
      <c r="C272" s="145"/>
      <c r="D272" s="145"/>
      <c r="E272" s="145"/>
      <c r="F272" s="145"/>
      <c r="G272" s="145"/>
      <c r="H272" s="146"/>
      <c r="I272" s="53"/>
    </row>
    <row r="273" spans="1:9" s="18" customFormat="1">
      <c r="A273" s="147" t="str">
        <f ca="1">(SUMPRODUCT(MID(0&amp;(LEFT(A272,SUM(LEN(A272)-LEN(SUBSTITUTE(A272,{"0","1","2"},""))))),LARGE(INDEX(ISNUMBER(--MID((LEFT(A272,SUM(LEN(A272)-LEN(SUBSTITUTE(A272,{"0","1","2"},""))))),ROW(INDIRECT("1:"&amp;LEN((LEFT(A272,SUM(LEN(A272)-LEN(SUBSTITUTE(A272,{"0","1","2"},"")))))))),1))*ROW(INDIRECT("1:"&amp;LEN((LEFT(A272,SUM(LEN(A272)-LEN(SUBSTITUTE(A272,{"0","1","2"},"")))))))),0),ROW(INDIRECT("1:"&amp;LEN((LEFT(A272,SUM(LEN(A272)-LEN(SUBSTITUTE(A272,{"0","1","2"},"")))))))))+1,1)*10^ROW(INDIRECT("1:"&amp;LEN((LEFT(A272,SUM(LEN(A272)-LEN(SUBSTITUTE(A272,{"0","1","2"},""))))))))/10))*100+1&amp;""&amp;" to "&amp;""&amp;(SUMPRODUCT(MID(0&amp;(--TRIM(RIGHT(SUBSTITUTE(LEFT(A272,_xlfn.AGGREGATE(16,6,FIND({0,1,2,3,4,5,6,7,8,9},A272,ROW(INDIRECT("1:"&amp;LEN(A272)))),1))," ",REPT(" ",LEN(A272))),LEN(A272)))),LARGE(INDEX(ISNUMBER(--MID((--TRIM(RIGHT(SUBSTITUTE(LEFT(A272,_xlfn.AGGREGATE(16,6,FIND({0,1,2,3,4,5,6,7,8,9},A272,ROW(INDIRECT("1:"&amp;LEN(A272)))),1))," ",REPT(" ",LEN(A272))),LEN(A272)))),ROW(INDIRECT("1:"&amp;LEN((--TRIM(RIGHT(SUBSTITUTE(LEFT(A272,_xlfn.AGGREGATE(16,6,FIND({0,1,2,3,4,5,6,7,8,9},A272,ROW(INDIRECT("1:"&amp;LEN(A272)))),1))," ",REPT(" ",LEN(A272))),LEN(A272))))))),1))*ROW(INDIRECT("1:"&amp;LEN((--TRIM(RIGHT(SUBSTITUTE(LEFT(A272,_xlfn.AGGREGATE(16,6,FIND({0,1,2,3,4,5,6,7,8,9},A272,ROW(INDIRECT("1:"&amp;LEN(A272)))),1))," ",REPT(" ",LEN(A272))),LEN(A272))))))),0),ROW(INDIRECT("1:"&amp;LEN((--TRIM(RIGHT(SUBSTITUTE(LEFT(A272,_xlfn.AGGREGATE(16,6,FIND({0,1,2,3,4,5,6,7,8,9},A272,ROW(INDIRECT("1:"&amp;LEN(A272)))),1))," ",REPT(" ",LEN(A272))),LEN(A272))))))))+1,1)*10^ROW(INDIRECT("1:"&amp;LEN((--TRIM(RIGHT(SUBSTITUTE(LEFT(A272,_xlfn.AGGREGATE(16,6,FIND({0,1,2,3,4,5,6,7,8,9},A272,ROW(INDIRECT("1:"&amp;LEN(A272)))),1))," ",REPT(" ",LEN(A272))),LEN(A272)))))))/10))*100+1</f>
        <v>201 to 701</v>
      </c>
      <c r="B273" s="148"/>
      <c r="C273" s="50" t="s">
        <v>191</v>
      </c>
      <c r="D273" s="50">
        <f>(43.919+8.75)*10.764</f>
        <v>566.92911599999991</v>
      </c>
      <c r="E273" s="50">
        <v>0</v>
      </c>
      <c r="F273" s="50">
        <v>823</v>
      </c>
      <c r="G273" s="147" t="str">
        <f>A272</f>
        <v>2nd to 7th Floor</v>
      </c>
      <c r="H273" s="148"/>
      <c r="I273" s="53"/>
    </row>
    <row r="274" spans="1:9" s="18" customFormat="1">
      <c r="A274" s="147" t="str">
        <f ca="1">(SUMPRODUCT(MID(0&amp;(LEFT(A273,SUM(LEN(A273)-LEN(SUBSTITUTE(A273,{"0","1","2"},""))))),LARGE(INDEX(ISNUMBER(--MID((LEFT(A273,SUM(LEN(A273)-LEN(SUBSTITUTE(A273,{"0","1","2"},""))))),ROW(INDIRECT("1:"&amp;LEN((LEFT(A273,SUM(LEN(A273)-LEN(SUBSTITUTE(A273,{"0","1","2"},"")))))))),1))*ROW(INDIRECT("1:"&amp;LEN((LEFT(A273,SUM(LEN(A273)-LEN(SUBSTITUTE(A273,{"0","1","2"},"")))))))),0),ROW(INDIRECT("1:"&amp;LEN((LEFT(A273,SUM(LEN(A273)-LEN(SUBSTITUTE(A273,{"0","1","2"},"")))))))))+1,1)*10^ROW(INDIRECT("1:"&amp;LEN((LEFT(A273,SUM(LEN(A273)-LEN(SUBSTITUTE(A273,{"0","1","2"},""))))))))/10))*1+1&amp;""&amp;" to "&amp;""&amp;(SUMPRODUCT(MID(0&amp;(--TRIM(RIGHT(SUBSTITUTE(LEFT(A273,_xlfn.AGGREGATE(16,6,FIND({0,1,2,3,4,5,6,7,8,9},A273,ROW(INDIRECT("1:"&amp;LEN(A273)))),1))," ",REPT(" ",LEN(A273))),LEN(A273)))),LARGE(INDEX(ISNUMBER(--MID((--TRIM(RIGHT(SUBSTITUTE(LEFT(A273,_xlfn.AGGREGATE(16,6,FIND({0,1,2,3,4,5,6,7,8,9},A273,ROW(INDIRECT("1:"&amp;LEN(A273)))),1))," ",REPT(" ",LEN(A273))),LEN(A273)))),ROW(INDIRECT("1:"&amp;LEN((--TRIM(RIGHT(SUBSTITUTE(LEFT(A273,_xlfn.AGGREGATE(16,6,FIND({0,1,2,3,4,5,6,7,8,9},A273,ROW(INDIRECT("1:"&amp;LEN(A273)))),1))," ",REPT(" ",LEN(A273))),LEN(A273))))))),1))*ROW(INDIRECT("1:"&amp;LEN((--TRIM(RIGHT(SUBSTITUTE(LEFT(A273,_xlfn.AGGREGATE(16,6,FIND({0,1,2,3,4,5,6,7,8,9},A273,ROW(INDIRECT("1:"&amp;LEN(A273)))),1))," ",REPT(" ",LEN(A273))),LEN(A273))))))),0),ROW(INDIRECT("1:"&amp;LEN((--TRIM(RIGHT(SUBSTITUTE(LEFT(A273,_xlfn.AGGREGATE(16,6,FIND({0,1,2,3,4,5,6,7,8,9},A273,ROW(INDIRECT("1:"&amp;LEN(A273)))),1))," ",REPT(" ",LEN(A273))),LEN(A273))))))))+1,1)*10^ROW(INDIRECT("1:"&amp;LEN((--TRIM(RIGHT(SUBSTITUTE(LEFT(A273,_xlfn.AGGREGATE(16,6,FIND({0,1,2,3,4,5,6,7,8,9},A273,ROW(INDIRECT("1:"&amp;LEN(A273)))),1))," ",REPT(" ",LEN(A273))),LEN(A273)))))))/10))*1+1</f>
        <v>202 to 702</v>
      </c>
      <c r="B274" s="148"/>
      <c r="C274" s="50" t="s">
        <v>191</v>
      </c>
      <c r="D274" s="50">
        <f>(48.251)*10.764</f>
        <v>519.37376399999994</v>
      </c>
      <c r="E274" s="50">
        <v>0</v>
      </c>
      <c r="F274" s="50">
        <v>812</v>
      </c>
      <c r="G274" s="147" t="str">
        <f>G273</f>
        <v>2nd to 7th Floor</v>
      </c>
      <c r="H274" s="148"/>
      <c r="I274" s="53"/>
    </row>
    <row r="275" spans="1:9" s="18" customFormat="1">
      <c r="A275" s="147" t="str">
        <f ca="1">(SUMPRODUCT(MID(0&amp;(LEFT(A274,SUM(LEN(A274)-LEN(SUBSTITUTE(A274,{"0","1","2"},""))))),LARGE(INDEX(ISNUMBER(--MID((LEFT(A274,SUM(LEN(A274)-LEN(SUBSTITUTE(A274,{"0","1","2"},""))))),ROW(INDIRECT("1:"&amp;LEN((LEFT(A274,SUM(LEN(A274)-LEN(SUBSTITUTE(A274,{"0","1","2"},"")))))))),1))*ROW(INDIRECT("1:"&amp;LEN((LEFT(A274,SUM(LEN(A274)-LEN(SUBSTITUTE(A274,{"0","1","2"},"")))))))),0),ROW(INDIRECT("1:"&amp;LEN((LEFT(A274,SUM(LEN(A274)-LEN(SUBSTITUTE(A274,{"0","1","2"},"")))))))))+1,1)*10^ROW(INDIRECT("1:"&amp;LEN((LEFT(A274,SUM(LEN(A274)-LEN(SUBSTITUTE(A274,{"0","1","2"},""))))))))/10))*1+1&amp;""&amp;" to "&amp;""&amp;(SUMPRODUCT(MID(0&amp;(--TRIM(RIGHT(SUBSTITUTE(LEFT(A274,_xlfn.AGGREGATE(16,6,FIND({0,1,2,3,4,5,6,7,8,9},A274,ROW(INDIRECT("1:"&amp;LEN(A274)))),1))," ",REPT(" ",LEN(A274))),LEN(A274)))),LARGE(INDEX(ISNUMBER(--MID((--TRIM(RIGHT(SUBSTITUTE(LEFT(A274,_xlfn.AGGREGATE(16,6,FIND({0,1,2,3,4,5,6,7,8,9},A274,ROW(INDIRECT("1:"&amp;LEN(A274)))),1))," ",REPT(" ",LEN(A274))),LEN(A274)))),ROW(INDIRECT("1:"&amp;LEN((--TRIM(RIGHT(SUBSTITUTE(LEFT(A274,_xlfn.AGGREGATE(16,6,FIND({0,1,2,3,4,5,6,7,8,9},A274,ROW(INDIRECT("1:"&amp;LEN(A274)))),1))," ",REPT(" ",LEN(A274))),LEN(A274))))))),1))*ROW(INDIRECT("1:"&amp;LEN((--TRIM(RIGHT(SUBSTITUTE(LEFT(A274,_xlfn.AGGREGATE(16,6,FIND({0,1,2,3,4,5,6,7,8,9},A274,ROW(INDIRECT("1:"&amp;LEN(A274)))),1))," ",REPT(" ",LEN(A274))),LEN(A274))))))),0),ROW(INDIRECT("1:"&amp;LEN((--TRIM(RIGHT(SUBSTITUTE(LEFT(A274,_xlfn.AGGREGATE(16,6,FIND({0,1,2,3,4,5,6,7,8,9},A274,ROW(INDIRECT("1:"&amp;LEN(A274)))),1))," ",REPT(" ",LEN(A274))),LEN(A274))))))))+1,1)*10^ROW(INDIRECT("1:"&amp;LEN((--TRIM(RIGHT(SUBSTITUTE(LEFT(A274,_xlfn.AGGREGATE(16,6,FIND({0,1,2,3,4,5,6,7,8,9},A274,ROW(INDIRECT("1:"&amp;LEN(A274)))),1))," ",REPT(" ",LEN(A274))),LEN(A274)))))))/10))*1+1</f>
        <v>203 to 703</v>
      </c>
      <c r="B275" s="148"/>
      <c r="C275" s="50" t="s">
        <v>190</v>
      </c>
      <c r="D275" s="50">
        <f>(30.83+5.45)*10.764</f>
        <v>390.51792</v>
      </c>
      <c r="E275" s="50">
        <v>0</v>
      </c>
      <c r="F275" s="50">
        <v>606</v>
      </c>
      <c r="G275" s="147" t="str">
        <f>G274</f>
        <v>2nd to 7th Floor</v>
      </c>
      <c r="H275" s="148"/>
      <c r="I275" s="53"/>
    </row>
    <row r="276" spans="1:9" s="18" customFormat="1">
      <c r="A276" s="147" t="str">
        <f ca="1">(SUMPRODUCT(MID(0&amp;(LEFT(A275,SUM(LEN(A275)-LEN(SUBSTITUTE(A275,{"0","1","2"},""))))),LARGE(INDEX(ISNUMBER(--MID((LEFT(A275,SUM(LEN(A275)-LEN(SUBSTITUTE(A275,{"0","1","2"},""))))),ROW(INDIRECT("1:"&amp;LEN((LEFT(A275,SUM(LEN(A275)-LEN(SUBSTITUTE(A275,{"0","1","2"},"")))))))),1))*ROW(INDIRECT("1:"&amp;LEN((LEFT(A275,SUM(LEN(A275)-LEN(SUBSTITUTE(A275,{"0","1","2"},"")))))))),0),ROW(INDIRECT("1:"&amp;LEN((LEFT(A275,SUM(LEN(A275)-LEN(SUBSTITUTE(A275,{"0","1","2"},"")))))))))+1,1)*10^ROW(INDIRECT("1:"&amp;LEN((LEFT(A275,SUM(LEN(A275)-LEN(SUBSTITUTE(A275,{"0","1","2"},""))))))))/10))*1+1&amp;""&amp;" to "&amp;""&amp;(SUMPRODUCT(MID(0&amp;(--TRIM(RIGHT(SUBSTITUTE(LEFT(A275,_xlfn.AGGREGATE(16,6,FIND({0,1,2,3,4,5,6,7,8,9},A275,ROW(INDIRECT("1:"&amp;LEN(A275)))),1))," ",REPT(" ",LEN(A275))),LEN(A275)))),LARGE(INDEX(ISNUMBER(--MID((--TRIM(RIGHT(SUBSTITUTE(LEFT(A275,_xlfn.AGGREGATE(16,6,FIND({0,1,2,3,4,5,6,7,8,9},A275,ROW(INDIRECT("1:"&amp;LEN(A275)))),1))," ",REPT(" ",LEN(A275))),LEN(A275)))),ROW(INDIRECT("1:"&amp;LEN((--TRIM(RIGHT(SUBSTITUTE(LEFT(A275,_xlfn.AGGREGATE(16,6,FIND({0,1,2,3,4,5,6,7,8,9},A275,ROW(INDIRECT("1:"&amp;LEN(A275)))),1))," ",REPT(" ",LEN(A275))),LEN(A275))))))),1))*ROW(INDIRECT("1:"&amp;LEN((--TRIM(RIGHT(SUBSTITUTE(LEFT(A275,_xlfn.AGGREGATE(16,6,FIND({0,1,2,3,4,5,6,7,8,9},A275,ROW(INDIRECT("1:"&amp;LEN(A275)))),1))," ",REPT(" ",LEN(A275))),LEN(A275))))))),0),ROW(INDIRECT("1:"&amp;LEN((--TRIM(RIGHT(SUBSTITUTE(LEFT(A275,_xlfn.AGGREGATE(16,6,FIND({0,1,2,3,4,5,6,7,8,9},A275,ROW(INDIRECT("1:"&amp;LEN(A275)))),1))," ",REPT(" ",LEN(A275))),LEN(A275))))))))+1,1)*10^ROW(INDIRECT("1:"&amp;LEN((--TRIM(RIGHT(SUBSTITUTE(LEFT(A275,_xlfn.AGGREGATE(16,6,FIND({0,1,2,3,4,5,6,7,8,9},A275,ROW(INDIRECT("1:"&amp;LEN(A275)))),1))," ",REPT(" ",LEN(A275))),LEN(A275)))))))/10))*1+1</f>
        <v>204 to 704</v>
      </c>
      <c r="B276" s="148"/>
      <c r="C276" s="50" t="s">
        <v>190</v>
      </c>
      <c r="D276" s="50">
        <f>(30.83+5.45)*10.764</f>
        <v>390.51792</v>
      </c>
      <c r="E276" s="50">
        <v>0</v>
      </c>
      <c r="F276" s="50">
        <v>606</v>
      </c>
      <c r="G276" s="147" t="str">
        <f>G275</f>
        <v>2nd to 7th Floor</v>
      </c>
      <c r="H276" s="148"/>
      <c r="I276" s="53"/>
    </row>
    <row r="277" spans="1:9" s="17" customFormat="1">
      <c r="A277" s="168" t="s">
        <v>195</v>
      </c>
      <c r="B277" s="168"/>
      <c r="C277" s="168"/>
      <c r="D277" s="168"/>
      <c r="E277" s="168"/>
      <c r="F277" s="168"/>
      <c r="G277" s="168"/>
      <c r="H277" s="168"/>
    </row>
    <row r="278" spans="1:9" s="17" customFormat="1">
      <c r="A278" s="56" t="s">
        <v>196</v>
      </c>
      <c r="B278" s="169" t="s">
        <v>197</v>
      </c>
      <c r="C278" s="170"/>
      <c r="D278" s="170"/>
      <c r="E278" s="170"/>
      <c r="F278" s="170"/>
      <c r="G278" s="170"/>
      <c r="H278" s="171"/>
    </row>
    <row r="279" spans="1:9" s="17" customFormat="1">
      <c r="A279" s="56" t="s">
        <v>196</v>
      </c>
      <c r="B279" s="169" t="str">
        <f>(IF(F181="Saleable area Loading :","We have considered Saleable area of Flats as per our Calculation.","We considered Saleable area of Flat as per Builder area Sheet."))</f>
        <v>We considered Saleable area of Flat as per Builder area Sheet.</v>
      </c>
      <c r="C279" s="170"/>
      <c r="D279" s="170"/>
      <c r="E279" s="170"/>
      <c r="F279" s="170"/>
      <c r="G279" s="170"/>
      <c r="H279" s="171"/>
    </row>
    <row r="280" spans="1:9" s="17" customFormat="1">
      <c r="A280" s="56" t="s">
        <v>196</v>
      </c>
      <c r="B280" s="169" t="str">
        <f>(IF(F166="Saleable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80" s="170"/>
      <c r="D280" s="170"/>
      <c r="E280" s="170"/>
      <c r="F280" s="170"/>
      <c r="G280" s="170"/>
      <c r="H280" s="171"/>
    </row>
    <row r="281" spans="1:9" s="17" customFormat="1">
      <c r="A281" s="47" t="s">
        <v>196</v>
      </c>
      <c r="B281" s="161" t="s">
        <v>198</v>
      </c>
      <c r="C281" s="162"/>
      <c r="D281" s="162"/>
      <c r="E281" s="162"/>
      <c r="F281" s="162"/>
      <c r="G281" s="162"/>
      <c r="H281" s="163"/>
    </row>
    <row r="282" spans="1:9" s="17" customFormat="1">
      <c r="A282" s="47" t="s">
        <v>196</v>
      </c>
      <c r="B282" s="161" t="s">
        <v>199</v>
      </c>
      <c r="C282" s="162"/>
      <c r="D282" s="162"/>
      <c r="E282" s="162"/>
      <c r="F282" s="162"/>
      <c r="G282" s="162"/>
      <c r="H282" s="163"/>
    </row>
    <row r="283" spans="1:9" s="17" customFormat="1">
      <c r="A283" s="47" t="s">
        <v>196</v>
      </c>
      <c r="B283" s="161" t="s">
        <v>200</v>
      </c>
      <c r="C283" s="162"/>
      <c r="D283" s="162"/>
      <c r="E283" s="162"/>
      <c r="F283" s="162"/>
      <c r="G283" s="162"/>
      <c r="H283" s="163"/>
    </row>
    <row r="284" spans="1:9" s="17" customFormat="1">
      <c r="A284" s="47" t="s">
        <v>196</v>
      </c>
      <c r="B284" s="161" t="s">
        <v>201</v>
      </c>
      <c r="C284" s="162"/>
      <c r="D284" s="162"/>
      <c r="E284" s="162"/>
      <c r="F284" s="162"/>
      <c r="G284" s="162"/>
      <c r="H284" s="163"/>
    </row>
    <row r="285" spans="1:9" s="17" customFormat="1" ht="34.5" customHeight="1">
      <c r="A285" s="47" t="s">
        <v>196</v>
      </c>
      <c r="B285" s="161" t="s">
        <v>202</v>
      </c>
      <c r="C285" s="162"/>
      <c r="D285" s="162"/>
      <c r="E285" s="162"/>
      <c r="F285" s="162"/>
      <c r="G285" s="162"/>
      <c r="H285" s="163"/>
    </row>
    <row r="286" spans="1:9" s="17" customFormat="1">
      <c r="A286" s="47" t="s">
        <v>196</v>
      </c>
      <c r="B286" s="161" t="s">
        <v>203</v>
      </c>
      <c r="C286" s="162"/>
      <c r="D286" s="162"/>
      <c r="E286" s="162"/>
      <c r="F286" s="162"/>
      <c r="G286" s="162"/>
      <c r="H286" s="163"/>
    </row>
    <row r="287" spans="1:9" s="17" customFormat="1" hidden="1">
      <c r="A287" s="47" t="s">
        <v>196</v>
      </c>
      <c r="B287" s="164" t="s">
        <v>204</v>
      </c>
      <c r="C287" s="165"/>
      <c r="D287" s="165"/>
      <c r="E287" s="165"/>
      <c r="F287" s="165"/>
      <c r="G287" s="165"/>
      <c r="H287" s="166"/>
    </row>
    <row r="288" spans="1:9">
      <c r="A288" s="167" t="s">
        <v>205</v>
      </c>
      <c r="B288" s="167"/>
      <c r="C288" s="167"/>
      <c r="D288" s="167"/>
      <c r="E288" s="167"/>
      <c r="F288" s="167"/>
      <c r="G288" s="167"/>
      <c r="H288" s="167"/>
    </row>
    <row r="289" spans="1:8">
      <c r="A289" s="67" t="s">
        <v>206</v>
      </c>
      <c r="B289" s="67"/>
      <c r="C289" s="67"/>
      <c r="D289" s="67"/>
      <c r="E289" s="67"/>
      <c r="F289" s="67"/>
      <c r="G289" s="67"/>
      <c r="H289" s="67"/>
    </row>
    <row r="290" spans="1:8" ht="15.75" customHeight="1">
      <c r="A290" s="179" t="s">
        <v>207</v>
      </c>
      <c r="B290" s="179"/>
      <c r="C290" s="179"/>
      <c r="D290" s="179"/>
      <c r="E290" s="179"/>
      <c r="F290" s="179"/>
      <c r="G290" s="179"/>
      <c r="H290" s="179"/>
    </row>
    <row r="291" spans="1:8">
      <c r="A291" s="67" t="s">
        <v>208</v>
      </c>
      <c r="B291" s="67"/>
      <c r="C291" s="67"/>
      <c r="D291" s="67"/>
      <c r="E291" s="67"/>
      <c r="F291" s="67"/>
      <c r="G291" s="67"/>
      <c r="H291" s="67"/>
    </row>
    <row r="292" spans="1:8">
      <c r="A292" s="67" t="s">
        <v>209</v>
      </c>
      <c r="B292" s="67"/>
      <c r="C292" s="67"/>
      <c r="D292" s="67"/>
      <c r="E292" s="67"/>
      <c r="F292" s="67"/>
      <c r="G292" s="67"/>
      <c r="H292" s="67"/>
    </row>
    <row r="293" spans="1:8">
      <c r="A293" s="67" t="s">
        <v>210</v>
      </c>
      <c r="B293" s="67"/>
      <c r="C293" s="67"/>
      <c r="D293" s="67"/>
      <c r="E293" s="67"/>
      <c r="F293" s="67"/>
      <c r="G293" s="67"/>
      <c r="H293" s="67"/>
    </row>
    <row r="294" spans="1:8" ht="35.25" customHeight="1">
      <c r="A294" s="180" t="s">
        <v>211</v>
      </c>
      <c r="B294" s="180"/>
      <c r="C294" s="180"/>
      <c r="D294" s="180"/>
      <c r="E294" s="180"/>
      <c r="F294" s="180"/>
      <c r="G294" s="180"/>
      <c r="H294" s="180"/>
    </row>
    <row r="295" spans="1:8">
      <c r="A295" s="181" t="s">
        <v>212</v>
      </c>
      <c r="B295" s="181"/>
      <c r="C295" s="181" t="s">
        <v>231</v>
      </c>
      <c r="D295" s="181"/>
      <c r="E295" s="181" t="s">
        <v>213</v>
      </c>
      <c r="F295" s="181"/>
      <c r="G295" s="181" t="s">
        <v>230</v>
      </c>
      <c r="H295" s="181"/>
    </row>
    <row r="296" spans="1:8">
      <c r="A296" s="172" t="s">
        <v>214</v>
      </c>
      <c r="B296" s="172"/>
      <c r="C296" s="172"/>
      <c r="D296" s="172"/>
      <c r="E296" s="172"/>
      <c r="F296" s="172"/>
      <c r="G296" s="172"/>
      <c r="H296" s="172"/>
    </row>
    <row r="297" spans="1:8">
      <c r="A297" s="172"/>
      <c r="B297" s="172"/>
      <c r="C297" s="172"/>
      <c r="D297" s="172"/>
      <c r="E297" s="172"/>
      <c r="F297" s="172"/>
      <c r="G297" s="172"/>
      <c r="H297" s="172"/>
    </row>
    <row r="298" spans="1:8">
      <c r="A298" s="172"/>
      <c r="B298" s="172"/>
      <c r="C298" s="172"/>
      <c r="D298" s="172"/>
      <c r="E298" s="172"/>
      <c r="F298" s="172"/>
      <c r="G298" s="172"/>
      <c r="H298" s="172"/>
    </row>
    <row r="299" spans="1:8">
      <c r="A299" s="172"/>
      <c r="B299" s="172"/>
      <c r="C299" s="172"/>
      <c r="D299" s="172"/>
      <c r="E299" s="172"/>
      <c r="F299" s="172"/>
      <c r="G299" s="172"/>
      <c r="H299" s="172"/>
    </row>
    <row r="300" spans="1:8">
      <c r="A300" s="57" t="s">
        <v>215</v>
      </c>
      <c r="B300" s="58"/>
      <c r="C300" s="58"/>
      <c r="D300" s="57" t="str">
        <f>E8</f>
        <v>CJ Greens</v>
      </c>
      <c r="F300" s="58"/>
      <c r="G300" s="58"/>
      <c r="H300" s="58"/>
    </row>
    <row r="301" spans="1:8">
      <c r="A301" s="58"/>
      <c r="B301" s="58"/>
      <c r="C301" s="58"/>
      <c r="D301" s="58"/>
      <c r="E301" s="58"/>
      <c r="F301" s="58"/>
      <c r="G301" s="58"/>
      <c r="H301" s="58"/>
    </row>
    <row r="302" spans="1:8">
      <c r="A302" s="58"/>
      <c r="B302" s="58"/>
      <c r="C302" s="58"/>
      <c r="D302" s="58"/>
      <c r="E302" s="58"/>
      <c r="F302" s="58"/>
      <c r="G302" s="58"/>
      <c r="H302" s="58"/>
    </row>
    <row r="303" spans="1:8" ht="15" customHeight="1"/>
    <row r="310" spans="9:11">
      <c r="I310" s="20" t="s">
        <v>216</v>
      </c>
    </row>
    <row r="311" spans="9:11">
      <c r="K311" s="20" t="s">
        <v>216</v>
      </c>
    </row>
    <row r="345" spans="1:1">
      <c r="A345" s="59" t="s">
        <v>217</v>
      </c>
    </row>
  </sheetData>
  <mergeCells count="564">
    <mergeCell ref="A163:B163"/>
    <mergeCell ref="C163:D163"/>
    <mergeCell ref="E163:F163"/>
    <mergeCell ref="G163:H163"/>
    <mergeCell ref="A296:H299"/>
    <mergeCell ref="G170:H179"/>
    <mergeCell ref="G181:H182"/>
    <mergeCell ref="E111:F120"/>
    <mergeCell ref="G111:H120"/>
    <mergeCell ref="E83:F92"/>
    <mergeCell ref="G83:H92"/>
    <mergeCell ref="E125:F134"/>
    <mergeCell ref="G125:H134"/>
    <mergeCell ref="A289:H289"/>
    <mergeCell ref="A290:H290"/>
    <mergeCell ref="A291:H291"/>
    <mergeCell ref="A292:H292"/>
    <mergeCell ref="A293:H293"/>
    <mergeCell ref="A294:H294"/>
    <mergeCell ref="A295:B295"/>
    <mergeCell ref="C295:D295"/>
    <mergeCell ref="E295:F295"/>
    <mergeCell ref="G295:H295"/>
    <mergeCell ref="B280:H280"/>
    <mergeCell ref="B281:H281"/>
    <mergeCell ref="B282:H282"/>
    <mergeCell ref="B283:H283"/>
    <mergeCell ref="B284:H284"/>
    <mergeCell ref="B285:H285"/>
    <mergeCell ref="B286:H286"/>
    <mergeCell ref="B287:H287"/>
    <mergeCell ref="A288:H288"/>
    <mergeCell ref="A274:B274"/>
    <mergeCell ref="G274:H274"/>
    <mergeCell ref="A275:B275"/>
    <mergeCell ref="G275:H275"/>
    <mergeCell ref="A276:B276"/>
    <mergeCell ref="G276:H276"/>
    <mergeCell ref="A277:H277"/>
    <mergeCell ref="B278:H278"/>
    <mergeCell ref="B279:H279"/>
    <mergeCell ref="A270:B270"/>
    <mergeCell ref="G270:H270"/>
    <mergeCell ref="L270:M270"/>
    <mergeCell ref="A271:B271"/>
    <mergeCell ref="G271:H271"/>
    <mergeCell ref="L271:M271"/>
    <mergeCell ref="A272:H272"/>
    <mergeCell ref="A273:B273"/>
    <mergeCell ref="G273:H273"/>
    <mergeCell ref="A265:B265"/>
    <mergeCell ref="G265:H265"/>
    <mergeCell ref="A266:H266"/>
    <mergeCell ref="A267:H267"/>
    <mergeCell ref="A268:B268"/>
    <mergeCell ref="G268:H268"/>
    <mergeCell ref="L268:M268"/>
    <mergeCell ref="A269:B269"/>
    <mergeCell ref="G269:H269"/>
    <mergeCell ref="L269:M269"/>
    <mergeCell ref="A260:B260"/>
    <mergeCell ref="G260:H260"/>
    <mergeCell ref="L260:M260"/>
    <mergeCell ref="A261:H261"/>
    <mergeCell ref="A262:B262"/>
    <mergeCell ref="G262:H262"/>
    <mergeCell ref="A263:B263"/>
    <mergeCell ref="G263:H263"/>
    <mergeCell ref="A264:B264"/>
    <mergeCell ref="G264:H264"/>
    <mergeCell ref="A257:B257"/>
    <mergeCell ref="G257:H257"/>
    <mergeCell ref="L257:M257"/>
    <mergeCell ref="A258:B258"/>
    <mergeCell ref="G258:H258"/>
    <mergeCell ref="L258:M258"/>
    <mergeCell ref="A259:B259"/>
    <mergeCell ref="G259:H259"/>
    <mergeCell ref="L259:M259"/>
    <mergeCell ref="A251:B251"/>
    <mergeCell ref="G251:H251"/>
    <mergeCell ref="A252:B252"/>
    <mergeCell ref="G252:H252"/>
    <mergeCell ref="A253:B253"/>
    <mergeCell ref="G253:H253"/>
    <mergeCell ref="A254:H254"/>
    <mergeCell ref="A255:H255"/>
    <mergeCell ref="A256:H256"/>
    <mergeCell ref="A247:B247"/>
    <mergeCell ref="G247:H247"/>
    <mergeCell ref="L247:M247"/>
    <mergeCell ref="A248:B248"/>
    <mergeCell ref="G248:H248"/>
    <mergeCell ref="L248:M248"/>
    <mergeCell ref="A249:H249"/>
    <mergeCell ref="A250:B250"/>
    <mergeCell ref="G250:H250"/>
    <mergeCell ref="A241:B241"/>
    <mergeCell ref="G241:H241"/>
    <mergeCell ref="A242:H242"/>
    <mergeCell ref="A243:H243"/>
    <mergeCell ref="A244:H244"/>
    <mergeCell ref="A245:B245"/>
    <mergeCell ref="G245:H245"/>
    <mergeCell ref="L245:M245"/>
    <mergeCell ref="A246:B246"/>
    <mergeCell ref="G246:H246"/>
    <mergeCell ref="L246:M246"/>
    <mergeCell ref="A236:B236"/>
    <mergeCell ref="G236:H236"/>
    <mergeCell ref="L236:M236"/>
    <mergeCell ref="A237:H237"/>
    <mergeCell ref="A238:B238"/>
    <mergeCell ref="G238:H238"/>
    <mergeCell ref="A239:B239"/>
    <mergeCell ref="G239:H239"/>
    <mergeCell ref="A240:B240"/>
    <mergeCell ref="G240:H240"/>
    <mergeCell ref="A233:B233"/>
    <mergeCell ref="G233:H233"/>
    <mergeCell ref="L233:M233"/>
    <mergeCell ref="A234:B234"/>
    <mergeCell ref="G234:H234"/>
    <mergeCell ref="L234:M234"/>
    <mergeCell ref="A235:B235"/>
    <mergeCell ref="G235:H235"/>
    <mergeCell ref="L235:M235"/>
    <mergeCell ref="A227:B227"/>
    <mergeCell ref="G227:H227"/>
    <mergeCell ref="A228:B228"/>
    <mergeCell ref="G228:H228"/>
    <mergeCell ref="A229:B229"/>
    <mergeCell ref="G229:H229"/>
    <mergeCell ref="A230:H230"/>
    <mergeCell ref="A231:H231"/>
    <mergeCell ref="A232:H232"/>
    <mergeCell ref="A223:B223"/>
    <mergeCell ref="G223:H223"/>
    <mergeCell ref="L223:M223"/>
    <mergeCell ref="A224:B224"/>
    <mergeCell ref="G224:H224"/>
    <mergeCell ref="L224:M224"/>
    <mergeCell ref="A225:H225"/>
    <mergeCell ref="A226:B226"/>
    <mergeCell ref="G226:H226"/>
    <mergeCell ref="A217:B217"/>
    <mergeCell ref="G217:H217"/>
    <mergeCell ref="A218:H218"/>
    <mergeCell ref="A219:H219"/>
    <mergeCell ref="A220:H220"/>
    <mergeCell ref="A221:B221"/>
    <mergeCell ref="G221:H221"/>
    <mergeCell ref="L221:M221"/>
    <mergeCell ref="A222:B222"/>
    <mergeCell ref="G222:H222"/>
    <mergeCell ref="L222:M222"/>
    <mergeCell ref="A212:B212"/>
    <mergeCell ref="G212:H212"/>
    <mergeCell ref="L212:M212"/>
    <mergeCell ref="A213:H213"/>
    <mergeCell ref="A214:B214"/>
    <mergeCell ref="G214:H214"/>
    <mergeCell ref="A215:B215"/>
    <mergeCell ref="G215:H215"/>
    <mergeCell ref="A216:B216"/>
    <mergeCell ref="G216:H216"/>
    <mergeCell ref="A209:B209"/>
    <mergeCell ref="G209:H209"/>
    <mergeCell ref="L209:M209"/>
    <mergeCell ref="A210:B210"/>
    <mergeCell ref="G210:H210"/>
    <mergeCell ref="L210:M210"/>
    <mergeCell ref="A211:B211"/>
    <mergeCell ref="G211:H211"/>
    <mergeCell ref="L211:M211"/>
    <mergeCell ref="A203:B203"/>
    <mergeCell ref="G203:H203"/>
    <mergeCell ref="A204:B204"/>
    <mergeCell ref="G204:H204"/>
    <mergeCell ref="A205:B205"/>
    <mergeCell ref="G205:H205"/>
    <mergeCell ref="A206:H206"/>
    <mergeCell ref="A207:H207"/>
    <mergeCell ref="A208:H208"/>
    <mergeCell ref="A199:B199"/>
    <mergeCell ref="G199:H199"/>
    <mergeCell ref="L199:M199"/>
    <mergeCell ref="A200:B200"/>
    <mergeCell ref="G200:H200"/>
    <mergeCell ref="L200:M200"/>
    <mergeCell ref="A201:H201"/>
    <mergeCell ref="A202:B202"/>
    <mergeCell ref="G202:H202"/>
    <mergeCell ref="A194:H194"/>
    <mergeCell ref="A195:H195"/>
    <mergeCell ref="A196:H196"/>
    <mergeCell ref="A197:B197"/>
    <mergeCell ref="G197:H197"/>
    <mergeCell ref="L197:M197"/>
    <mergeCell ref="A198:B198"/>
    <mergeCell ref="G198:H198"/>
    <mergeCell ref="L198:M198"/>
    <mergeCell ref="A189:H189"/>
    <mergeCell ref="A190:B190"/>
    <mergeCell ref="G190:H190"/>
    <mergeCell ref="A191:B191"/>
    <mergeCell ref="G191:H191"/>
    <mergeCell ref="A192:B192"/>
    <mergeCell ref="G192:H192"/>
    <mergeCell ref="A193:B193"/>
    <mergeCell ref="G193:H193"/>
    <mergeCell ref="A186:B186"/>
    <mergeCell ref="G186:H186"/>
    <mergeCell ref="L186:M186"/>
    <mergeCell ref="A187:B187"/>
    <mergeCell ref="G187:H187"/>
    <mergeCell ref="L187:M187"/>
    <mergeCell ref="A188:B188"/>
    <mergeCell ref="G188:H188"/>
    <mergeCell ref="L188:M188"/>
    <mergeCell ref="A178:B178"/>
    <mergeCell ref="L178:M178"/>
    <mergeCell ref="A179:B179"/>
    <mergeCell ref="L179:M179"/>
    <mergeCell ref="A180:H180"/>
    <mergeCell ref="A183:H183"/>
    <mergeCell ref="A184:H184"/>
    <mergeCell ref="A185:B185"/>
    <mergeCell ref="G185:H185"/>
    <mergeCell ref="L185:M185"/>
    <mergeCell ref="A181:A182"/>
    <mergeCell ref="B181:B182"/>
    <mergeCell ref="C181:C182"/>
    <mergeCell ref="D181:D182"/>
    <mergeCell ref="E181:E182"/>
    <mergeCell ref="A173:B173"/>
    <mergeCell ref="L173:M173"/>
    <mergeCell ref="A174:B174"/>
    <mergeCell ref="L174:M174"/>
    <mergeCell ref="A175:B175"/>
    <mergeCell ref="L175:M175"/>
    <mergeCell ref="A176:B176"/>
    <mergeCell ref="L176:M176"/>
    <mergeCell ref="A177:B177"/>
    <mergeCell ref="L177:M177"/>
    <mergeCell ref="A164:H164"/>
    <mergeCell ref="A165:H165"/>
    <mergeCell ref="A168:H168"/>
    <mergeCell ref="A169:H169"/>
    <mergeCell ref="A170:B170"/>
    <mergeCell ref="L170:M170"/>
    <mergeCell ref="A171:B171"/>
    <mergeCell ref="L171:M171"/>
    <mergeCell ref="A172:B172"/>
    <mergeCell ref="L172:M172"/>
    <mergeCell ref="A166:A167"/>
    <mergeCell ref="B166:B167"/>
    <mergeCell ref="C166:C167"/>
    <mergeCell ref="D166:D167"/>
    <mergeCell ref="E166:E167"/>
    <mergeCell ref="G166:H167"/>
    <mergeCell ref="A160:B160"/>
    <mergeCell ref="C160:D160"/>
    <mergeCell ref="E160:F160"/>
    <mergeCell ref="G160:H160"/>
    <mergeCell ref="A161:B161"/>
    <mergeCell ref="C161:D161"/>
    <mergeCell ref="E161:F161"/>
    <mergeCell ref="G161:H161"/>
    <mergeCell ref="A162:B162"/>
    <mergeCell ref="C162:D162"/>
    <mergeCell ref="E162:F162"/>
    <mergeCell ref="G162:H162"/>
    <mergeCell ref="A157:B157"/>
    <mergeCell ref="C157:D157"/>
    <mergeCell ref="E157:F157"/>
    <mergeCell ref="G157:H157"/>
    <mergeCell ref="A158:B158"/>
    <mergeCell ref="C158:D158"/>
    <mergeCell ref="E158:F158"/>
    <mergeCell ref="G158:H158"/>
    <mergeCell ref="A159:B159"/>
    <mergeCell ref="C159:D159"/>
    <mergeCell ref="E159:F159"/>
    <mergeCell ref="G159:H159"/>
    <mergeCell ref="A154:B154"/>
    <mergeCell ref="C154:D154"/>
    <mergeCell ref="E154:F154"/>
    <mergeCell ref="G154:H154"/>
    <mergeCell ref="A155:B155"/>
    <mergeCell ref="C155:D155"/>
    <mergeCell ref="E155:F155"/>
    <mergeCell ref="G155:H155"/>
    <mergeCell ref="A156:B156"/>
    <mergeCell ref="C156:D156"/>
    <mergeCell ref="E156:F156"/>
    <mergeCell ref="G156:H156"/>
    <mergeCell ref="A151:B151"/>
    <mergeCell ref="C151:D151"/>
    <mergeCell ref="E151:F151"/>
    <mergeCell ref="G151:H151"/>
    <mergeCell ref="A152:H152"/>
    <mergeCell ref="A153:B153"/>
    <mergeCell ref="C153:D153"/>
    <mergeCell ref="E153:F153"/>
    <mergeCell ref="G153:H153"/>
    <mergeCell ref="A146:E146"/>
    <mergeCell ref="F146:H146"/>
    <mergeCell ref="A147:E147"/>
    <mergeCell ref="F147:H147"/>
    <mergeCell ref="A148:E148"/>
    <mergeCell ref="F148:H148"/>
    <mergeCell ref="A149:H149"/>
    <mergeCell ref="A150:B150"/>
    <mergeCell ref="C150:D150"/>
    <mergeCell ref="E150:F150"/>
    <mergeCell ref="G150:H150"/>
    <mergeCell ref="A141:E141"/>
    <mergeCell ref="F141:H141"/>
    <mergeCell ref="A142:E142"/>
    <mergeCell ref="F142:H142"/>
    <mergeCell ref="A143:E143"/>
    <mergeCell ref="F143:H143"/>
    <mergeCell ref="A144:E144"/>
    <mergeCell ref="F144:H144"/>
    <mergeCell ref="A145:E145"/>
    <mergeCell ref="F145:H145"/>
    <mergeCell ref="A136:E136"/>
    <mergeCell ref="F136:H136"/>
    <mergeCell ref="A137:E137"/>
    <mergeCell ref="F137:H137"/>
    <mergeCell ref="A138:E138"/>
    <mergeCell ref="F138:H138"/>
    <mergeCell ref="A139:E139"/>
    <mergeCell ref="F139:H139"/>
    <mergeCell ref="A140:E140"/>
    <mergeCell ref="F140:H140"/>
    <mergeCell ref="A128:B128"/>
    <mergeCell ref="A129:B129"/>
    <mergeCell ref="A130:B130"/>
    <mergeCell ref="A131:B131"/>
    <mergeCell ref="A132:B132"/>
    <mergeCell ref="A133:B133"/>
    <mergeCell ref="A134:B134"/>
    <mergeCell ref="A135:E135"/>
    <mergeCell ref="F135:H135"/>
    <mergeCell ref="C121:H121"/>
    <mergeCell ref="A123:B123"/>
    <mergeCell ref="C123:H123"/>
    <mergeCell ref="A124:B124"/>
    <mergeCell ref="E124:F124"/>
    <mergeCell ref="G124:H124"/>
    <mergeCell ref="A125:B125"/>
    <mergeCell ref="A126:B126"/>
    <mergeCell ref="A127:B127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07:B107"/>
    <mergeCell ref="C107:H107"/>
    <mergeCell ref="A109:B109"/>
    <mergeCell ref="C109:H109"/>
    <mergeCell ref="A110:B110"/>
    <mergeCell ref="E110:F110"/>
    <mergeCell ref="G110:H110"/>
    <mergeCell ref="A111:B111"/>
    <mergeCell ref="A112:B112"/>
    <mergeCell ref="A92:B92"/>
    <mergeCell ref="A93:B93"/>
    <mergeCell ref="C93:H93"/>
    <mergeCell ref="A95:B95"/>
    <mergeCell ref="C95:H95"/>
    <mergeCell ref="A96:B96"/>
    <mergeCell ref="E96:F96"/>
    <mergeCell ref="G96:H96"/>
    <mergeCell ref="A97:B97"/>
    <mergeCell ref="E97:F106"/>
    <mergeCell ref="G97:H106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75:B75"/>
    <mergeCell ref="A76:B76"/>
    <mergeCell ref="A77:B77"/>
    <mergeCell ref="A78:B78"/>
    <mergeCell ref="A79:B79"/>
    <mergeCell ref="C79:H79"/>
    <mergeCell ref="A81:B81"/>
    <mergeCell ref="C81:H81"/>
    <mergeCell ref="A82:B82"/>
    <mergeCell ref="E82:F82"/>
    <mergeCell ref="G82:H82"/>
    <mergeCell ref="E69:F78"/>
    <mergeCell ref="G69:H78"/>
    <mergeCell ref="A68:B68"/>
    <mergeCell ref="E68:F68"/>
    <mergeCell ref="G68:H68"/>
    <mergeCell ref="A69:B69"/>
    <mergeCell ref="A70:B70"/>
    <mergeCell ref="A71:B71"/>
    <mergeCell ref="A72:B72"/>
    <mergeCell ref="A73:B73"/>
    <mergeCell ref="A74:B74"/>
    <mergeCell ref="A62:C62"/>
    <mergeCell ref="D62:H62"/>
    <mergeCell ref="A63:C63"/>
    <mergeCell ref="D63:H63"/>
    <mergeCell ref="A64:C64"/>
    <mergeCell ref="D64:H64"/>
    <mergeCell ref="A65:B65"/>
    <mergeCell ref="C65:H65"/>
    <mergeCell ref="A67:B67"/>
    <mergeCell ref="C67:H67"/>
    <mergeCell ref="A57:C57"/>
    <mergeCell ref="D57:H57"/>
    <mergeCell ref="A58:C58"/>
    <mergeCell ref="D58:H58"/>
    <mergeCell ref="A59:C59"/>
    <mergeCell ref="D59:H59"/>
    <mergeCell ref="A60:C60"/>
    <mergeCell ref="D60:H60"/>
    <mergeCell ref="A61:C61"/>
    <mergeCell ref="D61:H61"/>
    <mergeCell ref="A52:B52"/>
    <mergeCell ref="C52:E52"/>
    <mergeCell ref="G52:H52"/>
    <mergeCell ref="A53:H53"/>
    <mergeCell ref="A54:C54"/>
    <mergeCell ref="D54:H54"/>
    <mergeCell ref="A55:C55"/>
    <mergeCell ref="D55:H55"/>
    <mergeCell ref="A56:C56"/>
    <mergeCell ref="D56:H56"/>
    <mergeCell ref="A48:B48"/>
    <mergeCell ref="C48:E48"/>
    <mergeCell ref="G48:H48"/>
    <mergeCell ref="A49:B49"/>
    <mergeCell ref="C49:E49"/>
    <mergeCell ref="G49:H49"/>
    <mergeCell ref="C50:E50"/>
    <mergeCell ref="G50:H50"/>
    <mergeCell ref="C51:H51"/>
    <mergeCell ref="A50:B51"/>
    <mergeCell ref="A43:D43"/>
    <mergeCell ref="E43:H43"/>
    <mergeCell ref="A44:D44"/>
    <mergeCell ref="E44:H44"/>
    <mergeCell ref="A45:D45"/>
    <mergeCell ref="E45:H45"/>
    <mergeCell ref="A46:H46"/>
    <mergeCell ref="A47:B47"/>
    <mergeCell ref="C47:H47"/>
    <mergeCell ref="A38:B38"/>
    <mergeCell ref="C38:H38"/>
    <mergeCell ref="A39:H39"/>
    <mergeCell ref="A40:D40"/>
    <mergeCell ref="E40:H40"/>
    <mergeCell ref="A41:D41"/>
    <mergeCell ref="E41:H41"/>
    <mergeCell ref="A42:D42"/>
    <mergeCell ref="E42:H42"/>
    <mergeCell ref="A34:B34"/>
    <mergeCell ref="C34:E34"/>
    <mergeCell ref="F34:H34"/>
    <mergeCell ref="A35:B35"/>
    <mergeCell ref="C35:E35"/>
    <mergeCell ref="F35:H35"/>
    <mergeCell ref="A36:H36"/>
    <mergeCell ref="A37:B37"/>
    <mergeCell ref="C37:H37"/>
    <mergeCell ref="A31:B31"/>
    <mergeCell ref="C31:E31"/>
    <mergeCell ref="F31:H31"/>
    <mergeCell ref="A32:B32"/>
    <mergeCell ref="C32:E32"/>
    <mergeCell ref="F32:H32"/>
    <mergeCell ref="A33:B33"/>
    <mergeCell ref="C33:E33"/>
    <mergeCell ref="F33:H33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20:B20"/>
    <mergeCell ref="C20:D20"/>
    <mergeCell ref="E20:F20"/>
    <mergeCell ref="G20:H20"/>
    <mergeCell ref="A23:D23"/>
    <mergeCell ref="E23:H23"/>
    <mergeCell ref="A24:D24"/>
    <mergeCell ref="E24:H24"/>
    <mergeCell ref="A25:D25"/>
    <mergeCell ref="E25:H25"/>
    <mergeCell ref="A21:D22"/>
    <mergeCell ref="E21:H22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2:D12"/>
    <mergeCell ref="E12:H12"/>
    <mergeCell ref="A13:D13"/>
    <mergeCell ref="E13:H13"/>
    <mergeCell ref="A14:D14"/>
    <mergeCell ref="E14:H14"/>
    <mergeCell ref="A15:B15"/>
    <mergeCell ref="C15:H15"/>
    <mergeCell ref="A16:B16"/>
    <mergeCell ref="C16:H1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</mergeCells>
  <hyperlinks>
    <hyperlink ref="C38" r:id="rId1" xr:uid="{00000000-0004-0000-0000-000000000000}"/>
  </hyperlinks>
  <printOptions horizontalCentered="1"/>
  <pageMargins left="0.39370078740157499" right="0.39370078740157499" top="0.78740157480314998" bottom="0.78740157480314998" header="0.15748031496063" footer="0.196850393700787"/>
  <pageSetup paperSize="2"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78" max="16383" man="1"/>
    <brk id="134" max="16383" man="1"/>
    <brk id="299" max="16383" man="1"/>
    <brk id="34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/>
    <row r="2" spans="1:9" ht="15" customHeight="1">
      <c r="A2" s="2"/>
      <c r="B2" s="2"/>
      <c r="C2" s="2"/>
      <c r="D2" s="2"/>
      <c r="E2" s="2"/>
      <c r="F2" s="2"/>
      <c r="G2" s="2"/>
      <c r="H2" s="2"/>
    </row>
    <row r="3" spans="1:9" ht="15.75" customHeight="1">
      <c r="A3" s="2"/>
      <c r="B3" s="182" t="s">
        <v>218</v>
      </c>
      <c r="C3" s="182"/>
      <c r="D3" s="182"/>
      <c r="E3" s="182"/>
      <c r="F3" s="182"/>
      <c r="G3" s="182"/>
      <c r="H3" s="182"/>
    </row>
    <row r="4" spans="1:9">
      <c r="A4" s="2"/>
      <c r="B4" s="3" t="s">
        <v>219</v>
      </c>
      <c r="C4" s="3" t="s">
        <v>220</v>
      </c>
      <c r="D4" s="3" t="s">
        <v>221</v>
      </c>
      <c r="E4" s="3" t="s">
        <v>222</v>
      </c>
      <c r="F4" s="3" t="s">
        <v>223</v>
      </c>
      <c r="G4" s="3" t="s">
        <v>224</v>
      </c>
      <c r="H4" s="3" t="s">
        <v>225</v>
      </c>
    </row>
    <row r="5" spans="1:9" ht="15" customHeight="1">
      <c r="A5" s="2"/>
      <c r="B5" s="4" t="s">
        <v>226</v>
      </c>
      <c r="C5" s="5"/>
      <c r="D5" s="4"/>
      <c r="E5" s="4"/>
      <c r="F5" s="6">
        <f>E5*1.6</f>
        <v>0</v>
      </c>
      <c r="G5" s="6" t="e">
        <f>H5/F5</f>
        <v>#DIV/0!</v>
      </c>
      <c r="H5" s="7"/>
    </row>
    <row r="6" spans="1:9">
      <c r="A6" s="2"/>
      <c r="B6" s="4" t="s">
        <v>226</v>
      </c>
      <c r="C6" s="8"/>
      <c r="D6" s="4"/>
      <c r="E6" s="4"/>
      <c r="F6" s="6">
        <f t="shared" ref="F6:F11" si="0">E6*1.6</f>
        <v>0</v>
      </c>
      <c r="G6" s="6" t="e">
        <f t="shared" ref="G6:G11" si="1">H6/F6</f>
        <v>#DIV/0!</v>
      </c>
      <c r="H6" s="7"/>
    </row>
    <row r="7" spans="1:9" ht="15" customHeight="1">
      <c r="A7" s="2"/>
      <c r="B7" s="4" t="s">
        <v>226</v>
      </c>
      <c r="C7" s="5"/>
      <c r="D7" s="4"/>
      <c r="E7" s="4"/>
      <c r="F7" s="6">
        <f t="shared" si="0"/>
        <v>0</v>
      </c>
      <c r="G7" s="6" t="e">
        <f t="shared" si="1"/>
        <v>#DIV/0!</v>
      </c>
      <c r="H7" s="7"/>
    </row>
    <row r="8" spans="1:9">
      <c r="A8" s="2"/>
      <c r="B8" s="4" t="s">
        <v>226</v>
      </c>
      <c r="C8" s="8"/>
      <c r="D8" s="4"/>
      <c r="E8" s="4"/>
      <c r="F8" s="6">
        <f t="shared" si="0"/>
        <v>0</v>
      </c>
      <c r="G8" s="6" t="e">
        <f t="shared" si="1"/>
        <v>#DIV/0!</v>
      </c>
      <c r="H8" s="7"/>
    </row>
    <row r="9" spans="1:9" ht="15" customHeight="1">
      <c r="A9" s="2"/>
      <c r="B9" s="4" t="s">
        <v>226</v>
      </c>
      <c r="C9" s="8"/>
      <c r="D9" s="4"/>
      <c r="E9" s="4"/>
      <c r="F9" s="6">
        <f t="shared" si="0"/>
        <v>0</v>
      </c>
      <c r="G9" s="6" t="e">
        <f t="shared" si="1"/>
        <v>#DIV/0!</v>
      </c>
      <c r="H9" s="7"/>
    </row>
    <row r="10" spans="1:9" ht="15" customHeight="1">
      <c r="A10" s="2"/>
      <c r="B10" s="4" t="s">
        <v>227</v>
      </c>
      <c r="C10" s="5"/>
      <c r="D10" s="4"/>
      <c r="E10" s="4"/>
      <c r="F10" s="6">
        <f t="shared" si="0"/>
        <v>0</v>
      </c>
      <c r="G10" s="6" t="e">
        <f t="shared" si="1"/>
        <v>#DIV/0!</v>
      </c>
      <c r="H10" s="7"/>
    </row>
    <row r="11" spans="1:9" ht="15" customHeight="1">
      <c r="A11" s="2"/>
      <c r="B11" s="4" t="s">
        <v>227</v>
      </c>
      <c r="C11" s="5"/>
      <c r="D11" s="4"/>
      <c r="E11" s="4"/>
      <c r="F11" s="6">
        <f t="shared" si="0"/>
        <v>0</v>
      </c>
      <c r="G11" s="6" t="e">
        <f t="shared" si="1"/>
        <v>#DIV/0!</v>
      </c>
      <c r="H11" s="7"/>
    </row>
    <row r="12" spans="1:9" ht="15" customHeight="1">
      <c r="A12" s="2"/>
      <c r="B12" s="9" t="s">
        <v>228</v>
      </c>
      <c r="C12" s="4"/>
      <c r="D12" s="4"/>
      <c r="E12" s="4"/>
      <c r="F12" s="4"/>
      <c r="G12" s="10" t="e">
        <f>AVERAGE(G5:G11)</f>
        <v>#DIV/0!</v>
      </c>
      <c r="H12" s="4"/>
    </row>
    <row r="13" spans="1:9" ht="15" customHeight="1">
      <c r="B13" s="9" t="s">
        <v>229</v>
      </c>
      <c r="C13" s="4"/>
      <c r="D13" s="4"/>
      <c r="E13" s="4"/>
      <c r="F13" s="11"/>
      <c r="G13" s="9"/>
      <c r="H13" s="9"/>
      <c r="I13" s="12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ColWidth="9" defaultRowHeight="1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2025-09-09T05:12:03Z</cp:lastPrinted>
  <dcterms:created xsi:type="dcterms:W3CDTF">2019-07-16T09:29:00Z</dcterms:created>
  <dcterms:modified xsi:type="dcterms:W3CDTF">2025-09-09T05:13:39Z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5566D2A230AA46BB81EF905DEC00ACE9_12</vt:lpwstr>
  </property>
  <property fmtid="{D5CDD505-2E9C-101B-9397-08002B2CF9AE}" pid="3" name="KSOProductBuildVer">
    <vt:lpwstr>1033-12.2.0.19805</vt:lpwstr>
  </property>
</Properties>
</file>