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0" i="1" l="1"/>
  <c r="B111" i="1"/>
  <c r="B96" i="1"/>
  <c r="N65" i="1"/>
  <c r="H96" i="1"/>
  <c r="H111" i="1"/>
  <c r="J113" i="1" l="1"/>
  <c r="D117" i="1"/>
  <c r="D122" i="1"/>
  <c r="D116" i="1"/>
  <c r="D120" i="1"/>
  <c r="J114" i="1"/>
  <c r="D123" i="1"/>
  <c r="J115" i="1"/>
  <c r="C114" i="1" s="1"/>
  <c r="D121" i="1"/>
  <c r="J110" i="1"/>
  <c r="J112" i="1" s="1"/>
  <c r="D119" i="1"/>
  <c r="D118" i="1"/>
  <c r="J118" i="1"/>
  <c r="J119" i="1"/>
  <c r="J120" i="1"/>
  <c r="J121" i="1"/>
  <c r="J116" i="1"/>
  <c r="J117" i="1" s="1"/>
  <c r="J122" i="1" s="1"/>
  <c r="J123" i="1" s="1"/>
  <c r="C115" i="1" s="1"/>
  <c r="J98" i="1"/>
  <c r="D101" i="1"/>
  <c r="J100" i="1"/>
  <c r="C99" i="1" s="1"/>
  <c r="D106" i="1"/>
  <c r="D105" i="1"/>
  <c r="J99" i="1"/>
  <c r="D108" i="1"/>
  <c r="D102" i="1"/>
  <c r="D107" i="1"/>
  <c r="J95" i="1"/>
  <c r="J97" i="1" s="1"/>
  <c r="D104" i="1"/>
  <c r="D103" i="1"/>
  <c r="J103" i="1"/>
  <c r="J104" i="1"/>
  <c r="J106" i="1"/>
  <c r="J105" i="1"/>
  <c r="J101" i="1"/>
  <c r="J102" i="1" s="1"/>
  <c r="J107" i="1" s="1"/>
  <c r="J108" i="1" s="1"/>
  <c r="C100" i="1" s="1"/>
  <c r="D169" i="1"/>
  <c r="E114" i="1" l="1"/>
  <c r="D115" i="1"/>
  <c r="G114" i="1"/>
  <c r="D114" i="1"/>
  <c r="E99" i="1"/>
  <c r="D100" i="1"/>
  <c r="G99" i="1"/>
  <c r="D99" i="1"/>
  <c r="D174" i="1"/>
  <c r="D173" i="1"/>
  <c r="D172" i="1"/>
  <c r="D171" i="1"/>
  <c r="D170" i="1"/>
  <c r="D168" i="1"/>
  <c r="D167" i="1"/>
  <c r="D166" i="1"/>
  <c r="D165" i="1"/>
  <c r="D164" i="1"/>
  <c r="D163" i="1"/>
  <c r="D162" i="1"/>
  <c r="D200" i="1"/>
  <c r="D199" i="1"/>
  <c r="D198" i="1"/>
  <c r="D197" i="1"/>
  <c r="D196" i="1"/>
  <c r="D195" i="1"/>
  <c r="D194" i="1"/>
  <c r="D193" i="1"/>
  <c r="D192" i="1"/>
  <c r="D191" i="1"/>
  <c r="D190" i="1"/>
  <c r="D305" i="1"/>
  <c r="F305" i="1" s="1"/>
  <c r="D304" i="1"/>
  <c r="F304" i="1" s="1"/>
  <c r="D303" i="1"/>
  <c r="F303" i="1" s="1"/>
  <c r="D302" i="1"/>
  <c r="F302" i="1" s="1"/>
  <c r="D298" i="1"/>
  <c r="F298" i="1" s="1"/>
  <c r="D297" i="1"/>
  <c r="F297" i="1" s="1"/>
  <c r="D296" i="1"/>
  <c r="F296" i="1" s="1"/>
  <c r="D295" i="1"/>
  <c r="F295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78" i="1"/>
  <c r="F278" i="1" s="1"/>
  <c r="D277" i="1"/>
  <c r="F277" i="1" s="1"/>
  <c r="D273" i="1"/>
  <c r="F273" i="1" s="1"/>
  <c r="D272" i="1"/>
  <c r="F272" i="1" s="1"/>
  <c r="D271" i="1"/>
  <c r="F271" i="1" s="1"/>
  <c r="D270" i="1"/>
  <c r="F270" i="1" s="1"/>
  <c r="D268" i="1"/>
  <c r="F268" i="1" s="1"/>
  <c r="D267" i="1"/>
  <c r="F267" i="1" s="1"/>
  <c r="D263" i="1"/>
  <c r="F263" i="1" s="1"/>
  <c r="D262" i="1"/>
  <c r="F262" i="1" s="1"/>
  <c r="D261" i="1"/>
  <c r="F261" i="1" s="1"/>
  <c r="D260" i="1"/>
  <c r="F260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8" i="1"/>
  <c r="D247" i="1"/>
  <c r="D246" i="1"/>
  <c r="D243" i="1"/>
  <c r="F243" i="1" s="1"/>
  <c r="D242" i="1"/>
  <c r="F242" i="1" s="1"/>
  <c r="D241" i="1"/>
  <c r="F241" i="1" s="1"/>
  <c r="D240" i="1"/>
  <c r="F240" i="1" s="1"/>
  <c r="D236" i="1"/>
  <c r="F236" i="1" s="1"/>
  <c r="D235" i="1"/>
  <c r="F235" i="1" s="1"/>
  <c r="D233" i="1"/>
  <c r="F233" i="1" s="1"/>
  <c r="D232" i="1"/>
  <c r="F232" i="1" s="1"/>
  <c r="D231" i="1"/>
  <c r="F231" i="1" s="1"/>
  <c r="D230" i="1"/>
  <c r="F230" i="1" s="1"/>
  <c r="D226" i="1"/>
  <c r="F226" i="1" s="1"/>
  <c r="D225" i="1"/>
  <c r="F225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N216" i="1" s="1"/>
  <c r="D215" i="1"/>
  <c r="F215" i="1" s="1"/>
  <c r="D213" i="1"/>
  <c r="D212" i="1"/>
  <c r="D211" i="1"/>
  <c r="D210" i="1"/>
  <c r="D209" i="1"/>
  <c r="D208" i="1"/>
  <c r="D207" i="1"/>
  <c r="G302" i="1"/>
  <c r="G270" i="1"/>
  <c r="G235" i="1"/>
  <c r="G295" i="1"/>
  <c r="G260" i="1"/>
  <c r="G225" i="1"/>
  <c r="G288" i="1"/>
  <c r="G250" i="1"/>
  <c r="G215" i="1"/>
  <c r="G281" i="1"/>
  <c r="D187" i="1"/>
  <c r="D186" i="1"/>
  <c r="D185" i="1"/>
  <c r="D184" i="1"/>
  <c r="D183" i="1"/>
  <c r="D182" i="1"/>
  <c r="D181" i="1"/>
  <c r="D180" i="1"/>
  <c r="D179" i="1"/>
  <c r="D178" i="1"/>
  <c r="I111" i="1" l="1"/>
  <c r="I112" i="1" s="1"/>
  <c r="J111" i="1"/>
  <c r="I96" i="1"/>
  <c r="I97" i="1" s="1"/>
  <c r="J96" i="1"/>
  <c r="C146" i="1"/>
  <c r="C145" i="1"/>
  <c r="C141" i="1"/>
  <c r="C143" i="1"/>
  <c r="G152" i="1"/>
  <c r="E142" i="1"/>
  <c r="C151" i="1"/>
  <c r="C152" i="1"/>
  <c r="E143" i="1"/>
  <c r="C140" i="1"/>
  <c r="C150" i="1"/>
  <c r="C144" i="1"/>
  <c r="E144" i="1"/>
  <c r="C142" i="1"/>
  <c r="E145" i="1"/>
  <c r="E146" i="1"/>
  <c r="E150" i="1"/>
  <c r="E151" i="1"/>
  <c r="E140" i="1"/>
  <c r="E152" i="1"/>
  <c r="E141" i="1"/>
  <c r="G178" i="1"/>
  <c r="F187" i="1"/>
  <c r="F186" i="1"/>
  <c r="F185" i="1"/>
  <c r="F184" i="1"/>
  <c r="F183" i="1"/>
  <c r="F182" i="1"/>
  <c r="F181" i="1"/>
  <c r="F180" i="1"/>
  <c r="F179" i="1"/>
  <c r="A179" i="1"/>
  <c r="A180" i="1" s="1"/>
  <c r="A181" i="1" s="1"/>
  <c r="A182" i="1" s="1"/>
  <c r="A183" i="1" s="1"/>
  <c r="A184" i="1" s="1"/>
  <c r="A185" i="1" s="1"/>
  <c r="A186" i="1" s="1"/>
  <c r="A187" i="1" s="1"/>
  <c r="F178" i="1"/>
  <c r="F248" i="1"/>
  <c r="F247" i="1"/>
  <c r="F246" i="1"/>
  <c r="G246" i="1"/>
  <c r="I110" i="1" l="1"/>
  <c r="C112" i="1" s="1"/>
  <c r="I95" i="1"/>
  <c r="C97" i="1" s="1"/>
  <c r="C153" i="1"/>
  <c r="C147" i="1"/>
  <c r="G151" i="1"/>
  <c r="E147" i="1"/>
  <c r="E153" i="1"/>
  <c r="G143" i="1"/>
  <c r="F212" i="1"/>
  <c r="L212" i="1" s="1"/>
  <c r="F213" i="1"/>
  <c r="F211" i="1"/>
  <c r="I211" i="1"/>
  <c r="I212" i="1"/>
  <c r="I207" i="1"/>
  <c r="F197" i="1" l="1"/>
  <c r="F196" i="1"/>
  <c r="F194" i="1"/>
  <c r="F193" i="1"/>
  <c r="F192" i="1"/>
  <c r="F191" i="1"/>
  <c r="F190" i="1"/>
  <c r="F200" i="1"/>
  <c r="F199" i="1"/>
  <c r="F198" i="1"/>
  <c r="F195" i="1"/>
  <c r="I194" i="1"/>
  <c r="I193" i="1"/>
  <c r="I192" i="1"/>
  <c r="I191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I190" i="1"/>
  <c r="G190" i="1"/>
  <c r="I174" i="1"/>
  <c r="I166" i="1"/>
  <c r="I165" i="1"/>
  <c r="I164" i="1"/>
  <c r="I163" i="1"/>
  <c r="I162" i="1"/>
  <c r="G144" i="1" l="1"/>
  <c r="G146" i="1"/>
  <c r="G145" i="1"/>
  <c r="F174" i="1"/>
  <c r="F173" i="1"/>
  <c r="F172" i="1"/>
  <c r="F171" i="1"/>
  <c r="F170" i="1"/>
  <c r="F169" i="1"/>
  <c r="F168" i="1"/>
  <c r="F167" i="1"/>
  <c r="L167" i="1" s="1"/>
  <c r="F166" i="1"/>
  <c r="Z12" i="1" l="1"/>
  <c r="I14" i="1"/>
  <c r="F207" i="1" l="1"/>
  <c r="K207" i="1" s="1"/>
  <c r="F162" i="1"/>
  <c r="G142" i="1" s="1"/>
  <c r="L207" i="1" l="1"/>
  <c r="N207" i="1"/>
  <c r="E154" i="1"/>
  <c r="C154" i="1"/>
  <c r="E43" i="1" l="1"/>
  <c r="E44" i="1" s="1"/>
  <c r="C15" i="1" l="1"/>
  <c r="E30" i="1" l="1"/>
  <c r="F208" i="1" l="1"/>
  <c r="N208" i="1" s="1"/>
  <c r="F209" i="1"/>
  <c r="N209" i="1" s="1"/>
  <c r="F210" i="1"/>
  <c r="N210" i="1" s="1"/>
  <c r="G207" i="1"/>
  <c r="G150" i="1" l="1"/>
  <c r="G153" i="1" s="1"/>
  <c r="F137" i="1"/>
  <c r="F163" i="1" l="1"/>
  <c r="G141" i="1" s="1"/>
  <c r="F164" i="1"/>
  <c r="F165" i="1"/>
  <c r="G140" i="1" l="1"/>
  <c r="G147" i="1" s="1"/>
  <c r="G154" i="1" s="1"/>
  <c r="B311" i="1"/>
  <c r="B31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5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G162" i="1"/>
  <c r="B68" i="1"/>
  <c r="D56" i="1"/>
  <c r="G50" i="1"/>
  <c r="C50" i="1"/>
  <c r="E27" i="1"/>
  <c r="E25" i="1"/>
  <c r="E7" i="1"/>
  <c r="E3" i="1"/>
  <c r="D61" i="1" l="1"/>
  <c r="H68" i="1"/>
  <c r="D80" i="1" l="1"/>
  <c r="D78" i="1"/>
  <c r="D77" i="1"/>
  <c r="D74" i="1"/>
  <c r="D76" i="1"/>
  <c r="J73" i="1"/>
  <c r="D79" i="1"/>
  <c r="J67" i="1"/>
  <c r="J69" i="1" s="1"/>
  <c r="D75" i="1"/>
  <c r="J71" i="1"/>
  <c r="J72" i="1"/>
  <c r="C71" i="1" s="1"/>
  <c r="J70" i="1"/>
  <c r="J75" i="1"/>
  <c r="J76" i="1" s="1"/>
  <c r="J77" i="1" s="1"/>
  <c r="J78" i="1" s="1"/>
  <c r="D73" i="1"/>
  <c r="B82" i="1" l="1"/>
  <c r="J74" i="1"/>
  <c r="D71" i="1"/>
  <c r="H82" i="1"/>
  <c r="D93" i="1" l="1"/>
  <c r="D87" i="1"/>
  <c r="J86" i="1"/>
  <c r="C85" i="1" s="1"/>
  <c r="D85" i="1" s="1"/>
  <c r="D92" i="1"/>
  <c r="D91" i="1"/>
  <c r="J85" i="1"/>
  <c r="J81" i="1"/>
  <c r="J83" i="1" s="1"/>
  <c r="D90" i="1"/>
  <c r="D89" i="1"/>
  <c r="J84" i="1"/>
  <c r="D94" i="1"/>
  <c r="D88" i="1"/>
  <c r="J87" i="1"/>
  <c r="J88" i="1" s="1"/>
  <c r="J93" i="1" s="1"/>
  <c r="J94" i="1" s="1"/>
  <c r="C86" i="1" s="1"/>
  <c r="J92" i="1"/>
  <c r="J91" i="1"/>
  <c r="J90" i="1"/>
  <c r="J89" i="1"/>
  <c r="J79" i="1"/>
  <c r="E85" i="1" l="1"/>
  <c r="C109" i="1" s="1"/>
  <c r="D86" i="1"/>
  <c r="I82" i="1" s="1"/>
  <c r="I83" i="1" s="1"/>
  <c r="J82" i="1"/>
  <c r="G85" i="1"/>
  <c r="G109" i="1" s="1"/>
  <c r="J80" i="1"/>
  <c r="C72" i="1" s="1"/>
  <c r="I81" i="1" l="1"/>
  <c r="C83" i="1" s="1"/>
  <c r="D72" i="1"/>
  <c r="I68" i="1" s="1"/>
  <c r="G71" i="1"/>
  <c r="D65" i="1" s="1"/>
  <c r="E71" i="1"/>
  <c r="J68" i="1"/>
  <c r="D66" i="1" l="1"/>
  <c r="F66" i="1"/>
  <c r="I69" i="1"/>
  <c r="I67" i="1" s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<sst xmlns="http://schemas.openxmlformats.org/spreadsheetml/2006/main" count="695" uniqueCount="313">
  <si>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</si>
  <si>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</si>
  <si>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</si>
  <si>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</si>
  <si>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</si>
  <si>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</si>
  <si>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</si>
  <si>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</si>
  <si>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</si>
  <si>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</si>
  <si>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</si>
  <si>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</si>
  <si>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</si>
  <si>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</si>
  <si>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</si>
  <si>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</si>
  <si>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</si>
  <si>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</si>
  <si>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</si>
  <si>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</si>
  <si>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</si>
  <si>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</si>
  <si>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</si>
  <si>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</si>
  <si>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</si>
  <si>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</si>
  <si>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</si>
  <si>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</si>
  <si>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</si>
  <si>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</si>
  <si>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</si>
  <si>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</si>
  <si>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</si>
  <si>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</si>
  <si>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</si>
  <si>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</si>
  <si>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</si>
  <si>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</si>
  <si>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</si>
  <si>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</si>
  <si>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</si>
  <si>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</si>
  <si>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</si>
  <si>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</si>
  <si>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</si>
  <si>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</si>
  <si>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</si>
  <si>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</si>
  <si>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</si>
  <si>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</si>
  <si>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</si>
  <si>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</si>
  <si>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</si>
  <si>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</si>
  <si>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</si>
  <si>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</si>
  <si>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</si>
  <si>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</si>
  <si>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</si>
  <si>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</si>
  <si>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</si>
  <si>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</si>
  <si>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</si>
  <si>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</si>
  <si>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</si>
  <si>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</si>
  <si>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</si>
  <si>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</si>
  <si>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</si>
  <si>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</si>
  <si>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</si>
  <si>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</si>
  <si>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</si>
  <si>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</si>
  <si>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</si>
  <si>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</si>
  <si>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</si>
  <si>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</si>
  <si>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</si>
  <si>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</si>
  <si>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</si>
  <si>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</si>
  <si>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</si>
  <si>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</si>
  <si>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</si>
  <si>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</si>
  <si>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</si>
  <si>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</si>
  <si>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</si>
  <si>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</si>
  <si>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</si>
  <si>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</si>
  <si>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</si>
  <si>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</si>
  <si>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</si>
  <si>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</si>
  <si>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</si>
  <si>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</si>
  <si>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</si>
  <si>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</si>
  <si>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</si>
  <si>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</si>
  <si>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</si>
  <si>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</si>
  <si>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</si>
  <si>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</si>
  <si>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</si>
  <si>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</si>
  <si>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</si>
  <si>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</si>
  <si>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</si>
  <si>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</si>
  <si>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</si>
  <si>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</si>
  <si>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</si>
  <si>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</si>
  <si>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</si>
  <si>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</si>
  <si>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</si>
  <si>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</si>
  <si>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</si>
  <si>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</si>
  <si>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</si>
  <si>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</si>
  <si>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</si>
  <si>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</si>
  <si>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</si>
  <si>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</si>
  <si>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</si>
  <si>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</si>
  <si>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</si>
  <si>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</si>
  <si>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</si>
  <si>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</si>
  <si>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</si>
  <si>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</si>
  <si>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</si>
  <si>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</si>
  <si>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</si>
  <si>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</si>
  <si>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</si>
  <si>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</si>
  <si>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</si>
  <si>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</si>
  <si>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</si>
  <si>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</si>
  <si>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</si>
  <si>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</si>
  <si>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</si>
  <si>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</si>
  <si>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</si>
  <si>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</si>
  <si>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</si>
  <si>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</si>
  <si>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</si>
  <si>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</si>
  <si>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</si>
  <si>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</si>
  <si>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</si>
  <si>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</si>
  <si>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</si>
  <si>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</si>
  <si>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</si>
  <si>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</si>
  <si>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</si>
  <si>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</si>
  <si>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</si>
  <si>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</si>
  <si>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</si>
  <si>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</si>
  <si>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</si>
  <si>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</si>
  <si>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</si>
  <si>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</si>
  <si>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</si>
  <si>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</si>
  <si>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</si>
  <si>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</si>
  <si>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</si>
  <si>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</si>
  <si>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</si>
  <si>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</si>
  <si>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</si>
  <si>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</si>
  <si>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</si>
  <si>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</si>
  <si>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</si>
  <si>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</si>
  <si>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</si>
  <si>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</si>
  <si>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</si>
  <si>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</si>
  <si>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</si>
  <si>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</si>
  <si>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</si>
  <si>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</si>
  <si>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</si>
  <si>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</si>
  <si>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</si>
  <si>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</si>
  <si>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</si>
  <si>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</si>
  <si>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</si>
  <si>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</si>
  <si>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</si>
  <si>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</si>
  <si>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</si>
  <si>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</si>
  <si>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</si>
  <si>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</si>
  <si>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</si>
  <si>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</si>
  <si>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</si>
  <si>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</si>
  <si>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</si>
  <si>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</si>
  <si>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</si>
  <si>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</si>
  <si>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</si>
  <si>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</si>
  <si>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</si>
  <si>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</si>
  <si>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</si>
  <si>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</si>
  <si>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</si>
  <si>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</si>
  <si>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</si>
  <si>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</si>
  <si>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</si>
  <si>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</si>
  <si>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</si>
  <si>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</si>
  <si>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 xml:space="preserve">Srushti Raj Developers LLP </t>
  </si>
  <si>
    <t>Codename Highway Touch</t>
  </si>
  <si>
    <t>P51800046839</t>
  </si>
  <si>
    <t>139(Pt), 139(1 to 82), 139(84 to 89), 139(91 to 170), 139(174 to 239), 139(243 to 244), 139(251 to 275), 139(303 to 310) &amp; Others…</t>
  </si>
  <si>
    <t>Majas</t>
  </si>
  <si>
    <t>Jogeshwari East</t>
  </si>
  <si>
    <t>Squatters Colony Rd</t>
  </si>
  <si>
    <t>Janta Nagar, Gandhi Nagar Society</t>
  </si>
  <si>
    <t>Ram Mandir Trust Hall</t>
  </si>
  <si>
    <t>1.1KM from Jogeshwari Railway Station</t>
  </si>
  <si>
    <t>18.30MW DP Rd</t>
  </si>
  <si>
    <t>Existing Rd</t>
  </si>
  <si>
    <t>Internal Rd/Rehab (Bldg No. 1)</t>
  </si>
  <si>
    <t>13.40MW DP Rd/Sale (BldgNo. 3)</t>
  </si>
  <si>
    <t>Internal Rd/Slums</t>
  </si>
  <si>
    <t>Jogeshwari Gufa Municipal School.</t>
  </si>
  <si>
    <t>Squatters Colony Rd/ Ram Mandir</t>
  </si>
  <si>
    <t>03 Wings</t>
  </si>
  <si>
    <t xml:space="preserve">Slum Rehabilitation Authority (SRA)
</t>
  </si>
  <si>
    <t>SRA/ENG/KE/MCGM/0035/20081021/AP/52</t>
  </si>
  <si>
    <t>K-E/MCGM/0035/20081021/AP/S2</t>
  </si>
  <si>
    <t xml:space="preserve">Building No 2 Sale </t>
  </si>
  <si>
    <t>Wing A</t>
  </si>
  <si>
    <t>Lower Ground Floor For Entrance Lobby, Commercial, Meter Room&amp; MEP Services</t>
  </si>
  <si>
    <t>Shop</t>
  </si>
  <si>
    <t>Sale</t>
  </si>
  <si>
    <t>Sale / Rehab</t>
  </si>
  <si>
    <t>P.Pap</t>
  </si>
  <si>
    <t>Rehab</t>
  </si>
  <si>
    <t>Wing C</t>
  </si>
  <si>
    <t>Upper Ground Floor For Residential</t>
  </si>
  <si>
    <t>2BHK</t>
  </si>
  <si>
    <t>1BHK</t>
  </si>
  <si>
    <t xml:space="preserve">Kids Play Area, Feature Staircase, Senior Citizen Seateria, Multipurpose Studio, Banquet Hall, Gymnasium, Indoor Games, Swimming Pool, Garden Seateria, Grand Entrance Lobby, Clubhouse, Steam &amp; Sauna, Walking Track.
</t>
  </si>
  <si>
    <t>Wing B</t>
  </si>
  <si>
    <t>Lower Ground Floor For Entrance Lobby, Electrical Room &amp; Meter Room</t>
  </si>
  <si>
    <t>Upper Ground Floor For Commercial</t>
  </si>
  <si>
    <t>1st to 6th, 8th to 13th, 15th to 20th Floor</t>
  </si>
  <si>
    <t>7th Floor (Part Refuge Area)</t>
  </si>
  <si>
    <t>Refuge Area</t>
  </si>
  <si>
    <t>14th Floor (Part Refuge Area)</t>
  </si>
  <si>
    <t>We considered Gross carpet area = Net carpet.</t>
  </si>
  <si>
    <t>As per RERA - 31/12/2028</t>
  </si>
  <si>
    <t>Flats - 480, Sale Shops - 19, P. Pap Shop = 07, Rehab Shop = 08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</si>
  <si>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</si>
  <si>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Mr. Jayesh 8657988275</t>
  </si>
  <si>
    <t xml:space="preserve">Environmental Clearance No :
Valid Up to: </t>
  </si>
  <si>
    <t>SIA/MH/MIS/258611/2022</t>
  </si>
  <si>
    <t>Approved Plans, CC, Sale Plans, Environmental Clearance Certificate</t>
  </si>
  <si>
    <t>99Acre</t>
  </si>
  <si>
    <t>Site</t>
  </si>
  <si>
    <t>17K to 18K</t>
  </si>
  <si>
    <t>21K to 25K</t>
  </si>
  <si>
    <t>Sale Building No. 2</t>
  </si>
  <si>
    <t>Sale Building No. 2 (Wing A, B &amp; C)</t>
  </si>
  <si>
    <t>Sale Building No. 2 (Wing A, B &amp; C) = LG + UG + 1st to 20th Floor</t>
  </si>
  <si>
    <t>Utility Charges</t>
  </si>
  <si>
    <t>16500 to 17000</t>
  </si>
  <si>
    <t>Sanjay</t>
  </si>
  <si>
    <t>Cost sheet</t>
  </si>
  <si>
    <t>Recommended Rates of the Property/Other charges has been revised on 13/11/2023.</t>
  </si>
  <si>
    <t>This CC is re-endorsed upto plinth level and further extended upto 1st Floor as per corrected approved plans dated 15/02/2024</t>
  </si>
  <si>
    <t>We have updated revised approved CC from RERA ( On 19/06/2024).</t>
  </si>
  <si>
    <t>Please provide revised approved CC, As the construction work goes beyond the CC permission.</t>
  </si>
  <si>
    <t>Please provide revised approved plans.</t>
  </si>
  <si>
    <t>1 4 10 16</t>
  </si>
  <si>
    <t>https://maps.app.goo.gl/NzWChhquA4or5Wsc9</t>
  </si>
  <si>
    <t>19.1351774,72.8574129</t>
  </si>
  <si>
    <t>Stages are given More than actual stage.</t>
  </si>
  <si>
    <t>Please check before release the report</t>
  </si>
  <si>
    <t>Visit date 09/06/2025 1st slab WIP</t>
  </si>
  <si>
    <t>As per visit (dtd. 09/06/2025) we have observed that construction work of amenity bldg is  in process ( 5 Slab Casted).
Sale Building No.2 (Wing A, B &amp; C) = 1st RCC Slab work is in process.</t>
  </si>
  <si>
    <t>Sale Building No. 2 (Wing B ) Part II = LG + UG + 1st to 20th Floor</t>
  </si>
  <si>
    <t>Sale Building No. 2 (Wing B) Part I  = LG + UG + 1st to 20th Floor</t>
  </si>
  <si>
    <t>Avg Progress %</t>
  </si>
  <si>
    <t>Avg Disbursement %</t>
  </si>
  <si>
    <t>Sale Building No. 2 (Wing C) = LG + UG + 1st to 20th Floor</t>
  </si>
  <si>
    <t>Gaurav Panchal</t>
  </si>
  <si>
    <t>Mr. Pratik Niwate</t>
  </si>
  <si>
    <t>Sale Building No. 2 (Wing A &amp; Wing B ) = LG + UG + 1st to 20th Floor</t>
  </si>
  <si>
    <t>Wing A, B &amp; C = Construction work is in process at the time of visit.
Wing C = Construction work same as last visit dtd. 09/06/2025 but work is in process at the time of visit.
Photographs &amp; Construction details collected from Site met person.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</si>
</sst>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20" fontId="23" fillId="0" borderId="0" xfId="1" applyNumberFormat="1" applyFont="1"/>
    <xf numFmtId="20" fontId="7" fillId="0" borderId="0" xfId="1" applyNumberFormat="1" applyFont="1"/>
    <xf numFmtId="0" fontId="17" fillId="0" borderId="0" xfId="0" applyFont="1" applyBorder="1" applyProtection="1">
      <protection hidden="1"/>
    </xf>
    <xf numFmtId="1" fontId="0" fillId="0" borderId="0" xfId="0" applyNumberFormat="1" applyBorder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8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3" borderId="36" xfId="1" applyFont="1" applyFill="1" applyBorder="1" applyAlignment="1" applyProtection="1">
      <alignment horizontal="center" vertical="top" wrapText="1"/>
      <protection locked="0"/>
    </xf>
    <xf numFmtId="0" fontId="10" fillId="3" borderId="37" xfId="1" applyFont="1" applyFill="1" applyBorder="1" applyAlignment="1" applyProtection="1">
      <alignment horizontal="center" vertical="top" wrapText="1"/>
      <protection locked="0"/>
    </xf>
    <xf numFmtId="9" fontId="10" fillId="3" borderId="38" xfId="1" applyNumberFormat="1" applyFont="1" applyFill="1" applyBorder="1" applyAlignment="1" applyProtection="1">
      <alignment horizontal="center" vertical="top" wrapText="1"/>
      <protection locked="0"/>
    </xf>
    <xf numFmtId="0" fontId="10" fillId="3" borderId="38" xfId="1" applyFont="1" applyFill="1" applyBorder="1" applyAlignment="1" applyProtection="1">
      <alignment horizontal="center" vertical="top" wrapText="1"/>
      <protection locked="0"/>
    </xf>
    <xf numFmtId="0" fontId="10" fillId="3" borderId="39" xfId="1" applyFont="1" applyFill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707572</xdr:colOff>
      <xdr:row>412</xdr:row>
      <xdr:rowOff>13608</xdr:rowOff>
    </xdr:from>
    <xdr:to>
      <xdr:col>7</xdr:col>
      <xdr:colOff>123733</xdr:colOff>
      <xdr:row>431</xdr:row>
      <xdr:rowOff>95571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7572" y="81561215"/>
          <a:ext cx="5512161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355327</xdr:colOff>
      <xdr:row>432</xdr:row>
      <xdr:rowOff>20385</xdr:rowOff>
    </xdr:from>
    <xdr:to>
      <xdr:col>6</xdr:col>
      <xdr:colOff>475976</xdr:colOff>
      <xdr:row>444</xdr:row>
      <xdr:rowOff>91099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1756" y="85650135"/>
          <a:ext cx="4583791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326572</xdr:colOff>
      <xdr:row>377</xdr:row>
      <xdr:rowOff>0</xdr:rowOff>
    </xdr:from>
    <xdr:to>
      <xdr:col>7</xdr:col>
      <xdr:colOff>470571</xdr:colOff>
      <xdr:row>398</xdr:row>
      <xdr:rowOff>33747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>
          <a:off x="326572" y="71387804"/>
          <a:ext cx="5817586" cy="4208182"/>
          <a:chOff x="326572" y="70208775"/>
          <a:chExt cx="5820899" cy="4234272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26572" y="70208775"/>
            <a:ext cx="5820899" cy="423427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/>
        </xdr:nvSpPr>
        <xdr:spPr>
          <a:xfrm>
            <a:off x="872672" y="70954900"/>
            <a:ext cx="2388053" cy="22383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 txBox="1"/>
        </xdr:nvSpPr>
        <xdr:spPr>
          <a:xfrm>
            <a:off x="1047750" y="73634600"/>
            <a:ext cx="73872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CxnSpPr/>
        </xdr:nvCxnSpPr>
        <xdr:spPr>
          <a:xfrm flipV="1">
            <a:off x="1441450" y="72561450"/>
            <a:ext cx="679450" cy="103822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11</xdr:col>
      <xdr:colOff>559250</xdr:colOff>
      <xdr:row>355</xdr:row>
      <xdr:rowOff>164529</xdr:rowOff>
    </xdr:from>
    <xdr:ext cx="948337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9579985" y="67657558"/>
          <a:ext cx="94833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Amenity Bldg</a:t>
          </a:r>
        </a:p>
      </xdr:txBody>
    </xdr:sp>
    <xdr:clientData/>
  </xdr:oneCellAnchor>
  <xdr:twoCellAnchor>
    <xdr:from>
      <xdr:col>12</xdr:col>
      <xdr:colOff>233319</xdr:colOff>
      <xdr:row>357</xdr:row>
      <xdr:rowOff>30533</xdr:rowOff>
    </xdr:from>
    <xdr:to>
      <xdr:col>12</xdr:col>
      <xdr:colOff>362698</xdr:colOff>
      <xdr:row>358</xdr:row>
      <xdr:rowOff>159871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>
          <a:stCxn id="18" idx="2"/>
        </xdr:cNvCxnSpPr>
      </xdr:nvCxnSpPr>
      <xdr:spPr>
        <a:xfrm>
          <a:off x="10004848" y="67926974"/>
          <a:ext cx="129379" cy="33104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557840</xdr:colOff>
      <xdr:row>358</xdr:row>
      <xdr:rowOff>5909</xdr:rowOff>
    </xdr:from>
    <xdr:to>
      <xdr:col>9</xdr:col>
      <xdr:colOff>705971</xdr:colOff>
      <xdr:row>360</xdr:row>
      <xdr:rowOff>66114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CxnSpPr/>
      </xdr:nvCxnSpPr>
      <xdr:spPr>
        <a:xfrm>
          <a:off x="8110605" y="68104056"/>
          <a:ext cx="148131" cy="4636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558103</xdr:colOff>
      <xdr:row>336</xdr:row>
      <xdr:rowOff>83297</xdr:rowOff>
    </xdr:from>
    <xdr:ext cx="948337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10329632" y="63755121"/>
          <a:ext cx="94833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Amenity Bldg</a:t>
          </a:r>
        </a:p>
      </xdr:txBody>
    </xdr:sp>
    <xdr:clientData/>
  </xdr:oneCellAnchor>
  <xdr:twoCellAnchor>
    <xdr:from>
      <xdr:col>13</xdr:col>
      <xdr:colOff>236654</xdr:colOff>
      <xdr:row>337</xdr:row>
      <xdr:rowOff>151007</xdr:rowOff>
    </xdr:from>
    <xdr:to>
      <xdr:col>13</xdr:col>
      <xdr:colOff>604047</xdr:colOff>
      <xdr:row>339</xdr:row>
      <xdr:rowOff>89647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CxnSpPr>
          <a:stCxn id="41" idx="2"/>
        </xdr:cNvCxnSpPr>
      </xdr:nvCxnSpPr>
      <xdr:spPr>
        <a:xfrm>
          <a:off x="10803801" y="64024536"/>
          <a:ext cx="367393" cy="33084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135254</xdr:colOff>
      <xdr:row>334</xdr:row>
      <xdr:rowOff>150494</xdr:rowOff>
    </xdr:from>
    <xdr:to>
      <xdr:col>16</xdr:col>
      <xdr:colOff>492918</xdr:colOff>
      <xdr:row>365</xdr:row>
      <xdr:rowOff>138795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7672428" y="64191624"/>
          <a:ext cx="5633686" cy="6142280"/>
          <a:chOff x="371474" y="63084074"/>
          <a:chExt cx="5645944" cy="6179551"/>
        </a:xfrm>
      </xdr:grpSpPr>
      <xdr:pic>
        <xdr:nvPicPr>
          <xdr:cNvPr id="27" name="Picture 26" descr="https://vsjcllp.vsjadon.com/upload/insp-220688-1525.jpeg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0999" y="66894075"/>
            <a:ext cx="1777163" cy="236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20688-843.jpeg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95524" y="66894075"/>
            <a:ext cx="1777163" cy="236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20688-846.jpeg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099" y="66884550"/>
            <a:ext cx="1777163" cy="236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" name="Group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pSpPr/>
        </xdr:nvGrpSpPr>
        <xdr:grpSpPr>
          <a:xfrm>
            <a:off x="371474" y="63084074"/>
            <a:ext cx="5645944" cy="3705225"/>
            <a:chOff x="371474" y="63084074"/>
            <a:chExt cx="5645944" cy="3705225"/>
          </a:xfrm>
        </xdr:grpSpPr>
        <xdr:pic>
          <xdr:nvPicPr>
            <xdr:cNvPr id="44" name="Picture 43" descr="https://vsjcllp.vsjadon.com/upload/insp-220688-845.jpeg">
              <a:extLst>
                <a:ext uri="{FF2B5EF4-FFF2-40B4-BE49-F238E27FC236}">
                  <a16:creationId xmlns:a16="http://schemas.microsoft.com/office/drawing/2014/main" xmlns="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8499" y="63084074"/>
              <a:ext cx="2778919" cy="37052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 descr="https://vsjcllp.vsjadon.com/upload/insp-220688-844.jpeg">
              <a:extLst>
                <a:ext uri="{FF2B5EF4-FFF2-40B4-BE49-F238E27FC236}">
                  <a16:creationId xmlns:a16="http://schemas.microsoft.com/office/drawing/2014/main" xmlns="" id="{00000000-0008-0000-0000-00002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1474" y="63084074"/>
              <a:ext cx="2778919" cy="37052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xmlns="" id="{00000000-0008-0000-0000-00002F000000}"/>
                </a:ext>
              </a:extLst>
            </xdr:cNvPr>
            <xdr:cNvSpPr txBox="1"/>
          </xdr:nvSpPr>
          <xdr:spPr>
            <a:xfrm>
              <a:off x="371474" y="63084074"/>
              <a:ext cx="948337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100" b="0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Amenity Bldg</a:t>
              </a:r>
            </a:p>
          </xdr:txBody>
        </xdr:sp>
        <xdr:cxnSp macro="">
          <xdr:nvCxnSpPr>
            <xdr:cNvPr id="48" name="Straight Arrow Connector 47">
              <a:extLst>
                <a:ext uri="{FF2B5EF4-FFF2-40B4-BE49-F238E27FC236}">
                  <a16:creationId xmlns:a16="http://schemas.microsoft.com/office/drawing/2014/main" xmlns="" id="{00000000-0008-0000-0000-000030000000}"/>
                </a:ext>
              </a:extLst>
            </xdr:cNvPr>
            <xdr:cNvCxnSpPr>
              <a:stCxn id="47" idx="2"/>
            </xdr:cNvCxnSpPr>
          </xdr:nvCxnSpPr>
          <xdr:spPr>
            <a:xfrm>
              <a:off x="840600" y="63351809"/>
              <a:ext cx="367393" cy="329165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9</xdr:col>
      <xdr:colOff>49530</xdr:colOff>
      <xdr:row>334</xdr:row>
      <xdr:rowOff>80010</xdr:rowOff>
    </xdr:from>
    <xdr:to>
      <xdr:col>16</xdr:col>
      <xdr:colOff>371475</xdr:colOff>
      <xdr:row>366</xdr:row>
      <xdr:rowOff>57150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B1580DB7-5ADD-56B2-823B-7D0C02FC9115}"/>
            </a:ext>
          </a:extLst>
        </xdr:cNvPr>
        <xdr:cNvGrpSpPr/>
      </xdr:nvGrpSpPr>
      <xdr:grpSpPr>
        <a:xfrm>
          <a:off x="7586704" y="64121140"/>
          <a:ext cx="5597967" cy="6329901"/>
          <a:chOff x="157235" y="95600"/>
          <a:chExt cx="6165188" cy="7536192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8AAA2527-1C43-C39C-DF9B-0EC039529427}"/>
              </a:ext>
            </a:extLst>
          </xdr:cNvPr>
          <xdr:cNvGrpSpPr/>
        </xdr:nvGrpSpPr>
        <xdr:grpSpPr>
          <a:xfrm>
            <a:off x="1268186" y="3176456"/>
            <a:ext cx="3943286" cy="2520000"/>
            <a:chOff x="1375714" y="3176456"/>
            <a:chExt cx="3943286" cy="252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xmlns="" id="{42310E80-7B99-CC7E-75FF-41D59AB4AD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3176456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xmlns="" id="{608133EB-89F7-F28B-75FE-45D9CC4661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75714" y="3176456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1DEB507B-8BFA-8502-E4DF-1CEBB63BFC9E}"/>
              </a:ext>
            </a:extLst>
          </xdr:cNvPr>
          <xdr:cNvGrpSpPr/>
        </xdr:nvGrpSpPr>
        <xdr:grpSpPr>
          <a:xfrm>
            <a:off x="1808186" y="5831792"/>
            <a:ext cx="2863286" cy="1800000"/>
            <a:chOff x="1915714" y="5831792"/>
            <a:chExt cx="2863286" cy="180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xmlns="" id="{8AF45180-DA88-5F73-6D29-A5D206DAB9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15714" y="5831792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xmlns="" id="{D8F8BD5F-F762-CCBB-81E6-BAA3863728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831792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D1FD0913-68AC-B97F-5EE9-15CA7699CB50}"/>
              </a:ext>
            </a:extLst>
          </xdr:cNvPr>
          <xdr:cNvGrpSpPr/>
        </xdr:nvGrpSpPr>
        <xdr:grpSpPr>
          <a:xfrm>
            <a:off x="157235" y="95600"/>
            <a:ext cx="6165188" cy="2880000"/>
            <a:chOff x="157235" y="95600"/>
            <a:chExt cx="6165188" cy="288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xmlns="" id="{A9CAC000-B819-FB8E-1CCB-CED1B95DC1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7235" y="95600"/>
              <a:ext cx="384000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xmlns="" id="{E1860025-4A82-9268-BE59-EE6ED5986B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62423" y="95600"/>
              <a:ext cx="216000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12</xdr:col>
      <xdr:colOff>790574</xdr:colOff>
      <xdr:row>347</xdr:row>
      <xdr:rowOff>182879</xdr:rowOff>
    </xdr:from>
    <xdr:to>
      <xdr:col>14</xdr:col>
      <xdr:colOff>91919</xdr:colOff>
      <xdr:row>349</xdr:row>
      <xdr:rowOff>46847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E37BCA41-1A67-477E-8CC9-E0528F0089E9}"/>
            </a:ext>
          </a:extLst>
        </xdr:cNvPr>
        <xdr:cNvSpPr txBox="1"/>
      </xdr:nvSpPr>
      <xdr:spPr>
        <a:xfrm>
          <a:off x="10553699" y="73801604"/>
          <a:ext cx="930120" cy="264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Amenity Bldg</a:t>
          </a:r>
        </a:p>
      </xdr:txBody>
    </xdr:sp>
    <xdr:clientData/>
  </xdr:twoCellAnchor>
  <xdr:twoCellAnchor>
    <xdr:from>
      <xdr:col>13</xdr:col>
      <xdr:colOff>457023</xdr:colOff>
      <xdr:row>349</xdr:row>
      <xdr:rowOff>49993</xdr:rowOff>
    </xdr:from>
    <xdr:to>
      <xdr:col>13</xdr:col>
      <xdr:colOff>815283</xdr:colOff>
      <xdr:row>350</xdr:row>
      <xdr:rowOff>179899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8B912E05-034E-499F-8607-13E3BD0C6BA1}"/>
            </a:ext>
          </a:extLst>
        </xdr:cNvPr>
        <xdr:cNvCxnSpPr>
          <a:stCxn id="22" idx="2"/>
        </xdr:cNvCxnSpPr>
      </xdr:nvCxnSpPr>
      <xdr:spPr>
        <a:xfrm>
          <a:off x="11010723" y="74068768"/>
          <a:ext cx="358260" cy="32993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110985</xdr:colOff>
      <xdr:row>335</xdr:row>
      <xdr:rowOff>57150</xdr:rowOff>
    </xdr:from>
    <xdr:to>
      <xdr:col>7</xdr:col>
      <xdr:colOff>610273</xdr:colOff>
      <xdr:row>374</xdr:row>
      <xdr:rowOff>104775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xmlns="" id="{DB135F38-8506-48B7-9517-76610E47A177}"/>
            </a:ext>
          </a:extLst>
        </xdr:cNvPr>
        <xdr:cNvGrpSpPr/>
      </xdr:nvGrpSpPr>
      <xdr:grpSpPr>
        <a:xfrm>
          <a:off x="110985" y="64297063"/>
          <a:ext cx="6172875" cy="6599169"/>
          <a:chOff x="448235" y="281882"/>
          <a:chExt cx="6176188" cy="7620881"/>
        </a:xfrm>
      </xdr:grpSpPr>
      <xdr:grpSp>
        <xdr:nvGrpSpPr>
          <xdr:cNvPr id="36" name="Group 35">
            <a:extLst>
              <a:ext uri="{FF2B5EF4-FFF2-40B4-BE49-F238E27FC236}">
                <a16:creationId xmlns:a16="http://schemas.microsoft.com/office/drawing/2014/main" xmlns="" id="{B3672291-8C5E-45F3-AA92-59252F82A12D}"/>
              </a:ext>
            </a:extLst>
          </xdr:cNvPr>
          <xdr:cNvGrpSpPr/>
        </xdr:nvGrpSpPr>
        <xdr:grpSpPr>
          <a:xfrm>
            <a:off x="448235" y="281882"/>
            <a:ext cx="6176188" cy="7620881"/>
            <a:chOff x="448235" y="281882"/>
            <a:chExt cx="6176188" cy="7620881"/>
          </a:xfrm>
        </xdr:grpSpPr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xmlns="" id="{C3E57F59-E0F3-4B23-B99F-466E7B88D2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8235" y="281882"/>
              <a:ext cx="384000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xmlns="" id="{1F510402-73DC-4202-A18A-9B47F71722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64423" y="281882"/>
              <a:ext cx="216000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xmlns="" id="{6C1336A9-2691-4F25-AA87-65673656F6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74693" y="3402000"/>
              <a:ext cx="1755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xmlns="" id="{E2E54E45-A203-4F26-A3CC-566FB33044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94693" y="3402000"/>
              <a:ext cx="1755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xmlns="" id="{7B6A0FBC-6DCE-42FB-93F0-E87F9F7C94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4693" y="3402000"/>
              <a:ext cx="1755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xmlns="" id="{79094C10-2B91-4EEB-9F1D-C38B9D201B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29093" y="5922763"/>
              <a:ext cx="1485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xmlns="" id="{92224A25-5F12-4998-9EE8-F6D9D6470B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9093" y="5922763"/>
              <a:ext cx="1485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cxnSp macro="">
        <xdr:nvCxnSpPr>
          <xdr:cNvPr id="49" name="Straight Arrow Connector 48">
            <a:extLst>
              <a:ext uri="{FF2B5EF4-FFF2-40B4-BE49-F238E27FC236}">
                <a16:creationId xmlns:a16="http://schemas.microsoft.com/office/drawing/2014/main" xmlns="" id="{49D42AAB-5655-4018-B2EC-45BC42E72932}"/>
              </a:ext>
            </a:extLst>
          </xdr:cNvPr>
          <xdr:cNvCxnSpPr>
            <a:cxnSpLocks/>
          </xdr:cNvCxnSpPr>
        </xdr:nvCxnSpPr>
        <xdr:spPr>
          <a:xfrm>
            <a:off x="1168759" y="3829339"/>
            <a:ext cx="69491" cy="35053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Straight Arrow Connector 49">
            <a:extLst>
              <a:ext uri="{FF2B5EF4-FFF2-40B4-BE49-F238E27FC236}">
                <a16:creationId xmlns:a16="http://schemas.microsoft.com/office/drawing/2014/main" xmlns="" id="{3FBCAD09-0620-430C-8493-A27D2F2AF3A6}"/>
              </a:ext>
            </a:extLst>
          </xdr:cNvPr>
          <xdr:cNvCxnSpPr>
            <a:cxnSpLocks/>
          </xdr:cNvCxnSpPr>
        </xdr:nvCxnSpPr>
        <xdr:spPr>
          <a:xfrm flipH="1">
            <a:off x="2029093" y="3865865"/>
            <a:ext cx="199372" cy="35053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" name="TextBox 108">
            <a:extLst>
              <a:ext uri="{FF2B5EF4-FFF2-40B4-BE49-F238E27FC236}">
                <a16:creationId xmlns:a16="http://schemas.microsoft.com/office/drawing/2014/main" xmlns="" id="{3F5512D0-0B0D-4C02-8ABB-34AE91995EDF}"/>
              </a:ext>
            </a:extLst>
          </xdr:cNvPr>
          <xdr:cNvSpPr txBox="1"/>
        </xdr:nvSpPr>
        <xdr:spPr>
          <a:xfrm>
            <a:off x="764218" y="3417502"/>
            <a:ext cx="617467" cy="436786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Wing B </a:t>
            </a:r>
          </a:p>
          <a:p>
            <a:r>
              <a:rPr lang="en-US" sz="1100" b="1">
                <a:solidFill>
                  <a:srgbClr val="FF0000"/>
                </a:solidFill>
              </a:rPr>
              <a:t>Part I</a:t>
            </a:r>
            <a:endParaRPr lang="en-IN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109">
            <a:extLst>
              <a:ext uri="{FF2B5EF4-FFF2-40B4-BE49-F238E27FC236}">
                <a16:creationId xmlns:a16="http://schemas.microsoft.com/office/drawing/2014/main" xmlns="" id="{32C53CDC-A292-4DE6-86E7-22A8013776C5}"/>
              </a:ext>
            </a:extLst>
          </xdr:cNvPr>
          <xdr:cNvSpPr txBox="1"/>
        </xdr:nvSpPr>
        <xdr:spPr>
          <a:xfrm>
            <a:off x="1774184" y="3417502"/>
            <a:ext cx="716459" cy="430887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Wing B </a:t>
            </a:r>
          </a:p>
          <a:p>
            <a:r>
              <a:rPr lang="en-US" sz="1100" b="1">
                <a:solidFill>
                  <a:srgbClr val="FF0000"/>
                </a:solidFill>
              </a:rPr>
              <a:t>Part II</a:t>
            </a:r>
            <a:endParaRPr lang="en-IN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526677</xdr:colOff>
      <xdr:row>13</xdr:row>
      <xdr:rowOff>134470</xdr:rowOff>
    </xdr:from>
    <xdr:to>
      <xdr:col>5</xdr:col>
      <xdr:colOff>878626</xdr:colOff>
      <xdr:row>32</xdr:row>
      <xdr:rowOff>114970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77" y="262217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874060</xdr:colOff>
      <xdr:row>19</xdr:row>
      <xdr:rowOff>78441</xdr:rowOff>
    </xdr:from>
    <xdr:to>
      <xdr:col>14</xdr:col>
      <xdr:colOff>419185</xdr:colOff>
      <xdr:row>38</xdr:row>
      <xdr:rowOff>58941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5236" y="3709147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0</xdr:row>
      <xdr:rowOff>0</xdr:rowOff>
    </xdr:from>
    <xdr:to>
      <xdr:col>14</xdr:col>
      <xdr:colOff>475215</xdr:colOff>
      <xdr:row>18</xdr:row>
      <xdr:rowOff>159794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1266" y="0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zWChhquA4or5Wsc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11"/>
  <sheetViews>
    <sheetView tabSelected="1" view="pageBreakPreview" topLeftCell="A52" zoomScale="115" zoomScaleNormal="100" zoomScaleSheetLayoutView="115" zoomScalePageLayoutView="85" workbookViewId="0">
      <selection activeCell="M54" sqref="M54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1.28515625" style="21" bestFit="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40" t="s">
        <v>165</v>
      </c>
      <c r="B1" s="140"/>
      <c r="C1" s="140"/>
      <c r="D1" s="140"/>
      <c r="E1" s="140"/>
      <c r="F1" s="140"/>
      <c r="G1" s="140"/>
      <c r="H1" s="140"/>
    </row>
    <row r="2" spans="1:26" ht="16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26" x14ac:dyDescent="0.25">
      <c r="A3" s="139" t="s">
        <v>1</v>
      </c>
      <c r="B3" s="139"/>
      <c r="C3" s="139"/>
      <c r="D3" s="139"/>
      <c r="E3" s="139" t="str">
        <f ca="1">TEXT(TODAY(),"DD/MM/YYYY")</f>
        <v>17/09/2025</v>
      </c>
      <c r="F3" s="139"/>
      <c r="G3" s="139"/>
      <c r="H3" s="139"/>
    </row>
    <row r="4" spans="1:26" ht="15" customHeight="1" x14ac:dyDescent="0.25">
      <c r="A4" s="139" t="s">
        <v>2</v>
      </c>
      <c r="B4" s="139"/>
      <c r="C4" s="139"/>
      <c r="D4" s="139"/>
      <c r="E4" s="127" t="s">
        <v>171</v>
      </c>
      <c r="F4" s="127"/>
      <c r="G4" s="127"/>
      <c r="H4" s="127"/>
    </row>
    <row r="5" spans="1:26" x14ac:dyDescent="0.25">
      <c r="A5" s="139" t="s">
        <v>3</v>
      </c>
      <c r="B5" s="139"/>
      <c r="C5" s="139"/>
      <c r="D5" s="139"/>
      <c r="E5" s="143">
        <v>45912</v>
      </c>
      <c r="F5" s="139"/>
      <c r="G5" s="139"/>
      <c r="H5" s="139"/>
    </row>
    <row r="6" spans="1:26" ht="16.5" customHeight="1" x14ac:dyDescent="0.25">
      <c r="A6" s="139" t="s">
        <v>4</v>
      </c>
      <c r="B6" s="139"/>
      <c r="C6" s="139"/>
      <c r="D6" s="139"/>
      <c r="E6" s="139" t="s">
        <v>232</v>
      </c>
      <c r="F6" s="139"/>
      <c r="G6" s="139"/>
      <c r="H6" s="139"/>
    </row>
    <row r="7" spans="1:26" ht="15" customHeight="1" x14ac:dyDescent="0.25">
      <c r="A7" s="139" t="s">
        <v>5</v>
      </c>
      <c r="B7" s="139"/>
      <c r="C7" s="139"/>
      <c r="D7" s="139"/>
      <c r="E7" s="139" t="str">
        <f>E6</f>
        <v xml:space="preserve">Srushti Raj Developers LLP </v>
      </c>
      <c r="F7" s="139"/>
      <c r="G7" s="139"/>
      <c r="H7" s="139"/>
      <c r="K7" s="21" t="s">
        <v>297</v>
      </c>
    </row>
    <row r="8" spans="1:26" x14ac:dyDescent="0.25">
      <c r="A8" s="139" t="s">
        <v>6</v>
      </c>
      <c r="B8" s="139"/>
      <c r="C8" s="139"/>
      <c r="D8" s="139"/>
      <c r="E8" s="142" t="s">
        <v>233</v>
      </c>
      <c r="F8" s="142"/>
      <c r="G8" s="142"/>
      <c r="H8" s="142"/>
    </row>
    <row r="9" spans="1:26" x14ac:dyDescent="0.25">
      <c r="A9" s="139" t="s">
        <v>168</v>
      </c>
      <c r="B9" s="139"/>
      <c r="C9" s="139"/>
      <c r="D9" s="139"/>
      <c r="E9" s="139">
        <v>7045920486</v>
      </c>
      <c r="F9" s="139"/>
      <c r="G9" s="139"/>
      <c r="H9" s="139"/>
    </row>
    <row r="10" spans="1:26" hidden="1" x14ac:dyDescent="0.25">
      <c r="A10" s="139" t="s">
        <v>169</v>
      </c>
      <c r="B10" s="139"/>
      <c r="C10" s="139"/>
      <c r="D10" s="139"/>
      <c r="E10" s="139" t="s">
        <v>277</v>
      </c>
      <c r="F10" s="139"/>
      <c r="G10" s="139"/>
      <c r="H10" s="139"/>
    </row>
    <row r="11" spans="1:26" x14ac:dyDescent="0.25">
      <c r="A11" s="139" t="s">
        <v>7</v>
      </c>
      <c r="B11" s="139"/>
      <c r="C11" s="139"/>
      <c r="D11" s="139"/>
      <c r="E11" s="139" t="s">
        <v>286</v>
      </c>
      <c r="F11" s="139"/>
      <c r="G11" s="139"/>
      <c r="H11" s="139"/>
    </row>
    <row r="12" spans="1:26" x14ac:dyDescent="0.25">
      <c r="A12" s="139" t="s">
        <v>172</v>
      </c>
      <c r="B12" s="139"/>
      <c r="C12" s="139"/>
      <c r="D12" s="139"/>
      <c r="E12" s="139" t="s">
        <v>29</v>
      </c>
      <c r="F12" s="139"/>
      <c r="G12" s="139"/>
      <c r="H12" s="139"/>
      <c r="S12" s="55" t="s">
        <v>179</v>
      </c>
      <c r="T12" s="55" t="s">
        <v>189</v>
      </c>
      <c r="U12" s="55" t="s">
        <v>173</v>
      </c>
      <c r="V12" s="55" t="s">
        <v>194</v>
      </c>
      <c r="W12" s="55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ht="32.25" customHeight="1" x14ac:dyDescent="0.25">
      <c r="A13" s="86" t="s">
        <v>8</v>
      </c>
      <c r="B13" s="86"/>
      <c r="C13" s="86"/>
      <c r="D13" s="86"/>
      <c r="E13" s="137" t="s">
        <v>280</v>
      </c>
      <c r="F13" s="137"/>
      <c r="G13" s="137"/>
      <c r="H13" s="137"/>
      <c r="S13" s="55" t="s">
        <v>180</v>
      </c>
      <c r="T13" s="55" t="s">
        <v>187</v>
      </c>
      <c r="U13" s="55" t="s">
        <v>209</v>
      </c>
      <c r="V13" s="55" t="s">
        <v>195</v>
      </c>
      <c r="W13" s="55" t="s">
        <v>213</v>
      </c>
      <c r="X13"/>
      <c r="Y13"/>
      <c r="Z13"/>
    </row>
    <row r="14" spans="1:26" x14ac:dyDescent="0.25">
      <c r="A14" s="86" t="s">
        <v>9</v>
      </c>
      <c r="B14" s="86"/>
      <c r="C14" s="86"/>
      <c r="D14" s="86"/>
      <c r="E14" s="137" t="s">
        <v>234</v>
      </c>
      <c r="F14" s="127"/>
      <c r="G14" s="127"/>
      <c r="H14" s="127"/>
      <c r="I14" s="193" t="e">
        <f ca="1">OFFSET($D$4,1,MATCH($J12,$D$4:$H$4,0)-1,15,1)</f>
        <v>#N/A</v>
      </c>
      <c r="J14" s="194"/>
      <c r="K14" s="194"/>
      <c r="L14" s="194"/>
      <c r="M14" s="194"/>
      <c r="N14" s="194"/>
      <c r="O14" s="194"/>
      <c r="P14" s="194"/>
      <c r="S14" s="55" t="s">
        <v>181</v>
      </c>
      <c r="T14" s="55" t="s">
        <v>188</v>
      </c>
      <c r="U14" s="55" t="s">
        <v>210</v>
      </c>
      <c r="V14" s="55" t="s">
        <v>196</v>
      </c>
      <c r="W14" s="55" t="s">
        <v>226</v>
      </c>
      <c r="X14"/>
      <c r="Y14"/>
      <c r="Z14"/>
    </row>
    <row r="15" spans="1:26" ht="67.150000000000006" customHeight="1" x14ac:dyDescent="0.25">
      <c r="A15" s="137" t="s">
        <v>10</v>
      </c>
      <c r="B15" s="137"/>
      <c r="C15" s="13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Codename Highway Touch, CTS No.139(Pt), 139(1 to 82), 139(84 to 89), 139(91 to 170), 139(174 to 239), 139(243 to 244), 139(251 to 275), 139(303 to 310) &amp; Others…, near Ram Mandir Trust Hall, Squatters Colony Rd, Janta Nagar, Gandhi Nagar Society, Majas, Jogeshwari East, Andheri, Mumbai - 400060.</v>
      </c>
      <c r="D15" s="137"/>
      <c r="E15" s="137"/>
      <c r="F15" s="137"/>
      <c r="G15" s="137"/>
      <c r="H15" s="137"/>
      <c r="S15" s="55" t="s">
        <v>182</v>
      </c>
      <c r="T15" s="55" t="s">
        <v>190</v>
      </c>
      <c r="U15" s="55" t="s">
        <v>211</v>
      </c>
      <c r="V15" s="55" t="s">
        <v>197</v>
      </c>
      <c r="W15" s="55" t="s">
        <v>214</v>
      </c>
      <c r="X15"/>
      <c r="Y15"/>
      <c r="Z15"/>
    </row>
    <row r="16" spans="1:26" ht="32.25" customHeight="1" x14ac:dyDescent="0.25">
      <c r="A16" s="137" t="s">
        <v>177</v>
      </c>
      <c r="B16" s="137"/>
      <c r="C16" s="137" t="s">
        <v>235</v>
      </c>
      <c r="D16" s="137"/>
      <c r="E16" s="137"/>
      <c r="F16" s="137"/>
      <c r="G16" s="137"/>
      <c r="H16" s="137"/>
      <c r="S16" s="55" t="s">
        <v>183</v>
      </c>
      <c r="T16" s="55" t="s">
        <v>191</v>
      </c>
      <c r="U16" s="55"/>
      <c r="V16" s="55" t="s">
        <v>198</v>
      </c>
      <c r="W16" s="55" t="s">
        <v>215</v>
      </c>
      <c r="X16"/>
      <c r="Y16"/>
      <c r="Z16"/>
    </row>
    <row r="17" spans="1:26" ht="15.75" customHeight="1" x14ac:dyDescent="0.25">
      <c r="A17" s="137" t="s">
        <v>163</v>
      </c>
      <c r="B17" s="137"/>
      <c r="C17" s="137" t="s">
        <v>239</v>
      </c>
      <c r="D17" s="137"/>
      <c r="E17" s="137"/>
      <c r="F17" s="137"/>
      <c r="G17" s="137"/>
      <c r="H17" s="137"/>
      <c r="S17" s="55" t="s">
        <v>184</v>
      </c>
      <c r="T17" s="55" t="s">
        <v>189</v>
      </c>
      <c r="U17" s="55"/>
      <c r="V17" s="55" t="s">
        <v>199</v>
      </c>
      <c r="W17" s="55" t="s">
        <v>216</v>
      </c>
      <c r="X17"/>
      <c r="Y17"/>
      <c r="Z17"/>
    </row>
    <row r="18" spans="1:26" ht="15.75" customHeight="1" x14ac:dyDescent="0.25">
      <c r="A18" s="137" t="s">
        <v>11</v>
      </c>
      <c r="B18" s="137"/>
      <c r="C18" s="127" t="s">
        <v>238</v>
      </c>
      <c r="D18" s="127"/>
      <c r="E18" s="137" t="s">
        <v>73</v>
      </c>
      <c r="F18" s="137"/>
      <c r="G18" s="137" t="s">
        <v>236</v>
      </c>
      <c r="H18" s="137"/>
      <c r="S18" s="55" t="s">
        <v>185</v>
      </c>
      <c r="T18" s="55" t="s">
        <v>192</v>
      </c>
      <c r="U18" s="55"/>
      <c r="V18" s="55" t="s">
        <v>200</v>
      </c>
      <c r="W18" s="55" t="s">
        <v>217</v>
      </c>
      <c r="X18"/>
      <c r="Y18"/>
      <c r="Z18"/>
    </row>
    <row r="19" spans="1:26" x14ac:dyDescent="0.25">
      <c r="A19" s="127" t="s">
        <v>13</v>
      </c>
      <c r="B19" s="127"/>
      <c r="C19" s="137" t="s">
        <v>237</v>
      </c>
      <c r="D19" s="137"/>
      <c r="E19" s="137" t="s">
        <v>12</v>
      </c>
      <c r="F19" s="137"/>
      <c r="G19" s="138" t="s">
        <v>173</v>
      </c>
      <c r="H19" s="138"/>
      <c r="S19" s="55" t="s">
        <v>186</v>
      </c>
      <c r="T19" s="55" t="s">
        <v>193</v>
      </c>
      <c r="U19" s="55"/>
      <c r="V19" s="55" t="s">
        <v>201</v>
      </c>
      <c r="W19" s="55" t="s">
        <v>218</v>
      </c>
      <c r="X19"/>
      <c r="Y19"/>
      <c r="Z19"/>
    </row>
    <row r="20" spans="1:26" x14ac:dyDescent="0.25">
      <c r="A20" s="127" t="s">
        <v>74</v>
      </c>
      <c r="B20" s="127"/>
      <c r="C20" s="137" t="s">
        <v>209</v>
      </c>
      <c r="D20" s="137"/>
      <c r="E20" s="137" t="s">
        <v>14</v>
      </c>
      <c r="F20" s="137"/>
      <c r="G20" s="137">
        <v>400060</v>
      </c>
      <c r="H20" s="137"/>
      <c r="S20" s="55"/>
      <c r="T20" s="55"/>
      <c r="U20" s="55"/>
      <c r="V20" s="55" t="s">
        <v>202</v>
      </c>
      <c r="W20" s="55" t="s">
        <v>219</v>
      </c>
      <c r="X20"/>
      <c r="Y20"/>
      <c r="Z20"/>
    </row>
    <row r="21" spans="1:26" ht="32.25" customHeight="1" x14ac:dyDescent="0.25">
      <c r="A21" s="127" t="s">
        <v>121</v>
      </c>
      <c r="B21" s="127"/>
      <c r="C21" s="137" t="s">
        <v>240</v>
      </c>
      <c r="D21" s="137"/>
      <c r="E21" s="137" t="s">
        <v>15</v>
      </c>
      <c r="F21" s="137"/>
      <c r="G21" s="137" t="s">
        <v>241</v>
      </c>
      <c r="H21" s="137"/>
      <c r="S21" s="55"/>
      <c r="T21" s="55"/>
      <c r="U21" s="55"/>
      <c r="V21" s="55" t="s">
        <v>203</v>
      </c>
      <c r="W21" s="55" t="s">
        <v>220</v>
      </c>
      <c r="X21"/>
      <c r="Y21"/>
      <c r="Z21"/>
    </row>
    <row r="22" spans="1:26" ht="15" customHeight="1" x14ac:dyDescent="0.25">
      <c r="A22" s="123" t="s">
        <v>76</v>
      </c>
      <c r="B22" s="123"/>
      <c r="C22" s="123"/>
      <c r="D22" s="123"/>
      <c r="E22" s="139" t="s">
        <v>16</v>
      </c>
      <c r="F22" s="139"/>
      <c r="G22" s="139"/>
      <c r="H22" s="139"/>
      <c r="S22" s="55"/>
      <c r="T22" s="55"/>
      <c r="U22" s="55"/>
      <c r="V22" s="55" t="s">
        <v>204</v>
      </c>
      <c r="W22" s="55" t="s">
        <v>221</v>
      </c>
      <c r="X22"/>
      <c r="Y22"/>
      <c r="Z22"/>
    </row>
    <row r="23" spans="1:26" ht="18.75" customHeight="1" x14ac:dyDescent="0.25">
      <c r="A23" s="123"/>
      <c r="B23" s="123"/>
      <c r="C23" s="123"/>
      <c r="D23" s="123"/>
      <c r="E23" s="139"/>
      <c r="F23" s="139"/>
      <c r="G23" s="139"/>
      <c r="H23" s="139"/>
      <c r="S23" s="55"/>
      <c r="T23" s="55"/>
      <c r="U23" s="55"/>
      <c r="V23" s="55" t="s">
        <v>205</v>
      </c>
      <c r="W23" s="55" t="s">
        <v>222</v>
      </c>
      <c r="X23"/>
      <c r="Y23"/>
      <c r="Z23"/>
    </row>
    <row r="24" spans="1:26" ht="15" customHeight="1" x14ac:dyDescent="0.25">
      <c r="A24" s="123" t="s">
        <v>17</v>
      </c>
      <c r="B24" s="123"/>
      <c r="C24" s="123"/>
      <c r="D24" s="123"/>
      <c r="E24" s="129" t="s">
        <v>18</v>
      </c>
      <c r="F24" s="129"/>
      <c r="G24" s="129"/>
      <c r="H24" s="129"/>
      <c r="S24" s="55"/>
      <c r="T24" s="55"/>
      <c r="U24" s="55"/>
      <c r="V24" s="55" t="s">
        <v>206</v>
      </c>
      <c r="W24" s="55" t="s">
        <v>223</v>
      </c>
      <c r="X24"/>
      <c r="Y24"/>
      <c r="Z24"/>
    </row>
    <row r="25" spans="1:26" ht="15" customHeight="1" x14ac:dyDescent="0.25">
      <c r="A25" s="86" t="s">
        <v>19</v>
      </c>
      <c r="B25" s="86"/>
      <c r="C25" s="86"/>
      <c r="D25" s="86"/>
      <c r="E25" s="129" t="str">
        <f>IF(AND(G19="Mumbai"),"Upper Class","Middle Class")</f>
        <v>Upper Class</v>
      </c>
      <c r="F25" s="129"/>
      <c r="G25" s="129"/>
      <c r="H25" s="129"/>
      <c r="S25" s="55"/>
      <c r="T25" s="55"/>
      <c r="U25" s="55"/>
      <c r="V25" s="55" t="s">
        <v>207</v>
      </c>
      <c r="W25" s="55" t="s">
        <v>224</v>
      </c>
      <c r="X25"/>
      <c r="Y25"/>
      <c r="Z25"/>
    </row>
    <row r="26" spans="1:26" x14ac:dyDescent="0.25">
      <c r="A26" s="86" t="s">
        <v>20</v>
      </c>
      <c r="B26" s="86"/>
      <c r="C26" s="86"/>
      <c r="D26" s="86"/>
      <c r="E26" s="129" t="s">
        <v>21</v>
      </c>
      <c r="F26" s="129"/>
      <c r="G26" s="129"/>
      <c r="H26" s="129"/>
      <c r="S26" s="55"/>
      <c r="T26" s="55"/>
      <c r="U26" s="55"/>
      <c r="V26" s="55" t="s">
        <v>208</v>
      </c>
      <c r="W26" s="55" t="s">
        <v>225</v>
      </c>
      <c r="X26"/>
      <c r="Y26"/>
      <c r="Z26"/>
    </row>
    <row r="27" spans="1:26" ht="15.75" customHeight="1" x14ac:dyDescent="0.25">
      <c r="A27" s="86" t="s">
        <v>22</v>
      </c>
      <c r="B27" s="86"/>
      <c r="C27" s="86"/>
      <c r="D27" s="86"/>
      <c r="E27" s="129" t="str">
        <f>IF(AND(G19="Mumbai"),"Developed","Developing")</f>
        <v>Developed</v>
      </c>
      <c r="F27" s="129"/>
      <c r="G27" s="129"/>
      <c r="H27" s="129"/>
    </row>
    <row r="28" spans="1:26" x14ac:dyDescent="0.25">
      <c r="A28" s="86" t="s">
        <v>23</v>
      </c>
      <c r="B28" s="86"/>
      <c r="C28" s="86"/>
      <c r="D28" s="86"/>
      <c r="E28" s="129" t="s">
        <v>24</v>
      </c>
      <c r="F28" s="129"/>
      <c r="G28" s="129"/>
      <c r="H28" s="129"/>
    </row>
    <row r="29" spans="1:26" ht="15.75" customHeight="1" x14ac:dyDescent="0.25">
      <c r="A29" s="86" t="s">
        <v>81</v>
      </c>
      <c r="B29" s="86"/>
      <c r="C29" s="86"/>
      <c r="D29" s="86"/>
      <c r="E29" s="129" t="s">
        <v>82</v>
      </c>
      <c r="F29" s="129"/>
      <c r="G29" s="129"/>
      <c r="H29" s="129"/>
    </row>
    <row r="30" spans="1:26" ht="15" customHeight="1" x14ac:dyDescent="0.25">
      <c r="A30" s="86" t="s">
        <v>32</v>
      </c>
      <c r="B30" s="86"/>
      <c r="C30" s="86"/>
      <c r="D30" s="86"/>
      <c r="E30" s="129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129"/>
      <c r="G30" s="129"/>
      <c r="H30" s="129"/>
    </row>
    <row r="31" spans="1:26" ht="15.75" customHeight="1" x14ac:dyDescent="0.25">
      <c r="A31" s="86" t="s">
        <v>93</v>
      </c>
      <c r="B31" s="86"/>
      <c r="C31" s="86"/>
      <c r="D31" s="86"/>
      <c r="E31" s="129" t="s">
        <v>33</v>
      </c>
      <c r="F31" s="129"/>
      <c r="G31" s="129"/>
      <c r="H31" s="129"/>
    </row>
    <row r="32" spans="1:26" s="22" customFormat="1" x14ac:dyDescent="0.25">
      <c r="A32" s="133" t="s">
        <v>94</v>
      </c>
      <c r="B32" s="133"/>
      <c r="C32" s="130" t="s">
        <v>174</v>
      </c>
      <c r="D32" s="131"/>
      <c r="E32" s="132"/>
      <c r="F32" s="130" t="s">
        <v>30</v>
      </c>
      <c r="G32" s="131"/>
      <c r="H32" s="132"/>
    </row>
    <row r="33" spans="1:8" s="22" customFormat="1" x14ac:dyDescent="0.25">
      <c r="A33" s="118" t="s">
        <v>25</v>
      </c>
      <c r="B33" s="118" t="s">
        <v>29</v>
      </c>
      <c r="C33" s="134" t="s">
        <v>244</v>
      </c>
      <c r="D33" s="135"/>
      <c r="E33" s="136"/>
      <c r="F33" s="119" t="s">
        <v>246</v>
      </c>
      <c r="G33" s="120"/>
      <c r="H33" s="121"/>
    </row>
    <row r="34" spans="1:8" x14ac:dyDescent="0.25">
      <c r="A34" s="118" t="s">
        <v>26</v>
      </c>
      <c r="B34" s="118" t="s">
        <v>29</v>
      </c>
      <c r="C34" s="119" t="s">
        <v>243</v>
      </c>
      <c r="D34" s="120"/>
      <c r="E34" s="121"/>
      <c r="F34" s="119" t="s">
        <v>246</v>
      </c>
      <c r="G34" s="120"/>
      <c r="H34" s="121"/>
    </row>
    <row r="35" spans="1:8" s="22" customFormat="1" x14ac:dyDescent="0.25">
      <c r="A35" s="118" t="s">
        <v>28</v>
      </c>
      <c r="B35" s="118" t="s">
        <v>29</v>
      </c>
      <c r="C35" s="119" t="s">
        <v>242</v>
      </c>
      <c r="D35" s="120"/>
      <c r="E35" s="121"/>
      <c r="F35" s="119" t="s">
        <v>247</v>
      </c>
      <c r="G35" s="120"/>
      <c r="H35" s="121"/>
    </row>
    <row r="36" spans="1:8" x14ac:dyDescent="0.25">
      <c r="A36" s="118" t="s">
        <v>27</v>
      </c>
      <c r="B36" s="118" t="s">
        <v>29</v>
      </c>
      <c r="C36" s="119" t="s">
        <v>245</v>
      </c>
      <c r="D36" s="120"/>
      <c r="E36" s="121"/>
      <c r="F36" s="119" t="s">
        <v>248</v>
      </c>
      <c r="G36" s="120"/>
      <c r="H36" s="121"/>
    </row>
    <row r="37" spans="1:8" x14ac:dyDescent="0.25">
      <c r="A37" s="86" t="s">
        <v>31</v>
      </c>
      <c r="B37" s="86"/>
      <c r="C37" s="86"/>
      <c r="D37" s="86"/>
      <c r="E37" s="86"/>
      <c r="F37" s="86"/>
      <c r="G37" s="86"/>
      <c r="H37" s="86"/>
    </row>
    <row r="38" spans="1:8" ht="15.75" customHeight="1" x14ac:dyDescent="0.25">
      <c r="A38" s="86" t="s">
        <v>166</v>
      </c>
      <c r="B38" s="86"/>
      <c r="C38" s="117" t="s">
        <v>299</v>
      </c>
      <c r="D38" s="117"/>
      <c r="E38" s="117"/>
      <c r="F38" s="117"/>
      <c r="G38" s="117"/>
      <c r="H38" s="117"/>
    </row>
    <row r="39" spans="1:8" x14ac:dyDescent="0.25">
      <c r="A39" s="86" t="s">
        <v>162</v>
      </c>
      <c r="B39" s="86"/>
      <c r="C39" s="128" t="s">
        <v>298</v>
      </c>
      <c r="D39" s="129"/>
      <c r="E39" s="129"/>
      <c r="F39" s="129"/>
      <c r="G39" s="129"/>
      <c r="H39" s="129"/>
    </row>
    <row r="40" spans="1:8" x14ac:dyDescent="0.25">
      <c r="A40" s="117" t="s">
        <v>34</v>
      </c>
      <c r="B40" s="117"/>
      <c r="C40" s="117"/>
      <c r="D40" s="117"/>
      <c r="E40" s="117"/>
      <c r="F40" s="117"/>
      <c r="G40" s="117"/>
      <c r="H40" s="117"/>
    </row>
    <row r="41" spans="1:8" x14ac:dyDescent="0.25">
      <c r="A41" s="86" t="s">
        <v>35</v>
      </c>
      <c r="B41" s="86"/>
      <c r="C41" s="86"/>
      <c r="D41" s="86"/>
      <c r="E41" s="122">
        <v>6703.73</v>
      </c>
      <c r="F41" s="122"/>
      <c r="G41" s="122"/>
      <c r="H41" s="122"/>
    </row>
    <row r="42" spans="1:8" x14ac:dyDescent="0.25">
      <c r="A42" s="86" t="s">
        <v>36</v>
      </c>
      <c r="B42" s="86"/>
      <c r="C42" s="86"/>
      <c r="D42" s="86"/>
      <c r="E42" s="125">
        <v>4.6559999999999997</v>
      </c>
      <c r="F42" s="125"/>
      <c r="G42" s="125"/>
      <c r="H42" s="125"/>
    </row>
    <row r="43" spans="1:8" x14ac:dyDescent="0.25">
      <c r="A43" s="86" t="s">
        <v>37</v>
      </c>
      <c r="B43" s="86"/>
      <c r="C43" s="86"/>
      <c r="D43" s="86"/>
      <c r="E43" s="125">
        <f>E45/E41-E42</f>
        <v>1.1190252471385342</v>
      </c>
      <c r="F43" s="125"/>
      <c r="G43" s="125"/>
      <c r="H43" s="125"/>
    </row>
    <row r="44" spans="1:8" x14ac:dyDescent="0.25">
      <c r="A44" s="86" t="s">
        <v>38</v>
      </c>
      <c r="B44" s="86"/>
      <c r="C44" s="86"/>
      <c r="D44" s="86"/>
      <c r="E44" s="125">
        <f>E42+E43</f>
        <v>5.7750252471385339</v>
      </c>
      <c r="F44" s="125"/>
      <c r="G44" s="125"/>
      <c r="H44" s="125"/>
    </row>
    <row r="45" spans="1:8" x14ac:dyDescent="0.25">
      <c r="A45" s="86" t="s">
        <v>92</v>
      </c>
      <c r="B45" s="86"/>
      <c r="C45" s="86"/>
      <c r="D45" s="86"/>
      <c r="E45" s="126">
        <v>38714.21</v>
      </c>
      <c r="F45" s="126"/>
      <c r="G45" s="126"/>
      <c r="H45" s="126"/>
    </row>
    <row r="46" spans="1:8" x14ac:dyDescent="0.25">
      <c r="A46" s="139" t="s">
        <v>39</v>
      </c>
      <c r="B46" s="139"/>
      <c r="C46" s="139"/>
      <c r="D46" s="139"/>
      <c r="E46" s="127" t="s">
        <v>249</v>
      </c>
      <c r="F46" s="127"/>
      <c r="G46" s="127"/>
      <c r="H46" s="127"/>
    </row>
    <row r="47" spans="1:8" x14ac:dyDescent="0.25">
      <c r="A47" s="117" t="s">
        <v>40</v>
      </c>
      <c r="B47" s="117"/>
      <c r="C47" s="117"/>
      <c r="D47" s="117"/>
      <c r="E47" s="117"/>
      <c r="F47" s="117"/>
      <c r="G47" s="117"/>
      <c r="H47" s="117"/>
    </row>
    <row r="48" spans="1:8" ht="33.75" customHeight="1" x14ac:dyDescent="0.25">
      <c r="A48" s="77" t="s">
        <v>150</v>
      </c>
      <c r="B48" s="78"/>
      <c r="C48" s="79" t="s">
        <v>250</v>
      </c>
      <c r="D48" s="80"/>
      <c r="E48" s="80"/>
      <c r="F48" s="80"/>
      <c r="G48" s="80"/>
      <c r="H48" s="81"/>
    </row>
    <row r="49" spans="1:14" ht="35.25" customHeight="1" x14ac:dyDescent="0.25">
      <c r="A49" s="77" t="s">
        <v>41</v>
      </c>
      <c r="B49" s="78"/>
      <c r="C49" s="77" t="s">
        <v>251</v>
      </c>
      <c r="D49" s="190"/>
      <c r="E49" s="78"/>
      <c r="F49" s="18" t="s">
        <v>42</v>
      </c>
      <c r="G49" s="186">
        <v>44748</v>
      </c>
      <c r="H49" s="78"/>
    </row>
    <row r="50" spans="1:14" ht="35.25" customHeight="1" x14ac:dyDescent="0.25">
      <c r="A50" s="77" t="s">
        <v>43</v>
      </c>
      <c r="B50" s="78"/>
      <c r="C50" s="77" t="str">
        <f>C49</f>
        <v>SRA/ENG/KE/MCGM/0035/20081021/AP/52</v>
      </c>
      <c r="D50" s="190"/>
      <c r="E50" s="78"/>
      <c r="F50" s="18" t="s">
        <v>42</v>
      </c>
      <c r="G50" s="186">
        <f>G49</f>
        <v>44748</v>
      </c>
      <c r="H50" s="187"/>
    </row>
    <row r="51" spans="1:14" s="23" customFormat="1" x14ac:dyDescent="0.25">
      <c r="A51" s="178" t="s">
        <v>154</v>
      </c>
      <c r="B51" s="179"/>
      <c r="C51" s="77" t="s">
        <v>252</v>
      </c>
      <c r="D51" s="190"/>
      <c r="E51" s="78"/>
      <c r="F51" s="18" t="s">
        <v>42</v>
      </c>
      <c r="G51" s="186">
        <v>45337</v>
      </c>
      <c r="H51" s="187"/>
    </row>
    <row r="52" spans="1:14" s="23" customFormat="1" ht="32.25" customHeight="1" x14ac:dyDescent="0.25">
      <c r="A52" s="191"/>
      <c r="B52" s="192"/>
      <c r="C52" s="77" t="s">
        <v>293</v>
      </c>
      <c r="D52" s="190"/>
      <c r="E52" s="190"/>
      <c r="F52" s="190"/>
      <c r="G52" s="190"/>
      <c r="H52" s="78"/>
    </row>
    <row r="53" spans="1:14" s="23" customFormat="1" ht="35.25" customHeight="1" x14ac:dyDescent="0.25">
      <c r="A53" s="178" t="s">
        <v>278</v>
      </c>
      <c r="B53" s="179"/>
      <c r="C53" s="77" t="s">
        <v>279</v>
      </c>
      <c r="D53" s="190"/>
      <c r="E53" s="78"/>
      <c r="F53" s="18" t="s">
        <v>42</v>
      </c>
      <c r="G53" s="186">
        <v>44767</v>
      </c>
      <c r="H53" s="187"/>
    </row>
    <row r="54" spans="1:14" x14ac:dyDescent="0.25">
      <c r="A54" s="195" t="s">
        <v>44</v>
      </c>
      <c r="B54" s="196"/>
      <c r="C54" s="195" t="s">
        <v>105</v>
      </c>
      <c r="D54" s="197"/>
      <c r="E54" s="196"/>
      <c r="F54" s="46" t="s">
        <v>42</v>
      </c>
      <c r="G54" s="188" t="s">
        <v>29</v>
      </c>
      <c r="H54" s="189"/>
    </row>
    <row r="55" spans="1:14" x14ac:dyDescent="0.25">
      <c r="A55" s="166" t="s">
        <v>46</v>
      </c>
      <c r="B55" s="166"/>
      <c r="C55" s="166"/>
      <c r="D55" s="166"/>
      <c r="E55" s="166"/>
      <c r="F55" s="166"/>
      <c r="G55" s="166"/>
      <c r="H55" s="166"/>
    </row>
    <row r="56" spans="1:14" x14ac:dyDescent="0.25">
      <c r="A56" s="123" t="s">
        <v>91</v>
      </c>
      <c r="B56" s="123"/>
      <c r="C56" s="123"/>
      <c r="D56" s="86">
        <f>E45</f>
        <v>38714.21</v>
      </c>
      <c r="E56" s="86"/>
      <c r="F56" s="86"/>
      <c r="G56" s="86"/>
      <c r="H56" s="86"/>
    </row>
    <row r="57" spans="1:14" x14ac:dyDescent="0.25">
      <c r="A57" s="129" t="s">
        <v>47</v>
      </c>
      <c r="B57" s="139"/>
      <c r="C57" s="139"/>
      <c r="D57" s="127" t="s">
        <v>275</v>
      </c>
      <c r="E57" s="127"/>
      <c r="F57" s="127"/>
      <c r="G57" s="127"/>
      <c r="H57" s="127"/>
      <c r="I57" s="24"/>
    </row>
    <row r="58" spans="1:14" ht="30.75" customHeight="1" x14ac:dyDescent="0.25">
      <c r="A58" s="199" t="s">
        <v>48</v>
      </c>
      <c r="B58" s="200"/>
      <c r="C58" s="203"/>
      <c r="D58" s="201" t="s">
        <v>287</v>
      </c>
      <c r="E58" s="202"/>
      <c r="F58" s="202"/>
      <c r="G58" s="202"/>
      <c r="H58" s="202"/>
    </row>
    <row r="59" spans="1:14" ht="31.5" customHeight="1" x14ac:dyDescent="0.25">
      <c r="A59" s="199" t="s">
        <v>89</v>
      </c>
      <c r="B59" s="200"/>
      <c r="C59" s="200"/>
      <c r="D59" s="137" t="s">
        <v>287</v>
      </c>
      <c r="E59" s="137"/>
      <c r="F59" s="137"/>
      <c r="G59" s="137"/>
      <c r="H59" s="137"/>
    </row>
    <row r="60" spans="1:14" ht="15.75" customHeight="1" x14ac:dyDescent="0.25">
      <c r="A60" s="86" t="s">
        <v>45</v>
      </c>
      <c r="B60" s="86"/>
      <c r="C60" s="86"/>
      <c r="D60" s="123" t="s">
        <v>274</v>
      </c>
      <c r="E60" s="123"/>
      <c r="F60" s="123"/>
      <c r="G60" s="123"/>
      <c r="H60" s="123"/>
      <c r="J60" s="25"/>
      <c r="K60" s="24"/>
      <c r="N60" s="24"/>
    </row>
    <row r="61" spans="1:14" ht="15.75" customHeight="1" x14ac:dyDescent="0.25">
      <c r="A61" s="86" t="s">
        <v>87</v>
      </c>
      <c r="B61" s="86"/>
      <c r="C61" s="86"/>
      <c r="D61" s="124" t="str">
        <f>(IF(G54="NA","60 Years After Completion",IF(G54&lt;&gt;"NA",""&amp;60-ROUNDDOWN((E3-G54)/360,0)&amp;" Years"," ")))</f>
        <v>60 Years After Completion</v>
      </c>
      <c r="E61" s="124"/>
      <c r="F61" s="124"/>
      <c r="G61" s="124"/>
      <c r="H61" s="124"/>
      <c r="N61" s="24"/>
    </row>
    <row r="62" spans="1:14" ht="15.75" customHeight="1" x14ac:dyDescent="0.25">
      <c r="A62" s="86" t="s">
        <v>88</v>
      </c>
      <c r="B62" s="86"/>
      <c r="C62" s="86"/>
      <c r="D62" s="123" t="s">
        <v>24</v>
      </c>
      <c r="E62" s="123"/>
      <c r="F62" s="123"/>
      <c r="G62" s="123"/>
      <c r="H62" s="123"/>
      <c r="J62" s="26"/>
      <c r="K62" s="26"/>
    </row>
    <row r="63" spans="1:14" ht="66.75" customHeight="1" x14ac:dyDescent="0.25">
      <c r="A63" s="127" t="s">
        <v>276</v>
      </c>
      <c r="B63" s="127"/>
      <c r="C63" s="127"/>
      <c r="D63" s="129" t="s">
        <v>265</v>
      </c>
      <c r="E63" s="123"/>
      <c r="F63" s="123"/>
      <c r="G63" s="123"/>
      <c r="H63" s="123"/>
    </row>
    <row r="64" spans="1:14" x14ac:dyDescent="0.25">
      <c r="A64" s="123" t="s">
        <v>147</v>
      </c>
      <c r="B64" s="123"/>
      <c r="C64" s="123"/>
      <c r="D64" s="123" t="s">
        <v>29</v>
      </c>
      <c r="E64" s="123"/>
      <c r="F64" s="123"/>
      <c r="G64" s="123"/>
      <c r="H64" s="123"/>
      <c r="I64" s="27"/>
      <c r="J64" s="27"/>
      <c r="K64" s="27"/>
      <c r="L64" s="27"/>
      <c r="M64" s="63">
        <v>0.44097222222222227</v>
      </c>
      <c r="N64" s="63">
        <v>0.78819444444444453</v>
      </c>
    </row>
    <row r="65" spans="1:14" x14ac:dyDescent="0.25">
      <c r="A65" s="198" t="s">
        <v>86</v>
      </c>
      <c r="B65" s="198"/>
      <c r="C65" s="198"/>
      <c r="D65" s="165" t="str">
        <f ca="1">(IF(G71&gt;95%,"Nothing",IF(G71&gt;0%,"Cement, Aggregate, Steel, etc",IF(G71=0%,"Work not yet Started"))))</f>
        <v>Cement, Aggregate, Steel, etc</v>
      </c>
      <c r="E65" s="165"/>
      <c r="F65" s="165"/>
      <c r="G65" s="165"/>
      <c r="H65" s="165"/>
      <c r="J65" s="26"/>
      <c r="N65" s="64">
        <f>N64-M64</f>
        <v>0.34722222222222227</v>
      </c>
    </row>
    <row r="66" spans="1:14" ht="16.5" thickBot="1" x14ac:dyDescent="0.3">
      <c r="A66" s="164" t="s">
        <v>118</v>
      </c>
      <c r="B66" s="164"/>
      <c r="C66" s="164"/>
      <c r="D66" s="165" t="str">
        <f ca="1">(IF(D65="Nothing","Yes",IF(D65="Cement, Aggregate, Steel, etc","Under Construction",IF(D65="Work not yet Started","Work not yet Started"))))</f>
        <v>Under Construction</v>
      </c>
      <c r="E66" s="165"/>
      <c r="F66" s="165" t="str">
        <f ca="1">(IF(D65="Nothing","Yes",IF(D65="Cement, Aggregate, Steel, etc","Under Construction",IF(D65="Work not yet Started","Work not yet Started"))))</f>
        <v>Under Construction</v>
      </c>
      <c r="G66" s="165"/>
      <c r="H66" s="165"/>
      <c r="I66" s="21" t="s">
        <v>302</v>
      </c>
    </row>
    <row r="67" spans="1:14" ht="15.75" customHeight="1" x14ac:dyDescent="0.25">
      <c r="A67" s="144" t="s">
        <v>139</v>
      </c>
      <c r="B67" s="145"/>
      <c r="C67" s="146" t="s">
        <v>311</v>
      </c>
      <c r="D67" s="147"/>
      <c r="E67" s="147"/>
      <c r="F67" s="147"/>
      <c r="G67" s="147"/>
      <c r="H67" s="148"/>
      <c r="I67" s="50" t="str">
        <f ca="1">IF(D80=100%,"All work Completed. Possession granted to the Building.",IF(D79=100%,"All work Completed, Waiting for OC",I68&amp;""&amp;I69&amp;""&amp;J68&amp;""&amp;J67&amp;" "&amp;J69))</f>
        <v>Excavation, Plinth Completed, RCC upto 2 Slab, Brickwork upto 1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2 Slab, Brickwork upto 1 Floor</v>
      </c>
    </row>
    <row r="68" spans="1:14" x14ac:dyDescent="0.25">
      <c r="A68" s="16" t="s">
        <v>141</v>
      </c>
      <c r="B68" s="48">
        <f>IF(AND(ISNUMBER(SEARCH("1B",C67))),1,IF(AND(ISNUMBER(SEARCH("2B",C67))),2,IF(AND(ISNUMBER(SEARCH("3B",C67))),3,IF(AND(ISNUMBER(SEARCH("4B",C67))),4,IF(ISNUMBER(SEARCH("5B",C67)),5,0)))))</f>
        <v>0</v>
      </c>
      <c r="C68" s="48" t="s">
        <v>72</v>
      </c>
      <c r="D68" s="48">
        <v>2</v>
      </c>
      <c r="E68" s="48" t="s">
        <v>71</v>
      </c>
      <c r="F68" s="58">
        <v>0</v>
      </c>
      <c r="G68" s="49" t="s">
        <v>80</v>
      </c>
      <c r="H68" s="17">
        <f ca="1">--TRIM(RIGHT(SUBSTITUTE(LEFT(C67,_xlfn.AGGREGATE(16,6,FIND({0,1,2,3,4,5,6,7,8,9},C67,ROW(INDIRECT("1:"&amp;LEN(C67)))),1))," ",REPT(" ",LEN(C67))),LEN(C67)))</f>
        <v>20</v>
      </c>
      <c r="I68" s="5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4" ht="33" customHeight="1" x14ac:dyDescent="0.25">
      <c r="A69" s="175" t="s">
        <v>90</v>
      </c>
      <c r="B69" s="142"/>
      <c r="C69" s="151" t="str">
        <f ca="1">I67</f>
        <v>Excavation, Plinth Completed, RCC upto 2 Slab, Brickwork upto 1 Floor Completed</v>
      </c>
      <c r="D69" s="151"/>
      <c r="E69" s="151"/>
      <c r="F69" s="151"/>
      <c r="G69" s="151"/>
      <c r="H69" s="152"/>
      <c r="I69" s="52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4" ht="15.75" customHeight="1" x14ac:dyDescent="0.25">
      <c r="A70" s="149" t="s">
        <v>49</v>
      </c>
      <c r="B70" s="150"/>
      <c r="C70" s="44" t="s">
        <v>138</v>
      </c>
      <c r="D70" s="44" t="s">
        <v>83</v>
      </c>
      <c r="E70" s="150" t="s">
        <v>85</v>
      </c>
      <c r="F70" s="150"/>
      <c r="G70" s="150" t="s">
        <v>84</v>
      </c>
      <c r="H70" s="183"/>
      <c r="I70" s="14" t="s">
        <v>140</v>
      </c>
      <c r="J70" s="28">
        <f ca="1">H68*25%</f>
        <v>5</v>
      </c>
    </row>
    <row r="71" spans="1:14" x14ac:dyDescent="0.25">
      <c r="A71" s="149" t="s">
        <v>127</v>
      </c>
      <c r="B71" s="150"/>
      <c r="C71" s="44">
        <f ca="1">J72</f>
        <v>20</v>
      </c>
      <c r="D71" s="19">
        <f ca="1">((100/H68)*C71)/100</f>
        <v>1</v>
      </c>
      <c r="E71" s="153">
        <f ca="1">(((C72/H68*10)+(40/(D68+F68+H68)*C73)+(7.5/(H68)*C74)+(7.5/(H68)*C75)+(10/H68*C76)+(10/H68*C77)+(5/H68*C78)+(5/H68*C79)+(5/H68*C80))/100)</f>
        <v>0.14011363636363636</v>
      </c>
      <c r="F71" s="154"/>
      <c r="G71" s="153">
        <f ca="1">((((C71/H68)*20)+((C72/H68)*25)+(30/(H68+F68+D68)*C73)+(5/H68*C74)+(5/H68*C75)+(5/H68*C76)+(5/H68*C77)+(0/H68*C78)+(0/H68*C79)+(5/H68*C80))/100)</f>
        <v>0.47977272727272724</v>
      </c>
      <c r="H71" s="159"/>
      <c r="I71" s="14" t="s">
        <v>100</v>
      </c>
      <c r="J71" s="29">
        <f ca="1">H68*50%</f>
        <v>10</v>
      </c>
    </row>
    <row r="72" spans="1:14" x14ac:dyDescent="0.25">
      <c r="A72" s="149" t="s">
        <v>50</v>
      </c>
      <c r="B72" s="150"/>
      <c r="C72" s="59">
        <f ca="1">J80</f>
        <v>20</v>
      </c>
      <c r="D72" s="19">
        <f ca="1">((100/H68)*C72)/100</f>
        <v>1</v>
      </c>
      <c r="E72" s="155"/>
      <c r="F72" s="156"/>
      <c r="G72" s="155"/>
      <c r="H72" s="160"/>
      <c r="I72" s="14" t="s">
        <v>101</v>
      </c>
      <c r="J72" s="29">
        <f ca="1">H68</f>
        <v>20</v>
      </c>
    </row>
    <row r="73" spans="1:14" ht="15.75" customHeight="1" x14ac:dyDescent="0.25">
      <c r="A73" s="149" t="s">
        <v>128</v>
      </c>
      <c r="B73" s="150"/>
      <c r="C73" s="44">
        <v>2</v>
      </c>
      <c r="D73" s="19">
        <f ca="1">((100/(D68+F68+H68))*C73)/100</f>
        <v>9.0909090909090912E-2</v>
      </c>
      <c r="E73" s="155"/>
      <c r="F73" s="156"/>
      <c r="G73" s="155"/>
      <c r="H73" s="160"/>
      <c r="I73" s="14" t="s">
        <v>102</v>
      </c>
      <c r="J73" s="30">
        <f ca="1">(IF(B68&gt;1,(H68/(B68+2)),H68/4))</f>
        <v>5</v>
      </c>
      <c r="K73" s="22" t="s">
        <v>300</v>
      </c>
    </row>
    <row r="74" spans="1:14" ht="15.75" customHeight="1" x14ac:dyDescent="0.25">
      <c r="A74" s="149" t="s">
        <v>135</v>
      </c>
      <c r="B74" s="150" t="s">
        <v>129</v>
      </c>
      <c r="C74" s="44">
        <v>1</v>
      </c>
      <c r="D74" s="19">
        <f ca="1">((100/H68)*C74)/100</f>
        <v>0.05</v>
      </c>
      <c r="E74" s="155"/>
      <c r="F74" s="156"/>
      <c r="G74" s="155"/>
      <c r="H74" s="160"/>
      <c r="I74" s="14" t="s">
        <v>103</v>
      </c>
      <c r="J74" s="30">
        <f ca="1">(IF(B68&gt;1,(H68/(B68+2)+J73),H68/4+J73))</f>
        <v>10</v>
      </c>
      <c r="K74" s="22" t="s">
        <v>301</v>
      </c>
    </row>
    <row r="75" spans="1:14" ht="15.75" customHeight="1" x14ac:dyDescent="0.25">
      <c r="A75" s="149" t="s">
        <v>136</v>
      </c>
      <c r="B75" s="150" t="s">
        <v>129</v>
      </c>
      <c r="C75" s="44">
        <v>0</v>
      </c>
      <c r="D75" s="19">
        <f ca="1">((100/H68)*C75)/100</f>
        <v>0</v>
      </c>
      <c r="E75" s="155"/>
      <c r="F75" s="156"/>
      <c r="G75" s="155"/>
      <c r="H75" s="160"/>
      <c r="I75" s="14" t="s">
        <v>145</v>
      </c>
      <c r="J75" s="30">
        <f>(IF(B68&gt;1,(H68/(B68+2)+J74),0))</f>
        <v>0</v>
      </c>
    </row>
    <row r="76" spans="1:14" ht="15" customHeight="1" x14ac:dyDescent="0.25">
      <c r="A76" s="149" t="s">
        <v>134</v>
      </c>
      <c r="B76" s="150" t="s">
        <v>131</v>
      </c>
      <c r="C76" s="44">
        <v>0</v>
      </c>
      <c r="D76" s="19">
        <f ca="1">((100/(H68))*C76)/100</f>
        <v>0</v>
      </c>
      <c r="E76" s="155"/>
      <c r="F76" s="156"/>
      <c r="G76" s="155"/>
      <c r="H76" s="160"/>
      <c r="I76" s="14" t="s">
        <v>142</v>
      </c>
      <c r="J76" s="30">
        <f>(IF(B68&gt;2,(H68/(B68+2)+J75),0))</f>
        <v>0</v>
      </c>
    </row>
    <row r="77" spans="1:14" ht="15.75" customHeight="1" x14ac:dyDescent="0.25">
      <c r="A77" s="149" t="s">
        <v>130</v>
      </c>
      <c r="B77" s="150" t="s">
        <v>130</v>
      </c>
      <c r="C77" s="44">
        <v>0</v>
      </c>
      <c r="D77" s="19">
        <f ca="1">((100/H68)*C77)/100</f>
        <v>0</v>
      </c>
      <c r="E77" s="155"/>
      <c r="F77" s="156"/>
      <c r="G77" s="155"/>
      <c r="H77" s="160"/>
      <c r="I77" s="14" t="s">
        <v>143</v>
      </c>
      <c r="J77" s="31">
        <f>(IF(B68&gt;3,(H68/(B68+2)+J76),0))</f>
        <v>0</v>
      </c>
    </row>
    <row r="78" spans="1:14" ht="15.75" customHeight="1" x14ac:dyDescent="0.25">
      <c r="A78" s="149" t="s">
        <v>137</v>
      </c>
      <c r="B78" s="150"/>
      <c r="C78" s="44">
        <v>0</v>
      </c>
      <c r="D78" s="19">
        <f ca="1">((100/H68)*C78)/100</f>
        <v>0</v>
      </c>
      <c r="E78" s="155"/>
      <c r="F78" s="156"/>
      <c r="G78" s="155"/>
      <c r="H78" s="160"/>
      <c r="I78" s="14" t="s">
        <v>144</v>
      </c>
      <c r="J78" s="30">
        <f>(IF(B68&gt;4,(H68/(B68+2)+J77),0))</f>
        <v>0</v>
      </c>
    </row>
    <row r="79" spans="1:14" ht="15.75" customHeight="1" x14ac:dyDescent="0.25">
      <c r="A79" s="149" t="s">
        <v>132</v>
      </c>
      <c r="B79" s="150" t="s">
        <v>132</v>
      </c>
      <c r="C79" s="44">
        <v>0</v>
      </c>
      <c r="D79" s="19">
        <f ca="1">((100/(H68))*C79)/100</f>
        <v>0</v>
      </c>
      <c r="E79" s="155"/>
      <c r="F79" s="156"/>
      <c r="G79" s="155"/>
      <c r="H79" s="160"/>
      <c r="I79" s="14" t="s">
        <v>146</v>
      </c>
      <c r="J79" s="30">
        <f ca="1">(IF(B68=1,(H68/(B68+3)+J74),IF(B68=0,(H68/4+J74),IF(B68&gt;1,0))))</f>
        <v>15</v>
      </c>
    </row>
    <row r="80" spans="1:14" ht="16.5" thickBot="1" x14ac:dyDescent="0.3">
      <c r="A80" s="162" t="s">
        <v>133</v>
      </c>
      <c r="B80" s="163"/>
      <c r="C80" s="45">
        <v>0</v>
      </c>
      <c r="D80" s="20">
        <f ca="1">((100/(H68))*C80)/100</f>
        <v>0</v>
      </c>
      <c r="E80" s="157"/>
      <c r="F80" s="158"/>
      <c r="G80" s="157"/>
      <c r="H80" s="161"/>
      <c r="I80" s="15" t="s">
        <v>104</v>
      </c>
      <c r="J80" s="32">
        <f ca="1">(IF(B68&gt;1.5,(H68/(B68+2)+J74+MAX(0,J75-J74)+MAX(0,J76-J75)+MAX(0,J77-J76)+MAX(0,J78-J77)+MAX(0,J79-J78)),IF(B68=1,(H68/(B68+3)+J79),IF(B68=0,H68/4+J79))))</f>
        <v>20</v>
      </c>
    </row>
    <row r="81" spans="1:11" ht="15.75" hidden="1" customHeight="1" x14ac:dyDescent="0.25">
      <c r="A81" s="144" t="s">
        <v>139</v>
      </c>
      <c r="B81" s="145"/>
      <c r="C81" s="146" t="s">
        <v>305</v>
      </c>
      <c r="D81" s="147"/>
      <c r="E81" s="147"/>
      <c r="F81" s="147"/>
      <c r="G81" s="147"/>
      <c r="H81" s="148"/>
      <c r="I81" s="50" t="str">
        <f ca="1">IF(D94=100%,"All work Completed. Possession granted to the Building.",IF(D93=100%,"All work Completed, Waiting for OC",I82&amp;""&amp;I83&amp;""&amp;J82&amp;""&amp;J81&amp;" "&amp;J83))</f>
        <v>Excavation, Plinth Completed, RCC upto 3 Slab, Brickwork upto 1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3 Slab, Brickwork upto 1 Floor</v>
      </c>
    </row>
    <row r="82" spans="1:11" hidden="1" x14ac:dyDescent="0.25">
      <c r="A82" s="16" t="s">
        <v>141</v>
      </c>
      <c r="B82" s="48">
        <f>IF(AND(ISNUMBER(SEARCH("1B",C81))),1,IF(AND(ISNUMBER(SEARCH("2B",C81))),2,IF(AND(ISNUMBER(SEARCH("3B",C81))),3,IF(AND(ISNUMBER(SEARCH("4B",C81))),4,IF(ISNUMBER(SEARCH("5B",C81)),5,0)))))</f>
        <v>0</v>
      </c>
      <c r="C82" s="48" t="s">
        <v>72</v>
      </c>
      <c r="D82" s="48">
        <v>2</v>
      </c>
      <c r="E82" s="48" t="s">
        <v>71</v>
      </c>
      <c r="F82" s="58">
        <v>0</v>
      </c>
      <c r="G82" s="49" t="s">
        <v>80</v>
      </c>
      <c r="H82" s="17">
        <f ca="1">--TRIM(RIGHT(SUBSTITUTE(LEFT(C81,_xlfn.AGGREGATE(16,6,FIND({0,1,2,3,4,5,6,7,8,9},C81,ROW(INDIRECT("1:"&amp;LEN(C81)))),1))," ",REPT(" ",LEN(C81))),LEN(C81)))</f>
        <v>20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1" hidden="1" x14ac:dyDescent="0.25">
      <c r="A83" s="175" t="s">
        <v>90</v>
      </c>
      <c r="B83" s="142"/>
      <c r="C83" s="151" t="str">
        <f ca="1">I81</f>
        <v>Excavation, Plinth Completed, RCC upto 3 Slab, Brickwork upto 1 Floor Completed</v>
      </c>
      <c r="D83" s="151"/>
      <c r="E83" s="151"/>
      <c r="F83" s="151"/>
      <c r="G83" s="151"/>
      <c r="H83" s="152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1" ht="15.75" hidden="1" customHeight="1" x14ac:dyDescent="0.25">
      <c r="A84" s="149" t="s">
        <v>49</v>
      </c>
      <c r="B84" s="150"/>
      <c r="C84" s="61" t="s">
        <v>138</v>
      </c>
      <c r="D84" s="61" t="s">
        <v>83</v>
      </c>
      <c r="E84" s="150" t="s">
        <v>85</v>
      </c>
      <c r="F84" s="150"/>
      <c r="G84" s="150" t="s">
        <v>84</v>
      </c>
      <c r="H84" s="183"/>
      <c r="I84" s="14" t="s">
        <v>140</v>
      </c>
      <c r="J84" s="28">
        <f ca="1">H82*25%</f>
        <v>5</v>
      </c>
    </row>
    <row r="85" spans="1:11" hidden="1" x14ac:dyDescent="0.25">
      <c r="A85" s="149" t="s">
        <v>127</v>
      </c>
      <c r="B85" s="150"/>
      <c r="C85" s="61">
        <f ca="1">J86</f>
        <v>20</v>
      </c>
      <c r="D85" s="19">
        <f ca="1">((100/H82)*C85)/100</f>
        <v>1</v>
      </c>
      <c r="E85" s="153">
        <f ca="1">(((C86/H82*10)+(40/(D82+F82+H82)*C87)+(7.5/(H82)*C88)+(7.5/(H82)*C89)+(10/H82*C90)+(10/H82*C91)+(5/H82*C92)+(5/H82*C93)+(5/H82*C94))/100)</f>
        <v>0.15829545454545454</v>
      </c>
      <c r="F85" s="154"/>
      <c r="G85" s="153">
        <f ca="1">((((C85/H82)*20)+((C86/H82)*25)+(30/(H82+F82+D82)*C87)+(5/H82*C88)+(5/H82*C89)+(5/H82*C90)+(5/H82*C91)+(0/H82*C92)+(0/H82*C93)+(5/H82*C94))/100)</f>
        <v>0.49340909090909091</v>
      </c>
      <c r="H85" s="159"/>
      <c r="I85" s="14" t="s">
        <v>100</v>
      </c>
      <c r="J85" s="29">
        <f ca="1">H82*50%</f>
        <v>10</v>
      </c>
    </row>
    <row r="86" spans="1:11" hidden="1" x14ac:dyDescent="0.25">
      <c r="A86" s="149" t="s">
        <v>50</v>
      </c>
      <c r="B86" s="150"/>
      <c r="C86" s="59">
        <f ca="1">J94</f>
        <v>20</v>
      </c>
      <c r="D86" s="19">
        <f ca="1">((100/H82)*C86)/100</f>
        <v>1</v>
      </c>
      <c r="E86" s="155"/>
      <c r="F86" s="156"/>
      <c r="G86" s="155"/>
      <c r="H86" s="160"/>
      <c r="I86" s="14" t="s">
        <v>101</v>
      </c>
      <c r="J86" s="29">
        <f ca="1">H82</f>
        <v>20</v>
      </c>
    </row>
    <row r="87" spans="1:11" ht="15.75" hidden="1" customHeight="1" x14ac:dyDescent="0.25">
      <c r="A87" s="149" t="s">
        <v>128</v>
      </c>
      <c r="B87" s="150"/>
      <c r="C87" s="61">
        <v>3</v>
      </c>
      <c r="D87" s="19">
        <f ca="1">((100/(D82+F82+H82))*C87)/100</f>
        <v>0.13636363636363635</v>
      </c>
      <c r="E87" s="155"/>
      <c r="F87" s="156"/>
      <c r="G87" s="155"/>
      <c r="H87" s="160"/>
      <c r="I87" s="14" t="s">
        <v>102</v>
      </c>
      <c r="J87" s="30">
        <f ca="1">(IF(B82&gt;1,(H82/(B82+2)),H82/4))</f>
        <v>5</v>
      </c>
      <c r="K87" s="22" t="s">
        <v>300</v>
      </c>
    </row>
    <row r="88" spans="1:11" ht="15.75" hidden="1" customHeight="1" x14ac:dyDescent="0.25">
      <c r="A88" s="149" t="s">
        <v>135</v>
      </c>
      <c r="B88" s="150" t="s">
        <v>129</v>
      </c>
      <c r="C88" s="61">
        <v>1</v>
      </c>
      <c r="D88" s="19">
        <f ca="1">((100/H82)*C88)/100</f>
        <v>0.05</v>
      </c>
      <c r="E88" s="155"/>
      <c r="F88" s="156"/>
      <c r="G88" s="155"/>
      <c r="H88" s="160"/>
      <c r="I88" s="14" t="s">
        <v>103</v>
      </c>
      <c r="J88" s="30">
        <f ca="1">(IF(B82&gt;1,(H82/(B82+2)+J87),H82/4+J87))</f>
        <v>10</v>
      </c>
      <c r="K88" s="22" t="s">
        <v>301</v>
      </c>
    </row>
    <row r="89" spans="1:11" ht="15.75" hidden="1" customHeight="1" x14ac:dyDescent="0.25">
      <c r="A89" s="149" t="s">
        <v>136</v>
      </c>
      <c r="B89" s="150" t="s">
        <v>129</v>
      </c>
      <c r="C89" s="61">
        <v>0</v>
      </c>
      <c r="D89" s="19">
        <f ca="1">((100/H82)*C89)/100</f>
        <v>0</v>
      </c>
      <c r="E89" s="155"/>
      <c r="F89" s="156"/>
      <c r="G89" s="155"/>
      <c r="H89" s="160"/>
      <c r="I89" s="14" t="s">
        <v>145</v>
      </c>
      <c r="J89" s="30">
        <f>(IF(B82&gt;1,(H82/(B82+2)+J88),0))</f>
        <v>0</v>
      </c>
    </row>
    <row r="90" spans="1:11" ht="15" hidden="1" customHeight="1" x14ac:dyDescent="0.25">
      <c r="A90" s="149" t="s">
        <v>134</v>
      </c>
      <c r="B90" s="150" t="s">
        <v>131</v>
      </c>
      <c r="C90" s="61">
        <v>0</v>
      </c>
      <c r="D90" s="19">
        <f ca="1">((100/(H82))*C90)/100</f>
        <v>0</v>
      </c>
      <c r="E90" s="155"/>
      <c r="F90" s="156"/>
      <c r="G90" s="155"/>
      <c r="H90" s="160"/>
      <c r="I90" s="14" t="s">
        <v>142</v>
      </c>
      <c r="J90" s="30">
        <f>(IF(B82&gt;2,(H82/(B82+2)+J89),0))</f>
        <v>0</v>
      </c>
    </row>
    <row r="91" spans="1:11" ht="15.75" hidden="1" customHeight="1" x14ac:dyDescent="0.25">
      <c r="A91" s="149" t="s">
        <v>130</v>
      </c>
      <c r="B91" s="150" t="s">
        <v>130</v>
      </c>
      <c r="C91" s="61">
        <v>0</v>
      </c>
      <c r="D91" s="19">
        <f ca="1">((100/H82)*C91)/100</f>
        <v>0</v>
      </c>
      <c r="E91" s="155"/>
      <c r="F91" s="156"/>
      <c r="G91" s="155"/>
      <c r="H91" s="160"/>
      <c r="I91" s="14" t="s">
        <v>143</v>
      </c>
      <c r="J91" s="31">
        <f>(IF(B82&gt;3,(H82/(B82+2)+J90),0))</f>
        <v>0</v>
      </c>
    </row>
    <row r="92" spans="1:11" ht="15.75" hidden="1" customHeight="1" x14ac:dyDescent="0.25">
      <c r="A92" s="149" t="s">
        <v>137</v>
      </c>
      <c r="B92" s="150"/>
      <c r="C92" s="61">
        <v>0</v>
      </c>
      <c r="D92" s="19">
        <f ca="1">((100/H82)*C92)/100</f>
        <v>0</v>
      </c>
      <c r="E92" s="155"/>
      <c r="F92" s="156"/>
      <c r="G92" s="155"/>
      <c r="H92" s="160"/>
      <c r="I92" s="14" t="s">
        <v>144</v>
      </c>
      <c r="J92" s="30">
        <f>(IF(B82&gt;4,(H82/(B82+2)+J91),0))</f>
        <v>0</v>
      </c>
    </row>
    <row r="93" spans="1:11" ht="15.75" hidden="1" customHeight="1" x14ac:dyDescent="0.25">
      <c r="A93" s="149" t="s">
        <v>132</v>
      </c>
      <c r="B93" s="150" t="s">
        <v>132</v>
      </c>
      <c r="C93" s="61">
        <v>0</v>
      </c>
      <c r="D93" s="19">
        <f ca="1">((100/(H82))*C93)/100</f>
        <v>0</v>
      </c>
      <c r="E93" s="155"/>
      <c r="F93" s="156"/>
      <c r="G93" s="155"/>
      <c r="H93" s="160"/>
      <c r="I93" s="14" t="s">
        <v>146</v>
      </c>
      <c r="J93" s="30">
        <f ca="1">(IF(B82=1,(H82/(B82+3)+J88),IF(B82=0,(H82/4+J88),IF(B82&gt;1,0))))</f>
        <v>15</v>
      </c>
    </row>
    <row r="94" spans="1:11" ht="16.5" hidden="1" thickBot="1" x14ac:dyDescent="0.3">
      <c r="A94" s="162" t="s">
        <v>133</v>
      </c>
      <c r="B94" s="163"/>
      <c r="C94" s="62">
        <v>0</v>
      </c>
      <c r="D94" s="20">
        <f ca="1">((100/(H82))*C94)/100</f>
        <v>0</v>
      </c>
      <c r="E94" s="157"/>
      <c r="F94" s="158"/>
      <c r="G94" s="157"/>
      <c r="H94" s="161"/>
      <c r="I94" s="15" t="s">
        <v>104</v>
      </c>
      <c r="J94" s="32">
        <f ca="1">(IF(B82&gt;1.5,(H82/(B82+2)+J88+MAX(0,J89-J88)+MAX(0,J90-J89)+MAX(0,J91-J90)+MAX(0,J92-J91)+MAX(0,J93-J92)),IF(B82=1,(H82/(B82+3)+J93),IF(B82=0,H82/4+J93))))</f>
        <v>20</v>
      </c>
    </row>
    <row r="95" spans="1:11" ht="15.75" hidden="1" customHeight="1" x14ac:dyDescent="0.25">
      <c r="A95" s="144" t="s">
        <v>139</v>
      </c>
      <c r="B95" s="145"/>
      <c r="C95" s="146" t="s">
        <v>304</v>
      </c>
      <c r="D95" s="147"/>
      <c r="E95" s="147"/>
      <c r="F95" s="147"/>
      <c r="G95" s="147"/>
      <c r="H95" s="148"/>
      <c r="I95" s="50" t="str">
        <f ca="1">IF(D108=100%,"All work Completed. Possession granted to the Building.",IF(D107=100%,"All work Completed, Waiting for OC",I96&amp;""&amp;I97&amp;""&amp;J96&amp;""&amp;J95&amp;" "&amp;J97))</f>
        <v>Excavation, Plinth Completed, RCC upto 2 Slab Completed</v>
      </c>
      <c r="J95" s="51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2 Slab</v>
      </c>
    </row>
    <row r="96" spans="1:11" hidden="1" x14ac:dyDescent="0.25">
      <c r="A96" s="16" t="s">
        <v>141</v>
      </c>
      <c r="B96" s="48">
        <f>IF(AND(ISNUMBER(SEARCH("1B",C95))),1,IF(AND(ISNUMBER(SEARCH("2B",C95))),2,IF(AND(ISNUMBER(SEARCH("3B",C95))),3,IF(AND(ISNUMBER(SEARCH("4B",C95))),4,IF(ISNUMBER(SEARCH("5B",C95)),5,0)))))</f>
        <v>0</v>
      </c>
      <c r="C96" s="48" t="s">
        <v>72</v>
      </c>
      <c r="D96" s="48">
        <v>2</v>
      </c>
      <c r="E96" s="48" t="s">
        <v>71</v>
      </c>
      <c r="F96" s="58">
        <v>0</v>
      </c>
      <c r="G96" s="49" t="s">
        <v>80</v>
      </c>
      <c r="H96" s="17">
        <f ca="1">--TRIM(RIGHT(SUBSTITUTE(LEFT(C95,_xlfn.AGGREGATE(16,6,FIND({0,1,2,3,4,5,6,7,8,9},C95,ROW(INDIRECT("1:"&amp;LEN(C95)))),1))," ",REPT(" ",LEN(C95))),LEN(C95)))</f>
        <v>20</v>
      </c>
      <c r="I96" s="52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53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1" hidden="1" x14ac:dyDescent="0.25">
      <c r="A97" s="175" t="s">
        <v>90</v>
      </c>
      <c r="B97" s="142"/>
      <c r="C97" s="151" t="str">
        <f ca="1">I95</f>
        <v>Excavation, Plinth Completed, RCC upto 2 Slab Completed</v>
      </c>
      <c r="D97" s="151"/>
      <c r="E97" s="151"/>
      <c r="F97" s="151"/>
      <c r="G97" s="151"/>
      <c r="H97" s="152"/>
      <c r="I97" s="52" t="str">
        <f ca="1">IF(I96&lt;&gt;""," Completed","")</f>
        <v xml:space="preserve"> Completed</v>
      </c>
      <c r="J97" s="53" t="str">
        <f ca="1">IF(J95&lt;&gt;"","Completed","")</f>
        <v>Completed</v>
      </c>
    </row>
    <row r="98" spans="1:11" ht="15.75" hidden="1" customHeight="1" x14ac:dyDescent="0.25">
      <c r="A98" s="149" t="s">
        <v>49</v>
      </c>
      <c r="B98" s="150"/>
      <c r="C98" s="61" t="s">
        <v>138</v>
      </c>
      <c r="D98" s="61" t="s">
        <v>83</v>
      </c>
      <c r="E98" s="150" t="s">
        <v>85</v>
      </c>
      <c r="F98" s="150"/>
      <c r="G98" s="150" t="s">
        <v>84</v>
      </c>
      <c r="H98" s="183"/>
      <c r="I98" s="14" t="s">
        <v>140</v>
      </c>
      <c r="J98" s="28">
        <f ca="1">H96*25%</f>
        <v>5</v>
      </c>
    </row>
    <row r="99" spans="1:11" hidden="1" x14ac:dyDescent="0.25">
      <c r="A99" s="149" t="s">
        <v>127</v>
      </c>
      <c r="B99" s="150"/>
      <c r="C99" s="61">
        <f ca="1">J100</f>
        <v>20</v>
      </c>
      <c r="D99" s="19">
        <f ca="1">((100/H96)*C99)/100</f>
        <v>1</v>
      </c>
      <c r="E99" s="153">
        <f ca="1">(((C100/H96*10)+(40/(D96+F96+H96)*C101)+(7.5/(H96)*C102)+(7.5/(H96)*C103)+(10/H96*C104)+(10/H96*C105)+(5/H96*C106)+(5/H96*C107)+(5/H96*C108))/100)</f>
        <v>0.13636363636363635</v>
      </c>
      <c r="F99" s="154"/>
      <c r="G99" s="153">
        <f ca="1">((((C99/H96)*20)+((C100/H96)*25)+(30/(H96+F96+D96)*C101)+(5/H96*C102)+(5/H96*C103)+(5/H96*C104)+(5/H96*C105)+(0/H96*C106)+(0/H96*C107)+(5/H96*C108))/100)</f>
        <v>0.47727272727272729</v>
      </c>
      <c r="H99" s="159"/>
      <c r="I99" s="14" t="s">
        <v>100</v>
      </c>
      <c r="J99" s="29">
        <f ca="1">H96*50%</f>
        <v>10</v>
      </c>
    </row>
    <row r="100" spans="1:11" hidden="1" x14ac:dyDescent="0.25">
      <c r="A100" s="149" t="s">
        <v>50</v>
      </c>
      <c r="B100" s="150"/>
      <c r="C100" s="59">
        <f ca="1">J108</f>
        <v>20</v>
      </c>
      <c r="D100" s="19">
        <f ca="1">((100/H96)*C100)/100</f>
        <v>1</v>
      </c>
      <c r="E100" s="155"/>
      <c r="F100" s="156"/>
      <c r="G100" s="155"/>
      <c r="H100" s="160"/>
      <c r="I100" s="14" t="s">
        <v>101</v>
      </c>
      <c r="J100" s="29">
        <f ca="1">H96</f>
        <v>20</v>
      </c>
    </row>
    <row r="101" spans="1:11" ht="15.75" hidden="1" customHeight="1" x14ac:dyDescent="0.25">
      <c r="A101" s="149" t="s">
        <v>128</v>
      </c>
      <c r="B101" s="150"/>
      <c r="C101" s="61">
        <v>2</v>
      </c>
      <c r="D101" s="19">
        <f ca="1">((100/(D96+F96+H96))*C101)/100</f>
        <v>9.0909090909090912E-2</v>
      </c>
      <c r="E101" s="155"/>
      <c r="F101" s="156"/>
      <c r="G101" s="155"/>
      <c r="H101" s="160"/>
      <c r="I101" s="14" t="s">
        <v>102</v>
      </c>
      <c r="J101" s="30">
        <f ca="1">(IF(B96&gt;1,(H96/(B96+2)),H96/4))</f>
        <v>5</v>
      </c>
      <c r="K101" s="22" t="s">
        <v>300</v>
      </c>
    </row>
    <row r="102" spans="1:11" ht="15.75" hidden="1" customHeight="1" x14ac:dyDescent="0.25">
      <c r="A102" s="149" t="s">
        <v>135</v>
      </c>
      <c r="B102" s="150" t="s">
        <v>129</v>
      </c>
      <c r="C102" s="61">
        <v>0</v>
      </c>
      <c r="D102" s="19">
        <f ca="1">((100/H96)*C102)/100</f>
        <v>0</v>
      </c>
      <c r="E102" s="155"/>
      <c r="F102" s="156"/>
      <c r="G102" s="155"/>
      <c r="H102" s="160"/>
      <c r="I102" s="14" t="s">
        <v>103</v>
      </c>
      <c r="J102" s="30">
        <f ca="1">(IF(B96&gt;1,(H96/(B96+2)+J101),H96/4+J101))</f>
        <v>10</v>
      </c>
      <c r="K102" s="22" t="s">
        <v>301</v>
      </c>
    </row>
    <row r="103" spans="1:11" ht="15.75" hidden="1" customHeight="1" x14ac:dyDescent="0.25">
      <c r="A103" s="149" t="s">
        <v>136</v>
      </c>
      <c r="B103" s="150" t="s">
        <v>129</v>
      </c>
      <c r="C103" s="61">
        <v>0</v>
      </c>
      <c r="D103" s="19">
        <f ca="1">((100/H96)*C103)/100</f>
        <v>0</v>
      </c>
      <c r="E103" s="155"/>
      <c r="F103" s="156"/>
      <c r="G103" s="155"/>
      <c r="H103" s="160"/>
      <c r="I103" s="14" t="s">
        <v>145</v>
      </c>
      <c r="J103" s="30">
        <f>(IF(B96&gt;1,(H96/(B96+2)+J102),0))</f>
        <v>0</v>
      </c>
    </row>
    <row r="104" spans="1:11" ht="15" hidden="1" customHeight="1" x14ac:dyDescent="0.25">
      <c r="A104" s="149" t="s">
        <v>134</v>
      </c>
      <c r="B104" s="150" t="s">
        <v>131</v>
      </c>
      <c r="C104" s="61">
        <v>0</v>
      </c>
      <c r="D104" s="19">
        <f ca="1">((100/(H96))*C104)/100</f>
        <v>0</v>
      </c>
      <c r="E104" s="155"/>
      <c r="F104" s="156"/>
      <c r="G104" s="155"/>
      <c r="H104" s="160"/>
      <c r="I104" s="14" t="s">
        <v>142</v>
      </c>
      <c r="J104" s="30">
        <f>(IF(B96&gt;2,(H96/(B96+2)+J103),0))</f>
        <v>0</v>
      </c>
    </row>
    <row r="105" spans="1:11" ht="15.75" hidden="1" customHeight="1" x14ac:dyDescent="0.25">
      <c r="A105" s="149" t="s">
        <v>130</v>
      </c>
      <c r="B105" s="150" t="s">
        <v>130</v>
      </c>
      <c r="C105" s="61">
        <v>0</v>
      </c>
      <c r="D105" s="19">
        <f ca="1">((100/H96)*C105)/100</f>
        <v>0</v>
      </c>
      <c r="E105" s="155"/>
      <c r="F105" s="156"/>
      <c r="G105" s="155"/>
      <c r="H105" s="160"/>
      <c r="I105" s="14" t="s">
        <v>143</v>
      </c>
      <c r="J105" s="31">
        <f>(IF(B96&gt;3,(H96/(B96+2)+J104),0))</f>
        <v>0</v>
      </c>
    </row>
    <row r="106" spans="1:11" ht="15.75" hidden="1" customHeight="1" x14ac:dyDescent="0.25">
      <c r="A106" s="149" t="s">
        <v>137</v>
      </c>
      <c r="B106" s="150"/>
      <c r="C106" s="61">
        <v>0</v>
      </c>
      <c r="D106" s="19">
        <f ca="1">((100/H96)*C106)/100</f>
        <v>0</v>
      </c>
      <c r="E106" s="155"/>
      <c r="F106" s="156"/>
      <c r="G106" s="155"/>
      <c r="H106" s="160"/>
      <c r="I106" s="14" t="s">
        <v>144</v>
      </c>
      <c r="J106" s="30">
        <f>(IF(B96&gt;4,(H96/(B96+2)+J105),0))</f>
        <v>0</v>
      </c>
    </row>
    <row r="107" spans="1:11" ht="15.75" hidden="1" customHeight="1" x14ac:dyDescent="0.25">
      <c r="A107" s="149" t="s">
        <v>132</v>
      </c>
      <c r="B107" s="150" t="s">
        <v>132</v>
      </c>
      <c r="C107" s="61">
        <v>0</v>
      </c>
      <c r="D107" s="19">
        <f ca="1">((100/(H96))*C107)/100</f>
        <v>0</v>
      </c>
      <c r="E107" s="155"/>
      <c r="F107" s="156"/>
      <c r="G107" s="155"/>
      <c r="H107" s="160"/>
      <c r="I107" s="14" t="s">
        <v>146</v>
      </c>
      <c r="J107" s="30">
        <f ca="1">(IF(B96=1,(H96/(B96+3)+J102),IF(B96=0,(H96/4+J102),IF(B96&gt;1,0))))</f>
        <v>15</v>
      </c>
    </row>
    <row r="108" spans="1:11" ht="16.5" hidden="1" thickBot="1" x14ac:dyDescent="0.3">
      <c r="A108" s="162" t="s">
        <v>133</v>
      </c>
      <c r="B108" s="163"/>
      <c r="C108" s="62">
        <v>0</v>
      </c>
      <c r="D108" s="20">
        <f ca="1">((100/(H96))*C108)/100</f>
        <v>0</v>
      </c>
      <c r="E108" s="157"/>
      <c r="F108" s="158"/>
      <c r="G108" s="157"/>
      <c r="H108" s="161"/>
      <c r="I108" s="15" t="s">
        <v>104</v>
      </c>
      <c r="J108" s="32">
        <f ca="1">(IF(B96&gt;1.5,(H96/(B96+2)+J102+MAX(0,J103-J102)+MAX(0,J104-J103)+MAX(0,J105-J104)+MAX(0,J106-J105)+MAX(0,J107-J106)),IF(B96=1,(H96/(B96+3)+J107),IF(B96=0,H96/4+J107))))</f>
        <v>20</v>
      </c>
    </row>
    <row r="109" spans="1:11" ht="33" hidden="1" customHeight="1" thickBot="1" x14ac:dyDescent="0.3">
      <c r="A109" s="211" t="s">
        <v>306</v>
      </c>
      <c r="B109" s="212"/>
      <c r="C109" s="213">
        <f ca="1">AVERAGE(E85,E99)</f>
        <v>0.14732954545454546</v>
      </c>
      <c r="D109" s="212"/>
      <c r="E109" s="214" t="s">
        <v>307</v>
      </c>
      <c r="F109" s="212"/>
      <c r="G109" s="213">
        <f ca="1">AVERAGE(G85,G99)</f>
        <v>0.4853409090909091</v>
      </c>
      <c r="H109" s="215"/>
      <c r="I109" s="65"/>
      <c r="J109" s="66"/>
    </row>
    <row r="110" spans="1:11" ht="15.75" customHeight="1" x14ac:dyDescent="0.25">
      <c r="A110" s="144" t="s">
        <v>139</v>
      </c>
      <c r="B110" s="145"/>
      <c r="C110" s="146" t="s">
        <v>308</v>
      </c>
      <c r="D110" s="147"/>
      <c r="E110" s="147"/>
      <c r="F110" s="147"/>
      <c r="G110" s="147"/>
      <c r="H110" s="148"/>
      <c r="I110" s="50" t="str">
        <f ca="1">IF(D123=100%,"All work Completed. Possession granted to the Building.",IF(D122=100%,"All work Completed, Waiting for OC",I111&amp;""&amp;I112&amp;""&amp;J111&amp;""&amp;J110&amp;" "&amp;J112))</f>
        <v>Excavation, Plinth Completed, RCC upto 2 Slab Completed</v>
      </c>
      <c r="J110" s="51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RCC upto 2 Slab</v>
      </c>
    </row>
    <row r="111" spans="1:11" x14ac:dyDescent="0.25">
      <c r="A111" s="16" t="s">
        <v>141</v>
      </c>
      <c r="B111" s="48">
        <f>IF(AND(ISNUMBER(SEARCH("1B",C110))),1,IF(AND(ISNUMBER(SEARCH("2B",C110))),2,IF(AND(ISNUMBER(SEARCH("3B",C110))),3,IF(AND(ISNUMBER(SEARCH("4B",C110))),4,IF(ISNUMBER(SEARCH("5B",C110)),5,0)))))</f>
        <v>0</v>
      </c>
      <c r="C111" s="48" t="s">
        <v>72</v>
      </c>
      <c r="D111" s="48">
        <v>2</v>
      </c>
      <c r="E111" s="48" t="s">
        <v>71</v>
      </c>
      <c r="F111" s="58">
        <v>0</v>
      </c>
      <c r="G111" s="49" t="s">
        <v>80</v>
      </c>
      <c r="H111" s="17">
        <f ca="1">--TRIM(RIGHT(SUBSTITUTE(LEFT(C110,_xlfn.AGGREGATE(16,6,FIND({0,1,2,3,4,5,6,7,8,9},C110,ROW(INDIRECT("1:"&amp;LEN(C110)))),1))," ",REPT(" ",LEN(C110))),LEN(C110)))</f>
        <v>20</v>
      </c>
      <c r="I111" s="52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</v>
      </c>
      <c r="J111" s="53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1" x14ac:dyDescent="0.25">
      <c r="A112" s="175" t="s">
        <v>90</v>
      </c>
      <c r="B112" s="142"/>
      <c r="C112" s="151" t="str">
        <f ca="1">I110</f>
        <v>Excavation, Plinth Completed, RCC upto 2 Slab Completed</v>
      </c>
      <c r="D112" s="151"/>
      <c r="E112" s="151"/>
      <c r="F112" s="151"/>
      <c r="G112" s="151"/>
      <c r="H112" s="152"/>
      <c r="I112" s="52" t="str">
        <f ca="1">IF(I111&lt;&gt;""," Completed","")</f>
        <v xml:space="preserve"> Completed</v>
      </c>
      <c r="J112" s="53" t="str">
        <f ca="1">IF(J110&lt;&gt;"","Completed","")</f>
        <v>Completed</v>
      </c>
    </row>
    <row r="113" spans="1:14" ht="15.75" customHeight="1" x14ac:dyDescent="0.25">
      <c r="A113" s="149" t="s">
        <v>49</v>
      </c>
      <c r="B113" s="150"/>
      <c r="C113" s="61" t="s">
        <v>138</v>
      </c>
      <c r="D113" s="61" t="s">
        <v>83</v>
      </c>
      <c r="E113" s="150" t="s">
        <v>85</v>
      </c>
      <c r="F113" s="150"/>
      <c r="G113" s="150" t="s">
        <v>84</v>
      </c>
      <c r="H113" s="183"/>
      <c r="I113" s="14" t="s">
        <v>140</v>
      </c>
      <c r="J113" s="28">
        <f ca="1">H111*25%</f>
        <v>5</v>
      </c>
    </row>
    <row r="114" spans="1:14" x14ac:dyDescent="0.25">
      <c r="A114" s="149" t="s">
        <v>127</v>
      </c>
      <c r="B114" s="150"/>
      <c r="C114" s="61">
        <f ca="1">J115</f>
        <v>20</v>
      </c>
      <c r="D114" s="19">
        <f ca="1">((100/H111)*C114)/100</f>
        <v>1</v>
      </c>
      <c r="E114" s="153">
        <f ca="1">(((C115/H111*10)+(40/(D111+F111+H111)*C116)+(7.5/(H111)*C117)+(7.5/(H111)*C118)+(10/H111*C119)+(10/H111*C120)+(5/H111*C121)+(5/H111*C122)+(5/H111*C123))/100)</f>
        <v>0.13636363636363635</v>
      </c>
      <c r="F114" s="154"/>
      <c r="G114" s="153">
        <f ca="1">((((C114/H111)*20)+((C115/H111)*25)+(30/(H111+F111+D111)*C116)+(5/H111*C117)+(5/H111*C118)+(5/H111*C119)+(5/H111*C120)+(0/H111*C121)+(0/H111*C122)+(5/H111*C123))/100)</f>
        <v>0.47727272727272729</v>
      </c>
      <c r="H114" s="159"/>
      <c r="I114" s="14" t="s">
        <v>100</v>
      </c>
      <c r="J114" s="29">
        <f ca="1">H111*50%</f>
        <v>10</v>
      </c>
    </row>
    <row r="115" spans="1:14" x14ac:dyDescent="0.25">
      <c r="A115" s="149" t="s">
        <v>50</v>
      </c>
      <c r="B115" s="150"/>
      <c r="C115" s="59">
        <f ca="1">J123</f>
        <v>20</v>
      </c>
      <c r="D115" s="19">
        <f ca="1">((100/H111)*C115)/100</f>
        <v>1</v>
      </c>
      <c r="E115" s="155"/>
      <c r="F115" s="156"/>
      <c r="G115" s="155"/>
      <c r="H115" s="160"/>
      <c r="I115" s="14" t="s">
        <v>101</v>
      </c>
      <c r="J115" s="29">
        <f ca="1">H111</f>
        <v>20</v>
      </c>
    </row>
    <row r="116" spans="1:14" ht="15.75" customHeight="1" x14ac:dyDescent="0.25">
      <c r="A116" s="149" t="s">
        <v>128</v>
      </c>
      <c r="B116" s="150"/>
      <c r="C116" s="61">
        <v>2</v>
      </c>
      <c r="D116" s="19">
        <f ca="1">((100/(D111+F111+H111))*C116)/100</f>
        <v>9.0909090909090912E-2</v>
      </c>
      <c r="E116" s="155"/>
      <c r="F116" s="156"/>
      <c r="G116" s="155"/>
      <c r="H116" s="160"/>
      <c r="I116" s="14" t="s">
        <v>102</v>
      </c>
      <c r="J116" s="30">
        <f ca="1">(IF(B111&gt;1,(H111/(B111+2)),H111/4))</f>
        <v>5</v>
      </c>
      <c r="K116" s="22" t="s">
        <v>300</v>
      </c>
    </row>
    <row r="117" spans="1:14" ht="15.75" customHeight="1" x14ac:dyDescent="0.25">
      <c r="A117" s="149" t="s">
        <v>135</v>
      </c>
      <c r="B117" s="150" t="s">
        <v>129</v>
      </c>
      <c r="C117" s="61">
        <v>0</v>
      </c>
      <c r="D117" s="19">
        <f ca="1">((100/H111)*C117)/100</f>
        <v>0</v>
      </c>
      <c r="E117" s="155"/>
      <c r="F117" s="156"/>
      <c r="G117" s="155"/>
      <c r="H117" s="160"/>
      <c r="I117" s="14" t="s">
        <v>103</v>
      </c>
      <c r="J117" s="30">
        <f ca="1">(IF(B111&gt;1,(H111/(B111+2)+J116),H111/4+J116))</f>
        <v>10</v>
      </c>
      <c r="K117" s="22" t="s">
        <v>301</v>
      </c>
    </row>
    <row r="118" spans="1:14" ht="15.75" customHeight="1" x14ac:dyDescent="0.25">
      <c r="A118" s="149" t="s">
        <v>136</v>
      </c>
      <c r="B118" s="150" t="s">
        <v>129</v>
      </c>
      <c r="C118" s="61">
        <v>0</v>
      </c>
      <c r="D118" s="19">
        <f ca="1">((100/H111)*C118)/100</f>
        <v>0</v>
      </c>
      <c r="E118" s="155"/>
      <c r="F118" s="156"/>
      <c r="G118" s="155"/>
      <c r="H118" s="160"/>
      <c r="I118" s="14" t="s">
        <v>145</v>
      </c>
      <c r="J118" s="30">
        <f>(IF(B111&gt;1,(H111/(B111+2)+J117),0))</f>
        <v>0</v>
      </c>
    </row>
    <row r="119" spans="1:14" ht="15" customHeight="1" x14ac:dyDescent="0.25">
      <c r="A119" s="149" t="s">
        <v>134</v>
      </c>
      <c r="B119" s="150" t="s">
        <v>131</v>
      </c>
      <c r="C119" s="61">
        <v>0</v>
      </c>
      <c r="D119" s="19">
        <f ca="1">((100/(H111))*C119)/100</f>
        <v>0</v>
      </c>
      <c r="E119" s="155"/>
      <c r="F119" s="156"/>
      <c r="G119" s="155"/>
      <c r="H119" s="160"/>
      <c r="I119" s="14" t="s">
        <v>142</v>
      </c>
      <c r="J119" s="30">
        <f>(IF(B111&gt;2,(H111/(B111+2)+J118),0))</f>
        <v>0</v>
      </c>
    </row>
    <row r="120" spans="1:14" ht="15.75" customHeight="1" x14ac:dyDescent="0.25">
      <c r="A120" s="149" t="s">
        <v>130</v>
      </c>
      <c r="B120" s="150" t="s">
        <v>130</v>
      </c>
      <c r="C120" s="61">
        <v>0</v>
      </c>
      <c r="D120" s="19">
        <f ca="1">((100/H111)*C120)/100</f>
        <v>0</v>
      </c>
      <c r="E120" s="155"/>
      <c r="F120" s="156"/>
      <c r="G120" s="155"/>
      <c r="H120" s="160"/>
      <c r="I120" s="14" t="s">
        <v>143</v>
      </c>
      <c r="J120" s="31">
        <f>(IF(B111&gt;3,(H111/(B111+2)+J119),0))</f>
        <v>0</v>
      </c>
    </row>
    <row r="121" spans="1:14" ht="15.75" customHeight="1" x14ac:dyDescent="0.25">
      <c r="A121" s="149" t="s">
        <v>137</v>
      </c>
      <c r="B121" s="150"/>
      <c r="C121" s="61">
        <v>0</v>
      </c>
      <c r="D121" s="19">
        <f ca="1">((100/H111)*C121)/100</f>
        <v>0</v>
      </c>
      <c r="E121" s="155"/>
      <c r="F121" s="156"/>
      <c r="G121" s="155"/>
      <c r="H121" s="160"/>
      <c r="I121" s="14" t="s">
        <v>144</v>
      </c>
      <c r="J121" s="30">
        <f>(IF(B111&gt;4,(H111/(B111+2)+J120),0))</f>
        <v>0</v>
      </c>
    </row>
    <row r="122" spans="1:14" ht="15.75" customHeight="1" x14ac:dyDescent="0.25">
      <c r="A122" s="149" t="s">
        <v>132</v>
      </c>
      <c r="B122" s="150" t="s">
        <v>132</v>
      </c>
      <c r="C122" s="61">
        <v>0</v>
      </c>
      <c r="D122" s="19">
        <f ca="1">((100/(H111))*C122)/100</f>
        <v>0</v>
      </c>
      <c r="E122" s="155"/>
      <c r="F122" s="156"/>
      <c r="G122" s="155"/>
      <c r="H122" s="160"/>
      <c r="I122" s="14" t="s">
        <v>146</v>
      </c>
      <c r="J122" s="30">
        <f ca="1">(IF(B111=1,(H111/(B111+3)+J117),IF(B111=0,(H111/4+J117),IF(B111&gt;1,0))))</f>
        <v>15</v>
      </c>
    </row>
    <row r="123" spans="1:14" ht="16.5" thickBot="1" x14ac:dyDescent="0.3">
      <c r="A123" s="162" t="s">
        <v>133</v>
      </c>
      <c r="B123" s="163"/>
      <c r="C123" s="62">
        <v>0</v>
      </c>
      <c r="D123" s="20">
        <f ca="1">((100/(H111))*C123)/100</f>
        <v>0</v>
      </c>
      <c r="E123" s="157"/>
      <c r="F123" s="158"/>
      <c r="G123" s="157"/>
      <c r="H123" s="161"/>
      <c r="I123" s="15" t="s">
        <v>104</v>
      </c>
      <c r="J123" s="32">
        <f ca="1">(IF(B111&gt;1.5,(H111/(B111+2)+J117+MAX(0,J118-J117)+MAX(0,J119-J118)+MAX(0,J120-J119)+MAX(0,J121-J120)+MAX(0,J122-J121)),IF(B111=1,(H111/(B111+3)+J122),IF(B111=0,H111/4+J122))))</f>
        <v>20</v>
      </c>
    </row>
    <row r="124" spans="1:14" x14ac:dyDescent="0.25">
      <c r="A124" s="114" t="s">
        <v>156</v>
      </c>
      <c r="B124" s="114"/>
      <c r="C124" s="114"/>
      <c r="D124" s="114"/>
      <c r="E124" s="114"/>
      <c r="F124" s="115" t="s">
        <v>160</v>
      </c>
      <c r="G124" s="115"/>
      <c r="H124" s="115"/>
    </row>
    <row r="125" spans="1:14" x14ac:dyDescent="0.25">
      <c r="A125" s="86" t="s">
        <v>158</v>
      </c>
      <c r="B125" s="86"/>
      <c r="C125" s="86"/>
      <c r="D125" s="86"/>
      <c r="E125" s="86"/>
      <c r="F125" s="85">
        <v>17000</v>
      </c>
      <c r="G125" s="85"/>
      <c r="H125" s="85"/>
      <c r="I125" s="57" t="s">
        <v>289</v>
      </c>
      <c r="J125" s="57" t="s">
        <v>290</v>
      </c>
      <c r="K125" s="57" t="s">
        <v>291</v>
      </c>
      <c r="L125" s="60">
        <v>45243</v>
      </c>
      <c r="N125" s="57" t="s">
        <v>283</v>
      </c>
    </row>
    <row r="126" spans="1:14" x14ac:dyDescent="0.25">
      <c r="A126" s="86" t="s">
        <v>157</v>
      </c>
      <c r="B126" s="86"/>
      <c r="C126" s="86"/>
      <c r="D126" s="86"/>
      <c r="E126" s="86"/>
      <c r="F126" s="85">
        <v>24000</v>
      </c>
      <c r="G126" s="85"/>
      <c r="H126" s="85"/>
      <c r="N126" s="57" t="s">
        <v>284</v>
      </c>
    </row>
    <row r="127" spans="1:14" hidden="1" x14ac:dyDescent="0.25">
      <c r="A127" s="86" t="s">
        <v>159</v>
      </c>
      <c r="B127" s="86"/>
      <c r="C127" s="86"/>
      <c r="D127" s="86"/>
      <c r="E127" s="86"/>
      <c r="F127" s="85"/>
      <c r="G127" s="85"/>
      <c r="H127" s="85"/>
    </row>
    <row r="128" spans="1:14" s="33" customFormat="1" hidden="1" x14ac:dyDescent="0.25">
      <c r="A128" s="86" t="s">
        <v>176</v>
      </c>
      <c r="B128" s="86"/>
      <c r="C128" s="86"/>
      <c r="D128" s="86"/>
      <c r="E128" s="86"/>
      <c r="F128" s="85"/>
      <c r="G128" s="85"/>
      <c r="H128" s="85"/>
    </row>
    <row r="129" spans="1:8" s="33" customFormat="1" x14ac:dyDescent="0.25">
      <c r="A129" s="86" t="s">
        <v>95</v>
      </c>
      <c r="B129" s="86"/>
      <c r="C129" s="86"/>
      <c r="D129" s="86"/>
      <c r="E129" s="86"/>
      <c r="F129" s="85">
        <v>200000</v>
      </c>
      <c r="G129" s="85"/>
      <c r="H129" s="85"/>
    </row>
    <row r="130" spans="1:8" s="33" customFormat="1" x14ac:dyDescent="0.25">
      <c r="A130" s="86" t="s">
        <v>288</v>
      </c>
      <c r="B130" s="86"/>
      <c r="C130" s="86"/>
      <c r="D130" s="86"/>
      <c r="E130" s="86"/>
      <c r="F130" s="85">
        <v>100000</v>
      </c>
      <c r="G130" s="85"/>
      <c r="H130" s="85"/>
    </row>
    <row r="131" spans="1:8" s="33" customFormat="1" hidden="1" x14ac:dyDescent="0.25">
      <c r="A131" s="86" t="s">
        <v>161</v>
      </c>
      <c r="B131" s="86"/>
      <c r="C131" s="86"/>
      <c r="D131" s="86"/>
      <c r="E131" s="86"/>
      <c r="F131" s="85"/>
      <c r="G131" s="85"/>
      <c r="H131" s="85"/>
    </row>
    <row r="132" spans="1:8" s="33" customFormat="1" hidden="1" x14ac:dyDescent="0.25">
      <c r="A132" s="86" t="s">
        <v>96</v>
      </c>
      <c r="B132" s="86"/>
      <c r="C132" s="86"/>
      <c r="D132" s="86"/>
      <c r="E132" s="86"/>
      <c r="F132" s="85"/>
      <c r="G132" s="85"/>
      <c r="H132" s="85"/>
    </row>
    <row r="133" spans="1:8" s="33" customFormat="1" hidden="1" x14ac:dyDescent="0.25">
      <c r="A133" s="86" t="s">
        <v>97</v>
      </c>
      <c r="B133" s="86"/>
      <c r="C133" s="86"/>
      <c r="D133" s="86"/>
      <c r="E133" s="86"/>
      <c r="F133" s="85"/>
      <c r="G133" s="85"/>
      <c r="H133" s="85"/>
    </row>
    <row r="134" spans="1:8" s="33" customFormat="1" x14ac:dyDescent="0.25">
      <c r="A134" s="86" t="s">
        <v>98</v>
      </c>
      <c r="B134" s="86"/>
      <c r="C134" s="86"/>
      <c r="D134" s="86"/>
      <c r="E134" s="86"/>
      <c r="F134" s="85">
        <v>50000</v>
      </c>
      <c r="G134" s="85"/>
      <c r="H134" s="85"/>
    </row>
    <row r="135" spans="1:8" s="33" customFormat="1" hidden="1" x14ac:dyDescent="0.25">
      <c r="A135" s="86" t="s">
        <v>99</v>
      </c>
      <c r="B135" s="86"/>
      <c r="C135" s="86"/>
      <c r="D135" s="86"/>
      <c r="E135" s="86"/>
      <c r="F135" s="85"/>
      <c r="G135" s="85"/>
      <c r="H135" s="85"/>
    </row>
    <row r="136" spans="1:8" x14ac:dyDescent="0.25">
      <c r="A136" s="86" t="s">
        <v>51</v>
      </c>
      <c r="B136" s="86"/>
      <c r="C136" s="86"/>
      <c r="D136" s="86"/>
      <c r="E136" s="86"/>
      <c r="F136" s="116">
        <v>800000</v>
      </c>
      <c r="G136" s="116"/>
      <c r="H136" s="116"/>
    </row>
    <row r="137" spans="1:8" s="34" customFormat="1" x14ac:dyDescent="0.25">
      <c r="A137" s="117" t="s">
        <v>52</v>
      </c>
      <c r="B137" s="117"/>
      <c r="C137" s="117"/>
      <c r="D137" s="117"/>
      <c r="E137" s="117"/>
      <c r="F137" s="85">
        <f>F125*0.8</f>
        <v>13600</v>
      </c>
      <c r="G137" s="85"/>
      <c r="H137" s="85"/>
    </row>
    <row r="138" spans="1:8" s="35" customFormat="1" ht="15.75" customHeight="1" x14ac:dyDescent="0.25">
      <c r="A138" s="100" t="s">
        <v>75</v>
      </c>
      <c r="B138" s="100"/>
      <c r="C138" s="100"/>
      <c r="D138" s="100"/>
      <c r="E138" s="100"/>
      <c r="F138" s="100"/>
      <c r="G138" s="100"/>
      <c r="H138" s="100"/>
    </row>
    <row r="139" spans="1:8" s="35" customFormat="1" ht="15.75" customHeight="1" x14ac:dyDescent="0.25">
      <c r="A139" s="105" t="s">
        <v>53</v>
      </c>
      <c r="B139" s="105"/>
      <c r="C139" s="102" t="s">
        <v>78</v>
      </c>
      <c r="D139" s="102"/>
      <c r="E139" s="104" t="s">
        <v>54</v>
      </c>
      <c r="F139" s="104"/>
      <c r="G139" s="105" t="s">
        <v>55</v>
      </c>
      <c r="H139" s="105"/>
    </row>
    <row r="140" spans="1:8" s="35" customFormat="1" x14ac:dyDescent="0.25">
      <c r="A140" s="208" t="s">
        <v>254</v>
      </c>
      <c r="B140" s="47" t="s">
        <v>260</v>
      </c>
      <c r="C140" s="96">
        <f>COUNT(D164:D165,D168)</f>
        <v>3</v>
      </c>
      <c r="D140" s="97"/>
      <c r="E140" s="98">
        <f>SUM(D164:D165,D168)</f>
        <v>613.76328000000001</v>
      </c>
      <c r="F140" s="99"/>
      <c r="G140" s="98">
        <f>SUM(F164:F165,F168)</f>
        <v>982.02124800000001</v>
      </c>
      <c r="H140" s="99"/>
    </row>
    <row r="141" spans="1:8" s="35" customFormat="1" x14ac:dyDescent="0.25">
      <c r="A141" s="209"/>
      <c r="B141" s="47" t="s">
        <v>259</v>
      </c>
      <c r="C141" s="96">
        <f>COUNT(D163,D171,D173:D174)</f>
        <v>4</v>
      </c>
      <c r="D141" s="97"/>
      <c r="E141" s="98">
        <f>SUM(D163,D171,D173:D174)</f>
        <v>489.22379999999993</v>
      </c>
      <c r="F141" s="99"/>
      <c r="G141" s="98">
        <f>SUM(F163,F171,F173:F174)</f>
        <v>782.75807999999995</v>
      </c>
      <c r="H141" s="99"/>
    </row>
    <row r="142" spans="1:8" s="35" customFormat="1" x14ac:dyDescent="0.25">
      <c r="A142" s="210"/>
      <c r="B142" s="47" t="s">
        <v>257</v>
      </c>
      <c r="C142" s="96">
        <f>COUNT(D162,D166:D167,D169:D170,D172)</f>
        <v>6</v>
      </c>
      <c r="D142" s="97"/>
      <c r="E142" s="98">
        <f>SUM(D162,D166:D167,D169:D170,D172)</f>
        <v>783.58152599999994</v>
      </c>
      <c r="F142" s="99"/>
      <c r="G142" s="98">
        <f>SUM(F162,F166:F167,F169:F170,F172)</f>
        <v>1253.7304415999999</v>
      </c>
      <c r="H142" s="99"/>
    </row>
    <row r="143" spans="1:8" s="35" customFormat="1" x14ac:dyDescent="0.25">
      <c r="A143" s="47" t="s">
        <v>266</v>
      </c>
      <c r="B143" s="47" t="s">
        <v>257</v>
      </c>
      <c r="C143" s="96">
        <f>COUNT(D178:D187)</f>
        <v>10</v>
      </c>
      <c r="D143" s="97"/>
      <c r="E143" s="98">
        <f>SUM(D178:D187)</f>
        <v>1598.8307399999999</v>
      </c>
      <c r="F143" s="99"/>
      <c r="G143" s="98">
        <f>SUM(F178:F187)</f>
        <v>2558.1291839999999</v>
      </c>
      <c r="H143" s="99"/>
    </row>
    <row r="144" spans="1:8" s="35" customFormat="1" x14ac:dyDescent="0.25">
      <c r="A144" s="208" t="s">
        <v>261</v>
      </c>
      <c r="B144" s="47" t="s">
        <v>260</v>
      </c>
      <c r="C144" s="96">
        <f>COUNT(D190,D195,D197,D199:D200)</f>
        <v>5</v>
      </c>
      <c r="D144" s="97"/>
      <c r="E144" s="98">
        <f>SUM(D190,D195,D197,D199:D200)</f>
        <v>576.74319299999991</v>
      </c>
      <c r="F144" s="99"/>
      <c r="G144" s="98">
        <f>SUM(F190,F195,F197,F199:F200)</f>
        <v>922.78910880000001</v>
      </c>
      <c r="H144" s="99"/>
    </row>
    <row r="145" spans="1:10" s="35" customFormat="1" x14ac:dyDescent="0.25">
      <c r="A145" s="209"/>
      <c r="B145" s="47" t="s">
        <v>259</v>
      </c>
      <c r="C145" s="96">
        <f>COUNT(D192:D194)</f>
        <v>3</v>
      </c>
      <c r="D145" s="97"/>
      <c r="E145" s="98">
        <f>SUM(D192:D194)</f>
        <v>638.3051999999999</v>
      </c>
      <c r="F145" s="99"/>
      <c r="G145" s="98">
        <f>SUM(F192:F194)</f>
        <v>1021.28832</v>
      </c>
      <c r="H145" s="99"/>
    </row>
    <row r="146" spans="1:10" s="35" customFormat="1" x14ac:dyDescent="0.25">
      <c r="A146" s="210"/>
      <c r="B146" s="47" t="s">
        <v>257</v>
      </c>
      <c r="C146" s="96">
        <f>COUNT(D191,D196,D198)</f>
        <v>3</v>
      </c>
      <c r="D146" s="97"/>
      <c r="E146" s="98">
        <f>SUM(D191,D196,D198)</f>
        <v>578.43475560000002</v>
      </c>
      <c r="F146" s="99"/>
      <c r="G146" s="98">
        <f>SUM(F191,F196,F198)</f>
        <v>925.49560896000014</v>
      </c>
      <c r="H146" s="99"/>
    </row>
    <row r="147" spans="1:10" s="35" customFormat="1" x14ac:dyDescent="0.25">
      <c r="A147" s="100" t="s">
        <v>149</v>
      </c>
      <c r="B147" s="100"/>
      <c r="C147" s="101">
        <f>SUM(C140:C146)</f>
        <v>34</v>
      </c>
      <c r="D147" s="102"/>
      <c r="E147" s="103">
        <f>SUM(E140:E146)</f>
        <v>5278.8824945999995</v>
      </c>
      <c r="F147" s="104"/>
      <c r="G147" s="105">
        <f>SUM(G140:G146)</f>
        <v>8446.21199136</v>
      </c>
      <c r="H147" s="105"/>
    </row>
    <row r="148" spans="1:10" s="35" customFormat="1" x14ac:dyDescent="0.25">
      <c r="A148" s="100" t="s">
        <v>70</v>
      </c>
      <c r="B148" s="100"/>
      <c r="C148" s="100"/>
      <c r="D148" s="100"/>
      <c r="E148" s="100"/>
      <c r="F148" s="100"/>
      <c r="G148" s="100"/>
      <c r="H148" s="100"/>
    </row>
    <row r="149" spans="1:10" s="35" customFormat="1" ht="15.75" customHeight="1" x14ac:dyDescent="0.25">
      <c r="A149" s="105" t="s">
        <v>53</v>
      </c>
      <c r="B149" s="105"/>
      <c r="C149" s="102" t="s">
        <v>78</v>
      </c>
      <c r="D149" s="102"/>
      <c r="E149" s="104" t="s">
        <v>54</v>
      </c>
      <c r="F149" s="104"/>
      <c r="G149" s="105" t="s">
        <v>55</v>
      </c>
      <c r="H149" s="105"/>
    </row>
    <row r="150" spans="1:10" s="35" customFormat="1" x14ac:dyDescent="0.25">
      <c r="A150" s="106" t="s">
        <v>254</v>
      </c>
      <c r="B150" s="106"/>
      <c r="C150" s="96">
        <f>COUNT(D207:D213)+COUNT(D215:D223)*18+COUNT(D225:D226,D230:D233)+COUNT(D235:D236,D240:D243)</f>
        <v>181</v>
      </c>
      <c r="D150" s="96"/>
      <c r="E150" s="98">
        <f>SUM(D207:D213)+SUM(D215:D223)*18+SUM(D225:D226,D230:D233)+SUM(D235:D236,D240:D243)</f>
        <v>80404.496639999983</v>
      </c>
      <c r="F150" s="98"/>
      <c r="G150" s="98">
        <f>SUM(F207:F213)+SUM(F215:F223)*18+SUM(F225:F226,F230:F233)+SUM(F235:F236,F240:F243)</f>
        <v>124626.96979199999</v>
      </c>
      <c r="H150" s="98"/>
    </row>
    <row r="151" spans="1:10" s="35" customFormat="1" x14ac:dyDescent="0.25">
      <c r="A151" s="106" t="s">
        <v>266</v>
      </c>
      <c r="B151" s="106"/>
      <c r="C151" s="96">
        <f>COUNT(D246:D248)+COUNT(D250:D258)*18+COUNT(D260:D263,D267:D268)+COUNT(D270:D273,D277:D278)</f>
        <v>177</v>
      </c>
      <c r="D151" s="96"/>
      <c r="E151" s="98">
        <f>SUM(D246:D248)+SUM(D250:D258)*18+SUM(D260:D263,D267:D268)+SUM(D270:D273,D277:D278)</f>
        <v>73764.615600000005</v>
      </c>
      <c r="F151" s="98"/>
      <c r="G151" s="98">
        <f>SUM(F246:F248)+SUM(F250:F258)*18+SUM(F260:F263,F267:F268)+SUM(F270:F273,F277:F278)</f>
        <v>114335.15417999998</v>
      </c>
      <c r="H151" s="98"/>
    </row>
    <row r="152" spans="1:10" s="35" customFormat="1" x14ac:dyDescent="0.25">
      <c r="A152" s="106" t="s">
        <v>261</v>
      </c>
      <c r="B152" s="106"/>
      <c r="C152" s="96">
        <f>COUNT(D281:D286)+COUNT(D288:D293)*18+COUNT(D295:D298)+COUNT(D302:D305)</f>
        <v>122</v>
      </c>
      <c r="D152" s="96"/>
      <c r="E152" s="98">
        <f>SUM(D281:D286)+SUM(D288:D293)*18+SUM(D295:D298)+SUM(D302:D305)</f>
        <v>68027.188320000001</v>
      </c>
      <c r="F152" s="98"/>
      <c r="G152" s="98">
        <f>SUM(F281:F286)+SUM(F288:F293)*18+SUM(F295:F298)+SUM(F302:F305)</f>
        <v>105442.141896</v>
      </c>
      <c r="H152" s="98"/>
    </row>
    <row r="153" spans="1:10" s="35" customFormat="1" ht="16.5" thickBot="1" x14ac:dyDescent="0.3">
      <c r="A153" s="206" t="s">
        <v>149</v>
      </c>
      <c r="B153" s="206"/>
      <c r="C153" s="177">
        <f>SUM(C150:C152)</f>
        <v>480</v>
      </c>
      <c r="D153" s="177"/>
      <c r="E153" s="169">
        <f>SUM(E150:E152)</f>
        <v>222196.30056</v>
      </c>
      <c r="F153" s="169"/>
      <c r="G153" s="95">
        <f>SUM(G150:G152)</f>
        <v>344404.26586799999</v>
      </c>
      <c r="H153" s="95"/>
    </row>
    <row r="154" spans="1:10" s="35" customFormat="1" ht="16.5" thickBot="1" x14ac:dyDescent="0.3">
      <c r="A154" s="180" t="s">
        <v>167</v>
      </c>
      <c r="B154" s="181"/>
      <c r="C154" s="182">
        <f>C147+C153</f>
        <v>514</v>
      </c>
      <c r="D154" s="182"/>
      <c r="E154" s="107">
        <f>E147+E153</f>
        <v>227475.1830546</v>
      </c>
      <c r="F154" s="107"/>
      <c r="G154" s="204">
        <f>G147+G153</f>
        <v>352850.47785935999</v>
      </c>
      <c r="H154" s="205"/>
    </row>
    <row r="155" spans="1:10" s="34" customFormat="1" x14ac:dyDescent="0.25">
      <c r="A155" s="115" t="s">
        <v>56</v>
      </c>
      <c r="B155" s="115"/>
      <c r="C155" s="115"/>
      <c r="D155" s="115"/>
      <c r="E155" s="115"/>
      <c r="F155" s="115"/>
      <c r="G155" s="115"/>
      <c r="H155" s="115"/>
    </row>
    <row r="156" spans="1:10" x14ac:dyDescent="0.25">
      <c r="A156" s="141" t="s">
        <v>175</v>
      </c>
      <c r="B156" s="141"/>
      <c r="C156" s="141"/>
      <c r="D156" s="141"/>
      <c r="E156" s="141"/>
      <c r="F156" s="141"/>
      <c r="G156" s="141"/>
      <c r="H156" s="141"/>
    </row>
    <row r="157" spans="1:10" ht="47.25" customHeight="1" x14ac:dyDescent="0.25">
      <c r="A157" s="87" t="s">
        <v>119</v>
      </c>
      <c r="B157" s="87" t="s">
        <v>258</v>
      </c>
      <c r="C157" s="87" t="s">
        <v>57</v>
      </c>
      <c r="D157" s="87" t="s">
        <v>58</v>
      </c>
      <c r="E157" s="108" t="s">
        <v>155</v>
      </c>
      <c r="F157" s="43" t="s">
        <v>148</v>
      </c>
      <c r="G157" s="110" t="s">
        <v>60</v>
      </c>
      <c r="H157" s="111"/>
    </row>
    <row r="158" spans="1:10" s="37" customFormat="1" x14ac:dyDescent="0.25">
      <c r="A158" s="88"/>
      <c r="B158" s="88"/>
      <c r="C158" s="88"/>
      <c r="D158" s="88"/>
      <c r="E158" s="109"/>
      <c r="F158" s="13">
        <v>0.6</v>
      </c>
      <c r="G158" s="112"/>
      <c r="H158" s="113"/>
    </row>
    <row r="159" spans="1:10" s="37" customFormat="1" x14ac:dyDescent="0.25">
      <c r="A159" s="70" t="s">
        <v>285</v>
      </c>
      <c r="B159" s="71"/>
      <c r="C159" s="71"/>
      <c r="D159" s="71"/>
      <c r="E159" s="71"/>
      <c r="F159" s="71"/>
      <c r="G159" s="71"/>
      <c r="H159" s="72"/>
      <c r="J159" s="36"/>
    </row>
    <row r="160" spans="1:10" s="37" customFormat="1" x14ac:dyDescent="0.25">
      <c r="A160" s="70" t="s">
        <v>254</v>
      </c>
      <c r="B160" s="71"/>
      <c r="C160" s="71"/>
      <c r="D160" s="71"/>
      <c r="E160" s="71"/>
      <c r="F160" s="71"/>
      <c r="G160" s="71"/>
      <c r="H160" s="72"/>
      <c r="J160" s="36"/>
    </row>
    <row r="161" spans="1:14" s="37" customFormat="1" x14ac:dyDescent="0.25">
      <c r="A161" s="70" t="s">
        <v>255</v>
      </c>
      <c r="B161" s="71"/>
      <c r="C161" s="71"/>
      <c r="D161" s="71"/>
      <c r="E161" s="71"/>
      <c r="F161" s="71"/>
      <c r="G161" s="71"/>
      <c r="H161" s="72"/>
      <c r="J161" s="36"/>
    </row>
    <row r="162" spans="1:14" s="37" customFormat="1" ht="15.75" customHeight="1" x14ac:dyDescent="0.25">
      <c r="A162" s="42">
        <v>1</v>
      </c>
      <c r="B162" s="42" t="s">
        <v>257</v>
      </c>
      <c r="C162" s="42" t="s">
        <v>256</v>
      </c>
      <c r="D162" s="56">
        <f>(1.52*1.95)*10.764</f>
        <v>31.904495999999998</v>
      </c>
      <c r="E162" s="42">
        <v>0</v>
      </c>
      <c r="F162" s="42">
        <f>(D162+E162)*(($F$158)+1)</f>
        <v>51.0471936</v>
      </c>
      <c r="G162" s="89" t="str">
        <f>A161</f>
        <v>Lower Ground Floor For Entrance Lobby, Commercial, Meter Room&amp; MEP Services</v>
      </c>
      <c r="H162" s="90"/>
      <c r="I162" s="42">
        <f>1.52*1.95</f>
        <v>2.964</v>
      </c>
      <c r="L162" s="76"/>
      <c r="M162" s="76"/>
      <c r="N162" s="36"/>
    </row>
    <row r="163" spans="1:14" s="37" customFormat="1" ht="15.75" customHeight="1" x14ac:dyDescent="0.25">
      <c r="A163" s="42">
        <f t="shared" ref="A163:A174" si="0">A162+1</f>
        <v>2</v>
      </c>
      <c r="B163" s="42" t="s">
        <v>259</v>
      </c>
      <c r="C163" s="42" t="s">
        <v>256</v>
      </c>
      <c r="D163" s="56">
        <f>(4.85)*10.764</f>
        <v>52.20539999999999</v>
      </c>
      <c r="E163" s="42">
        <v>0</v>
      </c>
      <c r="F163" s="42">
        <f t="shared" ref="F163:F165" si="1">(D163+E163)*(($F$158)+1)</f>
        <v>83.528639999999996</v>
      </c>
      <c r="G163" s="91"/>
      <c r="H163" s="92"/>
      <c r="I163" s="42">
        <f>1.54*3.15</f>
        <v>4.851</v>
      </c>
      <c r="L163" s="76"/>
      <c r="M163" s="76"/>
      <c r="N163" s="36"/>
    </row>
    <row r="164" spans="1:14" s="37" customFormat="1" ht="15.75" customHeight="1" x14ac:dyDescent="0.25">
      <c r="A164" s="42">
        <f t="shared" si="0"/>
        <v>3</v>
      </c>
      <c r="B164" s="42" t="s">
        <v>260</v>
      </c>
      <c r="C164" s="42" t="s">
        <v>256</v>
      </c>
      <c r="D164" s="56">
        <f>(8.76)*10.764</f>
        <v>94.292639999999992</v>
      </c>
      <c r="E164" s="42">
        <v>0</v>
      </c>
      <c r="F164" s="42">
        <f t="shared" si="1"/>
        <v>150.868224</v>
      </c>
      <c r="G164" s="91"/>
      <c r="H164" s="92"/>
      <c r="I164" s="42">
        <f>3.02*2.57*1.62*0.63</f>
        <v>7.9212848400000002</v>
      </c>
      <c r="L164" s="76"/>
      <c r="M164" s="76"/>
      <c r="N164" s="36"/>
    </row>
    <row r="165" spans="1:14" s="37" customFormat="1" ht="15.75" customHeight="1" x14ac:dyDescent="0.25">
      <c r="A165" s="42">
        <f t="shared" si="0"/>
        <v>4</v>
      </c>
      <c r="B165" s="42" t="s">
        <v>260</v>
      </c>
      <c r="C165" s="42" t="s">
        <v>256</v>
      </c>
      <c r="D165" s="56">
        <f>(27.64)*10.764</f>
        <v>297.51695999999998</v>
      </c>
      <c r="E165" s="42">
        <v>0</v>
      </c>
      <c r="F165" s="42">
        <f t="shared" si="1"/>
        <v>476.02713599999998</v>
      </c>
      <c r="G165" s="91"/>
      <c r="H165" s="92"/>
      <c r="I165" s="42">
        <f>2.9*8.3+1.8*1.45+1*1.05</f>
        <v>27.73</v>
      </c>
      <c r="L165" s="76"/>
      <c r="M165" s="76"/>
      <c r="N165" s="36"/>
    </row>
    <row r="166" spans="1:14" s="37" customFormat="1" ht="15.75" customHeight="1" x14ac:dyDescent="0.25">
      <c r="A166" s="42">
        <f t="shared" si="0"/>
        <v>5</v>
      </c>
      <c r="B166" s="42" t="s">
        <v>257</v>
      </c>
      <c r="C166" s="42" t="s">
        <v>256</v>
      </c>
      <c r="D166" s="56">
        <f>(2.25*3+1/2*2.25*0.75)*10.764</f>
        <v>81.739125000000001</v>
      </c>
      <c r="E166" s="42">
        <v>0</v>
      </c>
      <c r="F166" s="42">
        <f t="shared" ref="F166:F171" si="2">(D166+E166)*(($F$158)+1)</f>
        <v>130.7826</v>
      </c>
      <c r="G166" s="91"/>
      <c r="H166" s="92"/>
      <c r="I166" s="36">
        <f>(3.74+3.4)/2*2.25</f>
        <v>8.0325000000000006</v>
      </c>
      <c r="L166" s="76"/>
      <c r="M166" s="76"/>
      <c r="N166" s="36"/>
    </row>
    <row r="167" spans="1:14" s="37" customFormat="1" ht="15.75" customHeight="1" x14ac:dyDescent="0.25">
      <c r="A167" s="42">
        <f t="shared" si="0"/>
        <v>6</v>
      </c>
      <c r="B167" s="42" t="s">
        <v>257</v>
      </c>
      <c r="C167" s="42" t="s">
        <v>256</v>
      </c>
      <c r="D167" s="56">
        <f>(2.5*5.5+1/2*2.5*0.75+1.45*2.39+0.95*1.34+2*1.4)*10.764</f>
        <v>239.24066399999998</v>
      </c>
      <c r="E167" s="42">
        <v>0</v>
      </c>
      <c r="F167" s="42">
        <f t="shared" si="2"/>
        <v>382.78506240000002</v>
      </c>
      <c r="G167" s="91"/>
      <c r="H167" s="92"/>
      <c r="I167" s="36"/>
      <c r="L167" s="76">
        <f>8000000/F167</f>
        <v>20899.457125733439</v>
      </c>
      <c r="M167" s="76"/>
      <c r="N167" s="36"/>
    </row>
    <row r="168" spans="1:14" s="37" customFormat="1" ht="15.75" customHeight="1" x14ac:dyDescent="0.25">
      <c r="A168" s="42">
        <f t="shared" si="0"/>
        <v>7</v>
      </c>
      <c r="B168" s="42" t="s">
        <v>260</v>
      </c>
      <c r="C168" s="42" t="s">
        <v>256</v>
      </c>
      <c r="D168" s="56">
        <f>(20.62)*10.764</f>
        <v>221.95367999999999</v>
      </c>
      <c r="E168" s="42">
        <v>0</v>
      </c>
      <c r="F168" s="42">
        <f t="shared" si="2"/>
        <v>355.12588800000003</v>
      </c>
      <c r="G168" s="91"/>
      <c r="H168" s="92"/>
      <c r="I168" s="36"/>
      <c r="L168" s="76"/>
      <c r="M168" s="76"/>
      <c r="N168" s="36"/>
    </row>
    <row r="169" spans="1:14" s="37" customFormat="1" ht="15.75" customHeight="1" x14ac:dyDescent="0.25">
      <c r="A169" s="42">
        <f t="shared" si="0"/>
        <v>8</v>
      </c>
      <c r="B169" s="42" t="s">
        <v>257</v>
      </c>
      <c r="C169" s="42" t="s">
        <v>256</v>
      </c>
      <c r="D169" s="56">
        <f>(2.4*3+0.5*2.4*0.75)*10.764</f>
        <v>87.188399999999987</v>
      </c>
      <c r="E169" s="42">
        <v>0</v>
      </c>
      <c r="F169" s="42">
        <f t="shared" si="2"/>
        <v>139.50143999999997</v>
      </c>
      <c r="G169" s="91"/>
      <c r="H169" s="92"/>
      <c r="I169" s="36"/>
      <c r="L169" s="76"/>
      <c r="M169" s="76"/>
      <c r="N169" s="36"/>
    </row>
    <row r="170" spans="1:14" s="37" customFormat="1" ht="15.75" customHeight="1" x14ac:dyDescent="0.25">
      <c r="A170" s="42">
        <f t="shared" si="0"/>
        <v>9</v>
      </c>
      <c r="B170" s="42" t="s">
        <v>257</v>
      </c>
      <c r="C170" s="42" t="s">
        <v>256</v>
      </c>
      <c r="D170" s="56">
        <f>(2.9*5+1/2*2.9*0.75)*10.764</f>
        <v>167.78385</v>
      </c>
      <c r="E170" s="42">
        <v>0</v>
      </c>
      <c r="F170" s="42">
        <f t="shared" si="2"/>
        <v>268.45416</v>
      </c>
      <c r="G170" s="91"/>
      <c r="H170" s="92"/>
      <c r="I170" s="36"/>
      <c r="L170" s="76"/>
      <c r="M170" s="76"/>
      <c r="N170" s="36"/>
    </row>
    <row r="171" spans="1:14" s="37" customFormat="1" ht="15.75" customHeight="1" x14ac:dyDescent="0.25">
      <c r="A171" s="42">
        <f t="shared" si="0"/>
        <v>10</v>
      </c>
      <c r="B171" s="42" t="s">
        <v>259</v>
      </c>
      <c r="C171" s="42" t="s">
        <v>256</v>
      </c>
      <c r="D171" s="56">
        <f>(21.86)*10.764</f>
        <v>235.30103999999997</v>
      </c>
      <c r="E171" s="42">
        <v>0</v>
      </c>
      <c r="F171" s="42">
        <f t="shared" si="2"/>
        <v>376.48166399999997</v>
      </c>
      <c r="G171" s="91"/>
      <c r="H171" s="92"/>
      <c r="I171" s="36"/>
      <c r="L171" s="76"/>
      <c r="M171" s="76"/>
      <c r="N171" s="36"/>
    </row>
    <row r="172" spans="1:14" s="37" customFormat="1" ht="15.75" customHeight="1" x14ac:dyDescent="0.25">
      <c r="A172" s="42">
        <f t="shared" si="0"/>
        <v>11</v>
      </c>
      <c r="B172" s="42" t="s">
        <v>257</v>
      </c>
      <c r="C172" s="42" t="s">
        <v>256</v>
      </c>
      <c r="D172" s="56">
        <f>(2.65*5.2+1/2*2.65*0.75+1.45*1.07)*10.764</f>
        <v>175.72499099999999</v>
      </c>
      <c r="E172" s="42">
        <v>0</v>
      </c>
      <c r="F172" s="42">
        <f t="shared" ref="F172:F174" si="3">(D172+E172)*(($F$158)+1)</f>
        <v>281.15998559999997</v>
      </c>
      <c r="G172" s="91"/>
      <c r="H172" s="92"/>
      <c r="I172" s="36"/>
      <c r="L172" s="76"/>
      <c r="M172" s="76"/>
      <c r="N172" s="36"/>
    </row>
    <row r="173" spans="1:14" s="37" customFormat="1" ht="15.75" customHeight="1" x14ac:dyDescent="0.25">
      <c r="A173" s="42">
        <f t="shared" si="0"/>
        <v>12</v>
      </c>
      <c r="B173" s="42" t="s">
        <v>259</v>
      </c>
      <c r="C173" s="42" t="s">
        <v>256</v>
      </c>
      <c r="D173" s="56">
        <f>(16.28)*10.764</f>
        <v>175.23792</v>
      </c>
      <c r="E173" s="42">
        <v>0</v>
      </c>
      <c r="F173" s="42">
        <f t="shared" si="3"/>
        <v>280.380672</v>
      </c>
      <c r="G173" s="91"/>
      <c r="H173" s="92"/>
      <c r="I173" s="36"/>
      <c r="L173" s="76"/>
      <c r="M173" s="76"/>
      <c r="N173" s="36"/>
    </row>
    <row r="174" spans="1:14" s="37" customFormat="1" ht="15.75" customHeight="1" x14ac:dyDescent="0.25">
      <c r="A174" s="42">
        <f t="shared" si="0"/>
        <v>13</v>
      </c>
      <c r="B174" s="42" t="s">
        <v>259</v>
      </c>
      <c r="C174" s="42" t="s">
        <v>256</v>
      </c>
      <c r="D174" s="56">
        <f>(2.46)*10.764</f>
        <v>26.479439999999997</v>
      </c>
      <c r="E174" s="42">
        <v>0</v>
      </c>
      <c r="F174" s="42">
        <f t="shared" si="3"/>
        <v>42.367103999999998</v>
      </c>
      <c r="G174" s="93"/>
      <c r="H174" s="94"/>
      <c r="I174" s="36">
        <f>1.35*1.81</f>
        <v>2.4435000000000002</v>
      </c>
      <c r="L174" s="76"/>
      <c r="M174" s="76"/>
      <c r="N174" s="36"/>
    </row>
    <row r="175" spans="1:14" s="37" customFormat="1" x14ac:dyDescent="0.25">
      <c r="A175" s="70" t="s">
        <v>266</v>
      </c>
      <c r="B175" s="71"/>
      <c r="C175" s="71"/>
      <c r="D175" s="71"/>
      <c r="E175" s="71"/>
      <c r="F175" s="71"/>
      <c r="G175" s="71"/>
      <c r="H175" s="72"/>
      <c r="J175" s="36"/>
    </row>
    <row r="176" spans="1:14" s="37" customFormat="1" x14ac:dyDescent="0.25">
      <c r="A176" s="70" t="s">
        <v>267</v>
      </c>
      <c r="B176" s="71"/>
      <c r="C176" s="71"/>
      <c r="D176" s="71"/>
      <c r="E176" s="71"/>
      <c r="F176" s="71"/>
      <c r="G176" s="71"/>
      <c r="H176" s="72"/>
      <c r="J176" s="36"/>
    </row>
    <row r="177" spans="1:14" s="37" customFormat="1" x14ac:dyDescent="0.25">
      <c r="A177" s="70" t="s">
        <v>268</v>
      </c>
      <c r="B177" s="71"/>
      <c r="C177" s="71"/>
      <c r="D177" s="71"/>
      <c r="E177" s="71"/>
      <c r="F177" s="71"/>
      <c r="G177" s="71"/>
      <c r="H177" s="72"/>
      <c r="J177" s="56">
        <v>10.763999999999999</v>
      </c>
    </row>
    <row r="178" spans="1:14" s="37" customFormat="1" ht="15.75" customHeight="1" x14ac:dyDescent="0.25">
      <c r="A178" s="42">
        <v>1</v>
      </c>
      <c r="B178" s="42" t="s">
        <v>257</v>
      </c>
      <c r="C178" s="42" t="s">
        <v>256</v>
      </c>
      <c r="D178" s="56">
        <f>(2.75*3.5+2*1.5)*10.764</f>
        <v>135.8955</v>
      </c>
      <c r="E178" s="42">
        <v>0</v>
      </c>
      <c r="F178" s="42">
        <f>(D178+E178)*(($F$158)+1)</f>
        <v>217.43280000000001</v>
      </c>
      <c r="G178" s="89" t="str">
        <f>A177</f>
        <v>Upper Ground Floor For Commercial</v>
      </c>
      <c r="H178" s="90"/>
      <c r="L178" s="76"/>
      <c r="M178" s="76"/>
      <c r="N178" s="36"/>
    </row>
    <row r="179" spans="1:14" s="37" customFormat="1" ht="15.75" customHeight="1" x14ac:dyDescent="0.25">
      <c r="A179" s="42">
        <f t="shared" ref="A179:A187" si="4">A178+1</f>
        <v>2</v>
      </c>
      <c r="B179" s="42" t="s">
        <v>257</v>
      </c>
      <c r="C179" s="42" t="s">
        <v>256</v>
      </c>
      <c r="D179" s="56">
        <f>(1.8*1.5+2*3.5)*10.764</f>
        <v>104.41079999999998</v>
      </c>
      <c r="E179" s="42">
        <v>0</v>
      </c>
      <c r="F179" s="42">
        <f t="shared" ref="F179:F187" si="5">(D179+E179)*(($F$158)+1)</f>
        <v>167.05727999999999</v>
      </c>
      <c r="G179" s="91"/>
      <c r="H179" s="92"/>
      <c r="L179" s="76"/>
      <c r="M179" s="76"/>
      <c r="N179" s="36"/>
    </row>
    <row r="180" spans="1:14" s="37" customFormat="1" ht="15.75" customHeight="1" x14ac:dyDescent="0.25">
      <c r="A180" s="42">
        <f t="shared" si="4"/>
        <v>3</v>
      </c>
      <c r="B180" s="42" t="s">
        <v>257</v>
      </c>
      <c r="C180" s="42" t="s">
        <v>256</v>
      </c>
      <c r="D180" s="56">
        <f>(2.9*5)*10.764</f>
        <v>156.078</v>
      </c>
      <c r="E180" s="42">
        <v>0</v>
      </c>
      <c r="F180" s="42">
        <f t="shared" si="5"/>
        <v>249.72480000000002</v>
      </c>
      <c r="G180" s="91"/>
      <c r="H180" s="92"/>
      <c r="L180" s="76"/>
      <c r="M180" s="76"/>
      <c r="N180" s="36"/>
    </row>
    <row r="181" spans="1:14" s="37" customFormat="1" ht="15.75" customHeight="1" x14ac:dyDescent="0.25">
      <c r="A181" s="42">
        <f t="shared" si="4"/>
        <v>4</v>
      </c>
      <c r="B181" s="42" t="s">
        <v>257</v>
      </c>
      <c r="C181" s="42" t="s">
        <v>256</v>
      </c>
      <c r="D181" s="56">
        <f>(2.9*5)*10.764</f>
        <v>156.078</v>
      </c>
      <c r="E181" s="42">
        <v>0</v>
      </c>
      <c r="F181" s="42">
        <f t="shared" si="5"/>
        <v>249.72480000000002</v>
      </c>
      <c r="G181" s="91"/>
      <c r="H181" s="92"/>
      <c r="L181" s="76"/>
      <c r="M181" s="76"/>
      <c r="N181" s="36"/>
    </row>
    <row r="182" spans="1:14" s="37" customFormat="1" ht="15.75" customHeight="1" x14ac:dyDescent="0.25">
      <c r="A182" s="42">
        <f t="shared" si="4"/>
        <v>5</v>
      </c>
      <c r="B182" s="42" t="s">
        <v>257</v>
      </c>
      <c r="C182" s="42" t="s">
        <v>256</v>
      </c>
      <c r="D182" s="56">
        <f>(1.8*1.5+2*3.5)*10.764</f>
        <v>104.41079999999998</v>
      </c>
      <c r="E182" s="42">
        <v>0</v>
      </c>
      <c r="F182" s="42">
        <f t="shared" si="5"/>
        <v>167.05727999999999</v>
      </c>
      <c r="G182" s="91"/>
      <c r="H182" s="92"/>
      <c r="L182" s="76"/>
      <c r="M182" s="76"/>
      <c r="N182" s="36"/>
    </row>
    <row r="183" spans="1:14" s="37" customFormat="1" ht="15.75" customHeight="1" x14ac:dyDescent="0.25">
      <c r="A183" s="42">
        <f t="shared" si="4"/>
        <v>6</v>
      </c>
      <c r="B183" s="42" t="s">
        <v>257</v>
      </c>
      <c r="C183" s="42" t="s">
        <v>256</v>
      </c>
      <c r="D183" s="56">
        <f>(2*1.5+2.75*3.5)*10.764</f>
        <v>135.8955</v>
      </c>
      <c r="E183" s="42">
        <v>0</v>
      </c>
      <c r="F183" s="42">
        <f t="shared" si="5"/>
        <v>217.43280000000001</v>
      </c>
      <c r="G183" s="91"/>
      <c r="H183" s="92"/>
      <c r="L183" s="76"/>
      <c r="M183" s="76"/>
      <c r="N183" s="36"/>
    </row>
    <row r="184" spans="1:14" s="37" customFormat="1" ht="15.75" customHeight="1" x14ac:dyDescent="0.25">
      <c r="A184" s="42">
        <f t="shared" si="4"/>
        <v>7</v>
      </c>
      <c r="B184" s="42" t="s">
        <v>257</v>
      </c>
      <c r="C184" s="42" t="s">
        <v>256</v>
      </c>
      <c r="D184" s="56">
        <f>(2*1.5+2.75*3.5)*10.764</f>
        <v>135.8955</v>
      </c>
      <c r="E184" s="42">
        <v>0</v>
      </c>
      <c r="F184" s="42">
        <f t="shared" si="5"/>
        <v>217.43280000000001</v>
      </c>
      <c r="G184" s="91"/>
      <c r="H184" s="92"/>
      <c r="I184" s="36"/>
      <c r="L184" s="76"/>
      <c r="M184" s="76"/>
      <c r="N184" s="36"/>
    </row>
    <row r="185" spans="1:14" s="37" customFormat="1" ht="15.75" customHeight="1" x14ac:dyDescent="0.25">
      <c r="A185" s="42">
        <f t="shared" si="4"/>
        <v>8</v>
      </c>
      <c r="B185" s="42" t="s">
        <v>257</v>
      </c>
      <c r="C185" s="42" t="s">
        <v>256</v>
      </c>
      <c r="D185" s="56">
        <f>(1.8*1.5+2.9*3.5)*10.764</f>
        <v>138.31740000000002</v>
      </c>
      <c r="E185" s="42">
        <v>0</v>
      </c>
      <c r="F185" s="42">
        <f t="shared" si="5"/>
        <v>221.30784000000006</v>
      </c>
      <c r="G185" s="91"/>
      <c r="H185" s="92"/>
      <c r="I185" s="36"/>
      <c r="L185" s="76"/>
      <c r="M185" s="76"/>
      <c r="N185" s="36"/>
    </row>
    <row r="186" spans="1:14" s="37" customFormat="1" ht="15.75" customHeight="1" x14ac:dyDescent="0.25">
      <c r="A186" s="42">
        <f t="shared" si="4"/>
        <v>9</v>
      </c>
      <c r="B186" s="42" t="s">
        <v>257</v>
      </c>
      <c r="C186" s="42" t="s">
        <v>256</v>
      </c>
      <c r="D186" s="56">
        <f>(2.9*5)*10.764</f>
        <v>156.078</v>
      </c>
      <c r="E186" s="42">
        <v>0</v>
      </c>
      <c r="F186" s="42">
        <f t="shared" si="5"/>
        <v>249.72480000000002</v>
      </c>
      <c r="G186" s="91"/>
      <c r="H186" s="92"/>
      <c r="I186" s="36"/>
      <c r="L186" s="76"/>
      <c r="M186" s="76"/>
      <c r="N186" s="36"/>
    </row>
    <row r="187" spans="1:14" s="37" customFormat="1" ht="15.75" customHeight="1" x14ac:dyDescent="0.25">
      <c r="A187" s="42">
        <f t="shared" si="4"/>
        <v>10</v>
      </c>
      <c r="B187" s="42" t="s">
        <v>257</v>
      </c>
      <c r="C187" s="42" t="s">
        <v>256</v>
      </c>
      <c r="D187" s="56">
        <f>(4.9*2.9+1.5*1.8+3*5.1+1.5*1.8)*10.764</f>
        <v>375.77124000000003</v>
      </c>
      <c r="E187" s="42">
        <v>0</v>
      </c>
      <c r="F187" s="42">
        <f t="shared" si="5"/>
        <v>601.23398400000008</v>
      </c>
      <c r="G187" s="93"/>
      <c r="H187" s="94"/>
      <c r="I187" s="36"/>
      <c r="L187" s="76"/>
      <c r="M187" s="76"/>
      <c r="N187" s="36"/>
    </row>
    <row r="188" spans="1:14" s="37" customFormat="1" x14ac:dyDescent="0.25">
      <c r="A188" s="70" t="s">
        <v>261</v>
      </c>
      <c r="B188" s="71"/>
      <c r="C188" s="71"/>
      <c r="D188" s="71"/>
      <c r="E188" s="71"/>
      <c r="F188" s="71"/>
      <c r="G188" s="71"/>
      <c r="H188" s="72"/>
      <c r="J188" s="36"/>
    </row>
    <row r="189" spans="1:14" s="37" customFormat="1" x14ac:dyDescent="0.25">
      <c r="A189" s="70" t="s">
        <v>255</v>
      </c>
      <c r="B189" s="71"/>
      <c r="C189" s="71"/>
      <c r="D189" s="71"/>
      <c r="E189" s="71"/>
      <c r="F189" s="71"/>
      <c r="G189" s="71"/>
      <c r="H189" s="72"/>
      <c r="J189" s="36"/>
    </row>
    <row r="190" spans="1:14" s="37" customFormat="1" ht="15.75" customHeight="1" x14ac:dyDescent="0.25">
      <c r="A190" s="42">
        <v>14</v>
      </c>
      <c r="B190" s="42" t="s">
        <v>260</v>
      </c>
      <c r="C190" s="42" t="s">
        <v>256</v>
      </c>
      <c r="D190" s="56">
        <f>(11.72)*10.764</f>
        <v>126.15407999999999</v>
      </c>
      <c r="E190" s="42">
        <v>0</v>
      </c>
      <c r="F190" s="42">
        <f>(D190+E190)*(($F$158)+1)</f>
        <v>201.84652800000001</v>
      </c>
      <c r="G190" s="89" t="str">
        <f>A189</f>
        <v>Lower Ground Floor For Entrance Lobby, Commercial, Meter Room&amp; MEP Services</v>
      </c>
      <c r="H190" s="90"/>
      <c r="I190" s="42">
        <f>1.52*1.95</f>
        <v>2.964</v>
      </c>
      <c r="L190" s="76"/>
      <c r="M190" s="76"/>
      <c r="N190" s="36"/>
    </row>
    <row r="191" spans="1:14" s="37" customFormat="1" ht="15.75" customHeight="1" x14ac:dyDescent="0.25">
      <c r="A191" s="42">
        <f t="shared" ref="A191:A200" si="6">A190+1</f>
        <v>15</v>
      </c>
      <c r="B191" s="42" t="s">
        <v>257</v>
      </c>
      <c r="C191" s="42" t="s">
        <v>256</v>
      </c>
      <c r="D191" s="56">
        <f>(6*2.52+1/2*2.52*1+0.7*0.45+2.98*2.18+0.9*1.32)*10.764</f>
        <v>262.41986160000005</v>
      </c>
      <c r="E191" s="42">
        <v>0</v>
      </c>
      <c r="F191" s="42">
        <f t="shared" ref="F191:F200" si="7">(D191+E191)*(($F$158)+1)</f>
        <v>419.87177856000011</v>
      </c>
      <c r="G191" s="91"/>
      <c r="H191" s="92"/>
      <c r="I191" s="42">
        <f>1.54*3.15</f>
        <v>4.851</v>
      </c>
      <c r="L191" s="76"/>
      <c r="M191" s="76"/>
      <c r="N191" s="36"/>
    </row>
    <row r="192" spans="1:14" s="37" customFormat="1" ht="15.75" customHeight="1" x14ac:dyDescent="0.25">
      <c r="A192" s="42">
        <f t="shared" si="6"/>
        <v>16</v>
      </c>
      <c r="B192" s="42" t="s">
        <v>259</v>
      </c>
      <c r="C192" s="42" t="s">
        <v>256</v>
      </c>
      <c r="D192" s="56">
        <f>(24.07)*10.764</f>
        <v>259.08947999999998</v>
      </c>
      <c r="E192" s="42">
        <v>0</v>
      </c>
      <c r="F192" s="42">
        <f t="shared" si="7"/>
        <v>414.54316799999998</v>
      </c>
      <c r="G192" s="91"/>
      <c r="H192" s="92"/>
      <c r="I192" s="42">
        <f>3.02*2.57*1.62*0.63</f>
        <v>7.9212848400000002</v>
      </c>
      <c r="L192" s="76"/>
      <c r="M192" s="76"/>
      <c r="N192" s="36"/>
    </row>
    <row r="193" spans="1:14" s="37" customFormat="1" ht="15.75" customHeight="1" x14ac:dyDescent="0.25">
      <c r="A193" s="42">
        <f t="shared" si="6"/>
        <v>17</v>
      </c>
      <c r="B193" s="42" t="s">
        <v>259</v>
      </c>
      <c r="C193" s="42" t="s">
        <v>256</v>
      </c>
      <c r="D193" s="56">
        <f>(20.9)*10.764</f>
        <v>224.96759999999998</v>
      </c>
      <c r="E193" s="42">
        <v>0</v>
      </c>
      <c r="F193" s="42">
        <f t="shared" si="7"/>
        <v>359.94815999999997</v>
      </c>
      <c r="G193" s="91"/>
      <c r="H193" s="92"/>
      <c r="I193" s="42">
        <f>2.9*8.3+1.8*1.45+1*1.05</f>
        <v>27.73</v>
      </c>
      <c r="L193" s="76"/>
      <c r="M193" s="76"/>
      <c r="N193" s="36"/>
    </row>
    <row r="194" spans="1:14" s="37" customFormat="1" ht="15.75" customHeight="1" x14ac:dyDescent="0.25">
      <c r="A194" s="42">
        <f t="shared" si="6"/>
        <v>18</v>
      </c>
      <c r="B194" s="42" t="s">
        <v>259</v>
      </c>
      <c r="C194" s="42" t="s">
        <v>256</v>
      </c>
      <c r="D194" s="56">
        <f>(14.33)*10.764</f>
        <v>154.24812</v>
      </c>
      <c r="E194" s="42">
        <v>0</v>
      </c>
      <c r="F194" s="42">
        <f t="shared" si="7"/>
        <v>246.79699200000002</v>
      </c>
      <c r="G194" s="91"/>
      <c r="H194" s="92"/>
      <c r="I194" s="36">
        <f>(3.74+3.4)/2*2.25</f>
        <v>8.0325000000000006</v>
      </c>
      <c r="L194" s="76"/>
      <c r="M194" s="76"/>
      <c r="N194" s="36"/>
    </row>
    <row r="195" spans="1:14" s="37" customFormat="1" ht="15.75" customHeight="1" x14ac:dyDescent="0.25">
      <c r="A195" s="42">
        <f t="shared" si="6"/>
        <v>19</v>
      </c>
      <c r="B195" s="42" t="s">
        <v>260</v>
      </c>
      <c r="C195" s="42" t="s">
        <v>256</v>
      </c>
      <c r="D195" s="56">
        <f>(20.9)*10.764</f>
        <v>224.96759999999998</v>
      </c>
      <c r="E195" s="42">
        <v>0</v>
      </c>
      <c r="F195" s="42">
        <f t="shared" si="7"/>
        <v>359.94815999999997</v>
      </c>
      <c r="G195" s="91"/>
      <c r="H195" s="92"/>
      <c r="I195" s="36"/>
      <c r="L195" s="76"/>
      <c r="M195" s="76"/>
      <c r="N195" s="36"/>
    </row>
    <row r="196" spans="1:14" s="37" customFormat="1" ht="15.75" customHeight="1" x14ac:dyDescent="0.25">
      <c r="A196" s="42">
        <f t="shared" si="6"/>
        <v>20</v>
      </c>
      <c r="B196" s="42" t="s">
        <v>257</v>
      </c>
      <c r="C196" s="42" t="s">
        <v>256</v>
      </c>
      <c r="D196" s="56">
        <f>(4.7*1.9+1/2*1.9*1+1.66*1.1)*10.764</f>
        <v>126.00338399999998</v>
      </c>
      <c r="E196" s="42">
        <v>0</v>
      </c>
      <c r="F196" s="42">
        <f t="shared" si="7"/>
        <v>201.60541439999997</v>
      </c>
      <c r="G196" s="91"/>
      <c r="H196" s="92"/>
      <c r="I196" s="36"/>
      <c r="L196" s="76"/>
      <c r="M196" s="76"/>
      <c r="N196" s="36"/>
    </row>
    <row r="197" spans="1:14" s="37" customFormat="1" ht="15.75" customHeight="1" x14ac:dyDescent="0.25">
      <c r="A197" s="42">
        <f t="shared" si="6"/>
        <v>21</v>
      </c>
      <c r="B197" s="42" t="s">
        <v>260</v>
      </c>
      <c r="C197" s="42" t="s">
        <v>256</v>
      </c>
      <c r="D197" s="56">
        <f>(1.71*0.95+1/2*0.75*0.95)*10.764</f>
        <v>21.320792999999995</v>
      </c>
      <c r="E197" s="42">
        <v>0</v>
      </c>
      <c r="F197" s="42">
        <f t="shared" si="7"/>
        <v>34.113268799999993</v>
      </c>
      <c r="G197" s="91"/>
      <c r="H197" s="92"/>
      <c r="I197" s="36"/>
      <c r="L197" s="76"/>
      <c r="M197" s="76"/>
      <c r="N197" s="36"/>
    </row>
    <row r="198" spans="1:14" s="37" customFormat="1" ht="15.75" customHeight="1" x14ac:dyDescent="0.25">
      <c r="A198" s="42">
        <f t="shared" si="6"/>
        <v>22</v>
      </c>
      <c r="B198" s="42" t="s">
        <v>257</v>
      </c>
      <c r="C198" s="42" t="s">
        <v>256</v>
      </c>
      <c r="D198" s="56">
        <f>(2.95*0.95+2.3*4.5+1/2*4.5*2)*10.764</f>
        <v>190.01150999999999</v>
      </c>
      <c r="E198" s="42">
        <v>0</v>
      </c>
      <c r="F198" s="42">
        <f t="shared" si="7"/>
        <v>304.018416</v>
      </c>
      <c r="G198" s="91"/>
      <c r="H198" s="92"/>
      <c r="I198" s="36"/>
      <c r="L198" s="76"/>
      <c r="M198" s="76"/>
      <c r="N198" s="36"/>
    </row>
    <row r="199" spans="1:14" s="37" customFormat="1" ht="15.75" customHeight="1" x14ac:dyDescent="0.25">
      <c r="A199" s="42">
        <f t="shared" si="6"/>
        <v>23</v>
      </c>
      <c r="B199" s="42" t="s">
        <v>260</v>
      </c>
      <c r="C199" s="42" t="s">
        <v>256</v>
      </c>
      <c r="D199" s="56">
        <f>(9.5)*10.764</f>
        <v>102.258</v>
      </c>
      <c r="E199" s="42">
        <v>0</v>
      </c>
      <c r="F199" s="42">
        <f t="shared" si="7"/>
        <v>163.61279999999999</v>
      </c>
      <c r="G199" s="91"/>
      <c r="H199" s="92"/>
      <c r="I199" s="36"/>
      <c r="L199" s="76"/>
      <c r="M199" s="76"/>
      <c r="N199" s="36"/>
    </row>
    <row r="200" spans="1:14" s="37" customFormat="1" ht="15.75" customHeight="1" x14ac:dyDescent="0.25">
      <c r="A200" s="42">
        <f t="shared" si="6"/>
        <v>24</v>
      </c>
      <c r="B200" s="42" t="s">
        <v>260</v>
      </c>
      <c r="C200" s="42" t="s">
        <v>256</v>
      </c>
      <c r="D200" s="56">
        <f>(9.48)*10.764</f>
        <v>102.04272</v>
      </c>
      <c r="E200" s="42">
        <v>0</v>
      </c>
      <c r="F200" s="42">
        <f t="shared" si="7"/>
        <v>163.26835200000002</v>
      </c>
      <c r="G200" s="91"/>
      <c r="H200" s="92"/>
      <c r="I200" s="36"/>
      <c r="L200" s="76"/>
      <c r="M200" s="76"/>
      <c r="N200" s="36"/>
    </row>
    <row r="201" spans="1:14" s="37" customFormat="1" x14ac:dyDescent="0.25">
      <c r="A201" s="74"/>
      <c r="B201" s="168"/>
      <c r="C201" s="168"/>
      <c r="D201" s="168"/>
      <c r="E201" s="168"/>
      <c r="F201" s="168"/>
      <c r="G201" s="168"/>
      <c r="H201" s="75"/>
      <c r="I201" s="36"/>
      <c r="N201" s="36"/>
    </row>
    <row r="202" spans="1:14" ht="47.25" customHeight="1" x14ac:dyDescent="0.25">
      <c r="A202" s="110" t="s">
        <v>120</v>
      </c>
      <c r="B202" s="87" t="s">
        <v>178</v>
      </c>
      <c r="C202" s="87" t="s">
        <v>57</v>
      </c>
      <c r="D202" s="87" t="s">
        <v>58</v>
      </c>
      <c r="E202" s="108" t="s">
        <v>59</v>
      </c>
      <c r="F202" s="43" t="s">
        <v>148</v>
      </c>
      <c r="G202" s="110" t="s">
        <v>60</v>
      </c>
      <c r="H202" s="111"/>
      <c r="I202" s="36"/>
    </row>
    <row r="203" spans="1:14" s="37" customFormat="1" x14ac:dyDescent="0.25">
      <c r="A203" s="112"/>
      <c r="B203" s="88"/>
      <c r="C203" s="88"/>
      <c r="D203" s="88"/>
      <c r="E203" s="109"/>
      <c r="F203" s="13">
        <v>0.55000000000000004</v>
      </c>
      <c r="G203" s="112"/>
      <c r="H203" s="113"/>
      <c r="I203" s="36"/>
    </row>
    <row r="204" spans="1:14" s="37" customFormat="1" ht="15.75" customHeight="1" x14ac:dyDescent="0.25">
      <c r="A204" s="70" t="s">
        <v>253</v>
      </c>
      <c r="B204" s="71"/>
      <c r="C204" s="71"/>
      <c r="D204" s="71"/>
      <c r="E204" s="71"/>
      <c r="F204" s="71"/>
      <c r="G204" s="71"/>
      <c r="H204" s="72"/>
      <c r="J204" s="36"/>
    </row>
    <row r="205" spans="1:14" s="37" customFormat="1" ht="15.75" customHeight="1" x14ac:dyDescent="0.25">
      <c r="A205" s="70" t="s">
        <v>254</v>
      </c>
      <c r="B205" s="71"/>
      <c r="C205" s="71"/>
      <c r="D205" s="71"/>
      <c r="E205" s="71"/>
      <c r="F205" s="71"/>
      <c r="G205" s="71"/>
      <c r="H205" s="72"/>
      <c r="J205" s="36"/>
    </row>
    <row r="206" spans="1:14" s="37" customFormat="1" ht="15.75" customHeight="1" x14ac:dyDescent="0.25">
      <c r="A206" s="70" t="s">
        <v>262</v>
      </c>
      <c r="B206" s="71"/>
      <c r="C206" s="71"/>
      <c r="D206" s="71"/>
      <c r="E206" s="71"/>
      <c r="F206" s="71"/>
      <c r="G206" s="71"/>
      <c r="H206" s="72"/>
      <c r="J206" s="56">
        <v>10.763999999999999</v>
      </c>
      <c r="K206" s="37" t="s">
        <v>282</v>
      </c>
      <c r="N206" s="37" t="s">
        <v>281</v>
      </c>
    </row>
    <row r="207" spans="1:14" s="37" customFormat="1" ht="15.75" customHeight="1" x14ac:dyDescent="0.25">
      <c r="A207" s="74">
        <v>1</v>
      </c>
      <c r="B207" s="75"/>
      <c r="C207" s="42" t="s">
        <v>264</v>
      </c>
      <c r="D207" s="56">
        <f>(34.59)*10.764</f>
        <v>372.32676000000004</v>
      </c>
      <c r="E207" s="42">
        <v>0</v>
      </c>
      <c r="F207" s="42">
        <f t="shared" ref="F207:F213" si="8">D207*(($F$203)+1)+(IF(E207&lt;101,E207,IF(E207&lt;201,E207/2,IF(E207&lt;=301,E207/3,E207/4))))</f>
        <v>577.10647800000004</v>
      </c>
      <c r="G207" s="89" t="str">
        <f>A206</f>
        <v>Upper Ground Floor For Residential</v>
      </c>
      <c r="H207" s="90"/>
      <c r="I207" s="36">
        <f>2.75*4.5+2*2.3+2.75*3.35+1.2*1.2+2.1*1.2+2*0.9</f>
        <v>31.947500000000002</v>
      </c>
      <c r="K207" s="36">
        <f>9900000/F207</f>
        <v>17154.546651961165</v>
      </c>
      <c r="L207" s="73">
        <f>10000000/F207</f>
        <v>17327.824900970874</v>
      </c>
      <c r="M207" s="73"/>
      <c r="N207" s="36">
        <f>7150000/F207</f>
        <v>12389.394804194175</v>
      </c>
    </row>
    <row r="208" spans="1:14" s="37" customFormat="1" ht="15.75" customHeight="1" x14ac:dyDescent="0.25">
      <c r="A208" s="74">
        <v>2</v>
      </c>
      <c r="B208" s="75"/>
      <c r="C208" s="42" t="s">
        <v>264</v>
      </c>
      <c r="D208" s="56">
        <f>(40.81)*10.764</f>
        <v>439.27884</v>
      </c>
      <c r="E208" s="42">
        <v>0</v>
      </c>
      <c r="F208" s="42">
        <f t="shared" si="8"/>
        <v>680.88220200000001</v>
      </c>
      <c r="G208" s="91"/>
      <c r="H208" s="92"/>
      <c r="I208" s="36"/>
      <c r="L208" s="73"/>
      <c r="M208" s="73"/>
      <c r="N208" s="36">
        <f>12700000/F208</f>
        <v>18652.271953497177</v>
      </c>
    </row>
    <row r="209" spans="1:14" s="37" customFormat="1" ht="15.75" customHeight="1" x14ac:dyDescent="0.25">
      <c r="A209" s="74">
        <v>3</v>
      </c>
      <c r="B209" s="75"/>
      <c r="C209" s="42" t="s">
        <v>264</v>
      </c>
      <c r="D209" s="56">
        <f>(40.81)*10.764</f>
        <v>439.27884</v>
      </c>
      <c r="E209" s="42">
        <v>0</v>
      </c>
      <c r="F209" s="42">
        <f t="shared" si="8"/>
        <v>680.88220200000001</v>
      </c>
      <c r="G209" s="91"/>
      <c r="H209" s="92"/>
      <c r="I209" s="36"/>
      <c r="L209" s="73"/>
      <c r="M209" s="73"/>
      <c r="N209" s="36">
        <f>12700000/F209</f>
        <v>18652.271953497177</v>
      </c>
    </row>
    <row r="210" spans="1:14" s="37" customFormat="1" ht="15.75" customHeight="1" x14ac:dyDescent="0.25">
      <c r="A210" s="74">
        <v>4</v>
      </c>
      <c r="B210" s="75"/>
      <c r="C210" s="42" t="s">
        <v>264</v>
      </c>
      <c r="D210" s="56">
        <f>(37.36)*10.764</f>
        <v>402.14303999999998</v>
      </c>
      <c r="E210" s="42">
        <v>0</v>
      </c>
      <c r="F210" s="42">
        <f t="shared" si="8"/>
        <v>623.32171200000005</v>
      </c>
      <c r="G210" s="91"/>
      <c r="H210" s="92"/>
      <c r="I210" s="36"/>
      <c r="L210" s="73"/>
      <c r="M210" s="73"/>
      <c r="N210" s="36">
        <f>7747000/F210</f>
        <v>12428.573962461298</v>
      </c>
    </row>
    <row r="211" spans="1:14" s="37" customFormat="1" ht="15.75" customHeight="1" x14ac:dyDescent="0.25">
      <c r="A211" s="74">
        <v>5</v>
      </c>
      <c r="B211" s="75"/>
      <c r="C211" s="42" t="s">
        <v>264</v>
      </c>
      <c r="D211" s="56">
        <f>(37.36)*10.764</f>
        <v>402.14303999999998</v>
      </c>
      <c r="E211" s="42">
        <v>0</v>
      </c>
      <c r="F211" s="42">
        <f t="shared" si="8"/>
        <v>623.32171200000005</v>
      </c>
      <c r="G211" s="91"/>
      <c r="H211" s="92"/>
      <c r="I211" s="36">
        <f>2.9*4.85+2*2.3+2.75*3.35+2*1.35+1.8*1.35+0.55*0.9+1.65*0.9</f>
        <v>34.987499999999997</v>
      </c>
      <c r="L211" s="73"/>
      <c r="M211" s="73"/>
      <c r="N211" s="36"/>
    </row>
    <row r="212" spans="1:14" s="37" customFormat="1" ht="15.75" customHeight="1" x14ac:dyDescent="0.25">
      <c r="A212" s="74">
        <v>6</v>
      </c>
      <c r="B212" s="75"/>
      <c r="C212" s="42" t="s">
        <v>263</v>
      </c>
      <c r="D212" s="56">
        <f>(55.93)*10.764</f>
        <v>602.03051999999991</v>
      </c>
      <c r="E212" s="42">
        <v>0</v>
      </c>
      <c r="F212" s="42">
        <f t="shared" si="8"/>
        <v>933.14730599999984</v>
      </c>
      <c r="G212" s="91"/>
      <c r="H212" s="92"/>
      <c r="I212" s="36">
        <f>5.55*3+3*2+3*2.75+3.41*3+1.35*2.43+1.35*2.38+0.9*5.3</f>
        <v>52.393500000000003</v>
      </c>
      <c r="L212" s="73">
        <f>18000000/F212</f>
        <v>19289.558984163217</v>
      </c>
      <c r="M212" s="73"/>
      <c r="N212" s="36"/>
    </row>
    <row r="213" spans="1:14" s="37" customFormat="1" ht="15.75" customHeight="1" x14ac:dyDescent="0.25">
      <c r="A213" s="74">
        <v>7</v>
      </c>
      <c r="B213" s="75"/>
      <c r="C213" s="42" t="s">
        <v>264</v>
      </c>
      <c r="D213" s="56">
        <f>(37.36)*10.764</f>
        <v>402.14303999999998</v>
      </c>
      <c r="E213" s="42">
        <v>0</v>
      </c>
      <c r="F213" s="42">
        <f t="shared" si="8"/>
        <v>623.32171200000005</v>
      </c>
      <c r="G213" s="93"/>
      <c r="H213" s="94"/>
      <c r="I213" s="36"/>
      <c r="L213" s="73"/>
      <c r="M213" s="73"/>
      <c r="N213" s="36"/>
    </row>
    <row r="214" spans="1:14" s="37" customFormat="1" ht="15.75" customHeight="1" x14ac:dyDescent="0.25">
      <c r="A214" s="70" t="s">
        <v>269</v>
      </c>
      <c r="B214" s="71"/>
      <c r="C214" s="71"/>
      <c r="D214" s="71"/>
      <c r="E214" s="71"/>
      <c r="F214" s="71"/>
      <c r="G214" s="71"/>
      <c r="H214" s="72"/>
      <c r="J214" s="36"/>
    </row>
    <row r="215" spans="1:14" s="37" customFormat="1" ht="15.75" customHeight="1" x14ac:dyDescent="0.25">
      <c r="A215" s="74">
        <v>1</v>
      </c>
      <c r="B215" s="75"/>
      <c r="C215" s="42" t="s">
        <v>264</v>
      </c>
      <c r="D215" s="56">
        <f>(34.59)*10.764</f>
        <v>372.32676000000004</v>
      </c>
      <c r="E215" s="42">
        <v>0</v>
      </c>
      <c r="F215" s="42">
        <f t="shared" ref="F215:F221" si="9">D215*(($F$203)+1)+(IF(E215&lt;101,E215,IF(E215&lt;201,E215/2,IF(E215&lt;=301,E215/3,E215/4))))</f>
        <v>577.10647800000004</v>
      </c>
      <c r="G215" s="89" t="str">
        <f>A214</f>
        <v>1st to 6th, 8th to 13th, 15th to 20th Floor</v>
      </c>
      <c r="H215" s="90"/>
      <c r="I215" s="36"/>
      <c r="L215" s="76"/>
      <c r="M215" s="76"/>
      <c r="N215" s="36"/>
    </row>
    <row r="216" spans="1:14" s="37" customFormat="1" ht="15.75" customHeight="1" x14ac:dyDescent="0.25">
      <c r="A216" s="74">
        <v>2</v>
      </c>
      <c r="B216" s="75"/>
      <c r="C216" s="42" t="s">
        <v>264</v>
      </c>
      <c r="D216" s="56">
        <f>(40.81)*10.764</f>
        <v>439.27884</v>
      </c>
      <c r="E216" s="42">
        <v>0</v>
      </c>
      <c r="F216" s="42">
        <f t="shared" si="9"/>
        <v>680.88220200000001</v>
      </c>
      <c r="G216" s="91"/>
      <c r="H216" s="92"/>
      <c r="I216" s="36"/>
      <c r="L216" s="76"/>
      <c r="M216" s="76"/>
      <c r="N216" s="36">
        <f>8461000/F216</f>
        <v>12426.525432955876</v>
      </c>
    </row>
    <row r="217" spans="1:14" s="37" customFormat="1" ht="15.75" customHeight="1" x14ac:dyDescent="0.25">
      <c r="A217" s="74">
        <v>3</v>
      </c>
      <c r="B217" s="75"/>
      <c r="C217" s="42" t="s">
        <v>264</v>
      </c>
      <c r="D217" s="56">
        <f>(40.81)*10.764</f>
        <v>439.27884</v>
      </c>
      <c r="E217" s="42">
        <v>0</v>
      </c>
      <c r="F217" s="42">
        <f t="shared" si="9"/>
        <v>680.88220200000001</v>
      </c>
      <c r="G217" s="91"/>
      <c r="H217" s="92"/>
      <c r="I217" s="36"/>
      <c r="L217" s="76"/>
      <c r="M217" s="76"/>
      <c r="N217" s="36"/>
    </row>
    <row r="218" spans="1:14" s="37" customFormat="1" ht="15.75" customHeight="1" x14ac:dyDescent="0.25">
      <c r="A218" s="74">
        <v>4</v>
      </c>
      <c r="B218" s="75"/>
      <c r="C218" s="42" t="s">
        <v>264</v>
      </c>
      <c r="D218" s="56">
        <f>(37.36)*10.764</f>
        <v>402.14303999999998</v>
      </c>
      <c r="E218" s="42">
        <v>0</v>
      </c>
      <c r="F218" s="42">
        <f t="shared" si="9"/>
        <v>623.32171200000005</v>
      </c>
      <c r="G218" s="91"/>
      <c r="H218" s="92"/>
      <c r="I218" s="36"/>
      <c r="L218" s="76"/>
      <c r="M218" s="76"/>
      <c r="N218" s="36"/>
    </row>
    <row r="219" spans="1:14" s="37" customFormat="1" ht="15.75" customHeight="1" x14ac:dyDescent="0.25">
      <c r="A219" s="74">
        <v>5</v>
      </c>
      <c r="B219" s="75"/>
      <c r="C219" s="42" t="s">
        <v>264</v>
      </c>
      <c r="D219" s="56">
        <f>(37.36)*10.764</f>
        <v>402.14303999999998</v>
      </c>
      <c r="E219" s="42">
        <v>0</v>
      </c>
      <c r="F219" s="42">
        <f t="shared" si="9"/>
        <v>623.32171200000005</v>
      </c>
      <c r="G219" s="91"/>
      <c r="H219" s="92"/>
      <c r="I219" s="36"/>
      <c r="L219" s="76"/>
      <c r="M219" s="76"/>
      <c r="N219" s="36"/>
    </row>
    <row r="220" spans="1:14" s="37" customFormat="1" ht="15.75" customHeight="1" x14ac:dyDescent="0.25">
      <c r="A220" s="74">
        <v>6</v>
      </c>
      <c r="B220" s="75"/>
      <c r="C220" s="42" t="s">
        <v>263</v>
      </c>
      <c r="D220" s="56">
        <f>(55.93)*10.764</f>
        <v>602.03051999999991</v>
      </c>
      <c r="E220" s="42">
        <v>0</v>
      </c>
      <c r="F220" s="42">
        <f t="shared" si="9"/>
        <v>933.14730599999984</v>
      </c>
      <c r="G220" s="91"/>
      <c r="H220" s="92"/>
      <c r="I220" s="36"/>
      <c r="L220" s="76"/>
      <c r="M220" s="76"/>
      <c r="N220" s="36"/>
    </row>
    <row r="221" spans="1:14" s="37" customFormat="1" ht="15.75" customHeight="1" x14ac:dyDescent="0.25">
      <c r="A221" s="74">
        <v>7</v>
      </c>
      <c r="B221" s="75"/>
      <c r="C221" s="42" t="s">
        <v>264</v>
      </c>
      <c r="D221" s="56">
        <f>(37.36)*10.764</f>
        <v>402.14303999999998</v>
      </c>
      <c r="E221" s="42">
        <v>0</v>
      </c>
      <c r="F221" s="42">
        <f t="shared" si="9"/>
        <v>623.32171200000005</v>
      </c>
      <c r="G221" s="91"/>
      <c r="H221" s="92"/>
      <c r="I221" s="36"/>
      <c r="L221" s="76"/>
      <c r="M221" s="76"/>
      <c r="N221" s="36"/>
    </row>
    <row r="222" spans="1:14" s="37" customFormat="1" ht="15.75" customHeight="1" x14ac:dyDescent="0.25">
      <c r="A222" s="74">
        <v>8</v>
      </c>
      <c r="B222" s="75"/>
      <c r="C222" s="42" t="s">
        <v>264</v>
      </c>
      <c r="D222" s="56">
        <f>(37.36)*10.764</f>
        <v>402.14303999999998</v>
      </c>
      <c r="E222" s="42">
        <v>0</v>
      </c>
      <c r="F222" s="42">
        <f t="shared" ref="F222:F223" si="10">D222*(($F$203)+1)+(IF(E222&lt;101,E222,IF(E222&lt;201,E222/2,IF(E222&lt;=301,E222/3,E222/4))))</f>
        <v>623.32171200000005</v>
      </c>
      <c r="G222" s="91"/>
      <c r="H222" s="92"/>
      <c r="I222" s="36"/>
      <c r="L222" s="76"/>
      <c r="M222" s="76"/>
      <c r="N222" s="36"/>
    </row>
    <row r="223" spans="1:14" s="37" customFormat="1" ht="15.75" customHeight="1" x14ac:dyDescent="0.25">
      <c r="A223" s="74">
        <v>9</v>
      </c>
      <c r="B223" s="75"/>
      <c r="C223" s="42" t="s">
        <v>263</v>
      </c>
      <c r="D223" s="56">
        <f>(49.25)*10.764</f>
        <v>530.12699999999995</v>
      </c>
      <c r="E223" s="42">
        <v>0</v>
      </c>
      <c r="F223" s="42">
        <f t="shared" si="10"/>
        <v>821.69684999999993</v>
      </c>
      <c r="G223" s="93"/>
      <c r="H223" s="94"/>
      <c r="I223" s="36"/>
      <c r="L223" s="76"/>
      <c r="M223" s="76"/>
      <c r="N223" s="36"/>
    </row>
    <row r="224" spans="1:14" s="37" customFormat="1" ht="15.75" customHeight="1" x14ac:dyDescent="0.25">
      <c r="A224" s="70" t="s">
        <v>270</v>
      </c>
      <c r="B224" s="71"/>
      <c r="C224" s="71"/>
      <c r="D224" s="71"/>
      <c r="E224" s="71"/>
      <c r="F224" s="71"/>
      <c r="G224" s="71"/>
      <c r="H224" s="72"/>
      <c r="J224" s="36"/>
    </row>
    <row r="225" spans="1:14" s="37" customFormat="1" ht="15.75" customHeight="1" x14ac:dyDescent="0.25">
      <c r="A225" s="74">
        <v>1</v>
      </c>
      <c r="B225" s="75"/>
      <c r="C225" s="42" t="s">
        <v>264</v>
      </c>
      <c r="D225" s="56">
        <f>(34.59)*10.764</f>
        <v>372.32676000000004</v>
      </c>
      <c r="E225" s="42">
        <v>0</v>
      </c>
      <c r="F225" s="42">
        <f>D225*(($F$203)+1)+(IF(E225&lt;101,E225,IF(E225&lt;201,E225/2,IF(E225&lt;=301,E225/3,E225/4))))</f>
        <v>577.10647800000004</v>
      </c>
      <c r="G225" s="89" t="str">
        <f>A224</f>
        <v>7th Floor (Part Refuge Area)</v>
      </c>
      <c r="H225" s="90"/>
      <c r="I225" s="36"/>
      <c r="L225" s="76"/>
      <c r="M225" s="76"/>
      <c r="N225" s="36"/>
    </row>
    <row r="226" spans="1:14" s="37" customFormat="1" ht="15.75" customHeight="1" x14ac:dyDescent="0.25">
      <c r="A226" s="74">
        <v>2</v>
      </c>
      <c r="B226" s="75"/>
      <c r="C226" s="42" t="s">
        <v>264</v>
      </c>
      <c r="D226" s="56">
        <f>(40.81)*10.764</f>
        <v>439.27884</v>
      </c>
      <c r="E226" s="42">
        <v>0</v>
      </c>
      <c r="F226" s="42">
        <f>D226*(($F$203)+1)+(IF(E226&lt;101,E226,IF(E226&lt;201,E226/2,IF(E226&lt;=301,E226/3,E226/4))))</f>
        <v>680.88220200000001</v>
      </c>
      <c r="G226" s="91"/>
      <c r="H226" s="92"/>
      <c r="I226" s="36"/>
      <c r="L226" s="76"/>
      <c r="M226" s="76"/>
      <c r="N226" s="36"/>
    </row>
    <row r="227" spans="1:14" s="37" customFormat="1" ht="15.75" customHeight="1" x14ac:dyDescent="0.25">
      <c r="A227" s="74">
        <v>3</v>
      </c>
      <c r="B227" s="75"/>
      <c r="C227" s="89" t="s">
        <v>271</v>
      </c>
      <c r="D227" s="184"/>
      <c r="E227" s="184"/>
      <c r="F227" s="90"/>
      <c r="G227" s="91"/>
      <c r="H227" s="92"/>
      <c r="I227" s="36"/>
      <c r="L227" s="76"/>
      <c r="M227" s="76"/>
      <c r="N227" s="36"/>
    </row>
    <row r="228" spans="1:14" s="37" customFormat="1" ht="15.75" customHeight="1" x14ac:dyDescent="0.25">
      <c r="A228" s="74">
        <v>4</v>
      </c>
      <c r="B228" s="75"/>
      <c r="C228" s="91"/>
      <c r="D228" s="207"/>
      <c r="E228" s="207"/>
      <c r="F228" s="92"/>
      <c r="G228" s="91"/>
      <c r="H228" s="92"/>
      <c r="I228" s="36"/>
      <c r="L228" s="76"/>
      <c r="M228" s="76"/>
      <c r="N228" s="36"/>
    </row>
    <row r="229" spans="1:14" s="37" customFormat="1" ht="15.75" customHeight="1" x14ac:dyDescent="0.25">
      <c r="A229" s="74">
        <v>5</v>
      </c>
      <c r="B229" s="75"/>
      <c r="C229" s="93"/>
      <c r="D229" s="185"/>
      <c r="E229" s="185"/>
      <c r="F229" s="94"/>
      <c r="G229" s="91"/>
      <c r="H229" s="92"/>
      <c r="I229" s="36"/>
      <c r="L229" s="76"/>
      <c r="M229" s="76"/>
      <c r="N229" s="36"/>
    </row>
    <row r="230" spans="1:14" s="37" customFormat="1" ht="15.75" customHeight="1" x14ac:dyDescent="0.25">
      <c r="A230" s="74">
        <v>6</v>
      </c>
      <c r="B230" s="75"/>
      <c r="C230" s="42" t="s">
        <v>263</v>
      </c>
      <c r="D230" s="56">
        <f>(55.93)*10.764</f>
        <v>602.03051999999991</v>
      </c>
      <c r="E230" s="42">
        <v>0</v>
      </c>
      <c r="F230" s="42">
        <f>D230*(($F$203)+1)+(IF(E230&lt;101,E230,IF(E230&lt;201,E230/2,IF(E230&lt;=301,E230/3,E230/4))))</f>
        <v>933.14730599999984</v>
      </c>
      <c r="G230" s="91"/>
      <c r="H230" s="92"/>
      <c r="I230" s="36"/>
      <c r="L230" s="76"/>
      <c r="M230" s="76"/>
      <c r="N230" s="36"/>
    </row>
    <row r="231" spans="1:14" s="37" customFormat="1" ht="15.75" customHeight="1" x14ac:dyDescent="0.25">
      <c r="A231" s="74">
        <v>7</v>
      </c>
      <c r="B231" s="75"/>
      <c r="C231" s="42" t="s">
        <v>264</v>
      </c>
      <c r="D231" s="56">
        <f>(37.36)*10.764</f>
        <v>402.14303999999998</v>
      </c>
      <c r="E231" s="42">
        <v>0</v>
      </c>
      <c r="F231" s="42">
        <f>D231*(($F$203)+1)+(IF(E231&lt;101,E231,IF(E231&lt;201,E231/2,IF(E231&lt;=301,E231/3,E231/4))))</f>
        <v>623.32171200000005</v>
      </c>
      <c r="G231" s="91"/>
      <c r="H231" s="92"/>
      <c r="I231" s="36"/>
      <c r="L231" s="76"/>
      <c r="M231" s="76"/>
      <c r="N231" s="36"/>
    </row>
    <row r="232" spans="1:14" s="37" customFormat="1" ht="15.75" customHeight="1" x14ac:dyDescent="0.25">
      <c r="A232" s="74">
        <v>8</v>
      </c>
      <c r="B232" s="75"/>
      <c r="C232" s="42" t="s">
        <v>264</v>
      </c>
      <c r="D232" s="56">
        <f>(37.36)*10.764</f>
        <v>402.14303999999998</v>
      </c>
      <c r="E232" s="42">
        <v>0</v>
      </c>
      <c r="F232" s="42">
        <f>D232*(($F$203)+1)+(IF(E232&lt;101,E232,IF(E232&lt;201,E232/2,IF(E232&lt;=301,E232/3,E232/4))))</f>
        <v>623.32171200000005</v>
      </c>
      <c r="G232" s="91"/>
      <c r="H232" s="92"/>
      <c r="I232" s="36"/>
      <c r="L232" s="76"/>
      <c r="M232" s="76"/>
      <c r="N232" s="36"/>
    </row>
    <row r="233" spans="1:14" s="37" customFormat="1" ht="15.75" customHeight="1" x14ac:dyDescent="0.25">
      <c r="A233" s="74">
        <v>9</v>
      </c>
      <c r="B233" s="75"/>
      <c r="C233" s="42" t="s">
        <v>263</v>
      </c>
      <c r="D233" s="56">
        <f>(49.25)*10.764</f>
        <v>530.12699999999995</v>
      </c>
      <c r="E233" s="42">
        <v>0</v>
      </c>
      <c r="F233" s="42">
        <f>D233*(($F$203)+1)+(IF(E233&lt;101,E233,IF(E233&lt;201,E233/2,IF(E233&lt;=301,E233/3,E233/4))))</f>
        <v>821.69684999999993</v>
      </c>
      <c r="G233" s="93"/>
      <c r="H233" s="94"/>
      <c r="I233" s="36"/>
      <c r="L233" s="76"/>
      <c r="M233" s="76"/>
      <c r="N233" s="36"/>
    </row>
    <row r="234" spans="1:14" s="37" customFormat="1" ht="15.75" customHeight="1" x14ac:dyDescent="0.25">
      <c r="A234" s="70" t="s">
        <v>272</v>
      </c>
      <c r="B234" s="71"/>
      <c r="C234" s="71"/>
      <c r="D234" s="71"/>
      <c r="E234" s="71"/>
      <c r="F234" s="71"/>
      <c r="G234" s="71"/>
      <c r="H234" s="72"/>
      <c r="J234" s="36"/>
    </row>
    <row r="235" spans="1:14" s="37" customFormat="1" ht="15.75" customHeight="1" x14ac:dyDescent="0.25">
      <c r="A235" s="74">
        <v>1</v>
      </c>
      <c r="B235" s="75"/>
      <c r="C235" s="42" t="s">
        <v>264</v>
      </c>
      <c r="D235" s="56">
        <f>(34.59)*10.764</f>
        <v>372.32676000000004</v>
      </c>
      <c r="E235" s="42">
        <v>0</v>
      </c>
      <c r="F235" s="42">
        <f t="shared" ref="F235:F236" si="11">D235*(($F$203)+1)+(IF(E235&lt;101,E235,IF(E235&lt;201,E235/2,IF(E235&lt;=301,E235/3,E235/4))))</f>
        <v>577.10647800000004</v>
      </c>
      <c r="G235" s="89" t="str">
        <f>A234</f>
        <v>14th Floor (Part Refuge Area)</v>
      </c>
      <c r="H235" s="90"/>
      <c r="I235" s="36"/>
      <c r="L235" s="76"/>
      <c r="M235" s="76"/>
      <c r="N235" s="36"/>
    </row>
    <row r="236" spans="1:14" s="37" customFormat="1" ht="15.75" customHeight="1" x14ac:dyDescent="0.25">
      <c r="A236" s="74">
        <v>2</v>
      </c>
      <c r="B236" s="75"/>
      <c r="C236" s="42" t="s">
        <v>264</v>
      </c>
      <c r="D236" s="56">
        <f>(40.81)*10.764</f>
        <v>439.27884</v>
      </c>
      <c r="E236" s="42">
        <v>0</v>
      </c>
      <c r="F236" s="42">
        <f t="shared" si="11"/>
        <v>680.88220200000001</v>
      </c>
      <c r="G236" s="91"/>
      <c r="H236" s="92"/>
      <c r="I236" s="36"/>
      <c r="L236" s="76"/>
      <c r="M236" s="76"/>
      <c r="N236" s="36"/>
    </row>
    <row r="237" spans="1:14" s="37" customFormat="1" ht="15.75" customHeight="1" x14ac:dyDescent="0.25">
      <c r="A237" s="74">
        <v>3</v>
      </c>
      <c r="B237" s="75"/>
      <c r="C237" s="89" t="s">
        <v>271</v>
      </c>
      <c r="D237" s="184"/>
      <c r="E237" s="184"/>
      <c r="F237" s="90"/>
      <c r="G237" s="91"/>
      <c r="H237" s="92"/>
      <c r="I237" s="36"/>
      <c r="L237" s="76"/>
      <c r="M237" s="76"/>
      <c r="N237" s="36"/>
    </row>
    <row r="238" spans="1:14" s="37" customFormat="1" ht="15.75" customHeight="1" x14ac:dyDescent="0.25">
      <c r="A238" s="74">
        <v>4</v>
      </c>
      <c r="B238" s="75"/>
      <c r="C238" s="91"/>
      <c r="D238" s="207"/>
      <c r="E238" s="207"/>
      <c r="F238" s="92"/>
      <c r="G238" s="91"/>
      <c r="H238" s="92"/>
      <c r="I238" s="36"/>
      <c r="L238" s="76"/>
      <c r="M238" s="76"/>
      <c r="N238" s="36"/>
    </row>
    <row r="239" spans="1:14" s="37" customFormat="1" ht="15.75" customHeight="1" x14ac:dyDescent="0.25">
      <c r="A239" s="74">
        <v>5</v>
      </c>
      <c r="B239" s="75"/>
      <c r="C239" s="93"/>
      <c r="D239" s="185"/>
      <c r="E239" s="185"/>
      <c r="F239" s="94"/>
      <c r="G239" s="91"/>
      <c r="H239" s="92"/>
      <c r="I239" s="36"/>
      <c r="L239" s="76"/>
      <c r="M239" s="76"/>
      <c r="N239" s="36"/>
    </row>
    <row r="240" spans="1:14" s="37" customFormat="1" ht="15.75" customHeight="1" x14ac:dyDescent="0.25">
      <c r="A240" s="74">
        <v>6</v>
      </c>
      <c r="B240" s="75"/>
      <c r="C240" s="42" t="s">
        <v>263</v>
      </c>
      <c r="D240" s="56">
        <f>(55.93)*10.764</f>
        <v>602.03051999999991</v>
      </c>
      <c r="E240" s="42">
        <v>0</v>
      </c>
      <c r="F240" s="42">
        <f t="shared" ref="F240:F243" si="12">D240*(($F$203)+1)+(IF(E240&lt;101,E240,IF(E240&lt;201,E240/2,IF(E240&lt;=301,E240/3,E240/4))))</f>
        <v>933.14730599999984</v>
      </c>
      <c r="G240" s="91"/>
      <c r="H240" s="92"/>
      <c r="I240" s="36"/>
      <c r="L240" s="76"/>
      <c r="M240" s="76"/>
      <c r="N240" s="36"/>
    </row>
    <row r="241" spans="1:14" s="37" customFormat="1" ht="15.75" customHeight="1" x14ac:dyDescent="0.25">
      <c r="A241" s="74">
        <v>7</v>
      </c>
      <c r="B241" s="75"/>
      <c r="C241" s="42" t="s">
        <v>264</v>
      </c>
      <c r="D241" s="56">
        <f>(37.36)*10.764</f>
        <v>402.14303999999998</v>
      </c>
      <c r="E241" s="42">
        <v>0</v>
      </c>
      <c r="F241" s="42">
        <f t="shared" si="12"/>
        <v>623.32171200000005</v>
      </c>
      <c r="G241" s="91"/>
      <c r="H241" s="92"/>
      <c r="I241" s="36"/>
      <c r="L241" s="76"/>
      <c r="M241" s="76"/>
      <c r="N241" s="36"/>
    </row>
    <row r="242" spans="1:14" s="37" customFormat="1" ht="15.75" customHeight="1" x14ac:dyDescent="0.25">
      <c r="A242" s="74">
        <v>8</v>
      </c>
      <c r="B242" s="75"/>
      <c r="C242" s="42" t="s">
        <v>264</v>
      </c>
      <c r="D242" s="56">
        <f>(37.36)*10.764</f>
        <v>402.14303999999998</v>
      </c>
      <c r="E242" s="42">
        <v>0</v>
      </c>
      <c r="F242" s="42">
        <f t="shared" si="12"/>
        <v>623.32171200000005</v>
      </c>
      <c r="G242" s="91"/>
      <c r="H242" s="92"/>
      <c r="I242" s="36"/>
      <c r="L242" s="76"/>
      <c r="M242" s="76"/>
      <c r="N242" s="36"/>
    </row>
    <row r="243" spans="1:14" s="37" customFormat="1" ht="15.75" customHeight="1" x14ac:dyDescent="0.25">
      <c r="A243" s="74">
        <v>9</v>
      </c>
      <c r="B243" s="75"/>
      <c r="C243" s="42" t="s">
        <v>263</v>
      </c>
      <c r="D243" s="56">
        <f>(49.25)*10.764</f>
        <v>530.12699999999995</v>
      </c>
      <c r="E243" s="42">
        <v>0</v>
      </c>
      <c r="F243" s="42">
        <f t="shared" si="12"/>
        <v>821.69684999999993</v>
      </c>
      <c r="G243" s="93"/>
      <c r="H243" s="94"/>
      <c r="I243" s="36"/>
      <c r="L243" s="76"/>
      <c r="M243" s="76"/>
      <c r="N243" s="36"/>
    </row>
    <row r="244" spans="1:14" s="37" customFormat="1" ht="15.75" customHeight="1" x14ac:dyDescent="0.25">
      <c r="A244" s="70" t="s">
        <v>266</v>
      </c>
      <c r="B244" s="71"/>
      <c r="C244" s="71"/>
      <c r="D244" s="71"/>
      <c r="E244" s="71"/>
      <c r="F244" s="71"/>
      <c r="G244" s="71"/>
      <c r="H244" s="72"/>
      <c r="J244" s="36"/>
    </row>
    <row r="245" spans="1:14" s="37" customFormat="1" ht="15.75" customHeight="1" x14ac:dyDescent="0.25">
      <c r="A245" s="70" t="s">
        <v>262</v>
      </c>
      <c r="B245" s="71"/>
      <c r="C245" s="71"/>
      <c r="D245" s="71"/>
      <c r="E245" s="71"/>
      <c r="F245" s="71"/>
      <c r="G245" s="71"/>
      <c r="H245" s="72"/>
      <c r="J245" s="36"/>
    </row>
    <row r="246" spans="1:14" s="37" customFormat="1" ht="15.75" customHeight="1" x14ac:dyDescent="0.25">
      <c r="A246" s="74">
        <v>3</v>
      </c>
      <c r="B246" s="75"/>
      <c r="C246" s="42" t="s">
        <v>264</v>
      </c>
      <c r="D246" s="56">
        <f>(37.36)*10.764</f>
        <v>402.14303999999998</v>
      </c>
      <c r="E246" s="42">
        <v>0</v>
      </c>
      <c r="F246" s="42">
        <f>D246*(($F$203)+1)+(IF(E246&lt;101,E246,IF(E246&lt;201,E246/2,IF(E246&lt;=301,E246/3,E246/4))))</f>
        <v>623.32171200000005</v>
      </c>
      <c r="G246" s="89" t="str">
        <f>A245</f>
        <v>Upper Ground Floor For Residential</v>
      </c>
      <c r="H246" s="90"/>
      <c r="I246" s="36"/>
      <c r="L246" s="76"/>
      <c r="M246" s="76"/>
      <c r="N246" s="36"/>
    </row>
    <row r="247" spans="1:14" s="37" customFormat="1" ht="15.75" customHeight="1" x14ac:dyDescent="0.25">
      <c r="A247" s="74">
        <v>8</v>
      </c>
      <c r="B247" s="75"/>
      <c r="C247" s="42" t="s">
        <v>264</v>
      </c>
      <c r="D247" s="56">
        <f>(37.36)*10.764</f>
        <v>402.14303999999998</v>
      </c>
      <c r="E247" s="42">
        <v>0</v>
      </c>
      <c r="F247" s="42">
        <f>D247*(($F$203)+1)+(IF(E247&lt;101,E247,IF(E247&lt;201,E247/2,IF(E247&lt;=301,E247/3,E247/4))))</f>
        <v>623.32171200000005</v>
      </c>
      <c r="G247" s="91"/>
      <c r="H247" s="92"/>
      <c r="I247" s="36"/>
      <c r="L247" s="76"/>
      <c r="M247" s="76"/>
      <c r="N247" s="36"/>
    </row>
    <row r="248" spans="1:14" s="37" customFormat="1" ht="15.75" customHeight="1" x14ac:dyDescent="0.25">
      <c r="A248" s="74">
        <v>9</v>
      </c>
      <c r="B248" s="75"/>
      <c r="C248" s="42" t="s">
        <v>264</v>
      </c>
      <c r="D248" s="56">
        <f>(37.36)*10.764</f>
        <v>402.14303999999998</v>
      </c>
      <c r="E248" s="42">
        <v>0</v>
      </c>
      <c r="F248" s="42">
        <f>D248*(($F$203)+1)+(IF(E248&lt;101,E248,IF(E248&lt;201,E248/2,IF(E248&lt;=301,E248/3,E248/4))))</f>
        <v>623.32171200000005</v>
      </c>
      <c r="G248" s="93"/>
      <c r="H248" s="94"/>
      <c r="I248" s="36"/>
      <c r="L248" s="76"/>
      <c r="M248" s="76"/>
      <c r="N248" s="36"/>
    </row>
    <row r="249" spans="1:14" s="37" customFormat="1" ht="15.75" customHeight="1" x14ac:dyDescent="0.25">
      <c r="A249" s="70" t="s">
        <v>269</v>
      </c>
      <c r="B249" s="71"/>
      <c r="C249" s="71"/>
      <c r="D249" s="71"/>
      <c r="E249" s="71"/>
      <c r="F249" s="71"/>
      <c r="G249" s="71"/>
      <c r="H249" s="72"/>
      <c r="J249" s="36"/>
    </row>
    <row r="250" spans="1:14" s="37" customFormat="1" ht="15.75" customHeight="1" x14ac:dyDescent="0.25">
      <c r="A250" s="74">
        <v>1</v>
      </c>
      <c r="B250" s="75"/>
      <c r="C250" s="42" t="s">
        <v>263</v>
      </c>
      <c r="D250" s="56">
        <f>(49.25)*10.764</f>
        <v>530.12699999999995</v>
      </c>
      <c r="E250" s="42">
        <v>0</v>
      </c>
      <c r="F250" s="42">
        <f t="shared" ref="F250:F258" si="13">D250*(($F$203)+1)+(IF(E250&lt;101,E250,IF(E250&lt;201,E250/2,IF(E250&lt;=301,E250/3,E250/4))))</f>
        <v>821.69684999999993</v>
      </c>
      <c r="G250" s="89" t="str">
        <f>A249</f>
        <v>1st to 6th, 8th to 13th, 15th to 20th Floor</v>
      </c>
      <c r="H250" s="90"/>
      <c r="I250" s="36"/>
      <c r="L250" s="76"/>
      <c r="M250" s="76"/>
      <c r="N250" s="36"/>
    </row>
    <row r="251" spans="1:14" s="37" customFormat="1" ht="15.75" customHeight="1" x14ac:dyDescent="0.25">
      <c r="A251" s="74">
        <v>2</v>
      </c>
      <c r="B251" s="75"/>
      <c r="C251" s="42" t="s">
        <v>264</v>
      </c>
      <c r="D251" s="56">
        <f>(37.36)*10.764</f>
        <v>402.14303999999998</v>
      </c>
      <c r="E251" s="42">
        <v>0</v>
      </c>
      <c r="F251" s="42">
        <f t="shared" si="13"/>
        <v>623.32171200000005</v>
      </c>
      <c r="G251" s="91"/>
      <c r="H251" s="92"/>
      <c r="I251" s="36"/>
      <c r="L251" s="76"/>
      <c r="M251" s="76"/>
      <c r="N251" s="36"/>
    </row>
    <row r="252" spans="1:14" s="37" customFormat="1" ht="15.75" customHeight="1" x14ac:dyDescent="0.25">
      <c r="A252" s="74">
        <v>3</v>
      </c>
      <c r="B252" s="75"/>
      <c r="C252" s="42" t="s">
        <v>264</v>
      </c>
      <c r="D252" s="56">
        <f>(37.36)*10.764</f>
        <v>402.14303999999998</v>
      </c>
      <c r="E252" s="42">
        <v>0</v>
      </c>
      <c r="F252" s="42">
        <f t="shared" si="13"/>
        <v>623.32171200000005</v>
      </c>
      <c r="G252" s="91"/>
      <c r="H252" s="92"/>
      <c r="I252" s="36"/>
      <c r="L252" s="76"/>
      <c r="M252" s="76"/>
      <c r="N252" s="36"/>
    </row>
    <row r="253" spans="1:14" s="37" customFormat="1" ht="15.75" customHeight="1" x14ac:dyDescent="0.25">
      <c r="A253" s="74">
        <v>4</v>
      </c>
      <c r="B253" s="75"/>
      <c r="C253" s="42" t="s">
        <v>264</v>
      </c>
      <c r="D253" s="56">
        <f>(37.47)*10.764</f>
        <v>403.32707999999997</v>
      </c>
      <c r="E253" s="42">
        <v>0</v>
      </c>
      <c r="F253" s="42">
        <f t="shared" si="13"/>
        <v>625.15697399999999</v>
      </c>
      <c r="G253" s="91"/>
      <c r="H253" s="92"/>
      <c r="I253" s="36"/>
      <c r="L253" s="76"/>
      <c r="M253" s="76"/>
      <c r="N253" s="36"/>
    </row>
    <row r="254" spans="1:14" s="37" customFormat="1" ht="15.75" customHeight="1" x14ac:dyDescent="0.25">
      <c r="A254" s="74">
        <v>5</v>
      </c>
      <c r="B254" s="75"/>
      <c r="C254" s="42" t="s">
        <v>264</v>
      </c>
      <c r="D254" s="56">
        <f>(37.36)*10.764</f>
        <v>402.14303999999998</v>
      </c>
      <c r="E254" s="42">
        <v>0</v>
      </c>
      <c r="F254" s="42">
        <f t="shared" si="13"/>
        <v>623.32171200000005</v>
      </c>
      <c r="G254" s="91"/>
      <c r="H254" s="92"/>
      <c r="I254" s="36"/>
      <c r="L254" s="76"/>
      <c r="M254" s="76"/>
      <c r="N254" s="36"/>
    </row>
    <row r="255" spans="1:14" s="37" customFormat="1" ht="15.75" customHeight="1" x14ac:dyDescent="0.25">
      <c r="A255" s="74">
        <v>6</v>
      </c>
      <c r="B255" s="75"/>
      <c r="C255" s="42" t="s">
        <v>264</v>
      </c>
      <c r="D255" s="56">
        <f>(37.37)*10.764</f>
        <v>402.25067999999993</v>
      </c>
      <c r="E255" s="42">
        <v>0</v>
      </c>
      <c r="F255" s="42">
        <f t="shared" si="13"/>
        <v>623.48855399999991</v>
      </c>
      <c r="G255" s="91"/>
      <c r="H255" s="92"/>
      <c r="I255" s="36"/>
      <c r="L255" s="76"/>
      <c r="M255" s="76"/>
      <c r="N255" s="36"/>
    </row>
    <row r="256" spans="1:14" s="37" customFormat="1" ht="15.75" customHeight="1" x14ac:dyDescent="0.25">
      <c r="A256" s="74">
        <v>7</v>
      </c>
      <c r="B256" s="75"/>
      <c r="C256" s="42" t="s">
        <v>264</v>
      </c>
      <c r="D256" s="56">
        <f>(37.36)*10.764</f>
        <v>402.14303999999998</v>
      </c>
      <c r="E256" s="42">
        <v>0</v>
      </c>
      <c r="F256" s="42">
        <f t="shared" si="13"/>
        <v>623.32171200000005</v>
      </c>
      <c r="G256" s="91"/>
      <c r="H256" s="92"/>
      <c r="I256" s="36"/>
      <c r="L256" s="76"/>
      <c r="M256" s="76"/>
      <c r="N256" s="36"/>
    </row>
    <row r="257" spans="1:14" s="37" customFormat="1" ht="15.75" customHeight="1" x14ac:dyDescent="0.25">
      <c r="A257" s="74">
        <v>8</v>
      </c>
      <c r="B257" s="75"/>
      <c r="C257" s="42" t="s">
        <v>264</v>
      </c>
      <c r="D257" s="56">
        <f>(37.36)*10.764</f>
        <v>402.14303999999998</v>
      </c>
      <c r="E257" s="42">
        <v>0</v>
      </c>
      <c r="F257" s="42">
        <f t="shared" si="13"/>
        <v>623.32171200000005</v>
      </c>
      <c r="G257" s="91"/>
      <c r="H257" s="92"/>
      <c r="I257" s="36"/>
      <c r="L257" s="76"/>
      <c r="M257" s="76"/>
      <c r="N257" s="36"/>
    </row>
    <row r="258" spans="1:14" s="37" customFormat="1" ht="15.75" customHeight="1" x14ac:dyDescent="0.25">
      <c r="A258" s="74">
        <v>9</v>
      </c>
      <c r="B258" s="75"/>
      <c r="C258" s="42" t="s">
        <v>264</v>
      </c>
      <c r="D258" s="56">
        <f>(37.36)*10.764</f>
        <v>402.14303999999998</v>
      </c>
      <c r="E258" s="42">
        <v>0</v>
      </c>
      <c r="F258" s="42">
        <f t="shared" si="13"/>
        <v>623.32171200000005</v>
      </c>
      <c r="G258" s="93"/>
      <c r="H258" s="94"/>
      <c r="I258" s="36"/>
      <c r="L258" s="76"/>
      <c r="M258" s="76"/>
      <c r="N258" s="36"/>
    </row>
    <row r="259" spans="1:14" s="37" customFormat="1" ht="15.75" customHeight="1" x14ac:dyDescent="0.25">
      <c r="A259" s="70" t="s">
        <v>270</v>
      </c>
      <c r="B259" s="71"/>
      <c r="C259" s="71"/>
      <c r="D259" s="71"/>
      <c r="E259" s="71"/>
      <c r="F259" s="71"/>
      <c r="G259" s="71"/>
      <c r="H259" s="72"/>
      <c r="J259" s="36"/>
    </row>
    <row r="260" spans="1:14" s="37" customFormat="1" ht="15.75" customHeight="1" x14ac:dyDescent="0.25">
      <c r="A260" s="74">
        <v>1</v>
      </c>
      <c r="B260" s="75"/>
      <c r="C260" s="42" t="s">
        <v>263</v>
      </c>
      <c r="D260" s="56">
        <f>(49.25)*10.764</f>
        <v>530.12699999999995</v>
      </c>
      <c r="E260" s="42">
        <v>0</v>
      </c>
      <c r="F260" s="42">
        <f>D260*(($F$203)+1)+(IF(E260&lt;101,E260,IF(E260&lt;201,E260/2,IF(E260&lt;=301,E260/3,E260/4))))</f>
        <v>821.69684999999993</v>
      </c>
      <c r="G260" s="89" t="str">
        <f>A259</f>
        <v>7th Floor (Part Refuge Area)</v>
      </c>
      <c r="H260" s="90"/>
      <c r="I260" s="36"/>
      <c r="L260" s="76"/>
      <c r="M260" s="76"/>
      <c r="N260" s="36"/>
    </row>
    <row r="261" spans="1:14" s="37" customFormat="1" ht="15.75" customHeight="1" x14ac:dyDescent="0.25">
      <c r="A261" s="74">
        <v>2</v>
      </c>
      <c r="B261" s="75"/>
      <c r="C261" s="42" t="s">
        <v>264</v>
      </c>
      <c r="D261" s="56">
        <f>(37.36)*10.764</f>
        <v>402.14303999999998</v>
      </c>
      <c r="E261" s="42">
        <v>0</v>
      </c>
      <c r="F261" s="42">
        <f>D261*(($F$203)+1)+(IF(E261&lt;101,E261,IF(E261&lt;201,E261/2,IF(E261&lt;=301,E261/3,E261/4))))</f>
        <v>623.32171200000005</v>
      </c>
      <c r="G261" s="91"/>
      <c r="H261" s="92"/>
      <c r="I261" s="36"/>
      <c r="L261" s="76"/>
      <c r="M261" s="76"/>
      <c r="N261" s="36"/>
    </row>
    <row r="262" spans="1:14" s="37" customFormat="1" ht="15.75" customHeight="1" x14ac:dyDescent="0.25">
      <c r="A262" s="74">
        <v>3</v>
      </c>
      <c r="B262" s="75"/>
      <c r="C262" s="42" t="s">
        <v>264</v>
      </c>
      <c r="D262" s="56">
        <f>(37.36)*10.764</f>
        <v>402.14303999999998</v>
      </c>
      <c r="E262" s="42">
        <v>0</v>
      </c>
      <c r="F262" s="42">
        <f>D262*(($F$203)+1)+(IF(E262&lt;101,E262,IF(E262&lt;201,E262/2,IF(E262&lt;=301,E262/3,E262/4))))</f>
        <v>623.32171200000005</v>
      </c>
      <c r="G262" s="91"/>
      <c r="H262" s="92"/>
      <c r="I262" s="36"/>
      <c r="L262" s="76"/>
      <c r="M262" s="76"/>
      <c r="N262" s="36"/>
    </row>
    <row r="263" spans="1:14" s="37" customFormat="1" ht="15.75" customHeight="1" x14ac:dyDescent="0.25">
      <c r="A263" s="74">
        <v>4</v>
      </c>
      <c r="B263" s="75"/>
      <c r="C263" s="42" t="s">
        <v>264</v>
      </c>
      <c r="D263" s="56">
        <f>(37.47)*10.764</f>
        <v>403.32707999999997</v>
      </c>
      <c r="E263" s="42">
        <v>0</v>
      </c>
      <c r="F263" s="42">
        <f>D263*(($F$203)+1)+(IF(E263&lt;101,E263,IF(E263&lt;201,E263/2,IF(E263&lt;=301,E263/3,E263/4))))</f>
        <v>625.15697399999999</v>
      </c>
      <c r="G263" s="91"/>
      <c r="H263" s="92"/>
      <c r="I263" s="36"/>
      <c r="L263" s="76"/>
      <c r="M263" s="76"/>
      <c r="N263" s="36"/>
    </row>
    <row r="264" spans="1:14" s="37" customFormat="1" ht="15.75" customHeight="1" x14ac:dyDescent="0.25">
      <c r="A264" s="74">
        <v>5</v>
      </c>
      <c r="B264" s="75"/>
      <c r="C264" s="89" t="s">
        <v>271</v>
      </c>
      <c r="D264" s="184"/>
      <c r="E264" s="184"/>
      <c r="F264" s="90"/>
      <c r="G264" s="91"/>
      <c r="H264" s="92"/>
      <c r="I264" s="36"/>
      <c r="L264" s="76"/>
      <c r="M264" s="76"/>
      <c r="N264" s="36"/>
    </row>
    <row r="265" spans="1:14" s="37" customFormat="1" ht="15.75" customHeight="1" x14ac:dyDescent="0.25">
      <c r="A265" s="74">
        <v>6</v>
      </c>
      <c r="B265" s="75"/>
      <c r="C265" s="91"/>
      <c r="D265" s="207"/>
      <c r="E265" s="207"/>
      <c r="F265" s="92"/>
      <c r="G265" s="91"/>
      <c r="H265" s="92"/>
      <c r="I265" s="36"/>
      <c r="L265" s="76"/>
      <c r="M265" s="76"/>
      <c r="N265" s="36"/>
    </row>
    <row r="266" spans="1:14" s="37" customFormat="1" ht="15.75" customHeight="1" x14ac:dyDescent="0.25">
      <c r="A266" s="74">
        <v>7</v>
      </c>
      <c r="B266" s="75"/>
      <c r="C266" s="93"/>
      <c r="D266" s="185"/>
      <c r="E266" s="185"/>
      <c r="F266" s="94"/>
      <c r="G266" s="91"/>
      <c r="H266" s="92"/>
      <c r="I266" s="36"/>
      <c r="L266" s="76"/>
      <c r="M266" s="76"/>
      <c r="N266" s="36"/>
    </row>
    <row r="267" spans="1:14" s="37" customFormat="1" ht="15.75" customHeight="1" x14ac:dyDescent="0.25">
      <c r="A267" s="74">
        <v>8</v>
      </c>
      <c r="B267" s="75"/>
      <c r="C267" s="42" t="s">
        <v>264</v>
      </c>
      <c r="D267" s="56">
        <f>(37.36)*10.764</f>
        <v>402.14303999999998</v>
      </c>
      <c r="E267" s="42">
        <v>0</v>
      </c>
      <c r="F267" s="42">
        <f>D267*(($F$203)+1)+(IF(E267&lt;101,E267,IF(E267&lt;201,E267/2,IF(E267&lt;=301,E267/3,E267/4))))</f>
        <v>623.32171200000005</v>
      </c>
      <c r="G267" s="91"/>
      <c r="H267" s="92"/>
      <c r="I267" s="36"/>
      <c r="L267" s="76"/>
      <c r="M267" s="76"/>
      <c r="N267" s="36"/>
    </row>
    <row r="268" spans="1:14" s="37" customFormat="1" ht="15.75" customHeight="1" x14ac:dyDescent="0.25">
      <c r="A268" s="74">
        <v>9</v>
      </c>
      <c r="B268" s="75"/>
      <c r="C268" s="42" t="s">
        <v>264</v>
      </c>
      <c r="D268" s="56">
        <f>(37.36)*10.764</f>
        <v>402.14303999999998</v>
      </c>
      <c r="E268" s="42">
        <v>0</v>
      </c>
      <c r="F268" s="42">
        <f>D268*(($F$203)+1)+(IF(E268&lt;101,E268,IF(E268&lt;201,E268/2,IF(E268&lt;=301,E268/3,E268/4))))</f>
        <v>623.32171200000005</v>
      </c>
      <c r="G268" s="93"/>
      <c r="H268" s="94"/>
      <c r="I268" s="36"/>
      <c r="L268" s="76"/>
      <c r="M268" s="76"/>
      <c r="N268" s="36"/>
    </row>
    <row r="269" spans="1:14" s="37" customFormat="1" ht="15.75" customHeight="1" x14ac:dyDescent="0.25">
      <c r="A269" s="70" t="s">
        <v>272</v>
      </c>
      <c r="B269" s="71"/>
      <c r="C269" s="71"/>
      <c r="D269" s="71"/>
      <c r="E269" s="71"/>
      <c r="F269" s="71"/>
      <c r="G269" s="71"/>
      <c r="H269" s="72"/>
      <c r="J269" s="36"/>
    </row>
    <row r="270" spans="1:14" s="37" customFormat="1" ht="15.75" customHeight="1" x14ac:dyDescent="0.25">
      <c r="A270" s="74">
        <v>1</v>
      </c>
      <c r="B270" s="75"/>
      <c r="C270" s="42" t="s">
        <v>263</v>
      </c>
      <c r="D270" s="56">
        <f>(49.25)*10.764</f>
        <v>530.12699999999995</v>
      </c>
      <c r="E270" s="42">
        <v>0</v>
      </c>
      <c r="F270" s="42">
        <f t="shared" ref="F270:F273" si="14">D270*(($F$203)+1)+(IF(E270&lt;101,E270,IF(E270&lt;201,E270/2,IF(E270&lt;=301,E270/3,E270/4))))</f>
        <v>821.69684999999993</v>
      </c>
      <c r="G270" s="89" t="str">
        <f>A269</f>
        <v>14th Floor (Part Refuge Area)</v>
      </c>
      <c r="H270" s="90"/>
      <c r="I270" s="36"/>
      <c r="L270" s="76"/>
      <c r="M270" s="76"/>
      <c r="N270" s="36"/>
    </row>
    <row r="271" spans="1:14" s="37" customFormat="1" ht="15.75" customHeight="1" x14ac:dyDescent="0.25">
      <c r="A271" s="74">
        <v>2</v>
      </c>
      <c r="B271" s="75"/>
      <c r="C271" s="42" t="s">
        <v>264</v>
      </c>
      <c r="D271" s="56">
        <f>(37.36)*10.764</f>
        <v>402.14303999999998</v>
      </c>
      <c r="E271" s="42">
        <v>0</v>
      </c>
      <c r="F271" s="42">
        <f t="shared" si="14"/>
        <v>623.32171200000005</v>
      </c>
      <c r="G271" s="91"/>
      <c r="H271" s="92"/>
      <c r="I271" s="36"/>
      <c r="L271" s="76"/>
      <c r="M271" s="76"/>
      <c r="N271" s="36"/>
    </row>
    <row r="272" spans="1:14" s="37" customFormat="1" ht="15.75" customHeight="1" x14ac:dyDescent="0.25">
      <c r="A272" s="74">
        <v>3</v>
      </c>
      <c r="B272" s="75"/>
      <c r="C272" s="42" t="s">
        <v>264</v>
      </c>
      <c r="D272" s="56">
        <f>(37.36)*10.764</f>
        <v>402.14303999999998</v>
      </c>
      <c r="E272" s="42">
        <v>0</v>
      </c>
      <c r="F272" s="42">
        <f t="shared" si="14"/>
        <v>623.32171200000005</v>
      </c>
      <c r="G272" s="91"/>
      <c r="H272" s="92"/>
      <c r="I272" s="36"/>
      <c r="L272" s="76"/>
      <c r="M272" s="76"/>
      <c r="N272" s="36"/>
    </row>
    <row r="273" spans="1:14" s="37" customFormat="1" ht="15.75" customHeight="1" x14ac:dyDescent="0.25">
      <c r="A273" s="74">
        <v>4</v>
      </c>
      <c r="B273" s="75"/>
      <c r="C273" s="42" t="s">
        <v>264</v>
      </c>
      <c r="D273" s="56">
        <f>(37.47)*10.764</f>
        <v>403.32707999999997</v>
      </c>
      <c r="E273" s="42">
        <v>0</v>
      </c>
      <c r="F273" s="42">
        <f t="shared" si="14"/>
        <v>625.15697399999999</v>
      </c>
      <c r="G273" s="91"/>
      <c r="H273" s="92"/>
      <c r="I273" s="36"/>
      <c r="L273" s="76"/>
      <c r="M273" s="76"/>
      <c r="N273" s="36"/>
    </row>
    <row r="274" spans="1:14" s="37" customFormat="1" ht="15.75" customHeight="1" x14ac:dyDescent="0.25">
      <c r="A274" s="74">
        <v>5</v>
      </c>
      <c r="B274" s="75"/>
      <c r="C274" s="89" t="s">
        <v>271</v>
      </c>
      <c r="D274" s="184"/>
      <c r="E274" s="184"/>
      <c r="F274" s="90"/>
      <c r="G274" s="91"/>
      <c r="H274" s="92"/>
      <c r="I274" s="36"/>
      <c r="L274" s="76"/>
      <c r="M274" s="76"/>
      <c r="N274" s="36"/>
    </row>
    <row r="275" spans="1:14" s="37" customFormat="1" ht="15.75" customHeight="1" x14ac:dyDescent="0.25">
      <c r="A275" s="74">
        <v>6</v>
      </c>
      <c r="B275" s="75"/>
      <c r="C275" s="91"/>
      <c r="D275" s="207"/>
      <c r="E275" s="207"/>
      <c r="F275" s="92"/>
      <c r="G275" s="91"/>
      <c r="H275" s="92"/>
      <c r="I275" s="36"/>
      <c r="L275" s="76"/>
      <c r="M275" s="76"/>
      <c r="N275" s="36"/>
    </row>
    <row r="276" spans="1:14" s="37" customFormat="1" ht="15.75" customHeight="1" x14ac:dyDescent="0.25">
      <c r="A276" s="74">
        <v>7</v>
      </c>
      <c r="B276" s="75"/>
      <c r="C276" s="93"/>
      <c r="D276" s="185"/>
      <c r="E276" s="185"/>
      <c r="F276" s="94"/>
      <c r="G276" s="91"/>
      <c r="H276" s="92"/>
      <c r="I276" s="36"/>
      <c r="L276" s="76"/>
      <c r="M276" s="76"/>
      <c r="N276" s="36"/>
    </row>
    <row r="277" spans="1:14" s="37" customFormat="1" ht="15.75" customHeight="1" x14ac:dyDescent="0.25">
      <c r="A277" s="74">
        <v>8</v>
      </c>
      <c r="B277" s="75"/>
      <c r="C277" s="42" t="s">
        <v>264</v>
      </c>
      <c r="D277" s="56">
        <f>(37.36)*10.764</f>
        <v>402.14303999999998</v>
      </c>
      <c r="E277" s="42">
        <v>0</v>
      </c>
      <c r="F277" s="42">
        <f t="shared" ref="F277:F278" si="15">D277*(($F$203)+1)+(IF(E277&lt;101,E277,IF(E277&lt;201,E277/2,IF(E277&lt;=301,E277/3,E277/4))))</f>
        <v>623.32171200000005</v>
      </c>
      <c r="G277" s="91"/>
      <c r="H277" s="92"/>
      <c r="I277" s="36"/>
      <c r="L277" s="76"/>
      <c r="M277" s="76"/>
      <c r="N277" s="36"/>
    </row>
    <row r="278" spans="1:14" s="37" customFormat="1" ht="15.75" customHeight="1" x14ac:dyDescent="0.25">
      <c r="A278" s="74">
        <v>9</v>
      </c>
      <c r="B278" s="75"/>
      <c r="C278" s="42" t="s">
        <v>264</v>
      </c>
      <c r="D278" s="56">
        <f>(37.36)*10.764</f>
        <v>402.14303999999998</v>
      </c>
      <c r="E278" s="42">
        <v>0</v>
      </c>
      <c r="F278" s="42">
        <f t="shared" si="15"/>
        <v>623.32171200000005</v>
      </c>
      <c r="G278" s="93"/>
      <c r="H278" s="94"/>
      <c r="I278" s="36"/>
      <c r="L278" s="76"/>
      <c r="M278" s="76"/>
      <c r="N278" s="36"/>
    </row>
    <row r="279" spans="1:14" s="37" customFormat="1" ht="15.75" customHeight="1" x14ac:dyDescent="0.25">
      <c r="A279" s="70" t="s">
        <v>261</v>
      </c>
      <c r="B279" s="71"/>
      <c r="C279" s="71"/>
      <c r="D279" s="71"/>
      <c r="E279" s="71"/>
      <c r="F279" s="71"/>
      <c r="G279" s="71"/>
      <c r="H279" s="72"/>
      <c r="J279" s="36"/>
    </row>
    <row r="280" spans="1:14" s="37" customFormat="1" ht="15.75" customHeight="1" x14ac:dyDescent="0.25">
      <c r="A280" s="70" t="s">
        <v>262</v>
      </c>
      <c r="B280" s="71"/>
      <c r="C280" s="71"/>
      <c r="D280" s="71"/>
      <c r="E280" s="71"/>
      <c r="F280" s="71"/>
      <c r="G280" s="71"/>
      <c r="H280" s="72"/>
      <c r="J280" s="36"/>
    </row>
    <row r="281" spans="1:14" s="37" customFormat="1" ht="15.75" customHeight="1" x14ac:dyDescent="0.25">
      <c r="A281" s="74">
        <v>1</v>
      </c>
      <c r="B281" s="75"/>
      <c r="C281" s="42" t="s">
        <v>263</v>
      </c>
      <c r="D281" s="56">
        <f>(56.13)*10.764</f>
        <v>604.18331999999998</v>
      </c>
      <c r="E281" s="42">
        <v>0</v>
      </c>
      <c r="F281" s="42">
        <f t="shared" ref="F281:F286" si="16">D281*(($F$203)+1)+(IF(E281&lt;101,E281,IF(E281&lt;201,E281/2,IF(E281&lt;=301,E281/3,E281/4))))</f>
        <v>936.48414600000001</v>
      </c>
      <c r="G281" s="89" t="str">
        <f>A280</f>
        <v>Upper Ground Floor For Residential</v>
      </c>
      <c r="H281" s="90"/>
      <c r="I281" s="36"/>
      <c r="L281" s="76"/>
      <c r="M281" s="76"/>
      <c r="N281" s="36"/>
    </row>
    <row r="282" spans="1:14" s="37" customFormat="1" ht="15.75" customHeight="1" x14ac:dyDescent="0.25">
      <c r="A282" s="74">
        <v>2</v>
      </c>
      <c r="B282" s="75"/>
      <c r="C282" s="42" t="s">
        <v>263</v>
      </c>
      <c r="D282" s="56">
        <f>(56.13)*10.764</f>
        <v>604.18331999999998</v>
      </c>
      <c r="E282" s="42">
        <v>0</v>
      </c>
      <c r="F282" s="42">
        <f t="shared" si="16"/>
        <v>936.48414600000001</v>
      </c>
      <c r="G282" s="91"/>
      <c r="H282" s="92"/>
      <c r="I282" s="36"/>
      <c r="L282" s="76"/>
      <c r="M282" s="76"/>
      <c r="N282" s="36"/>
    </row>
    <row r="283" spans="1:14" s="37" customFormat="1" ht="15.75" customHeight="1" x14ac:dyDescent="0.25">
      <c r="A283" s="74">
        <v>3</v>
      </c>
      <c r="B283" s="75"/>
      <c r="C283" s="42" t="s">
        <v>263</v>
      </c>
      <c r="D283" s="56">
        <f>(55.58)*10.764</f>
        <v>598.26311999999996</v>
      </c>
      <c r="E283" s="42">
        <v>0</v>
      </c>
      <c r="F283" s="42">
        <f t="shared" si="16"/>
        <v>927.30783599999995</v>
      </c>
      <c r="G283" s="91"/>
      <c r="H283" s="92"/>
      <c r="I283" s="36"/>
      <c r="L283" s="76"/>
      <c r="M283" s="76"/>
      <c r="N283" s="36"/>
    </row>
    <row r="284" spans="1:14" s="37" customFormat="1" ht="15.75" customHeight="1" x14ac:dyDescent="0.25">
      <c r="A284" s="74">
        <v>4</v>
      </c>
      <c r="B284" s="75"/>
      <c r="C284" s="42" t="s">
        <v>263</v>
      </c>
      <c r="D284" s="56">
        <f>(59.26)*10.764</f>
        <v>637.87463999999989</v>
      </c>
      <c r="E284" s="42">
        <v>0</v>
      </c>
      <c r="F284" s="42">
        <f t="shared" si="16"/>
        <v>988.70569199999989</v>
      </c>
      <c r="G284" s="91"/>
      <c r="H284" s="92"/>
      <c r="I284" s="36"/>
      <c r="L284" s="76"/>
      <c r="M284" s="76"/>
      <c r="N284" s="36"/>
    </row>
    <row r="285" spans="1:14" s="37" customFormat="1" ht="15.75" customHeight="1" x14ac:dyDescent="0.25">
      <c r="A285" s="74">
        <v>5</v>
      </c>
      <c r="B285" s="75"/>
      <c r="C285" s="42" t="s">
        <v>264</v>
      </c>
      <c r="D285" s="56">
        <f>(40.81)*10.764</f>
        <v>439.27884</v>
      </c>
      <c r="E285" s="42">
        <v>0</v>
      </c>
      <c r="F285" s="42">
        <f t="shared" si="16"/>
        <v>680.88220200000001</v>
      </c>
      <c r="G285" s="91"/>
      <c r="H285" s="92"/>
      <c r="I285" s="36"/>
      <c r="L285" s="76"/>
      <c r="M285" s="76"/>
      <c r="N285" s="36"/>
    </row>
    <row r="286" spans="1:14" s="37" customFormat="1" ht="15.75" customHeight="1" x14ac:dyDescent="0.25">
      <c r="A286" s="74">
        <v>6</v>
      </c>
      <c r="B286" s="75"/>
      <c r="C286" s="42" t="s">
        <v>264</v>
      </c>
      <c r="D286" s="56">
        <f>(40.81)*10.764</f>
        <v>439.27884</v>
      </c>
      <c r="E286" s="42">
        <v>0</v>
      </c>
      <c r="F286" s="42">
        <f t="shared" si="16"/>
        <v>680.88220200000001</v>
      </c>
      <c r="G286" s="93"/>
      <c r="H286" s="94"/>
      <c r="I286" s="36"/>
      <c r="L286" s="76"/>
      <c r="M286" s="76"/>
      <c r="N286" s="36"/>
    </row>
    <row r="287" spans="1:14" s="37" customFormat="1" ht="15.75" customHeight="1" x14ac:dyDescent="0.25">
      <c r="A287" s="70" t="s">
        <v>269</v>
      </c>
      <c r="B287" s="71"/>
      <c r="C287" s="71"/>
      <c r="D287" s="71"/>
      <c r="E287" s="71"/>
      <c r="F287" s="71"/>
      <c r="G287" s="71"/>
      <c r="H287" s="72"/>
      <c r="J287" s="36"/>
    </row>
    <row r="288" spans="1:14" s="37" customFormat="1" ht="15.75" customHeight="1" x14ac:dyDescent="0.25">
      <c r="A288" s="74">
        <v>1</v>
      </c>
      <c r="B288" s="75"/>
      <c r="C288" s="42" t="s">
        <v>263</v>
      </c>
      <c r="D288" s="56">
        <f>(56.13)*10.764</f>
        <v>604.18331999999998</v>
      </c>
      <c r="E288" s="42">
        <v>0</v>
      </c>
      <c r="F288" s="42">
        <f t="shared" ref="F288:F293" si="17">D288*(($F$203)+1)+(IF(E288&lt;101,E288,IF(E288&lt;201,E288/2,IF(E288&lt;=301,E288/3,E288/4))))</f>
        <v>936.48414600000001</v>
      </c>
      <c r="G288" s="89" t="str">
        <f>A287</f>
        <v>1st to 6th, 8th to 13th, 15th to 20th Floor</v>
      </c>
      <c r="H288" s="90"/>
      <c r="I288" s="36"/>
      <c r="L288" s="76"/>
      <c r="M288" s="76"/>
      <c r="N288" s="36"/>
    </row>
    <row r="289" spans="1:14" s="37" customFormat="1" ht="15.75" customHeight="1" x14ac:dyDescent="0.25">
      <c r="A289" s="74">
        <v>2</v>
      </c>
      <c r="B289" s="75"/>
      <c r="C289" s="42" t="s">
        <v>263</v>
      </c>
      <c r="D289" s="56">
        <f>(56.13)*10.764</f>
        <v>604.18331999999998</v>
      </c>
      <c r="E289" s="42">
        <v>0</v>
      </c>
      <c r="F289" s="42">
        <f t="shared" si="17"/>
        <v>936.48414600000001</v>
      </c>
      <c r="G289" s="91"/>
      <c r="H289" s="92"/>
      <c r="I289" s="36"/>
      <c r="L289" s="76"/>
      <c r="M289" s="76"/>
      <c r="N289" s="36"/>
    </row>
    <row r="290" spans="1:14" s="37" customFormat="1" ht="15.75" customHeight="1" x14ac:dyDescent="0.25">
      <c r="A290" s="74">
        <v>3</v>
      </c>
      <c r="B290" s="75"/>
      <c r="C290" s="42" t="s">
        <v>263</v>
      </c>
      <c r="D290" s="56">
        <f>(55.58)*10.764</f>
        <v>598.26311999999996</v>
      </c>
      <c r="E290" s="42">
        <v>0</v>
      </c>
      <c r="F290" s="42">
        <f t="shared" si="17"/>
        <v>927.30783599999995</v>
      </c>
      <c r="G290" s="91"/>
      <c r="H290" s="92"/>
      <c r="I290" s="36"/>
      <c r="L290" s="76"/>
      <c r="M290" s="76"/>
      <c r="N290" s="36"/>
    </row>
    <row r="291" spans="1:14" s="37" customFormat="1" ht="15.75" customHeight="1" x14ac:dyDescent="0.25">
      <c r="A291" s="74">
        <v>4</v>
      </c>
      <c r="B291" s="75"/>
      <c r="C291" s="42" t="s">
        <v>263</v>
      </c>
      <c r="D291" s="56">
        <f>(59.26)*10.764</f>
        <v>637.87463999999989</v>
      </c>
      <c r="E291" s="42">
        <v>0</v>
      </c>
      <c r="F291" s="42">
        <f t="shared" si="17"/>
        <v>988.70569199999989</v>
      </c>
      <c r="G291" s="91"/>
      <c r="H291" s="92"/>
      <c r="I291" s="36"/>
      <c r="L291" s="76"/>
      <c r="M291" s="76"/>
      <c r="N291" s="36"/>
    </row>
    <row r="292" spans="1:14" s="37" customFormat="1" ht="15.75" customHeight="1" x14ac:dyDescent="0.25">
      <c r="A292" s="74">
        <v>5</v>
      </c>
      <c r="B292" s="75"/>
      <c r="C292" s="42" t="s">
        <v>264</v>
      </c>
      <c r="D292" s="56">
        <f>(40.81)*10.764</f>
        <v>439.27884</v>
      </c>
      <c r="E292" s="42">
        <v>0</v>
      </c>
      <c r="F292" s="42">
        <f t="shared" si="17"/>
        <v>680.88220200000001</v>
      </c>
      <c r="G292" s="91"/>
      <c r="H292" s="92"/>
      <c r="I292" s="36"/>
      <c r="L292" s="76"/>
      <c r="M292" s="76"/>
      <c r="N292" s="36"/>
    </row>
    <row r="293" spans="1:14" s="37" customFormat="1" ht="15.75" customHeight="1" x14ac:dyDescent="0.25">
      <c r="A293" s="74">
        <v>6</v>
      </c>
      <c r="B293" s="75"/>
      <c r="C293" s="42" t="s">
        <v>264</v>
      </c>
      <c r="D293" s="56">
        <f>(40.81)*10.764</f>
        <v>439.27884</v>
      </c>
      <c r="E293" s="42">
        <v>0</v>
      </c>
      <c r="F293" s="42">
        <f t="shared" si="17"/>
        <v>680.88220200000001</v>
      </c>
      <c r="G293" s="93"/>
      <c r="H293" s="94"/>
      <c r="I293" s="36"/>
      <c r="L293" s="76"/>
      <c r="M293" s="76"/>
      <c r="N293" s="36"/>
    </row>
    <row r="294" spans="1:14" s="37" customFormat="1" ht="15.75" customHeight="1" x14ac:dyDescent="0.25">
      <c r="A294" s="70" t="s">
        <v>270</v>
      </c>
      <c r="B294" s="71"/>
      <c r="C294" s="71"/>
      <c r="D294" s="71"/>
      <c r="E294" s="71"/>
      <c r="F294" s="71"/>
      <c r="G294" s="71"/>
      <c r="H294" s="72"/>
      <c r="J294" s="36"/>
    </row>
    <row r="295" spans="1:14" s="37" customFormat="1" ht="15.75" customHeight="1" x14ac:dyDescent="0.25">
      <c r="A295" s="74">
        <v>1</v>
      </c>
      <c r="B295" s="75"/>
      <c r="C295" s="42" t="s">
        <v>263</v>
      </c>
      <c r="D295" s="56">
        <f>(56.13)*10.764</f>
        <v>604.18331999999998</v>
      </c>
      <c r="E295" s="42">
        <v>0</v>
      </c>
      <c r="F295" s="42">
        <f>D295*(($F$203)+1)+(IF(E295&lt;101,E295,IF(E295&lt;201,E295/2,IF(E295&lt;=301,E295/3,E295/4))))</f>
        <v>936.48414600000001</v>
      </c>
      <c r="G295" s="89" t="str">
        <f>A294</f>
        <v>7th Floor (Part Refuge Area)</v>
      </c>
      <c r="H295" s="90"/>
      <c r="I295" s="36"/>
      <c r="L295" s="76"/>
      <c r="M295" s="76"/>
      <c r="N295" s="36"/>
    </row>
    <row r="296" spans="1:14" s="37" customFormat="1" ht="15.75" customHeight="1" x14ac:dyDescent="0.25">
      <c r="A296" s="74">
        <v>2</v>
      </c>
      <c r="B296" s="75"/>
      <c r="C296" s="42" t="s">
        <v>263</v>
      </c>
      <c r="D296" s="56">
        <f>(56.13)*10.764</f>
        <v>604.18331999999998</v>
      </c>
      <c r="E296" s="42">
        <v>0</v>
      </c>
      <c r="F296" s="42">
        <f>D296*(($F$203)+1)+(IF(E296&lt;101,E296,IF(E296&lt;201,E296/2,IF(E296&lt;=301,E296/3,E296/4))))</f>
        <v>936.48414600000001</v>
      </c>
      <c r="G296" s="91"/>
      <c r="H296" s="92"/>
      <c r="I296" s="36"/>
      <c r="L296" s="76"/>
      <c r="M296" s="76"/>
      <c r="N296" s="36"/>
    </row>
    <row r="297" spans="1:14" s="37" customFormat="1" ht="15.75" customHeight="1" x14ac:dyDescent="0.25">
      <c r="A297" s="74">
        <v>3</v>
      </c>
      <c r="B297" s="75"/>
      <c r="C297" s="42" t="s">
        <v>263</v>
      </c>
      <c r="D297" s="56">
        <f>(55.58)*10.764</f>
        <v>598.26311999999996</v>
      </c>
      <c r="E297" s="42">
        <v>0</v>
      </c>
      <c r="F297" s="42">
        <f>D297*(($F$203)+1)+(IF(E297&lt;101,E297,IF(E297&lt;201,E297/2,IF(E297&lt;=301,E297/3,E297/4))))</f>
        <v>927.30783599999995</v>
      </c>
      <c r="G297" s="91"/>
      <c r="H297" s="92"/>
      <c r="I297" s="36"/>
      <c r="L297" s="76"/>
      <c r="M297" s="76"/>
      <c r="N297" s="36"/>
    </row>
    <row r="298" spans="1:14" s="37" customFormat="1" ht="15.75" customHeight="1" x14ac:dyDescent="0.25">
      <c r="A298" s="74">
        <v>4</v>
      </c>
      <c r="B298" s="75"/>
      <c r="C298" s="42" t="s">
        <v>263</v>
      </c>
      <c r="D298" s="56">
        <f>(59.26)*10.764</f>
        <v>637.87463999999989</v>
      </c>
      <c r="E298" s="42">
        <v>0</v>
      </c>
      <c r="F298" s="42">
        <f>D298*(($F$203)+1)+(IF(E298&lt;101,E298,IF(E298&lt;201,E298/2,IF(E298&lt;=301,E298/3,E298/4))))</f>
        <v>988.70569199999989</v>
      </c>
      <c r="G298" s="91"/>
      <c r="H298" s="92"/>
      <c r="I298" s="36"/>
      <c r="L298" s="76"/>
      <c r="M298" s="76"/>
      <c r="N298" s="36"/>
    </row>
    <row r="299" spans="1:14" s="37" customFormat="1" ht="15.75" customHeight="1" x14ac:dyDescent="0.25">
      <c r="A299" s="74">
        <v>5</v>
      </c>
      <c r="B299" s="75"/>
      <c r="C299" s="89" t="s">
        <v>271</v>
      </c>
      <c r="D299" s="184"/>
      <c r="E299" s="184"/>
      <c r="F299" s="90"/>
      <c r="G299" s="91"/>
      <c r="H299" s="92"/>
      <c r="I299" s="36"/>
      <c r="L299" s="76"/>
      <c r="M299" s="76"/>
      <c r="N299" s="36"/>
    </row>
    <row r="300" spans="1:14" s="37" customFormat="1" ht="15.75" customHeight="1" x14ac:dyDescent="0.25">
      <c r="A300" s="74">
        <v>6</v>
      </c>
      <c r="B300" s="75"/>
      <c r="C300" s="93"/>
      <c r="D300" s="185"/>
      <c r="E300" s="185"/>
      <c r="F300" s="94"/>
      <c r="G300" s="93"/>
      <c r="H300" s="94"/>
      <c r="I300" s="36"/>
      <c r="L300" s="76"/>
      <c r="M300" s="76"/>
      <c r="N300" s="36"/>
    </row>
    <row r="301" spans="1:14" s="37" customFormat="1" ht="15.75" customHeight="1" x14ac:dyDescent="0.25">
      <c r="A301" s="70" t="s">
        <v>272</v>
      </c>
      <c r="B301" s="71"/>
      <c r="C301" s="71"/>
      <c r="D301" s="71"/>
      <c r="E301" s="71"/>
      <c r="F301" s="71"/>
      <c r="G301" s="71"/>
      <c r="H301" s="72"/>
      <c r="J301" s="36"/>
    </row>
    <row r="302" spans="1:14" s="37" customFormat="1" ht="15.75" customHeight="1" x14ac:dyDescent="0.25">
      <c r="A302" s="74">
        <v>1</v>
      </c>
      <c r="B302" s="75"/>
      <c r="C302" s="42" t="s">
        <v>263</v>
      </c>
      <c r="D302" s="56">
        <f>(56.13)*10.764</f>
        <v>604.18331999999998</v>
      </c>
      <c r="E302" s="42">
        <v>0</v>
      </c>
      <c r="F302" s="42">
        <f t="shared" ref="F302:F305" si="18">D302*(($F$203)+1)+(IF(E302&lt;101,E302,IF(E302&lt;201,E302/2,IF(E302&lt;=301,E302/3,E302/4))))</f>
        <v>936.48414600000001</v>
      </c>
      <c r="G302" s="89" t="str">
        <f>A301</f>
        <v>14th Floor (Part Refuge Area)</v>
      </c>
      <c r="H302" s="90"/>
      <c r="I302" s="36"/>
      <c r="L302" s="76"/>
      <c r="M302" s="76"/>
      <c r="N302" s="36"/>
    </row>
    <row r="303" spans="1:14" s="37" customFormat="1" ht="15.75" customHeight="1" x14ac:dyDescent="0.25">
      <c r="A303" s="74">
        <v>2</v>
      </c>
      <c r="B303" s="75"/>
      <c r="C303" s="42" t="s">
        <v>263</v>
      </c>
      <c r="D303" s="56">
        <f>(56.13)*10.764</f>
        <v>604.18331999999998</v>
      </c>
      <c r="E303" s="42">
        <v>0</v>
      </c>
      <c r="F303" s="42">
        <f t="shared" si="18"/>
        <v>936.48414600000001</v>
      </c>
      <c r="G303" s="91"/>
      <c r="H303" s="92"/>
      <c r="I303" s="36"/>
      <c r="L303" s="76"/>
      <c r="M303" s="76"/>
      <c r="N303" s="36"/>
    </row>
    <row r="304" spans="1:14" s="37" customFormat="1" ht="15.75" customHeight="1" x14ac:dyDescent="0.25">
      <c r="A304" s="74">
        <v>3</v>
      </c>
      <c r="B304" s="75"/>
      <c r="C304" s="42" t="s">
        <v>263</v>
      </c>
      <c r="D304" s="56">
        <f>(55.58)*10.764</f>
        <v>598.26311999999996</v>
      </c>
      <c r="E304" s="42">
        <v>0</v>
      </c>
      <c r="F304" s="42">
        <f t="shared" si="18"/>
        <v>927.30783599999995</v>
      </c>
      <c r="G304" s="91"/>
      <c r="H304" s="92"/>
      <c r="I304" s="36"/>
      <c r="L304" s="76"/>
      <c r="M304" s="76"/>
      <c r="N304" s="36"/>
    </row>
    <row r="305" spans="1:14" s="37" customFormat="1" ht="15.75" customHeight="1" x14ac:dyDescent="0.25">
      <c r="A305" s="74">
        <v>4</v>
      </c>
      <c r="B305" s="75"/>
      <c r="C305" s="42" t="s">
        <v>263</v>
      </c>
      <c r="D305" s="56">
        <f>(59.26)*10.764</f>
        <v>637.87463999999989</v>
      </c>
      <c r="E305" s="42">
        <v>0</v>
      </c>
      <c r="F305" s="42">
        <f t="shared" si="18"/>
        <v>988.70569199999989</v>
      </c>
      <c r="G305" s="91"/>
      <c r="H305" s="92"/>
      <c r="I305" s="36"/>
      <c r="L305" s="76"/>
      <c r="M305" s="76"/>
      <c r="N305" s="36"/>
    </row>
    <row r="306" spans="1:14" s="37" customFormat="1" ht="15.75" customHeight="1" x14ac:dyDescent="0.25">
      <c r="A306" s="74">
        <v>5</v>
      </c>
      <c r="B306" s="75"/>
      <c r="C306" s="89" t="s">
        <v>271</v>
      </c>
      <c r="D306" s="184"/>
      <c r="E306" s="184"/>
      <c r="F306" s="90"/>
      <c r="G306" s="91"/>
      <c r="H306" s="92"/>
      <c r="I306" s="36"/>
      <c r="L306" s="76"/>
      <c r="M306" s="76"/>
      <c r="N306" s="36"/>
    </row>
    <row r="307" spans="1:14" s="37" customFormat="1" ht="15.75" customHeight="1" x14ac:dyDescent="0.25">
      <c r="A307" s="74">
        <v>6</v>
      </c>
      <c r="B307" s="75"/>
      <c r="C307" s="93"/>
      <c r="D307" s="185"/>
      <c r="E307" s="185"/>
      <c r="F307" s="94"/>
      <c r="G307" s="93"/>
      <c r="H307" s="94"/>
      <c r="I307" s="36"/>
      <c r="L307" s="76"/>
      <c r="M307" s="76"/>
      <c r="N307" s="36"/>
    </row>
    <row r="308" spans="1:14" s="35" customFormat="1" x14ac:dyDescent="0.25">
      <c r="A308" s="167" t="s">
        <v>68</v>
      </c>
      <c r="B308" s="167"/>
      <c r="C308" s="167"/>
      <c r="D308" s="167"/>
      <c r="E308" s="167"/>
      <c r="F308" s="167"/>
      <c r="G308" s="167"/>
      <c r="H308" s="167"/>
    </row>
    <row r="309" spans="1:14" s="35" customFormat="1" x14ac:dyDescent="0.25">
      <c r="A309" s="47" t="s">
        <v>152</v>
      </c>
      <c r="B309" s="170" t="s">
        <v>312</v>
      </c>
      <c r="C309" s="171"/>
      <c r="D309" s="171"/>
      <c r="E309" s="171"/>
      <c r="F309" s="171"/>
      <c r="G309" s="171"/>
      <c r="H309" s="172"/>
    </row>
    <row r="310" spans="1:14" s="35" customFormat="1" ht="48" hidden="1" customHeight="1" x14ac:dyDescent="0.25">
      <c r="A310" s="47" t="s">
        <v>152</v>
      </c>
      <c r="B310" s="67" t="s">
        <v>303</v>
      </c>
      <c r="C310" s="68"/>
      <c r="D310" s="68"/>
      <c r="E310" s="68"/>
      <c r="F310" s="68"/>
      <c r="G310" s="68"/>
      <c r="H310" s="69"/>
    </row>
    <row r="311" spans="1:14" s="35" customFormat="1" x14ac:dyDescent="0.25">
      <c r="A311" s="47" t="s">
        <v>152</v>
      </c>
      <c r="B311" s="67" t="str">
        <f>(IF(F202="Saleable area Loading :","We have considered Saleable area of Flats as per our Calculation.","We considered Saleable area of Flat as per Builder area Sheet."))</f>
        <v>We have considered Saleable area of Flats as per our Calculation.</v>
      </c>
      <c r="C311" s="68"/>
      <c r="D311" s="68"/>
      <c r="E311" s="68"/>
      <c r="F311" s="68"/>
      <c r="G311" s="68"/>
      <c r="H311" s="69"/>
    </row>
    <row r="312" spans="1:14" s="35" customFormat="1" x14ac:dyDescent="0.25">
      <c r="A312" s="47" t="s">
        <v>152</v>
      </c>
      <c r="B312" s="67" t="str">
        <f>(IF(F157="Saleable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2" s="68"/>
      <c r="D312" s="68"/>
      <c r="E312" s="68"/>
      <c r="F312" s="68"/>
      <c r="G312" s="68"/>
      <c r="H312" s="69"/>
    </row>
    <row r="313" spans="1:14" s="35" customFormat="1" x14ac:dyDescent="0.25">
      <c r="A313" s="47" t="s">
        <v>152</v>
      </c>
      <c r="B313" s="82" t="s">
        <v>122</v>
      </c>
      <c r="C313" s="83"/>
      <c r="D313" s="83"/>
      <c r="E313" s="83"/>
      <c r="F313" s="83"/>
      <c r="G313" s="83"/>
      <c r="H313" s="84"/>
    </row>
    <row r="314" spans="1:14" s="35" customFormat="1" x14ac:dyDescent="0.25">
      <c r="A314" s="47" t="s">
        <v>152</v>
      </c>
      <c r="B314" s="82" t="s">
        <v>273</v>
      </c>
      <c r="C314" s="83"/>
      <c r="D314" s="83"/>
      <c r="E314" s="83"/>
      <c r="F314" s="83"/>
      <c r="G314" s="83"/>
      <c r="H314" s="84"/>
    </row>
    <row r="315" spans="1:14" s="35" customFormat="1" x14ac:dyDescent="0.25">
      <c r="A315" s="47" t="s">
        <v>152</v>
      </c>
      <c r="B315" s="82" t="s">
        <v>151</v>
      </c>
      <c r="C315" s="83"/>
      <c r="D315" s="83"/>
      <c r="E315" s="83"/>
      <c r="F315" s="83"/>
      <c r="G315" s="83"/>
      <c r="H315" s="84"/>
    </row>
    <row r="316" spans="1:14" s="35" customFormat="1" x14ac:dyDescent="0.25">
      <c r="A316" s="47" t="s">
        <v>152</v>
      </c>
      <c r="B316" s="82" t="s">
        <v>123</v>
      </c>
      <c r="C316" s="83"/>
      <c r="D316" s="83"/>
      <c r="E316" s="83"/>
      <c r="F316" s="83"/>
      <c r="G316" s="83"/>
      <c r="H316" s="84"/>
    </row>
    <row r="317" spans="1:14" s="35" customFormat="1" ht="34.5" customHeight="1" x14ac:dyDescent="0.25">
      <c r="A317" s="47" t="s">
        <v>152</v>
      </c>
      <c r="B317" s="82" t="s">
        <v>153</v>
      </c>
      <c r="C317" s="83"/>
      <c r="D317" s="83"/>
      <c r="E317" s="83"/>
      <c r="F317" s="83"/>
      <c r="G317" s="83"/>
      <c r="H317" s="84"/>
    </row>
    <row r="318" spans="1:14" s="35" customFormat="1" x14ac:dyDescent="0.25">
      <c r="A318" s="47" t="s">
        <v>152</v>
      </c>
      <c r="B318" s="82" t="s">
        <v>124</v>
      </c>
      <c r="C318" s="83"/>
      <c r="D318" s="83"/>
      <c r="E318" s="83"/>
      <c r="F318" s="83"/>
      <c r="G318" s="83"/>
      <c r="H318" s="84"/>
    </row>
    <row r="319" spans="1:14" s="35" customFormat="1" x14ac:dyDescent="0.25">
      <c r="A319" s="47" t="s">
        <v>152</v>
      </c>
      <c r="B319" s="67" t="s">
        <v>292</v>
      </c>
      <c r="C319" s="68"/>
      <c r="D319" s="68"/>
      <c r="E319" s="68"/>
      <c r="F319" s="68"/>
      <c r="G319" s="68"/>
      <c r="H319" s="69"/>
    </row>
    <row r="320" spans="1:14" s="35" customFormat="1" x14ac:dyDescent="0.25">
      <c r="A320" s="47" t="s">
        <v>152</v>
      </c>
      <c r="B320" s="67" t="s">
        <v>294</v>
      </c>
      <c r="C320" s="68"/>
      <c r="D320" s="68"/>
      <c r="E320" s="68"/>
      <c r="F320" s="68"/>
      <c r="G320" s="68"/>
      <c r="H320" s="69"/>
    </row>
    <row r="321" spans="1:10" s="35" customFormat="1" ht="32.25" hidden="1" customHeight="1" x14ac:dyDescent="0.25">
      <c r="A321" s="47" t="s">
        <v>152</v>
      </c>
      <c r="B321" s="67" t="s">
        <v>295</v>
      </c>
      <c r="C321" s="68"/>
      <c r="D321" s="68"/>
      <c r="E321" s="68"/>
      <c r="F321" s="68"/>
      <c r="G321" s="68"/>
      <c r="H321" s="69"/>
    </row>
    <row r="322" spans="1:10" s="35" customFormat="1" hidden="1" x14ac:dyDescent="0.25">
      <c r="A322" s="47" t="s">
        <v>152</v>
      </c>
      <c r="B322" s="67" t="s">
        <v>296</v>
      </c>
      <c r="C322" s="68"/>
      <c r="D322" s="68"/>
      <c r="E322" s="68"/>
      <c r="F322" s="68"/>
      <c r="G322" s="68"/>
      <c r="H322" s="69"/>
    </row>
    <row r="323" spans="1:10" x14ac:dyDescent="0.25">
      <c r="A323" s="166" t="s">
        <v>61</v>
      </c>
      <c r="B323" s="166"/>
      <c r="C323" s="166"/>
      <c r="D323" s="166"/>
      <c r="E323" s="166"/>
      <c r="F323" s="166"/>
      <c r="G323" s="166"/>
      <c r="H323" s="166"/>
    </row>
    <row r="324" spans="1:10" x14ac:dyDescent="0.25">
      <c r="A324" s="86" t="s">
        <v>62</v>
      </c>
      <c r="B324" s="86"/>
      <c r="C324" s="86"/>
      <c r="D324" s="86"/>
      <c r="E324" s="86"/>
      <c r="F324" s="86"/>
      <c r="G324" s="86"/>
      <c r="H324" s="86"/>
    </row>
    <row r="325" spans="1:10" ht="15.75" customHeight="1" x14ac:dyDescent="0.25">
      <c r="A325" s="176" t="s">
        <v>63</v>
      </c>
      <c r="B325" s="176"/>
      <c r="C325" s="176"/>
      <c r="D325" s="176"/>
      <c r="E325" s="176"/>
      <c r="F325" s="176"/>
      <c r="G325" s="176"/>
      <c r="H325" s="176"/>
    </row>
    <row r="326" spans="1:10" x14ac:dyDescent="0.25">
      <c r="A326" s="86" t="s">
        <v>64</v>
      </c>
      <c r="B326" s="86"/>
      <c r="C326" s="86"/>
      <c r="D326" s="86"/>
      <c r="E326" s="86"/>
      <c r="F326" s="86"/>
      <c r="G326" s="86"/>
      <c r="H326" s="86"/>
    </row>
    <row r="327" spans="1:10" x14ac:dyDescent="0.25">
      <c r="A327" s="86" t="s">
        <v>65</v>
      </c>
      <c r="B327" s="86"/>
      <c r="C327" s="86"/>
      <c r="D327" s="86"/>
      <c r="E327" s="86"/>
      <c r="F327" s="86"/>
      <c r="G327" s="86"/>
      <c r="H327" s="86"/>
    </row>
    <row r="328" spans="1:10" x14ac:dyDescent="0.25">
      <c r="A328" s="86" t="s">
        <v>125</v>
      </c>
      <c r="B328" s="86"/>
      <c r="C328" s="86"/>
      <c r="D328" s="86"/>
      <c r="E328" s="86"/>
      <c r="F328" s="86"/>
      <c r="G328" s="86"/>
      <c r="H328" s="86"/>
    </row>
    <row r="329" spans="1:10" ht="33.950000000000003" customHeight="1" x14ac:dyDescent="0.25">
      <c r="A329" s="123" t="s">
        <v>126</v>
      </c>
      <c r="B329" s="123"/>
      <c r="C329" s="123"/>
      <c r="D329" s="123"/>
      <c r="E329" s="123"/>
      <c r="F329" s="123"/>
      <c r="G329" s="123"/>
      <c r="H329" s="123"/>
    </row>
    <row r="330" spans="1:10" x14ac:dyDescent="0.25">
      <c r="A330" s="174" t="s">
        <v>77</v>
      </c>
      <c r="B330" s="174"/>
      <c r="C330" s="174" t="s">
        <v>310</v>
      </c>
      <c r="D330" s="174"/>
      <c r="E330" s="174" t="s">
        <v>106</v>
      </c>
      <c r="F330" s="174"/>
      <c r="G330" s="174" t="s">
        <v>309</v>
      </c>
      <c r="H330" s="174"/>
      <c r="J330" s="21">
        <f>30000+(750*30)</f>
        <v>52500</v>
      </c>
    </row>
    <row r="331" spans="1:10" x14ac:dyDescent="0.25">
      <c r="A331" s="173" t="s">
        <v>79</v>
      </c>
      <c r="B331" s="173"/>
      <c r="C331" s="173"/>
      <c r="D331" s="173"/>
      <c r="E331" s="173"/>
      <c r="F331" s="173"/>
      <c r="G331" s="173"/>
      <c r="H331" s="173"/>
    </row>
    <row r="332" spans="1:10" x14ac:dyDescent="0.25">
      <c r="A332" s="173"/>
      <c r="B332" s="173"/>
      <c r="C332" s="173"/>
      <c r="D332" s="173"/>
      <c r="E332" s="173"/>
      <c r="F332" s="173"/>
      <c r="G332" s="173"/>
      <c r="H332" s="173"/>
    </row>
    <row r="333" spans="1:10" x14ac:dyDescent="0.25">
      <c r="A333" s="173"/>
      <c r="B333" s="173"/>
      <c r="C333" s="173"/>
      <c r="D333" s="173"/>
      <c r="E333" s="173"/>
      <c r="F333" s="173"/>
      <c r="G333" s="173"/>
      <c r="H333" s="173"/>
    </row>
    <row r="334" spans="1:10" x14ac:dyDescent="0.25">
      <c r="A334" s="173"/>
      <c r="B334" s="173"/>
      <c r="C334" s="173"/>
      <c r="D334" s="173"/>
      <c r="E334" s="173"/>
      <c r="F334" s="173"/>
      <c r="G334" s="173"/>
      <c r="H334" s="173"/>
    </row>
    <row r="335" spans="1:10" x14ac:dyDescent="0.25">
      <c r="A335" s="38" t="s">
        <v>66</v>
      </c>
      <c r="B335" s="39"/>
      <c r="C335" s="39"/>
      <c r="D335" s="38" t="str">
        <f>E8</f>
        <v>Codename Highway Touch</v>
      </c>
      <c r="F335" s="39"/>
      <c r="G335" s="39"/>
      <c r="H335" s="39"/>
    </row>
    <row r="336" spans="1:10" x14ac:dyDescent="0.25">
      <c r="A336" s="39"/>
      <c r="B336" s="39"/>
      <c r="C336" s="39"/>
      <c r="D336" s="39"/>
      <c r="E336" s="39"/>
      <c r="F336" s="39"/>
      <c r="G336" s="39"/>
      <c r="H336" s="39"/>
    </row>
    <row r="337" spans="1:8" x14ac:dyDescent="0.25">
      <c r="A337" s="39"/>
      <c r="B337" s="39"/>
      <c r="C337" s="39"/>
      <c r="D337" s="39"/>
      <c r="E337" s="39"/>
      <c r="F337" s="39"/>
      <c r="G337" s="39"/>
      <c r="H337" s="39"/>
    </row>
    <row r="338" spans="1:8" ht="15" customHeight="1" x14ac:dyDescent="0.25"/>
    <row r="369" spans="1:1" hidden="1" x14ac:dyDescent="0.25"/>
    <row r="370" spans="1:1" hidden="1" x14ac:dyDescent="0.25"/>
    <row r="371" spans="1:1" hidden="1" x14ac:dyDescent="0.25"/>
    <row r="372" spans="1:1" hidden="1" x14ac:dyDescent="0.25"/>
    <row r="373" spans="1:1" hidden="1" x14ac:dyDescent="0.25"/>
    <row r="374" spans="1:1" hidden="1" x14ac:dyDescent="0.25"/>
    <row r="376" spans="1:1" x14ac:dyDescent="0.25">
      <c r="A376" s="41" t="s">
        <v>164</v>
      </c>
    </row>
    <row r="411" spans="1:1" x14ac:dyDescent="0.25">
      <c r="A411" s="41" t="s">
        <v>67</v>
      </c>
    </row>
  </sheetData>
  <mergeCells count="604"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09:B109"/>
    <mergeCell ref="C109:D109"/>
    <mergeCell ref="E109:F109"/>
    <mergeCell ref="G109:H109"/>
    <mergeCell ref="A110:B110"/>
    <mergeCell ref="C110:H110"/>
    <mergeCell ref="A112:B112"/>
    <mergeCell ref="C112:H112"/>
    <mergeCell ref="A113:B113"/>
    <mergeCell ref="E113:F113"/>
    <mergeCell ref="G113:H113"/>
    <mergeCell ref="A95:B95"/>
    <mergeCell ref="C95:H95"/>
    <mergeCell ref="A97:B97"/>
    <mergeCell ref="C97:H97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B320:H320"/>
    <mergeCell ref="B321:H321"/>
    <mergeCell ref="B322:H322"/>
    <mergeCell ref="G281:H286"/>
    <mergeCell ref="A214:H214"/>
    <mergeCell ref="A215:B215"/>
    <mergeCell ref="A220:B220"/>
    <mergeCell ref="A221:B221"/>
    <mergeCell ref="A222:B222"/>
    <mergeCell ref="A272:B272"/>
    <mergeCell ref="A273:B273"/>
    <mergeCell ref="C227:F229"/>
    <mergeCell ref="A234:H234"/>
    <mergeCell ref="A235:B235"/>
    <mergeCell ref="A229:B229"/>
    <mergeCell ref="A230:B230"/>
    <mergeCell ref="A228:B228"/>
    <mergeCell ref="A270:B270"/>
    <mergeCell ref="A243:B243"/>
    <mergeCell ref="A233:B233"/>
    <mergeCell ref="A219:B219"/>
    <mergeCell ref="A301:H301"/>
    <mergeCell ref="A302:B302"/>
    <mergeCell ref="A287:H287"/>
    <mergeCell ref="L306:M306"/>
    <mergeCell ref="A307:B307"/>
    <mergeCell ref="L307:M307"/>
    <mergeCell ref="C140:D140"/>
    <mergeCell ref="E140:F140"/>
    <mergeCell ref="G140:H140"/>
    <mergeCell ref="C141:D141"/>
    <mergeCell ref="E141:F141"/>
    <mergeCell ref="G141:H141"/>
    <mergeCell ref="A140:A142"/>
    <mergeCell ref="A144:A146"/>
    <mergeCell ref="C144:D144"/>
    <mergeCell ref="E144:F144"/>
    <mergeCell ref="A277:B277"/>
    <mergeCell ref="L277:M277"/>
    <mergeCell ref="A278:B278"/>
    <mergeCell ref="L278:M278"/>
    <mergeCell ref="G225:H233"/>
    <mergeCell ref="L302:M302"/>
    <mergeCell ref="G288:H293"/>
    <mergeCell ref="G295:H300"/>
    <mergeCell ref="G302:H307"/>
    <mergeCell ref="A303:B303"/>
    <mergeCell ref="L303:M303"/>
    <mergeCell ref="A304:B304"/>
    <mergeCell ref="L304:M304"/>
    <mergeCell ref="A305:B305"/>
    <mergeCell ref="L305:M305"/>
    <mergeCell ref="A299:B299"/>
    <mergeCell ref="L299:M299"/>
    <mergeCell ref="A300:B300"/>
    <mergeCell ref="L300:M300"/>
    <mergeCell ref="C299:F300"/>
    <mergeCell ref="A293:B293"/>
    <mergeCell ref="L293:M293"/>
    <mergeCell ref="A291:B291"/>
    <mergeCell ref="L291:M291"/>
    <mergeCell ref="A292:B292"/>
    <mergeCell ref="L292:M292"/>
    <mergeCell ref="A288:B288"/>
    <mergeCell ref="L288:M288"/>
    <mergeCell ref="A289:B289"/>
    <mergeCell ref="L289:M289"/>
    <mergeCell ref="A290:B290"/>
    <mergeCell ref="L290:M290"/>
    <mergeCell ref="L271:M271"/>
    <mergeCell ref="A266:B266"/>
    <mergeCell ref="L266:M266"/>
    <mergeCell ref="A267:B267"/>
    <mergeCell ref="L267:M267"/>
    <mergeCell ref="A268:B268"/>
    <mergeCell ref="L268:M268"/>
    <mergeCell ref="C264:F266"/>
    <mergeCell ref="A269:H269"/>
    <mergeCell ref="L255:M255"/>
    <mergeCell ref="A249:H249"/>
    <mergeCell ref="A250:B250"/>
    <mergeCell ref="L250:M250"/>
    <mergeCell ref="L270:M270"/>
    <mergeCell ref="A259:H259"/>
    <mergeCell ref="G250:H258"/>
    <mergeCell ref="L264:M264"/>
    <mergeCell ref="A265:B265"/>
    <mergeCell ref="L265:M265"/>
    <mergeCell ref="A260:B260"/>
    <mergeCell ref="L260:M260"/>
    <mergeCell ref="A261:B261"/>
    <mergeCell ref="L261:M261"/>
    <mergeCell ref="A262:B262"/>
    <mergeCell ref="A251:B251"/>
    <mergeCell ref="L251:M251"/>
    <mergeCell ref="A252:B252"/>
    <mergeCell ref="L252:M252"/>
    <mergeCell ref="A263:B263"/>
    <mergeCell ref="L263:M263"/>
    <mergeCell ref="A264:B264"/>
    <mergeCell ref="G260:H268"/>
    <mergeCell ref="G270:H278"/>
    <mergeCell ref="L298:M298"/>
    <mergeCell ref="A294:H294"/>
    <mergeCell ref="A295:B295"/>
    <mergeCell ref="L295:M295"/>
    <mergeCell ref="A296:B296"/>
    <mergeCell ref="L296:M296"/>
    <mergeCell ref="A297:B297"/>
    <mergeCell ref="L297:M297"/>
    <mergeCell ref="A256:B256"/>
    <mergeCell ref="L256:M256"/>
    <mergeCell ref="A257:B257"/>
    <mergeCell ref="L257:M257"/>
    <mergeCell ref="A258:B258"/>
    <mergeCell ref="L258:M258"/>
    <mergeCell ref="L262:M262"/>
    <mergeCell ref="L273:M273"/>
    <mergeCell ref="A274:B274"/>
    <mergeCell ref="C274:F276"/>
    <mergeCell ref="L274:M274"/>
    <mergeCell ref="A275:B275"/>
    <mergeCell ref="L275:M275"/>
    <mergeCell ref="A276:B276"/>
    <mergeCell ref="L276:M276"/>
    <mergeCell ref="L272:M272"/>
    <mergeCell ref="L225:M225"/>
    <mergeCell ref="A226:B226"/>
    <mergeCell ref="L246:M246"/>
    <mergeCell ref="A247:B247"/>
    <mergeCell ref="L247:M247"/>
    <mergeCell ref="L230:M230"/>
    <mergeCell ref="A231:B231"/>
    <mergeCell ref="L231:M231"/>
    <mergeCell ref="L239:M239"/>
    <mergeCell ref="A240:B240"/>
    <mergeCell ref="L240:M240"/>
    <mergeCell ref="A241:B241"/>
    <mergeCell ref="L235:M235"/>
    <mergeCell ref="A236:B236"/>
    <mergeCell ref="L236:M236"/>
    <mergeCell ref="A237:B237"/>
    <mergeCell ref="C237:F239"/>
    <mergeCell ref="L237:M237"/>
    <mergeCell ref="A238:B238"/>
    <mergeCell ref="L238:M238"/>
    <mergeCell ref="A239:B239"/>
    <mergeCell ref="L241:M241"/>
    <mergeCell ref="A242:B242"/>
    <mergeCell ref="G235:H243"/>
    <mergeCell ref="L285:M285"/>
    <mergeCell ref="A286:B286"/>
    <mergeCell ref="L286:M286"/>
    <mergeCell ref="A227:B227"/>
    <mergeCell ref="L227:M227"/>
    <mergeCell ref="L281:M281"/>
    <mergeCell ref="A282:B282"/>
    <mergeCell ref="L282:M282"/>
    <mergeCell ref="A283:B283"/>
    <mergeCell ref="L283:M283"/>
    <mergeCell ref="A284:B284"/>
    <mergeCell ref="L284:M284"/>
    <mergeCell ref="L248:M248"/>
    <mergeCell ref="L253:M253"/>
    <mergeCell ref="A254:B254"/>
    <mergeCell ref="L242:M242"/>
    <mergeCell ref="A253:B253"/>
    <mergeCell ref="A232:B232"/>
    <mergeCell ref="L232:M232"/>
    <mergeCell ref="L243:M243"/>
    <mergeCell ref="L233:M233"/>
    <mergeCell ref="G246:H248"/>
    <mergeCell ref="L254:M254"/>
    <mergeCell ref="A255:B255"/>
    <mergeCell ref="L217:M217"/>
    <mergeCell ref="G207:H213"/>
    <mergeCell ref="G215:H223"/>
    <mergeCell ref="E146:F146"/>
    <mergeCell ref="G146:H146"/>
    <mergeCell ref="A150:B150"/>
    <mergeCell ref="C150:D150"/>
    <mergeCell ref="E150:F150"/>
    <mergeCell ref="G150:H150"/>
    <mergeCell ref="G162:H174"/>
    <mergeCell ref="A189:H189"/>
    <mergeCell ref="C146:D146"/>
    <mergeCell ref="L170:M170"/>
    <mergeCell ref="L171:M171"/>
    <mergeCell ref="L218:M218"/>
    <mergeCell ref="G154:H154"/>
    <mergeCell ref="A153:B153"/>
    <mergeCell ref="L165:M165"/>
    <mergeCell ref="L164:M164"/>
    <mergeCell ref="L163:M163"/>
    <mergeCell ref="L219:M219"/>
    <mergeCell ref="L162:M162"/>
    <mergeCell ref="C151:D151"/>
    <mergeCell ref="E151:F151"/>
    <mergeCell ref="I14:P14"/>
    <mergeCell ref="F135:H135"/>
    <mergeCell ref="F133:H133"/>
    <mergeCell ref="A156:H156"/>
    <mergeCell ref="G139:H139"/>
    <mergeCell ref="A134:E134"/>
    <mergeCell ref="A54:B54"/>
    <mergeCell ref="C54:E54"/>
    <mergeCell ref="D56:H56"/>
    <mergeCell ref="F134:H134"/>
    <mergeCell ref="E139:F139"/>
    <mergeCell ref="A139:B139"/>
    <mergeCell ref="C149:D149"/>
    <mergeCell ref="D64:H64"/>
    <mergeCell ref="A65:C65"/>
    <mergeCell ref="A59:C59"/>
    <mergeCell ref="A46:D46"/>
    <mergeCell ref="A47:H47"/>
    <mergeCell ref="D58:H58"/>
    <mergeCell ref="A58:C58"/>
    <mergeCell ref="G50:H50"/>
    <mergeCell ref="A49:B49"/>
    <mergeCell ref="C49:E49"/>
    <mergeCell ref="G49:H49"/>
    <mergeCell ref="A50:B50"/>
    <mergeCell ref="A55:H55"/>
    <mergeCell ref="A56:C56"/>
    <mergeCell ref="A57:C57"/>
    <mergeCell ref="D57:H57"/>
    <mergeCell ref="G54:H54"/>
    <mergeCell ref="C53:E53"/>
    <mergeCell ref="C50:E50"/>
    <mergeCell ref="A51:B52"/>
    <mergeCell ref="C51:E51"/>
    <mergeCell ref="G51:H51"/>
    <mergeCell ref="C52:H52"/>
    <mergeCell ref="B311:H311"/>
    <mergeCell ref="A53:B53"/>
    <mergeCell ref="A77:B77"/>
    <mergeCell ref="A70:B70"/>
    <mergeCell ref="A154:B154"/>
    <mergeCell ref="C154:D154"/>
    <mergeCell ref="A76:B76"/>
    <mergeCell ref="D65:H65"/>
    <mergeCell ref="A71:B71"/>
    <mergeCell ref="G70:H70"/>
    <mergeCell ref="A72:B72"/>
    <mergeCell ref="A74:B74"/>
    <mergeCell ref="C145:D145"/>
    <mergeCell ref="E145:F145"/>
    <mergeCell ref="B157:B158"/>
    <mergeCell ref="A157:A158"/>
    <mergeCell ref="G145:H145"/>
    <mergeCell ref="A306:B306"/>
    <mergeCell ref="C306:F307"/>
    <mergeCell ref="G53:H53"/>
    <mergeCell ref="A216:B216"/>
    <mergeCell ref="A225:B225"/>
    <mergeCell ref="A298:B298"/>
    <mergeCell ref="A271:B271"/>
    <mergeCell ref="A331:H334"/>
    <mergeCell ref="A330:B330"/>
    <mergeCell ref="E330:F330"/>
    <mergeCell ref="C330:D330"/>
    <mergeCell ref="G330:H330"/>
    <mergeCell ref="A138:H138"/>
    <mergeCell ref="A73:B73"/>
    <mergeCell ref="A69:B69"/>
    <mergeCell ref="G144:H144"/>
    <mergeCell ref="A328:H328"/>
    <mergeCell ref="A325:H325"/>
    <mergeCell ref="A149:B149"/>
    <mergeCell ref="D202:D203"/>
    <mergeCell ref="E202:E203"/>
    <mergeCell ref="G202:H203"/>
    <mergeCell ref="F125:H125"/>
    <mergeCell ref="G142:H142"/>
    <mergeCell ref="F132:H132"/>
    <mergeCell ref="C139:D139"/>
    <mergeCell ref="C153:D153"/>
    <mergeCell ref="A206:H206"/>
    <mergeCell ref="B319:H319"/>
    <mergeCell ref="A324:H324"/>
    <mergeCell ref="E149:F149"/>
    <mergeCell ref="A326:H326"/>
    <mergeCell ref="A148:H148"/>
    <mergeCell ref="A329:H329"/>
    <mergeCell ref="A327:H327"/>
    <mergeCell ref="A323:H323"/>
    <mergeCell ref="G149:H149"/>
    <mergeCell ref="C157:C158"/>
    <mergeCell ref="B202:B203"/>
    <mergeCell ref="B313:H313"/>
    <mergeCell ref="B314:H314"/>
    <mergeCell ref="A308:H308"/>
    <mergeCell ref="A211:B211"/>
    <mergeCell ref="A279:H279"/>
    <mergeCell ref="A159:H159"/>
    <mergeCell ref="A160:H160"/>
    <mergeCell ref="B317:H317"/>
    <mergeCell ref="A202:A203"/>
    <mergeCell ref="A201:H201"/>
    <mergeCell ref="E153:F153"/>
    <mergeCell ref="B318:H318"/>
    <mergeCell ref="B316:H316"/>
    <mergeCell ref="B312:H312"/>
    <mergeCell ref="A155:H155"/>
    <mergeCell ref="B309:H309"/>
    <mergeCell ref="A67:B67"/>
    <mergeCell ref="C67:H67"/>
    <mergeCell ref="A75:B75"/>
    <mergeCell ref="A62:C62"/>
    <mergeCell ref="D62:H62"/>
    <mergeCell ref="C69:H69"/>
    <mergeCell ref="A64:C64"/>
    <mergeCell ref="E71:F80"/>
    <mergeCell ref="G71:H80"/>
    <mergeCell ref="A79:B79"/>
    <mergeCell ref="A80:B80"/>
    <mergeCell ref="E70:F70"/>
    <mergeCell ref="A63:C63"/>
    <mergeCell ref="D63:H63"/>
    <mergeCell ref="A66:C66"/>
    <mergeCell ref="D66:H66"/>
    <mergeCell ref="A78:B7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D59:H59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5:E35"/>
    <mergeCell ref="A34:B34"/>
    <mergeCell ref="C34:E34"/>
    <mergeCell ref="F33:H33"/>
    <mergeCell ref="C33:E33"/>
    <mergeCell ref="F34:H34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39:B39"/>
    <mergeCell ref="C39:H39"/>
    <mergeCell ref="F36:H36"/>
    <mergeCell ref="E42:H42"/>
    <mergeCell ref="A42:D42"/>
    <mergeCell ref="G151:H151"/>
    <mergeCell ref="F131:H131"/>
    <mergeCell ref="A125:E125"/>
    <mergeCell ref="A161:H161"/>
    <mergeCell ref="E157:E158"/>
    <mergeCell ref="G157:H158"/>
    <mergeCell ref="A127:E127"/>
    <mergeCell ref="A124:E124"/>
    <mergeCell ref="F128:H128"/>
    <mergeCell ref="A129:E129"/>
    <mergeCell ref="F124:H124"/>
    <mergeCell ref="F129:H129"/>
    <mergeCell ref="A130:E130"/>
    <mergeCell ref="F130:H130"/>
    <mergeCell ref="A131:E131"/>
    <mergeCell ref="A133:E133"/>
    <mergeCell ref="F127:H127"/>
    <mergeCell ref="A132:E132"/>
    <mergeCell ref="A136:E136"/>
    <mergeCell ref="F136:H136"/>
    <mergeCell ref="A137:E137"/>
    <mergeCell ref="F137:H137"/>
    <mergeCell ref="A151:B151"/>
    <mergeCell ref="L200:M200"/>
    <mergeCell ref="L199:M199"/>
    <mergeCell ref="C202:C203"/>
    <mergeCell ref="L174:M174"/>
    <mergeCell ref="L166:M166"/>
    <mergeCell ref="L167:M167"/>
    <mergeCell ref="L168:M168"/>
    <mergeCell ref="L169:M169"/>
    <mergeCell ref="A135:E135"/>
    <mergeCell ref="G153:H153"/>
    <mergeCell ref="C143:D143"/>
    <mergeCell ref="E143:F143"/>
    <mergeCell ref="G143:H143"/>
    <mergeCell ref="A147:B147"/>
    <mergeCell ref="C147:D147"/>
    <mergeCell ref="E147:F147"/>
    <mergeCell ref="G147:H147"/>
    <mergeCell ref="A152:B152"/>
    <mergeCell ref="C152:D152"/>
    <mergeCell ref="E152:F152"/>
    <mergeCell ref="G152:H152"/>
    <mergeCell ref="C142:D142"/>
    <mergeCell ref="E142:F142"/>
    <mergeCell ref="E154:F154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L172:M172"/>
    <mergeCell ref="L185:M185"/>
    <mergeCell ref="L186:M186"/>
    <mergeCell ref="L187:M187"/>
    <mergeCell ref="A177:H177"/>
    <mergeCell ref="L178:M178"/>
    <mergeCell ref="L179:M179"/>
    <mergeCell ref="L180:M180"/>
    <mergeCell ref="L181:M181"/>
    <mergeCell ref="L173:M173"/>
    <mergeCell ref="L182:M182"/>
    <mergeCell ref="L183:M183"/>
    <mergeCell ref="L184:M184"/>
    <mergeCell ref="A48:B48"/>
    <mergeCell ref="C48:H48"/>
    <mergeCell ref="B315:H315"/>
    <mergeCell ref="F126:H126"/>
    <mergeCell ref="A126:E126"/>
    <mergeCell ref="D157:D158"/>
    <mergeCell ref="A128:E128"/>
    <mergeCell ref="A188:H188"/>
    <mergeCell ref="A210:B210"/>
    <mergeCell ref="A248:B248"/>
    <mergeCell ref="A280:H280"/>
    <mergeCell ref="A281:B281"/>
    <mergeCell ref="A285:B285"/>
    <mergeCell ref="A244:H244"/>
    <mergeCell ref="A245:H245"/>
    <mergeCell ref="A246:B246"/>
    <mergeCell ref="A212:B212"/>
    <mergeCell ref="A213:B213"/>
    <mergeCell ref="A204:H204"/>
    <mergeCell ref="A205:H205"/>
    <mergeCell ref="A176:H176"/>
    <mergeCell ref="G178:H187"/>
    <mergeCell ref="A175:H175"/>
    <mergeCell ref="G190:H200"/>
    <mergeCell ref="B310:H310"/>
    <mergeCell ref="A224:H224"/>
    <mergeCell ref="L209:M209"/>
    <mergeCell ref="A207:B207"/>
    <mergeCell ref="L229:M229"/>
    <mergeCell ref="A218:B218"/>
    <mergeCell ref="L208:M208"/>
    <mergeCell ref="A209:B209"/>
    <mergeCell ref="L211:M211"/>
    <mergeCell ref="L226:M226"/>
    <mergeCell ref="L228:M228"/>
    <mergeCell ref="L210:M210"/>
    <mergeCell ref="L207:M207"/>
    <mergeCell ref="A208:B208"/>
    <mergeCell ref="L212:M212"/>
    <mergeCell ref="L213:M213"/>
    <mergeCell ref="L220:M220"/>
    <mergeCell ref="L221:M221"/>
    <mergeCell ref="L222:M222"/>
    <mergeCell ref="A223:B223"/>
    <mergeCell ref="L223:M223"/>
    <mergeCell ref="L215:M215"/>
    <mergeCell ref="L216:M216"/>
    <mergeCell ref="A217:B217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57:E158">
      <formula1>"Attached Loft area,Attached Terrace area,Attached Mezzanine area"</formula1>
    </dataValidation>
    <dataValidation type="list" allowBlank="1" showInputMessage="1" showErrorMessage="1" sqref="F158 F203">
      <formula1>"45%,50%,55%,60%"</formula1>
    </dataValidation>
    <dataValidation type="list" allowBlank="1" showInputMessage="1" showErrorMessage="1" sqref="G330:H330">
      <formula1>"Gaurav Panchal, Kunal Kadam,Shruti Tathare,Pranita Mhatre,Shruti Fule,Pooja Kawale,Mansee Mohite,Anjali Kamble, Hitakshi Mhatre, Sachin Sawant"</formula1>
    </dataValidation>
    <dataValidation type="list" allowBlank="1" showInputMessage="1" showErrorMessage="1" sqref="F124:H124">
      <formula1>"On Saleable Area,On Builtup Area,On Carpet Area,On Plot Area"</formula1>
    </dataValidation>
    <dataValidation type="list" allowBlank="1" showInputMessage="1" showErrorMessage="1" sqref="F136:H136">
      <formula1>"100000,150000,200000,250000,300000,350000,400000,500000,600000,700000,800000,900000,1000000,1200000,1400000,1500000"</formula1>
    </dataValidation>
    <dataValidation type="list" allowBlank="1" showInputMessage="1" showErrorMessage="1" sqref="F157 F202">
      <formula1>"Saleable area Loading :,Builder Saleable area"</formula1>
    </dataValidation>
    <dataValidation type="list" allowBlank="1" showInputMessage="1" showErrorMessage="1" sqref="B157:B158">
      <formula1>"Shop No. (Sale Plan),Sale / Rehab,Sale / Mhada"</formula1>
    </dataValidation>
    <dataValidation type="list" allowBlank="1" showInputMessage="1" showErrorMessage="1" sqref="B202:B203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334" max="16383" man="1"/>
    <brk id="375" max="16383" man="1"/>
    <brk id="41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8" zoomScale="85" zoomScaleNormal="85" workbookViewId="0">
      <selection activeCell="Q14" sqref="Q14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6" t="s">
        <v>107</v>
      </c>
      <c r="C3" s="216"/>
      <c r="D3" s="216"/>
      <c r="E3" s="216"/>
      <c r="F3" s="216"/>
      <c r="G3" s="216"/>
      <c r="H3" s="216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4"/>
      <c r="C4" s="54" t="s">
        <v>12</v>
      </c>
      <c r="D4" s="55" t="s">
        <v>179</v>
      </c>
      <c r="E4" s="55" t="s">
        <v>189</v>
      </c>
      <c r="F4" s="55" t="s">
        <v>173</v>
      </c>
      <c r="G4" s="55" t="s">
        <v>194</v>
      </c>
      <c r="H4" s="55" t="s">
        <v>212</v>
      </c>
      <c r="J4" t="s">
        <v>194</v>
      </c>
      <c r="K4" t="s">
        <v>210</v>
      </c>
    </row>
    <row r="5" spans="2:11" x14ac:dyDescent="0.25">
      <c r="B5" s="54"/>
      <c r="C5" s="54"/>
      <c r="D5" s="55" t="s">
        <v>180</v>
      </c>
      <c r="E5" s="55" t="s">
        <v>187</v>
      </c>
      <c r="F5" s="55" t="s">
        <v>209</v>
      </c>
      <c r="G5" s="55" t="s">
        <v>195</v>
      </c>
      <c r="H5" s="55" t="s">
        <v>213</v>
      </c>
    </row>
    <row r="6" spans="2:11" x14ac:dyDescent="0.25">
      <c r="B6" s="54"/>
      <c r="C6" s="54"/>
      <c r="D6" s="55" t="s">
        <v>181</v>
      </c>
      <c r="E6" s="55" t="s">
        <v>188</v>
      </c>
      <c r="F6" s="55" t="s">
        <v>210</v>
      </c>
      <c r="G6" s="55" t="s">
        <v>196</v>
      </c>
      <c r="H6" s="55" t="s">
        <v>226</v>
      </c>
    </row>
    <row r="7" spans="2:11" x14ac:dyDescent="0.25">
      <c r="B7" s="54"/>
      <c r="C7" s="54"/>
      <c r="D7" s="55" t="s">
        <v>182</v>
      </c>
      <c r="E7" s="55" t="s">
        <v>190</v>
      </c>
      <c r="F7" s="55" t="s">
        <v>211</v>
      </c>
      <c r="G7" s="55" t="s">
        <v>197</v>
      </c>
      <c r="H7" s="55" t="s">
        <v>214</v>
      </c>
    </row>
    <row r="8" spans="2:11" x14ac:dyDescent="0.25">
      <c r="B8" s="54"/>
      <c r="C8" s="54"/>
      <c r="D8" s="55" t="s">
        <v>183</v>
      </c>
      <c r="E8" s="55" t="s">
        <v>191</v>
      </c>
      <c r="F8" s="55"/>
      <c r="G8" s="55" t="s">
        <v>198</v>
      </c>
      <c r="H8" s="55" t="s">
        <v>215</v>
      </c>
    </row>
    <row r="9" spans="2:11" x14ac:dyDescent="0.25">
      <c r="B9" s="54"/>
      <c r="C9" s="54"/>
      <c r="D9" s="55" t="s">
        <v>184</v>
      </c>
      <c r="E9" s="55" t="s">
        <v>189</v>
      </c>
      <c r="F9" s="55"/>
      <c r="G9" s="55" t="s">
        <v>199</v>
      </c>
      <c r="H9" s="55" t="s">
        <v>216</v>
      </c>
    </row>
    <row r="10" spans="2:11" x14ac:dyDescent="0.25">
      <c r="B10" s="54"/>
      <c r="C10" s="54"/>
      <c r="D10" s="55" t="s">
        <v>185</v>
      </c>
      <c r="E10" s="55" t="s">
        <v>192</v>
      </c>
      <c r="F10" s="55"/>
      <c r="G10" s="55" t="s">
        <v>200</v>
      </c>
      <c r="H10" s="55" t="s">
        <v>217</v>
      </c>
    </row>
    <row r="11" spans="2:11" x14ac:dyDescent="0.25">
      <c r="B11" s="54"/>
      <c r="C11" s="54"/>
      <c r="D11" s="55" t="s">
        <v>186</v>
      </c>
      <c r="E11" s="55" t="s">
        <v>193</v>
      </c>
      <c r="F11" s="55"/>
      <c r="G11" s="55" t="s">
        <v>201</v>
      </c>
      <c r="H11" s="55" t="s">
        <v>218</v>
      </c>
    </row>
    <row r="12" spans="2:11" x14ac:dyDescent="0.25">
      <c r="B12" s="54"/>
      <c r="C12" s="54"/>
      <c r="D12" s="55"/>
      <c r="E12" s="55"/>
      <c r="F12" s="55"/>
      <c r="G12" s="55" t="s">
        <v>202</v>
      </c>
      <c r="H12" s="55" t="s">
        <v>219</v>
      </c>
    </row>
    <row r="13" spans="2:11" x14ac:dyDescent="0.25">
      <c r="B13" s="54"/>
      <c r="C13" s="54"/>
      <c r="D13" s="55"/>
      <c r="E13" s="55"/>
      <c r="F13" s="55"/>
      <c r="G13" s="55" t="s">
        <v>203</v>
      </c>
      <c r="H13" s="55" t="s">
        <v>220</v>
      </c>
    </row>
    <row r="14" spans="2:11" x14ac:dyDescent="0.25">
      <c r="B14" s="54"/>
      <c r="C14" s="54"/>
      <c r="D14" s="55"/>
      <c r="E14" s="55"/>
      <c r="F14" s="55"/>
      <c r="G14" s="55" t="s">
        <v>204</v>
      </c>
      <c r="H14" s="55" t="s">
        <v>221</v>
      </c>
    </row>
    <row r="15" spans="2:11" x14ac:dyDescent="0.25">
      <c r="B15" s="54"/>
      <c r="C15" s="54"/>
      <c r="D15" s="55"/>
      <c r="E15" s="55"/>
      <c r="F15" s="55"/>
      <c r="G15" s="55" t="s">
        <v>205</v>
      </c>
      <c r="H15" s="55" t="s">
        <v>222</v>
      </c>
    </row>
    <row r="16" spans="2:11" x14ac:dyDescent="0.25">
      <c r="B16" s="54"/>
      <c r="C16" s="54"/>
      <c r="D16" s="55"/>
      <c r="E16" s="55"/>
      <c r="F16" s="55"/>
      <c r="G16" s="55" t="s">
        <v>206</v>
      </c>
      <c r="H16" s="55" t="s">
        <v>223</v>
      </c>
    </row>
    <row r="17" spans="2:8" x14ac:dyDescent="0.25">
      <c r="B17" s="54"/>
      <c r="C17" s="54"/>
      <c r="D17" s="55"/>
      <c r="E17" s="55"/>
      <c r="F17" s="55"/>
      <c r="G17" s="55" t="s">
        <v>207</v>
      </c>
      <c r="H17" s="55" t="s">
        <v>224</v>
      </c>
    </row>
    <row r="18" spans="2:8" x14ac:dyDescent="0.25">
      <c r="B18" s="54"/>
      <c r="C18" s="54"/>
      <c r="D18" s="55"/>
      <c r="E18" s="55"/>
      <c r="F18" s="55"/>
      <c r="G18" s="55" t="s">
        <v>208</v>
      </c>
      <c r="H18" s="55" t="s">
        <v>225</v>
      </c>
    </row>
    <row r="24" spans="2:8" x14ac:dyDescent="0.25">
      <c r="C24" t="s">
        <v>170</v>
      </c>
    </row>
    <row r="25" spans="2:8" x14ac:dyDescent="0.25">
      <c r="C25" t="s">
        <v>227</v>
      </c>
    </row>
    <row r="26" spans="2:8" x14ac:dyDescent="0.25">
      <c r="C26" t="s">
        <v>228</v>
      </c>
    </row>
    <row r="27" spans="2:8" x14ac:dyDescent="0.25">
      <c r="C27" t="s">
        <v>229</v>
      </c>
    </row>
    <row r="28" spans="2:8" x14ac:dyDescent="0.25">
      <c r="C28" t="s">
        <v>230</v>
      </c>
    </row>
    <row r="29" spans="2:8" x14ac:dyDescent="0.25">
      <c r="C29" t="s">
        <v>231</v>
      </c>
    </row>
    <row r="30" spans="2:8" x14ac:dyDescent="0.2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2025-09-17T06:36:47Z</cp:lastPrinted>
  <dcterms:created xsi:type="dcterms:W3CDTF">2019-07-16T09:29:46Z</dcterms:created>
  <dcterms:modified xsi:type="dcterms:W3CDTF">2025-09-17T06:39:03Z</dcterms:modified>
</cp:coreProperties>
</file>