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codeName="ThisWorkbook"/>
  <mc:AlternateContent xmlns:mc="http://schemas.openxmlformats.org/markup-compatibility/2006">
    <mc:Choice Requires="x15">
      <x15ac:absPath xmlns:x15ac="http://schemas.microsoft.com/office/spreadsheetml/2010/11/ac" url="D:\Gaurav\Sep 25\DUMP\"/>
    </mc:Choice>
  </mc:AlternateContent>
  <xr:revisionPtr revIDLastSave="0" documentId="13_ncr:1_{6CC72F5C-D177-49C8-8A38-A3A1F6086F46}" xr6:coauthVersionLast="36" xr6:coauthVersionMax="47" xr10:uidLastSave="{00000000-0000-0000-0000-000000000000}"/>
  <bookViews>
    <workbookView xWindow="0" yWindow="0" windowWidth="20490" windowHeight="6825" tabRatio="725" xr2:uid="{00000000-000D-0000-FFFF-FFFF00000000}"/>
  </bookViews>
  <sheets>
    <sheet name="Report" sheetId="1" r:id="rId1"/>
    <sheet name="valuation" sheetId="5" r:id="rId2"/>
    <sheet name="Research" sheetId="4" r:id="rId3"/>
    <sheet name="Remarks" sheetId="6" r:id="rId4"/>
  </sheets>
  <definedNames>
    <definedName name="_xlnm._FilterDatabase" localSheetId="0" hidden="1">Report!$A$250:$H$465</definedName>
    <definedName name="_xlnm.Print_Area" localSheetId="0">Report!$A$1:$H$632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59" i="1" l="1"/>
  <c r="E397" i="1" l="1"/>
  <c r="E337" i="1"/>
  <c r="E291" i="1"/>
  <c r="I243" i="1"/>
  <c r="K293" i="1"/>
  <c r="J293" i="1"/>
  <c r="I293" i="1"/>
  <c r="D248" i="1"/>
  <c r="F248" i="1" s="1"/>
  <c r="H248" i="1" s="1"/>
  <c r="D247" i="1"/>
  <c r="D246" i="1"/>
  <c r="F246" i="1" s="1"/>
  <c r="H246" i="1" s="1"/>
  <c r="D245" i="1"/>
  <c r="F245" i="1" s="1"/>
  <c r="H245" i="1" s="1"/>
  <c r="D244" i="1"/>
  <c r="F244" i="1" s="1"/>
  <c r="H244" i="1" s="1"/>
  <c r="D243" i="1"/>
  <c r="F247" i="1"/>
  <c r="H247" i="1" s="1"/>
  <c r="A244" i="1"/>
  <c r="A245" i="1" s="1"/>
  <c r="A246" i="1" s="1"/>
  <c r="A247" i="1" s="1"/>
  <c r="A248" i="1" s="1"/>
  <c r="E438" i="1"/>
  <c r="D438" i="1"/>
  <c r="E437" i="1"/>
  <c r="D437" i="1"/>
  <c r="E436" i="1"/>
  <c r="D436" i="1"/>
  <c r="E435" i="1"/>
  <c r="D435" i="1"/>
  <c r="E434" i="1"/>
  <c r="D434" i="1"/>
  <c r="E433" i="1"/>
  <c r="D433" i="1"/>
  <c r="E432" i="1"/>
  <c r="D432" i="1"/>
  <c r="E431" i="1"/>
  <c r="D431" i="1"/>
  <c r="E430" i="1"/>
  <c r="D430" i="1"/>
  <c r="E429" i="1"/>
  <c r="D429" i="1"/>
  <c r="G427" i="1"/>
  <c r="G426" i="1"/>
  <c r="G425" i="1"/>
  <c r="G424" i="1"/>
  <c r="G423" i="1"/>
  <c r="G422" i="1"/>
  <c r="G421" i="1"/>
  <c r="G420" i="1"/>
  <c r="G419" i="1"/>
  <c r="G418" i="1"/>
  <c r="E427" i="1"/>
  <c r="D427" i="1"/>
  <c r="E426" i="1"/>
  <c r="D426" i="1"/>
  <c r="E425" i="1"/>
  <c r="D425" i="1"/>
  <c r="E424" i="1"/>
  <c r="D424" i="1"/>
  <c r="E423" i="1"/>
  <c r="D423" i="1"/>
  <c r="E422" i="1"/>
  <c r="D422" i="1"/>
  <c r="E421" i="1"/>
  <c r="D421" i="1"/>
  <c r="E420" i="1"/>
  <c r="D420" i="1"/>
  <c r="E419" i="1"/>
  <c r="D419" i="1"/>
  <c r="E418" i="1"/>
  <c r="D418" i="1"/>
  <c r="G416" i="1"/>
  <c r="G415" i="1"/>
  <c r="G414" i="1"/>
  <c r="G413" i="1"/>
  <c r="G412" i="1"/>
  <c r="E416" i="1"/>
  <c r="D416" i="1"/>
  <c r="E415" i="1"/>
  <c r="D415" i="1"/>
  <c r="E414" i="1"/>
  <c r="D414" i="1"/>
  <c r="E413" i="1"/>
  <c r="D413" i="1"/>
  <c r="E412" i="1"/>
  <c r="D412" i="1"/>
  <c r="E411" i="1"/>
  <c r="D411" i="1"/>
  <c r="E410" i="1"/>
  <c r="D410" i="1"/>
  <c r="E409" i="1"/>
  <c r="D409" i="1"/>
  <c r="E408" i="1"/>
  <c r="D408" i="1"/>
  <c r="E407" i="1"/>
  <c r="D407" i="1"/>
  <c r="A419" i="1"/>
  <c r="A420" i="1" s="1"/>
  <c r="A421" i="1" s="1"/>
  <c r="A422" i="1" s="1"/>
  <c r="A423" i="1" s="1"/>
  <c r="A424" i="1" s="1"/>
  <c r="A425" i="1" s="1"/>
  <c r="A426" i="1" s="1"/>
  <c r="A427" i="1" s="1"/>
  <c r="A430" i="1"/>
  <c r="A431" i="1" s="1"/>
  <c r="A432" i="1" s="1"/>
  <c r="A433" i="1" s="1"/>
  <c r="A434" i="1" s="1"/>
  <c r="A435" i="1" s="1"/>
  <c r="A436" i="1" s="1"/>
  <c r="A437" i="1" s="1"/>
  <c r="A438" i="1" s="1"/>
  <c r="A408" i="1"/>
  <c r="A409" i="1" s="1"/>
  <c r="A410" i="1" s="1"/>
  <c r="A411" i="1" s="1"/>
  <c r="A412" i="1" s="1"/>
  <c r="A413" i="1" s="1"/>
  <c r="A414" i="1" s="1"/>
  <c r="A415" i="1" s="1"/>
  <c r="A416" i="1" s="1"/>
  <c r="E403" i="1"/>
  <c r="D403" i="1"/>
  <c r="E402" i="1"/>
  <c r="D402" i="1"/>
  <c r="E401" i="1"/>
  <c r="D401" i="1"/>
  <c r="E400" i="1"/>
  <c r="D400" i="1"/>
  <c r="E399" i="1"/>
  <c r="D399" i="1"/>
  <c r="E398" i="1"/>
  <c r="D398" i="1"/>
  <c r="D397" i="1"/>
  <c r="E396" i="1"/>
  <c r="D396" i="1"/>
  <c r="E395" i="1"/>
  <c r="D395" i="1"/>
  <c r="G392" i="1"/>
  <c r="G391" i="1"/>
  <c r="G390" i="1"/>
  <c r="G389" i="1"/>
  <c r="G388" i="1"/>
  <c r="G387" i="1"/>
  <c r="G386" i="1"/>
  <c r="E393" i="1"/>
  <c r="D393" i="1"/>
  <c r="E392" i="1"/>
  <c r="D392" i="1"/>
  <c r="E391" i="1"/>
  <c r="D391" i="1"/>
  <c r="E390" i="1"/>
  <c r="D390" i="1"/>
  <c r="E389" i="1"/>
  <c r="D389" i="1"/>
  <c r="E388" i="1"/>
  <c r="D388" i="1"/>
  <c r="E387" i="1"/>
  <c r="D387" i="1"/>
  <c r="E386" i="1"/>
  <c r="D386" i="1"/>
  <c r="E385" i="1"/>
  <c r="D385" i="1"/>
  <c r="A396" i="1"/>
  <c r="A397" i="1" s="1"/>
  <c r="A398" i="1" s="1"/>
  <c r="A399" i="1" s="1"/>
  <c r="A400" i="1" s="1"/>
  <c r="A401" i="1" s="1"/>
  <c r="A402" i="1" s="1"/>
  <c r="A403" i="1" s="1"/>
  <c r="A386" i="1"/>
  <c r="A387" i="1" s="1"/>
  <c r="A388" i="1" s="1"/>
  <c r="A389" i="1" s="1"/>
  <c r="A390" i="1" s="1"/>
  <c r="A391" i="1" s="1"/>
  <c r="A392" i="1" s="1"/>
  <c r="A393" i="1" s="1"/>
  <c r="F416" i="1" l="1"/>
  <c r="H416" i="1" s="1"/>
  <c r="F418" i="1"/>
  <c r="F422" i="1"/>
  <c r="F426" i="1"/>
  <c r="F434" i="1"/>
  <c r="H434" i="1" s="1"/>
  <c r="F438" i="1"/>
  <c r="H438" i="1" s="1"/>
  <c r="F396" i="1"/>
  <c r="H396" i="1" s="1"/>
  <c r="C208" i="1"/>
  <c r="F425" i="1"/>
  <c r="H425" i="1" s="1"/>
  <c r="F419" i="1"/>
  <c r="H419" i="1" s="1"/>
  <c r="F423" i="1"/>
  <c r="H423" i="1" s="1"/>
  <c r="F427" i="1"/>
  <c r="H427" i="1" s="1"/>
  <c r="F431" i="1"/>
  <c r="H431" i="1" s="1"/>
  <c r="F435" i="1"/>
  <c r="H435" i="1" s="1"/>
  <c r="F243" i="1"/>
  <c r="H243" i="1" s="1"/>
  <c r="G208" i="1" s="1"/>
  <c r="F395" i="1"/>
  <c r="H395" i="1" s="1"/>
  <c r="F399" i="1"/>
  <c r="H399" i="1" s="1"/>
  <c r="F403" i="1"/>
  <c r="H403" i="1" s="1"/>
  <c r="C218" i="1"/>
  <c r="F393" i="1"/>
  <c r="H393" i="1" s="1"/>
  <c r="C219" i="1"/>
  <c r="F398" i="1"/>
  <c r="H398" i="1" s="1"/>
  <c r="F429" i="1"/>
  <c r="H429" i="1" s="1"/>
  <c r="F433" i="1"/>
  <c r="H433" i="1" s="1"/>
  <c r="F437" i="1"/>
  <c r="H437" i="1" s="1"/>
  <c r="F400" i="1"/>
  <c r="H400" i="1" s="1"/>
  <c r="F412" i="1"/>
  <c r="H412" i="1" s="1"/>
  <c r="F420" i="1"/>
  <c r="H420" i="1" s="1"/>
  <c r="F424" i="1"/>
  <c r="H424" i="1" s="1"/>
  <c r="F436" i="1"/>
  <c r="H436" i="1" s="1"/>
  <c r="F415" i="1"/>
  <c r="H415" i="1" s="1"/>
  <c r="F414" i="1"/>
  <c r="H414" i="1" s="1"/>
  <c r="F402" i="1"/>
  <c r="H402" i="1" s="1"/>
  <c r="F421" i="1"/>
  <c r="H421" i="1" s="1"/>
  <c r="F432" i="1"/>
  <c r="H432" i="1" s="1"/>
  <c r="F390" i="1"/>
  <c r="H390" i="1" s="1"/>
  <c r="F387" i="1"/>
  <c r="H387" i="1" s="1"/>
  <c r="F391" i="1"/>
  <c r="H391" i="1" s="1"/>
  <c r="H426" i="1"/>
  <c r="F388" i="1"/>
  <c r="H388" i="1" s="1"/>
  <c r="F392" i="1"/>
  <c r="H392" i="1" s="1"/>
  <c r="F397" i="1"/>
  <c r="H397" i="1" s="1"/>
  <c r="F401" i="1"/>
  <c r="H401" i="1" s="1"/>
  <c r="H418" i="1"/>
  <c r="F413" i="1"/>
  <c r="H413" i="1" s="1"/>
  <c r="F430" i="1"/>
  <c r="H430" i="1" s="1"/>
  <c r="H422" i="1"/>
  <c r="F389" i="1"/>
  <c r="H389" i="1" s="1"/>
  <c r="F386" i="1"/>
  <c r="H386" i="1" s="1"/>
  <c r="F385" i="1"/>
  <c r="E381" i="1"/>
  <c r="D381" i="1"/>
  <c r="E380" i="1"/>
  <c r="D380" i="1"/>
  <c r="E379" i="1"/>
  <c r="D379" i="1"/>
  <c r="E378" i="1"/>
  <c r="D378" i="1"/>
  <c r="E377" i="1"/>
  <c r="D377" i="1"/>
  <c r="G374" i="1"/>
  <c r="G373" i="1"/>
  <c r="G372" i="1"/>
  <c r="E375" i="1"/>
  <c r="D375" i="1"/>
  <c r="E374" i="1"/>
  <c r="D374" i="1"/>
  <c r="E373" i="1"/>
  <c r="D373" i="1"/>
  <c r="E372" i="1"/>
  <c r="D372" i="1"/>
  <c r="E371" i="1"/>
  <c r="D371" i="1"/>
  <c r="A378" i="1"/>
  <c r="A379" i="1" s="1"/>
  <c r="A380" i="1" s="1"/>
  <c r="A381" i="1" s="1"/>
  <c r="A372" i="1"/>
  <c r="A373" i="1" s="1"/>
  <c r="A374" i="1" s="1"/>
  <c r="A375" i="1" s="1"/>
  <c r="E367" i="1"/>
  <c r="D367" i="1"/>
  <c r="E366" i="1"/>
  <c r="D366" i="1"/>
  <c r="E365" i="1"/>
  <c r="D365" i="1"/>
  <c r="E364" i="1"/>
  <c r="D364" i="1"/>
  <c r="E363" i="1"/>
  <c r="D363" i="1"/>
  <c r="G361" i="1"/>
  <c r="G360" i="1"/>
  <c r="G357" i="1"/>
  <c r="E361" i="1"/>
  <c r="D361" i="1"/>
  <c r="E360" i="1"/>
  <c r="D360" i="1"/>
  <c r="E359" i="1"/>
  <c r="D359" i="1"/>
  <c r="E358" i="1"/>
  <c r="D358" i="1"/>
  <c r="E357" i="1"/>
  <c r="D357" i="1"/>
  <c r="A364" i="1"/>
  <c r="A365" i="1" s="1"/>
  <c r="A366" i="1" s="1"/>
  <c r="A367" i="1" s="1"/>
  <c r="A358" i="1"/>
  <c r="A359" i="1" s="1"/>
  <c r="A360" i="1" s="1"/>
  <c r="A361" i="1" s="1"/>
  <c r="E353" i="1"/>
  <c r="D353" i="1"/>
  <c r="E352" i="1"/>
  <c r="D352" i="1"/>
  <c r="E351" i="1"/>
  <c r="D351" i="1"/>
  <c r="E350" i="1"/>
  <c r="D350" i="1"/>
  <c r="E349" i="1"/>
  <c r="D349" i="1"/>
  <c r="E348" i="1"/>
  <c r="D348" i="1"/>
  <c r="E347" i="1"/>
  <c r="D347" i="1"/>
  <c r="E346" i="1"/>
  <c r="D346" i="1"/>
  <c r="E345" i="1"/>
  <c r="D345" i="1"/>
  <c r="G342" i="1"/>
  <c r="G341" i="1"/>
  <c r="G340" i="1"/>
  <c r="G339" i="1"/>
  <c r="G338" i="1"/>
  <c r="G337" i="1"/>
  <c r="G336" i="1"/>
  <c r="E343" i="1"/>
  <c r="D343" i="1"/>
  <c r="E342" i="1"/>
  <c r="D342" i="1"/>
  <c r="E341" i="1"/>
  <c r="D341" i="1"/>
  <c r="E340" i="1"/>
  <c r="D340" i="1"/>
  <c r="E339" i="1"/>
  <c r="D339" i="1"/>
  <c r="E338" i="1"/>
  <c r="D338" i="1"/>
  <c r="D337" i="1"/>
  <c r="E336" i="1"/>
  <c r="D336" i="1"/>
  <c r="E335" i="1"/>
  <c r="D335" i="1"/>
  <c r="A346" i="1"/>
  <c r="A347" i="1" s="1"/>
  <c r="A348" i="1" s="1"/>
  <c r="A349" i="1" s="1"/>
  <c r="A350" i="1" s="1"/>
  <c r="A351" i="1" s="1"/>
  <c r="A352" i="1" s="1"/>
  <c r="A353" i="1" s="1"/>
  <c r="A336" i="1"/>
  <c r="A337" i="1" s="1"/>
  <c r="A338" i="1" s="1"/>
  <c r="A339" i="1" s="1"/>
  <c r="A340" i="1" s="1"/>
  <c r="A341" i="1" s="1"/>
  <c r="A342" i="1" s="1"/>
  <c r="A343" i="1" s="1"/>
  <c r="E331" i="1"/>
  <c r="D331" i="1"/>
  <c r="E330" i="1"/>
  <c r="D330" i="1"/>
  <c r="E329" i="1"/>
  <c r="D329" i="1"/>
  <c r="E328" i="1"/>
  <c r="D328" i="1"/>
  <c r="E327" i="1"/>
  <c r="D327" i="1"/>
  <c r="E326" i="1"/>
  <c r="D326" i="1"/>
  <c r="E325" i="1"/>
  <c r="D325" i="1"/>
  <c r="E324" i="1"/>
  <c r="D324" i="1"/>
  <c r="G322" i="1"/>
  <c r="G321" i="1"/>
  <c r="G320" i="1"/>
  <c r="G319" i="1"/>
  <c r="G318" i="1"/>
  <c r="G317" i="1"/>
  <c r="G316" i="1"/>
  <c r="G315" i="1"/>
  <c r="E322" i="1"/>
  <c r="D322" i="1"/>
  <c r="E321" i="1"/>
  <c r="D321" i="1"/>
  <c r="E320" i="1"/>
  <c r="D320" i="1"/>
  <c r="E319" i="1"/>
  <c r="D319" i="1"/>
  <c r="E318" i="1"/>
  <c r="D318" i="1"/>
  <c r="E317" i="1"/>
  <c r="D317" i="1"/>
  <c r="E316" i="1"/>
  <c r="D316" i="1"/>
  <c r="E315" i="1"/>
  <c r="D315" i="1"/>
  <c r="A325" i="1"/>
  <c r="A326" i="1" s="1"/>
  <c r="A327" i="1" s="1"/>
  <c r="A328" i="1" s="1"/>
  <c r="A329" i="1" s="1"/>
  <c r="A330" i="1" s="1"/>
  <c r="A331" i="1" s="1"/>
  <c r="A316" i="1"/>
  <c r="A317" i="1" s="1"/>
  <c r="A318" i="1" s="1"/>
  <c r="A319" i="1" s="1"/>
  <c r="A320" i="1" s="1"/>
  <c r="A321" i="1" s="1"/>
  <c r="A322" i="1" s="1"/>
  <c r="E311" i="1"/>
  <c r="D311" i="1"/>
  <c r="E310" i="1"/>
  <c r="D310" i="1"/>
  <c r="E309" i="1"/>
  <c r="D309" i="1"/>
  <c r="E308" i="1"/>
  <c r="D308" i="1"/>
  <c r="E307" i="1"/>
  <c r="D307" i="1"/>
  <c r="E306" i="1"/>
  <c r="D306" i="1"/>
  <c r="E305" i="1"/>
  <c r="D305" i="1"/>
  <c r="E304" i="1"/>
  <c r="D304" i="1"/>
  <c r="E303" i="1"/>
  <c r="D303" i="1"/>
  <c r="E302" i="1"/>
  <c r="D302" i="1"/>
  <c r="A303" i="1"/>
  <c r="A304" i="1" s="1"/>
  <c r="A305" i="1" s="1"/>
  <c r="A306" i="1" s="1"/>
  <c r="A307" i="1" s="1"/>
  <c r="A308" i="1" s="1"/>
  <c r="A309" i="1" s="1"/>
  <c r="A310" i="1" s="1"/>
  <c r="A311" i="1" s="1"/>
  <c r="G299" i="1"/>
  <c r="G298" i="1"/>
  <c r="G297" i="1"/>
  <c r="G296" i="1"/>
  <c r="G295" i="1"/>
  <c r="G294" i="1"/>
  <c r="G293" i="1"/>
  <c r="G292" i="1"/>
  <c r="E300" i="1"/>
  <c r="D300" i="1"/>
  <c r="E299" i="1"/>
  <c r="D299" i="1"/>
  <c r="E298" i="1"/>
  <c r="D298" i="1"/>
  <c r="E297" i="1"/>
  <c r="D297" i="1"/>
  <c r="E296" i="1"/>
  <c r="D296" i="1"/>
  <c r="E295" i="1"/>
  <c r="D295" i="1"/>
  <c r="E294" i="1"/>
  <c r="D294" i="1"/>
  <c r="E293" i="1"/>
  <c r="D293" i="1"/>
  <c r="E292" i="1"/>
  <c r="D292" i="1"/>
  <c r="D291" i="1"/>
  <c r="A292" i="1"/>
  <c r="A293" i="1" s="1"/>
  <c r="A294" i="1" s="1"/>
  <c r="A295" i="1" s="1"/>
  <c r="A296" i="1" s="1"/>
  <c r="A297" i="1" s="1"/>
  <c r="A298" i="1" s="1"/>
  <c r="A299" i="1" s="1"/>
  <c r="A300" i="1" s="1"/>
  <c r="K257" i="1"/>
  <c r="K261" i="1"/>
  <c r="J261" i="1"/>
  <c r="I261" i="1"/>
  <c r="I257" i="1"/>
  <c r="J257" i="1"/>
  <c r="G281" i="1"/>
  <c r="G287" i="1"/>
  <c r="G286" i="1"/>
  <c r="G285" i="1"/>
  <c r="G284" i="1"/>
  <c r="G282" i="1"/>
  <c r="G280" i="1"/>
  <c r="G279" i="1"/>
  <c r="E287" i="1"/>
  <c r="D287" i="1"/>
  <c r="E286" i="1"/>
  <c r="D286" i="1"/>
  <c r="E285" i="1"/>
  <c r="D285" i="1"/>
  <c r="E284" i="1"/>
  <c r="D284" i="1"/>
  <c r="E283" i="1"/>
  <c r="D283" i="1"/>
  <c r="E282" i="1"/>
  <c r="D282" i="1"/>
  <c r="E281" i="1"/>
  <c r="D281" i="1"/>
  <c r="E280" i="1"/>
  <c r="D280" i="1"/>
  <c r="E279" i="1"/>
  <c r="D279" i="1"/>
  <c r="A279" i="1"/>
  <c r="A280" i="1" s="1"/>
  <c r="A281" i="1" s="1"/>
  <c r="A282" i="1" s="1"/>
  <c r="A283" i="1" s="1"/>
  <c r="A284" i="1" s="1"/>
  <c r="A285" i="1" s="1"/>
  <c r="A286" i="1" s="1"/>
  <c r="A287" i="1" s="1"/>
  <c r="E278" i="1"/>
  <c r="D278" i="1"/>
  <c r="E272" i="1"/>
  <c r="E267" i="1"/>
  <c r="E276" i="1"/>
  <c r="D276" i="1"/>
  <c r="E275" i="1"/>
  <c r="D275" i="1"/>
  <c r="E274" i="1"/>
  <c r="D274" i="1"/>
  <c r="E273" i="1"/>
  <c r="D273" i="1"/>
  <c r="D272" i="1"/>
  <c r="E271" i="1"/>
  <c r="D271" i="1"/>
  <c r="E270" i="1"/>
  <c r="D270" i="1"/>
  <c r="E269" i="1"/>
  <c r="D269" i="1"/>
  <c r="E268" i="1"/>
  <c r="D268" i="1"/>
  <c r="D267" i="1"/>
  <c r="G265" i="1"/>
  <c r="G264" i="1"/>
  <c r="G263" i="1"/>
  <c r="G262" i="1"/>
  <c r="G260" i="1"/>
  <c r="G259" i="1"/>
  <c r="G258" i="1"/>
  <c r="G257" i="1"/>
  <c r="E265" i="1"/>
  <c r="D265" i="1"/>
  <c r="E264" i="1"/>
  <c r="D264" i="1"/>
  <c r="E263" i="1"/>
  <c r="D263" i="1"/>
  <c r="E262" i="1"/>
  <c r="D262" i="1"/>
  <c r="E261" i="1"/>
  <c r="D261" i="1"/>
  <c r="E260" i="1"/>
  <c r="D260" i="1"/>
  <c r="E259" i="1"/>
  <c r="D259" i="1"/>
  <c r="E258" i="1"/>
  <c r="D258" i="1"/>
  <c r="E257" i="1"/>
  <c r="D257" i="1"/>
  <c r="E256" i="1"/>
  <c r="D256" i="1"/>
  <c r="N257" i="1"/>
  <c r="D240" i="1"/>
  <c r="F240" i="1" s="1"/>
  <c r="H240" i="1" s="1"/>
  <c r="D239" i="1"/>
  <c r="F239" i="1" s="1"/>
  <c r="H239" i="1" s="1"/>
  <c r="D238" i="1"/>
  <c r="F238" i="1" s="1"/>
  <c r="H238" i="1" s="1"/>
  <c r="D237" i="1"/>
  <c r="F237" i="1" s="1"/>
  <c r="H237" i="1" s="1"/>
  <c r="D236" i="1"/>
  <c r="F236" i="1" s="1"/>
  <c r="H236" i="1" s="1"/>
  <c r="D235" i="1"/>
  <c r="F235" i="1" s="1"/>
  <c r="H235" i="1" s="1"/>
  <c r="D234" i="1"/>
  <c r="F234" i="1" s="1"/>
  <c r="H234" i="1" s="1"/>
  <c r="D233" i="1"/>
  <c r="F233" i="1" s="1"/>
  <c r="H233" i="1" s="1"/>
  <c r="D232" i="1"/>
  <c r="D231" i="1"/>
  <c r="D230" i="1"/>
  <c r="D229" i="1"/>
  <c r="I240" i="1"/>
  <c r="I234" i="1"/>
  <c r="I232" i="1"/>
  <c r="C80" i="1"/>
  <c r="C178" i="1"/>
  <c r="B179" i="1" s="1"/>
  <c r="C164" i="1"/>
  <c r="B165" i="1" s="1"/>
  <c r="B151" i="1"/>
  <c r="B137" i="1"/>
  <c r="C122" i="1"/>
  <c r="B123" i="1" s="1"/>
  <c r="E43" i="1"/>
  <c r="H137" i="1"/>
  <c r="H179" i="1"/>
  <c r="H165" i="1"/>
  <c r="H151" i="1"/>
  <c r="F263" i="1" l="1"/>
  <c r="H263" i="1" s="1"/>
  <c r="E208" i="1"/>
  <c r="F380" i="1"/>
  <c r="H380" i="1" s="1"/>
  <c r="C207" i="1"/>
  <c r="C209" i="1" s="1"/>
  <c r="C214" i="1"/>
  <c r="C213" i="1"/>
  <c r="F337" i="1"/>
  <c r="H337" i="1" s="1"/>
  <c r="C216" i="1"/>
  <c r="H385" i="1"/>
  <c r="G218" i="1" s="1"/>
  <c r="E218" i="1"/>
  <c r="C217" i="1"/>
  <c r="C212" i="1"/>
  <c r="F282" i="1"/>
  <c r="H282" i="1" s="1"/>
  <c r="F286" i="1"/>
  <c r="H286" i="1" s="1"/>
  <c r="C215" i="1"/>
  <c r="F373" i="1"/>
  <c r="H373" i="1" s="1"/>
  <c r="F300" i="1"/>
  <c r="H300" i="1" s="1"/>
  <c r="F357" i="1"/>
  <c r="F345" i="1"/>
  <c r="H345" i="1" s="1"/>
  <c r="F359" i="1"/>
  <c r="H359" i="1" s="1"/>
  <c r="F365" i="1"/>
  <c r="H365" i="1" s="1"/>
  <c r="F260" i="1"/>
  <c r="H260" i="1" s="1"/>
  <c r="F320" i="1"/>
  <c r="H320" i="1" s="1"/>
  <c r="F377" i="1"/>
  <c r="H377" i="1" s="1"/>
  <c r="F381" i="1"/>
  <c r="H381" i="1" s="1"/>
  <c r="F371" i="1"/>
  <c r="F375" i="1"/>
  <c r="H375" i="1" s="1"/>
  <c r="F318" i="1"/>
  <c r="H318" i="1" s="1"/>
  <c r="F322" i="1"/>
  <c r="H322" i="1" s="1"/>
  <c r="F327" i="1"/>
  <c r="H327" i="1" s="1"/>
  <c r="F379" i="1"/>
  <c r="H379" i="1" s="1"/>
  <c r="F315" i="1"/>
  <c r="F328" i="1"/>
  <c r="H328" i="1" s="1"/>
  <c r="F360" i="1"/>
  <c r="H360" i="1" s="1"/>
  <c r="F352" i="1"/>
  <c r="H352" i="1" s="1"/>
  <c r="F364" i="1"/>
  <c r="H364" i="1" s="1"/>
  <c r="F363" i="1"/>
  <c r="H363" i="1" s="1"/>
  <c r="F348" i="1"/>
  <c r="H348" i="1" s="1"/>
  <c r="F339" i="1"/>
  <c r="H339" i="1" s="1"/>
  <c r="F367" i="1"/>
  <c r="H367" i="1" s="1"/>
  <c r="F347" i="1"/>
  <c r="H347" i="1" s="1"/>
  <c r="F374" i="1"/>
  <c r="H374" i="1" s="1"/>
  <c r="F372" i="1"/>
  <c r="H372" i="1" s="1"/>
  <c r="F378" i="1"/>
  <c r="H378" i="1" s="1"/>
  <c r="F366" i="1"/>
  <c r="H366" i="1" s="1"/>
  <c r="F361" i="1"/>
  <c r="H361" i="1" s="1"/>
  <c r="F358" i="1"/>
  <c r="H358" i="1" s="1"/>
  <c r="F303" i="1"/>
  <c r="H303" i="1" s="1"/>
  <c r="F343" i="1"/>
  <c r="H343" i="1" s="1"/>
  <c r="F281" i="1"/>
  <c r="H281" i="1" s="1"/>
  <c r="F285" i="1"/>
  <c r="H285" i="1" s="1"/>
  <c r="F296" i="1"/>
  <c r="H296" i="1" s="1"/>
  <c r="F336" i="1"/>
  <c r="H336" i="1" s="1"/>
  <c r="F341" i="1"/>
  <c r="H341" i="1" s="1"/>
  <c r="F302" i="1"/>
  <c r="H302" i="1" s="1"/>
  <c r="F346" i="1"/>
  <c r="H346" i="1" s="1"/>
  <c r="F350" i="1"/>
  <c r="H350" i="1" s="1"/>
  <c r="F338" i="1"/>
  <c r="H338" i="1" s="1"/>
  <c r="F298" i="1"/>
  <c r="H298" i="1" s="1"/>
  <c r="F299" i="1"/>
  <c r="H299" i="1" s="1"/>
  <c r="F307" i="1"/>
  <c r="H307" i="1" s="1"/>
  <c r="F340" i="1"/>
  <c r="H340" i="1" s="1"/>
  <c r="F353" i="1"/>
  <c r="H353" i="1" s="1"/>
  <c r="F351" i="1"/>
  <c r="H351" i="1" s="1"/>
  <c r="F349" i="1"/>
  <c r="H349" i="1" s="1"/>
  <c r="F342" i="1"/>
  <c r="H342" i="1" s="1"/>
  <c r="F335" i="1"/>
  <c r="F324" i="1"/>
  <c r="H324" i="1" s="1"/>
  <c r="F319" i="1"/>
  <c r="H319" i="1" s="1"/>
  <c r="F261" i="1"/>
  <c r="H261" i="1" s="1"/>
  <c r="F265" i="1"/>
  <c r="H265" i="1" s="1"/>
  <c r="F275" i="1"/>
  <c r="H275" i="1" s="1"/>
  <c r="F280" i="1"/>
  <c r="H280" i="1" s="1"/>
  <c r="F305" i="1"/>
  <c r="H305" i="1" s="1"/>
  <c r="F331" i="1"/>
  <c r="H331" i="1" s="1"/>
  <c r="F316" i="1"/>
  <c r="H316" i="1" s="1"/>
  <c r="F308" i="1"/>
  <c r="H308" i="1" s="1"/>
  <c r="F317" i="1"/>
  <c r="H317" i="1" s="1"/>
  <c r="F325" i="1"/>
  <c r="H325" i="1" s="1"/>
  <c r="F309" i="1"/>
  <c r="H309" i="1" s="1"/>
  <c r="F264" i="1"/>
  <c r="H264" i="1" s="1"/>
  <c r="F326" i="1"/>
  <c r="H326" i="1" s="1"/>
  <c r="F329" i="1"/>
  <c r="H329" i="1" s="1"/>
  <c r="F321" i="1"/>
  <c r="H321" i="1" s="1"/>
  <c r="F330" i="1"/>
  <c r="H330" i="1" s="1"/>
  <c r="F311" i="1"/>
  <c r="H311" i="1" s="1"/>
  <c r="F310" i="1"/>
  <c r="H310" i="1" s="1"/>
  <c r="F306" i="1"/>
  <c r="H306" i="1" s="1"/>
  <c r="F304" i="1"/>
  <c r="H304" i="1" s="1"/>
  <c r="F272" i="1"/>
  <c r="H272" i="1" s="1"/>
  <c r="F278" i="1"/>
  <c r="H278" i="1" s="1"/>
  <c r="F283" i="1"/>
  <c r="H283" i="1" s="1"/>
  <c r="F279" i="1"/>
  <c r="H279" i="1" s="1"/>
  <c r="F297" i="1"/>
  <c r="H297" i="1" s="1"/>
  <c r="F262" i="1"/>
  <c r="H262" i="1" s="1"/>
  <c r="F287" i="1"/>
  <c r="H287" i="1" s="1"/>
  <c r="F284" i="1"/>
  <c r="H284" i="1" s="1"/>
  <c r="F276" i="1"/>
  <c r="H276" i="1" s="1"/>
  <c r="F274" i="1"/>
  <c r="H274" i="1" s="1"/>
  <c r="F273" i="1"/>
  <c r="H273" i="1" s="1"/>
  <c r="J178" i="1"/>
  <c r="J180" i="1" s="1"/>
  <c r="D191" i="1"/>
  <c r="D187" i="1"/>
  <c r="J183" i="1"/>
  <c r="D182" i="1" s="1"/>
  <c r="J181" i="1"/>
  <c r="D185" i="1"/>
  <c r="D186" i="1"/>
  <c r="D189" i="1"/>
  <c r="D188" i="1"/>
  <c r="D190" i="1"/>
  <c r="J182" i="1"/>
  <c r="J187" i="1"/>
  <c r="J188" i="1"/>
  <c r="J184" i="1"/>
  <c r="J185" i="1" s="1"/>
  <c r="J190" i="1" s="1"/>
  <c r="J191" i="1" s="1"/>
  <c r="J186" i="1"/>
  <c r="J189" i="1"/>
  <c r="J164" i="1"/>
  <c r="J166" i="1" s="1"/>
  <c r="D177" i="1"/>
  <c r="D173" i="1"/>
  <c r="J169" i="1"/>
  <c r="C168" i="1" s="1"/>
  <c r="D168" i="1" s="1"/>
  <c r="J167" i="1"/>
  <c r="D172" i="1"/>
  <c r="D176" i="1"/>
  <c r="J168" i="1"/>
  <c r="D174" i="1"/>
  <c r="D171" i="1"/>
  <c r="D175" i="1"/>
  <c r="J174" i="1"/>
  <c r="J170" i="1"/>
  <c r="J171" i="1" s="1"/>
  <c r="J176" i="1" s="1"/>
  <c r="J177" i="1" s="1"/>
  <c r="C169" i="1" s="1"/>
  <c r="J175" i="1"/>
  <c r="J172" i="1"/>
  <c r="J173" i="1"/>
  <c r="J150" i="1"/>
  <c r="J152" i="1" s="1"/>
  <c r="D163" i="1"/>
  <c r="D159" i="1"/>
  <c r="J155" i="1"/>
  <c r="J153" i="1"/>
  <c r="D162" i="1"/>
  <c r="D158" i="1"/>
  <c r="J154" i="1"/>
  <c r="D161" i="1"/>
  <c r="D157" i="1"/>
  <c r="D160" i="1"/>
  <c r="J159" i="1"/>
  <c r="J158" i="1"/>
  <c r="J161" i="1"/>
  <c r="J160" i="1"/>
  <c r="J156" i="1"/>
  <c r="J157" i="1" s="1"/>
  <c r="J162" i="1" s="1"/>
  <c r="J163" i="1" s="1"/>
  <c r="C155" i="1" s="1"/>
  <c r="J136" i="1"/>
  <c r="J138" i="1" s="1"/>
  <c r="D149" i="1"/>
  <c r="D145" i="1"/>
  <c r="J141" i="1"/>
  <c r="C140" i="1" s="1"/>
  <c r="D140" i="1" s="1"/>
  <c r="J139" i="1"/>
  <c r="D144" i="1"/>
  <c r="J140" i="1"/>
  <c r="D147" i="1"/>
  <c r="D148" i="1"/>
  <c r="D143" i="1"/>
  <c r="D146" i="1"/>
  <c r="J145" i="1"/>
  <c r="J144" i="1"/>
  <c r="J147" i="1"/>
  <c r="J146" i="1"/>
  <c r="J142" i="1"/>
  <c r="J143" i="1" s="1"/>
  <c r="J148" i="1" s="1"/>
  <c r="J149" i="1" s="1"/>
  <c r="C141" i="1" s="1"/>
  <c r="J131" i="1"/>
  <c r="J130" i="1"/>
  <c r="J132" i="1"/>
  <c r="J133" i="1"/>
  <c r="I45" i="1"/>
  <c r="H123" i="1"/>
  <c r="J122" i="1" l="1"/>
  <c r="J124" i="1" s="1"/>
  <c r="D134" i="1"/>
  <c r="D135" i="1"/>
  <c r="J126" i="1"/>
  <c r="D132" i="1"/>
  <c r="D131" i="1"/>
  <c r="D129" i="1"/>
  <c r="J125" i="1"/>
  <c r="J128" i="1"/>
  <c r="J127" i="1"/>
  <c r="C126" i="1" s="1"/>
  <c r="D126" i="1" s="1"/>
  <c r="D130" i="1"/>
  <c r="D133" i="1"/>
  <c r="C220" i="1"/>
  <c r="C221" i="1" s="1"/>
  <c r="H371" i="1"/>
  <c r="G217" i="1" s="1"/>
  <c r="E217" i="1"/>
  <c r="H357" i="1"/>
  <c r="G216" i="1" s="1"/>
  <c r="E216" i="1"/>
  <c r="H315" i="1"/>
  <c r="G214" i="1" s="1"/>
  <c r="E214" i="1"/>
  <c r="H335" i="1"/>
  <c r="G215" i="1" s="1"/>
  <c r="E215" i="1"/>
  <c r="C154" i="1"/>
  <c r="D154" i="1" s="1"/>
  <c r="D184" i="1"/>
  <c r="E182" i="1"/>
  <c r="D183" i="1"/>
  <c r="D170" i="1"/>
  <c r="J179" i="1"/>
  <c r="G182" i="1"/>
  <c r="E168" i="1"/>
  <c r="D169" i="1"/>
  <c r="G168" i="1"/>
  <c r="J165" i="1"/>
  <c r="D156" i="1"/>
  <c r="D142" i="1"/>
  <c r="E154" i="1"/>
  <c r="D155" i="1"/>
  <c r="D128" i="1"/>
  <c r="E140" i="1"/>
  <c r="D141" i="1"/>
  <c r="J137" i="1"/>
  <c r="G140" i="1"/>
  <c r="B441" i="1"/>
  <c r="J129" i="1" l="1"/>
  <c r="J134" i="1" s="1"/>
  <c r="J135" i="1" s="1"/>
  <c r="C127" i="1" s="1"/>
  <c r="G126" i="1" s="1"/>
  <c r="G154" i="1"/>
  <c r="J151" i="1"/>
  <c r="I165" i="1"/>
  <c r="I166" i="1" s="1"/>
  <c r="I164" i="1" s="1"/>
  <c r="C166" i="1" s="1"/>
  <c r="I179" i="1"/>
  <c r="I180" i="1" s="1"/>
  <c r="I151" i="1"/>
  <c r="I152" i="1" s="1"/>
  <c r="I137" i="1"/>
  <c r="I138" i="1" s="1"/>
  <c r="I136" i="1" s="1"/>
  <c r="C138" i="1" s="1"/>
  <c r="F230" i="1"/>
  <c r="F231" i="1"/>
  <c r="H231" i="1" s="1"/>
  <c r="F232" i="1"/>
  <c r="H232" i="1" s="1"/>
  <c r="F229" i="1"/>
  <c r="D127" i="1" l="1"/>
  <c r="I123" i="1" s="1"/>
  <c r="I124" i="1" s="1"/>
  <c r="E126" i="1"/>
  <c r="J123" i="1"/>
  <c r="H229" i="1"/>
  <c r="E207" i="1"/>
  <c r="E209" i="1" s="1"/>
  <c r="H230" i="1"/>
  <c r="I178" i="1"/>
  <c r="C180" i="1" s="1"/>
  <c r="I150" i="1"/>
  <c r="C152" i="1" s="1"/>
  <c r="G58" i="1"/>
  <c r="C58" i="1"/>
  <c r="G56" i="1"/>
  <c r="C56" i="1"/>
  <c r="C54" i="1"/>
  <c r="I122" i="1" l="1"/>
  <c r="C124" i="1" s="1"/>
  <c r="G207" i="1"/>
  <c r="G209" i="1" s="1"/>
  <c r="S33" i="1"/>
  <c r="F11" i="5" l="1"/>
  <c r="G11" i="5" s="1"/>
  <c r="F10" i="5"/>
  <c r="G10" i="5" s="1"/>
  <c r="F9" i="5"/>
  <c r="G9" i="5" s="1"/>
  <c r="F8" i="5"/>
  <c r="G8" i="5" s="1"/>
  <c r="F7" i="5"/>
  <c r="G7" i="5" s="1"/>
  <c r="F6" i="5"/>
  <c r="G6" i="5" s="1"/>
  <c r="F5" i="5"/>
  <c r="G5" i="5" s="1"/>
  <c r="G12" i="5" s="1"/>
  <c r="D465" i="1"/>
  <c r="B442" i="1"/>
  <c r="F411" i="1"/>
  <c r="H411" i="1" s="1"/>
  <c r="F410" i="1"/>
  <c r="H410" i="1" s="1"/>
  <c r="F409" i="1"/>
  <c r="H409" i="1" s="1"/>
  <c r="F408" i="1"/>
  <c r="H408" i="1" s="1"/>
  <c r="F407" i="1"/>
  <c r="F295" i="1"/>
  <c r="H295" i="1" s="1"/>
  <c r="F294" i="1"/>
  <c r="H294" i="1" s="1"/>
  <c r="F293" i="1"/>
  <c r="H293" i="1" s="1"/>
  <c r="F292" i="1"/>
  <c r="H292" i="1" s="1"/>
  <c r="F291" i="1"/>
  <c r="F271" i="1"/>
  <c r="H271" i="1" s="1"/>
  <c r="F270" i="1"/>
  <c r="H270" i="1" s="1"/>
  <c r="F269" i="1"/>
  <c r="H269" i="1" s="1"/>
  <c r="F268" i="1"/>
  <c r="H268" i="1" s="1"/>
  <c r="F267" i="1"/>
  <c r="H267" i="1" s="1"/>
  <c r="A268" i="1"/>
  <c r="A269" i="1" s="1"/>
  <c r="A270" i="1" s="1"/>
  <c r="A271" i="1" s="1"/>
  <c r="A272" i="1" s="1"/>
  <c r="A273" i="1" s="1"/>
  <c r="A274" i="1" s="1"/>
  <c r="A275" i="1" s="1"/>
  <c r="A276" i="1" s="1"/>
  <c r="F259" i="1"/>
  <c r="H259" i="1" s="1"/>
  <c r="F258" i="1"/>
  <c r="H258" i="1" s="1"/>
  <c r="F257" i="1"/>
  <c r="H257" i="1" s="1"/>
  <c r="A257" i="1"/>
  <c r="A258" i="1" s="1"/>
  <c r="A259" i="1" s="1"/>
  <c r="A260" i="1" s="1"/>
  <c r="A261" i="1" s="1"/>
  <c r="A262" i="1" s="1"/>
  <c r="A263" i="1" s="1"/>
  <c r="A264" i="1" s="1"/>
  <c r="A265" i="1" s="1"/>
  <c r="F256" i="1"/>
  <c r="A230" i="1"/>
  <c r="A231" i="1" s="1"/>
  <c r="A232" i="1" s="1"/>
  <c r="A233" i="1" s="1"/>
  <c r="A234" i="1" s="1"/>
  <c r="A235" i="1" s="1"/>
  <c r="A236" i="1" s="1"/>
  <c r="A237" i="1" s="1"/>
  <c r="A238" i="1" s="1"/>
  <c r="A239" i="1" s="1"/>
  <c r="A240" i="1" s="1"/>
  <c r="F204" i="1"/>
  <c r="C108" i="1"/>
  <c r="C94" i="1"/>
  <c r="D74" i="1"/>
  <c r="D62" i="1"/>
  <c r="G51" i="1"/>
  <c r="G52" i="1" s="1"/>
  <c r="C51" i="1"/>
  <c r="E44" i="1"/>
  <c r="E45" i="1" s="1"/>
  <c r="E31" i="1"/>
  <c r="E28" i="1"/>
  <c r="E26" i="1"/>
  <c r="C16" i="1"/>
  <c r="I15" i="1"/>
  <c r="Z13" i="1"/>
  <c r="E8" i="1"/>
  <c r="E3" i="1"/>
  <c r="H81" i="1"/>
  <c r="H95" i="1"/>
  <c r="H109" i="1"/>
  <c r="H291" i="1" l="1"/>
  <c r="G213" i="1" s="1"/>
  <c r="E213" i="1"/>
  <c r="H256" i="1"/>
  <c r="G212" i="1" s="1"/>
  <c r="E212" i="1"/>
  <c r="H407" i="1"/>
  <c r="G219" i="1" s="1"/>
  <c r="E219" i="1"/>
  <c r="J80" i="1"/>
  <c r="J82" i="1" s="1"/>
  <c r="J83" i="1"/>
  <c r="J84" i="1"/>
  <c r="J85" i="1"/>
  <c r="C84" i="1" s="1"/>
  <c r="J99" i="1"/>
  <c r="D103" i="1"/>
  <c r="D105" i="1"/>
  <c r="J98" i="1"/>
  <c r="D104" i="1"/>
  <c r="J94" i="1"/>
  <c r="J96" i="1" s="1"/>
  <c r="D102" i="1"/>
  <c r="J97" i="1"/>
  <c r="D101" i="1"/>
  <c r="D107" i="1"/>
  <c r="D106" i="1"/>
  <c r="D100" i="1"/>
  <c r="D88" i="1"/>
  <c r="D90" i="1"/>
  <c r="D89" i="1"/>
  <c r="D93" i="1"/>
  <c r="D87" i="1"/>
  <c r="D92" i="1"/>
  <c r="D86" i="1"/>
  <c r="D91" i="1"/>
  <c r="C114" i="1"/>
  <c r="J108" i="1" s="1"/>
  <c r="J110" i="1" s="1"/>
  <c r="D117" i="1"/>
  <c r="D119" i="1"/>
  <c r="J113" i="1"/>
  <c r="C112" i="1" s="1"/>
  <c r="D112" i="1" s="1"/>
  <c r="D118" i="1"/>
  <c r="J112" i="1"/>
  <c r="D116" i="1"/>
  <c r="J111" i="1"/>
  <c r="D115" i="1"/>
  <c r="D121" i="1"/>
  <c r="D120" i="1"/>
  <c r="B109" i="1"/>
  <c r="B95" i="1"/>
  <c r="B81" i="1"/>
  <c r="J86" i="1" s="1"/>
  <c r="C85" i="1" s="1"/>
  <c r="E220" i="1" l="1"/>
  <c r="E221" i="1" s="1"/>
  <c r="G220" i="1"/>
  <c r="G221" i="1" s="1"/>
  <c r="C98" i="1"/>
  <c r="D98" i="1" s="1"/>
  <c r="D84" i="1"/>
  <c r="D114" i="1"/>
  <c r="J119" i="1"/>
  <c r="J116" i="1"/>
  <c r="J118" i="1"/>
  <c r="J117" i="1"/>
  <c r="J114" i="1"/>
  <c r="J115" i="1" s="1"/>
  <c r="J120" i="1" s="1"/>
  <c r="J121" i="1" s="1"/>
  <c r="C113" i="1" s="1"/>
  <c r="E112" i="1" s="1"/>
  <c r="J105" i="1"/>
  <c r="J102" i="1"/>
  <c r="J104" i="1"/>
  <c r="J103" i="1"/>
  <c r="J100" i="1"/>
  <c r="J101" i="1" s="1"/>
  <c r="J90" i="1"/>
  <c r="J88" i="1"/>
  <c r="J89" i="1"/>
  <c r="J87" i="1"/>
  <c r="J92" i="1" s="1"/>
  <c r="J93" i="1" s="1"/>
  <c r="J91" i="1"/>
  <c r="J81" i="1" l="1"/>
  <c r="J106" i="1"/>
  <c r="D113" i="1"/>
  <c r="I109" i="1" s="1"/>
  <c r="J109" i="1"/>
  <c r="G112" i="1"/>
  <c r="E84" i="1"/>
  <c r="D85" i="1"/>
  <c r="I81" i="1" s="1"/>
  <c r="G84" i="1"/>
  <c r="D78" i="1" s="1"/>
  <c r="J107" i="1" l="1"/>
  <c r="C99" i="1"/>
  <c r="J95" i="1" s="1"/>
  <c r="F79" i="1"/>
  <c r="D79" i="1"/>
  <c r="I110" i="1"/>
  <c r="I108" i="1" s="1"/>
  <c r="C110" i="1" s="1"/>
  <c r="I82" i="1"/>
  <c r="I80" i="1" s="1"/>
  <c r="C82" i="1" s="1"/>
  <c r="D99" i="1" l="1"/>
  <c r="I95" i="1" s="1"/>
  <c r="I96" i="1" s="1"/>
  <c r="E98" i="1"/>
  <c r="G98" i="1"/>
  <c r="I94" i="1" l="1"/>
  <c r="C9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2"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97"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251"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<sst xmlns="http://schemas.openxmlformats.org/spreadsheetml/2006/main" count="1008" uniqueCount="369">
  <si>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</si>
  <si>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</si>
  <si>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</si>
  <si>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</si>
  <si>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</si>
  <si>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</si>
  <si>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</si>
  <si>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</si>
  <si>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</si>
  <si>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</si>
  <si>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</si>
  <si>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</si>
  <si>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</si>
  <si>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</si>
  <si>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</si>
  <si>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</si>
  <si>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</si>
  <si>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</si>
  <si>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</si>
  <si>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</si>
  <si>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</si>
  <si>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</si>
  <si>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</si>
  <si>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</si>
  <si>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</si>
  <si>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</si>
  <si>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</si>
  <si>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</si>
  <si>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</si>
  <si>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</si>
  <si>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</si>
  <si>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</si>
  <si>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</si>
  <si>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</si>
  <si>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</si>
  <si>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</si>
  <si>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</si>
  <si>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</si>
  <si>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</si>
  <si>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</si>
  <si>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</si>
  <si>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</si>
  <si>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</si>
  <si>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</si>
  <si>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</si>
  <si>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</si>
  <si>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</si>
  <si>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</si>
  <si>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</si>
  <si>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</si>
  <si>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</si>
  <si>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</si>
  <si>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</si>
  <si>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</si>
  <si>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</si>
  <si>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</si>
  <si>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</si>
  <si>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</si>
  <si>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</si>
  <si>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</si>
  <si>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</si>
  <si>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</si>
  <si>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</si>
  <si>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</si>
  <si>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</si>
  <si>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</si>
  <si>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</si>
  <si>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</si>
  <si>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</si>
  <si>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</si>
  <si>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</si>
  <si>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</si>
  <si>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</si>
  <si>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</si>
  <si>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</si>
  <si>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</si>
  <si>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</si>
  <si>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</si>
  <si>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</si>
  <si>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</si>
  <si>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</si>
  <si>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</si>
  <si>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</si>
  <si>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</si>
  <si>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</si>
  <si>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</si>
  <si>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</si>
  <si>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</si>
  <si>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</si>
  <si>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</si>
  <si>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</si>
  <si>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</si>
  <si>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</si>
  <si>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</si>
  <si>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</si>
  <si>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</si>
  <si>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</si>
  <si>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</si>
  <si>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</si>
  <si>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</si>
  <si>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</si>
  <si>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</si>
  <si>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</si>
  <si>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</si>
  <si>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</si>
  <si>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</si>
  <si>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</si>
  <si>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</si>
  <si>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</si>
  <si>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</si>
  <si>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</si>
  <si>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</si>
  <si>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</si>
  <si>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</si>
  <si>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</si>
  <si>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</si>
  <si>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</si>
  <si>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</si>
  <si>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</si>
  <si>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</si>
  <si>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</si>
  <si>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</si>
  <si>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</si>
  <si>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</si>
  <si>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</si>
  <si>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</si>
  <si>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</si>
  <si>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</si>
  <si>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</si>
  <si>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</si>
  <si>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</si>
  <si>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</si>
  <si>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</si>
  <si>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</si>
  <si>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</si>
  <si>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</si>
  <si>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</si>
  <si>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</si>
  <si>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</si>
  <si>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</si>
  <si>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</si>
  <si>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</si>
  <si>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</si>
  <si>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</si>
  <si>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</si>
  <si>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</si>
  <si>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</si>
  <si>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</si>
  <si>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</si>
  <si>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</si>
  <si>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</si>
  <si>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</si>
  <si>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</si>
  <si>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</si>
  <si>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</si>
  <si>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</si>
  <si>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</si>
  <si>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</si>
  <si>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</si>
  <si>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</si>
  <si>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</si>
  <si>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</si>
  <si>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</si>
  <si>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</si>
  <si>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</si>
  <si>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</si>
  <si>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</si>
  <si>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</si>
  <si>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</si>
  <si>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</si>
  <si>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</si>
  <si>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</si>
  <si>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</si>
  <si>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</si>
  <si>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</si>
  <si>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</si>
  <si>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</si>
  <si>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</si>
  <si>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</si>
  <si>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</si>
  <si>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</si>
  <si>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</si>
  <si>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</si>
  <si>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</si>
  <si>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</si>
  <si>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</si>
  <si>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</si>
  <si>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</si>
  <si>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</si>
  <si>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</si>
  <si>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</si>
  <si>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</si>
  <si>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</si>
  <si>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</si>
  <si>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</si>
  <si>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</si>
  <si>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</si>
  <si>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</si>
  <si>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</si>
  <si>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</si>
  <si>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</si>
  <si>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</si>
  <si>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</si>
  <si>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</si>
  <si>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</si>
  <si>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</si>
  <si>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</si>
  <si>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</si>
  <si>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</si>
  <si>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</si>
  <si>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</si>
  <si>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</si>
  <si>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</si>
  <si>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</si>
  <si>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</si>
  <si>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</si>
  <si>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</si>
  <si>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</si>
  <si>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</si>
  <si>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</si>
  <si>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</si>
  <si>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</si>
  <si>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</si>
  <si>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</si>
  <si>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</si>
  <si>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</si>
  <si>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</si>
  <si>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</si>
  <si>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</si>
  <si>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</si>
  <si>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</si>
  <si>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</si>
  <si>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</si>
  <si>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</si>
  <si>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</si>
  <si>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</si>
  <si>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</si>
  <si>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</si>
  <si>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</si>
  <si>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</si>
  <si>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</si>
  <si>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</si>
  <si>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</si>
  <si>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</si>
  <si>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</si>
  <si>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</si>
  <si>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</si>
  <si>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</si>
  <si>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</si>
  <si>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</si>
  <si>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</si>
  <si>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</si>
  <si>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</si>
  <si>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</si>
  <si>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</si>
  <si>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</si>
  <si>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</si>
  <si>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</si>
  <si>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</si>
  <si>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</si>
  <si>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</si>
  <si>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</si>
  <si>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</si>
  <si>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</si>
  <si>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</si>
  <si>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</si>
  <si>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</si>
  <si>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</si>
  <si>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</si>
  <si>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</si>
  <si>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</si>
  <si>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</si>
  <si>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</si>
  <si>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</si>
  <si>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</si>
  <si>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</si>
  <si>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</si>
  <si>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</si>
  <si>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</si>
  <si>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</si>
  <si>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</si>
  <si>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</si>
  <si>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</si>
  <si>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</si>
  <si>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</si>
  <si>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</si>
  <si>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</si>
  <si>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</si>
  <si>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</si>
  <si>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</si>
  <si>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</si>
  <si>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</si>
  <si>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</si>
  <si>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</si>
  <si>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</si>
  <si>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</si>
  <si>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</si>
  <si>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</si>
  <si>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18.880557,73.161596</t>
  </si>
  <si>
    <t>https://maps.app.goo.gl/XGrfibseCshQAw7b7</t>
  </si>
  <si>
    <t>Megaplex Properties LLP</t>
  </si>
  <si>
    <t>Commanders Heera Siddhi Homes Phase III</t>
  </si>
  <si>
    <t>Mr. Prashant Wani  9823553830</t>
  </si>
  <si>
    <t>P52000023450</t>
  </si>
  <si>
    <t>16, Hissa No. 02</t>
  </si>
  <si>
    <t>Gut No</t>
  </si>
  <si>
    <t>Karade Khurd</t>
  </si>
  <si>
    <t>Karade</t>
  </si>
  <si>
    <t>Savroli - Kharpada Road</t>
  </si>
  <si>
    <t>Rasayani</t>
  </si>
  <si>
    <t>Vista Harmony</t>
  </si>
  <si>
    <t>Major District Road 89</t>
  </si>
  <si>
    <t>Other Plot</t>
  </si>
  <si>
    <t>Heera Siddhi Homes Phase I</t>
  </si>
  <si>
    <t>Internal Road</t>
  </si>
  <si>
    <t>Open Plot</t>
  </si>
  <si>
    <t>MS/LNA-1/S.R./236/2018</t>
  </si>
  <si>
    <t>MS/L.N.A.1(B)/S.R.236/2018</t>
  </si>
  <si>
    <t xml:space="preserve">CC Cum NA Order No.
Valid Up to: </t>
  </si>
  <si>
    <t>Wing B5 to B12 = Ground + 1st to 7th Floor
Built Up Area = 176000.689 Sqm</t>
  </si>
  <si>
    <t>Wing B5 to B12</t>
  </si>
  <si>
    <t>08 Wings</t>
  </si>
  <si>
    <t>Wing B7 = Ground + 1st to 7th Floor</t>
  </si>
  <si>
    <t>Wing B8 = Ground + 1st to 7th Floor</t>
  </si>
  <si>
    <t>Wing B10 = Ground + 1st to 7th Floor</t>
  </si>
  <si>
    <t>Wing B11 = Ground + 1st to 7th Floor</t>
  </si>
  <si>
    <t>Wing B12 = Ground + 1st to 7th Floor</t>
  </si>
  <si>
    <t>As per RERA - 30/12/2027</t>
  </si>
  <si>
    <r>
      <t xml:space="preserve">Proposed Amenities :                                                                                                                                                                                                                         </t>
    </r>
    <r>
      <rPr>
        <b/>
        <sz val="12"/>
        <rFont val="Times New Roman"/>
        <family val="1"/>
      </rPr>
      <t xml:space="preserve">                                               </t>
    </r>
  </si>
  <si>
    <t>Gymnasium, Swimming Pool, Landscape Garden, Children play area, Toddlers Park, Study Room, Library, Multi Purpose Hall, Yoga &amp; Meditation Area, Senior Citizen Park, etc.</t>
  </si>
  <si>
    <t>SALE PLAN</t>
  </si>
  <si>
    <t>Wing B5 &amp; B7 = Ground + 1st to 7th Floor</t>
  </si>
  <si>
    <t>Wing B9, B10, B11 = Ground + 1st to 7th Floor</t>
  </si>
  <si>
    <t>Wing B5</t>
  </si>
  <si>
    <t>Ground Floor For Commercial, Entrance Lobby &amp; Parking</t>
  </si>
  <si>
    <t>Shop</t>
  </si>
  <si>
    <r>
      <t xml:space="preserve">Shop No.
</t>
    </r>
    <r>
      <rPr>
        <b/>
        <sz val="11"/>
        <rFont val="Times New Roman"/>
        <family val="1"/>
      </rPr>
      <t>(Approved Plan)</t>
    </r>
  </si>
  <si>
    <t>RERA Carpet area</t>
  </si>
  <si>
    <t>1st Floor For Residential</t>
  </si>
  <si>
    <t>1BHK</t>
  </si>
  <si>
    <t>Carpet + CB  area</t>
  </si>
  <si>
    <t>Encl Bal + WS Area</t>
  </si>
  <si>
    <t>2nd, 4th &amp; 6th Floor</t>
  </si>
  <si>
    <t>3rd, 5th &amp; 7th Floor</t>
  </si>
  <si>
    <t>Phase III</t>
  </si>
  <si>
    <t>Wing B6</t>
  </si>
  <si>
    <t>Ground Floor For Entrance Lobby &amp; Parking</t>
  </si>
  <si>
    <t>1st , 3rd, 5th &amp; 7th Floor For Residential</t>
  </si>
  <si>
    <t>Wing B7</t>
  </si>
  <si>
    <t>Wing B8</t>
  </si>
  <si>
    <t>Wing B9</t>
  </si>
  <si>
    <t>Wing B10</t>
  </si>
  <si>
    <t>Wing B11</t>
  </si>
  <si>
    <t>Wing B12</t>
  </si>
  <si>
    <t>We considered Gross carpet area = Net carpet + CB Area + Encl Balcony + WS Area.</t>
  </si>
  <si>
    <t>Flats - 462, Shops - 18</t>
  </si>
  <si>
    <t>Approved Plans, CC Cum NA Order, Sale Plans, &amp;  Cost Sheet.</t>
  </si>
  <si>
    <t>5.00 KM from Rasayani Railway Station</t>
  </si>
  <si>
    <t>Wing B6 = Ground + 1st to 7th Floor</t>
  </si>
  <si>
    <t>Wing B5 to B12 = Ground + 1st to 7th Floor</t>
  </si>
  <si>
    <t>1st, 3rd, 5th &amp; 7th Floor For Residential</t>
  </si>
  <si>
    <t>Wing B9 = Ground + 1st to 7th Floor</t>
  </si>
  <si>
    <t>Nitesh patil</t>
  </si>
  <si>
    <t>The project has received first CC on 22/10/2019, But construction work is not yet Completed of Wing B5 to B11 And construction work is not yet started of Wing B12.</t>
  </si>
  <si>
    <t>As per the builder letter provided, there is a typing error in the CC where Buildings B10 and B11 are mentioned as ए10 and ए11.
As per layout, the built-up area of buildings B5 to B12 is 176000.689 sq m.
As per NA cum CC, the built-up area of Buildings B5 to B9, A10, A11, and B12 is
176000.689 sq m.
As the builtup is same we have considered the CC for Buildings B10 and B11 .
The builder letter is attached below.</t>
  </si>
  <si>
    <t>Builder Letter:</t>
  </si>
  <si>
    <t>Mr. Pratik 9764377264</t>
  </si>
  <si>
    <t>Gaurav Panchal</t>
  </si>
  <si>
    <t>Wing B5 to B7 = Construction work same as last visit dtd 15/03/2024.
Wing B8 to B10 = Construction work ame as last visit dtd 13/06/2025 but work is in process at the time of Visit (Very Slow Speed).
Wing B11 = Construction work is in process at the time of Visit (Slow Speed).
Wing B12 = Work not started yet.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</si>
</sst>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32">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1" fontId="8" fillId="0" borderId="3" xfId="1" applyNumberFormat="1" applyFont="1" applyBorder="1" applyAlignment="1" applyProtection="1">
      <alignment horizontal="center" vertical="top" wrapText="1"/>
      <protection locked="0"/>
    </xf>
    <xf numFmtId="164" fontId="7" fillId="0" borderId="0" xfId="1" applyNumberFormat="1" applyFont="1"/>
    <xf numFmtId="0" fontId="15" fillId="2" borderId="0" xfId="1" applyFont="1" applyFill="1"/>
    <xf numFmtId="1" fontId="7" fillId="0" borderId="1" xfId="1" applyNumberFormat="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1" fontId="13" fillId="0" borderId="3" xfId="1" applyNumberFormat="1" applyFont="1" applyBorder="1" applyAlignment="1" applyProtection="1">
      <alignment horizontal="center" vertical="top" wrapText="1"/>
      <protection locked="0"/>
    </xf>
    <xf numFmtId="9" fontId="13" fillId="0" borderId="16" xfId="8" applyFont="1" applyFill="1" applyBorder="1" applyAlignment="1" applyProtection="1">
      <alignment horizontal="center" vertical="top" wrapText="1"/>
      <protection locked="0"/>
    </xf>
    <xf numFmtId="164" fontId="7" fillId="0" borderId="0" xfId="1" applyNumberFormat="1" applyFont="1" applyAlignment="1">
      <alignment horizontal="center" vertical="center"/>
    </xf>
    <xf numFmtId="2" fontId="7" fillId="0" borderId="0" xfId="1" applyNumberFormat="1" applyFont="1" applyAlignment="1">
      <alignment horizontal="center" vertical="center"/>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6" fillId="0" borderId="1"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8" fillId="0" borderId="1" xfId="1" applyNumberFormat="1" applyFont="1" applyBorder="1" applyAlignment="1" applyProtection="1">
      <alignment horizontal="center" vertical="center"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5" xfId="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12" fillId="0" borderId="1" xfId="1" applyFont="1" applyBorder="1" applyAlignment="1" applyProtection="1">
      <alignment horizontal="center" vertical="top" wrapText="1"/>
      <protection locked="0"/>
    </xf>
    <xf numFmtId="0" fontId="12" fillId="0" borderId="5" xfId="1" applyFont="1" applyBorder="1" applyAlignment="1" applyProtection="1">
      <alignment horizontal="center" vertical="top" wrapText="1"/>
      <protection locked="0"/>
    </xf>
    <xf numFmtId="9" fontId="12" fillId="0" borderId="17" xfId="8" applyFont="1" applyFill="1" applyBorder="1" applyAlignment="1" applyProtection="1">
      <alignment horizontal="center" vertical="center" wrapText="1"/>
      <protection locked="0"/>
    </xf>
    <xf numFmtId="9" fontId="12" fillId="0" borderId="18"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29"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10" xfId="8" applyFont="1" applyFill="1" applyBorder="1" applyAlignment="1" applyProtection="1">
      <alignment horizontal="center" vertical="center" wrapText="1"/>
      <protection locked="0"/>
    </xf>
    <xf numFmtId="9" fontId="12" fillId="0" borderId="12" xfId="8" applyFont="1" applyFill="1" applyBorder="1" applyAlignment="1" applyProtection="1">
      <alignment horizontal="center" vertical="center" wrapText="1"/>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protection locked="0"/>
    </xf>
    <xf numFmtId="0" fontId="12" fillId="0" borderId="26" xfId="1" applyFont="1" applyBorder="1" applyAlignment="1" applyProtection="1">
      <alignment horizontal="left" vertical="top"/>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26" xfId="1" applyFont="1" applyBorder="1" applyAlignment="1" applyProtection="1">
      <alignment horizontal="left" vertical="top" wrapText="1"/>
      <protection locked="0"/>
    </xf>
    <xf numFmtId="0" fontId="12" fillId="0" borderId="17" xfId="1" applyFont="1" applyBorder="1" applyAlignment="1" applyProtection="1">
      <alignment horizontal="left" vertical="top"/>
      <protection locked="0"/>
    </xf>
    <xf numFmtId="0" fontId="12" fillId="0" borderId="24" xfId="1" applyFont="1" applyBorder="1" applyAlignment="1" applyProtection="1">
      <alignment horizontal="left" vertical="top"/>
      <protection locked="0"/>
    </xf>
    <xf numFmtId="0" fontId="12" fillId="0" borderId="18"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7" fillId="0" borderId="25"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0" fontId="6" fillId="0" borderId="3" xfId="1" applyFont="1" applyBorder="1" applyAlignment="1" applyProtection="1">
      <alignment horizontal="left" vertical="top"/>
      <protection locked="0"/>
    </xf>
    <xf numFmtId="164" fontId="6" fillId="0" borderId="1" xfId="1" applyNumberFormat="1" applyFont="1" applyBorder="1" applyAlignment="1" applyProtection="1">
      <alignment horizontal="left" vertical="top"/>
      <protection locked="0"/>
    </xf>
    <xf numFmtId="0" fontId="13" fillId="0" borderId="1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23"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1" fontId="10" fillId="0" borderId="33" xfId="0" applyNumberFormat="1" applyFont="1" applyBorder="1" applyAlignment="1" applyProtection="1">
      <alignment horizontal="center" vertical="center"/>
      <protection locked="0"/>
    </xf>
    <xf numFmtId="0" fontId="10" fillId="0" borderId="33" xfId="0" applyFont="1" applyBorder="1" applyAlignment="1" applyProtection="1">
      <alignment horizontal="center" vertical="center"/>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1" fontId="6" fillId="0" borderId="1" xfId="0"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0" fontId="6"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wrapText="1"/>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0" fontId="12" fillId="0" borderId="3" xfId="1" applyFont="1" applyBorder="1" applyAlignment="1" applyProtection="1">
      <alignment horizontal="left" vertical="top"/>
      <protection locked="0"/>
    </xf>
    <xf numFmtId="0" fontId="12" fillId="0" borderId="18" xfId="1" applyFont="1" applyBorder="1" applyAlignment="1" applyProtection="1">
      <alignment horizontal="left" vertical="top" wrapText="1"/>
      <protection locked="0"/>
    </xf>
    <xf numFmtId="0" fontId="27" fillId="0" borderId="1" xfId="10" applyFill="1" applyBorder="1" applyAlignment="1" applyProtection="1">
      <alignment horizontal="left"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8" fillId="0" borderId="16" xfId="1" applyFont="1" applyBorder="1" applyAlignment="1" applyProtection="1">
      <alignment horizontal="center" vertical="top"/>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center" wrapText="1"/>
      <protection locked="0"/>
    </xf>
    <xf numFmtId="0" fontId="8" fillId="0" borderId="16" xfId="1" applyFont="1" applyBorder="1" applyAlignment="1" applyProtection="1">
      <alignment horizontal="left" vertical="top"/>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0" fontId="9" fillId="0" borderId="1" xfId="5" applyFont="1" applyBorder="1" applyAlignment="1">
      <alignment horizontal="left"/>
    </xf>
    <xf numFmtId="0" fontId="7" fillId="0" borderId="1" xfId="1" applyFont="1" applyBorder="1" applyAlignment="1" applyProtection="1">
      <alignment horizontal="center" vertical="top"/>
      <protection locked="0"/>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jpeg"/><Relationship Id="rId21" Type="http://schemas.openxmlformats.org/officeDocument/2006/relationships/image" Target="../media/image21.jpeg"/><Relationship Id="rId34" Type="http://schemas.openxmlformats.org/officeDocument/2006/relationships/image" Target="../media/image34.jpeg"/><Relationship Id="rId42" Type="http://schemas.openxmlformats.org/officeDocument/2006/relationships/image" Target="../media/image42.jpe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jpeg"/><Relationship Id="rId29" Type="http://schemas.openxmlformats.org/officeDocument/2006/relationships/image" Target="../media/image29.jpeg"/><Relationship Id="rId41" Type="http://schemas.openxmlformats.org/officeDocument/2006/relationships/image" Target="../media/image41.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40" Type="http://schemas.openxmlformats.org/officeDocument/2006/relationships/image" Target="../media/image40.jpe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jpeg"/><Relationship Id="rId36" Type="http://schemas.openxmlformats.org/officeDocument/2006/relationships/image" Target="../media/image36.jpeg"/><Relationship Id="rId10" Type="http://schemas.openxmlformats.org/officeDocument/2006/relationships/image" Target="../media/image10.png"/><Relationship Id="rId19" Type="http://schemas.openxmlformats.org/officeDocument/2006/relationships/image" Target="../media/image19.jpeg"/><Relationship Id="rId31" Type="http://schemas.openxmlformats.org/officeDocument/2006/relationships/image" Target="../media/image31.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jpeg"/><Relationship Id="rId8" Type="http://schemas.openxmlformats.org/officeDocument/2006/relationships/image" Target="../media/image8.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png"/><Relationship Id="rId38" Type="http://schemas.openxmlformats.org/officeDocument/2006/relationships/image" Target="../media/image38.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6.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5.png"/><Relationship Id="rId1" Type="http://schemas.openxmlformats.org/officeDocument/2006/relationships/image" Target="../media/image44.png"/></Relationships>
</file>

<file path=xl/drawings/drawing1.xml><?xml version="1.0" encoding="utf-8"?>
<xdr:wsDr xmlns:xdr="http://schemas.openxmlformats.org/drawingml/2006/spreadsheetDrawing" xmlns:a="http://schemas.openxmlformats.org/drawingml/2006/main">
  <xdr:twoCellAnchor editAs="oneCell">
    <xdr:from>
      <xdr:col>8</xdr:col>
      <xdr:colOff>914400</xdr:colOff>
      <xdr:row>13</xdr:row>
      <xdr:rowOff>47626</xdr:rowOff>
    </xdr:from>
    <xdr:to>
      <xdr:col>11</xdr:col>
      <xdr:colOff>805500</xdr:colOff>
      <xdr:row>17</xdr:row>
      <xdr:rowOff>106476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229475" y="3028951"/>
          <a:ext cx="2520000" cy="1479317"/>
        </a:xfrm>
        <a:prstGeom prst="rect">
          <a:avLst/>
        </a:prstGeom>
        <a:ln>
          <a:solidFill>
            <a:sysClr val="windowText" lastClr="000000"/>
          </a:solidFill>
        </a:ln>
      </xdr:spPr>
    </xdr:pic>
    <xdr:clientData/>
  </xdr:twoCellAnchor>
  <xdr:twoCellAnchor editAs="oneCell">
    <xdr:from>
      <xdr:col>8</xdr:col>
      <xdr:colOff>514356</xdr:colOff>
      <xdr:row>43</xdr:row>
      <xdr:rowOff>133350</xdr:rowOff>
    </xdr:from>
    <xdr:to>
      <xdr:col>10</xdr:col>
      <xdr:colOff>609788</xdr:colOff>
      <xdr:row>52</xdr:row>
      <xdr:rowOff>156526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6829431" y="9953625"/>
          <a:ext cx="2019482" cy="2052000"/>
        </a:xfrm>
        <a:prstGeom prst="rect">
          <a:avLst/>
        </a:prstGeom>
        <a:ln>
          <a:solidFill>
            <a:sysClr val="windowText" lastClr="000000"/>
          </a:solidFill>
        </a:ln>
      </xdr:spPr>
    </xdr:pic>
    <xdr:clientData/>
  </xdr:twoCellAnchor>
  <xdr:twoCellAnchor editAs="oneCell">
    <xdr:from>
      <xdr:col>11</xdr:col>
      <xdr:colOff>66675</xdr:colOff>
      <xdr:row>192</xdr:row>
      <xdr:rowOff>142875</xdr:rowOff>
    </xdr:from>
    <xdr:to>
      <xdr:col>14</xdr:col>
      <xdr:colOff>33975</xdr:colOff>
      <xdr:row>209</xdr:row>
      <xdr:rowOff>7083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9010650" y="30680025"/>
          <a:ext cx="2520000" cy="2064483"/>
        </a:xfrm>
        <a:prstGeom prst="rect">
          <a:avLst/>
        </a:prstGeom>
        <a:ln>
          <a:solidFill>
            <a:sysClr val="windowText" lastClr="000000"/>
          </a:solidFill>
        </a:ln>
      </xdr:spPr>
    </xdr:pic>
    <xdr:clientData/>
  </xdr:twoCellAnchor>
  <xdr:twoCellAnchor editAs="oneCell">
    <xdr:from>
      <xdr:col>10</xdr:col>
      <xdr:colOff>9525</xdr:colOff>
      <xdr:row>229</xdr:row>
      <xdr:rowOff>85749</xdr:rowOff>
    </xdr:from>
    <xdr:to>
      <xdr:col>12</xdr:col>
      <xdr:colOff>468750</xdr:colOff>
      <xdr:row>237</xdr:row>
      <xdr:rowOff>22289</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8248650" y="37109424"/>
          <a:ext cx="2088000" cy="1536739"/>
        </a:xfrm>
        <a:prstGeom prst="rect">
          <a:avLst/>
        </a:prstGeom>
      </xdr:spPr>
    </xdr:pic>
    <xdr:clientData/>
  </xdr:twoCellAnchor>
  <xdr:twoCellAnchor editAs="oneCell">
    <xdr:from>
      <xdr:col>8</xdr:col>
      <xdr:colOff>386367</xdr:colOff>
      <xdr:row>261</xdr:row>
      <xdr:rowOff>137394</xdr:rowOff>
    </xdr:from>
    <xdr:to>
      <xdr:col>13</xdr:col>
      <xdr:colOff>565705</xdr:colOff>
      <xdr:row>274</xdr:row>
      <xdr:rowOff>267</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6701442" y="45295419"/>
          <a:ext cx="4522738" cy="2463198"/>
        </a:xfrm>
        <a:prstGeom prst="rect">
          <a:avLst/>
        </a:prstGeom>
      </xdr:spPr>
    </xdr:pic>
    <xdr:clientData/>
  </xdr:twoCellAnchor>
  <xdr:twoCellAnchor editAs="oneCell">
    <xdr:from>
      <xdr:col>8</xdr:col>
      <xdr:colOff>490749</xdr:colOff>
      <xdr:row>293</xdr:row>
      <xdr:rowOff>29817</xdr:rowOff>
    </xdr:from>
    <xdr:to>
      <xdr:col>11</xdr:col>
      <xdr:colOff>889162</xdr:colOff>
      <xdr:row>306</xdr:row>
      <xdr:rowOff>69840</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6805824" y="50188467"/>
          <a:ext cx="3027313" cy="2640348"/>
        </a:xfrm>
        <a:prstGeom prst="rect">
          <a:avLst/>
        </a:prstGeom>
      </xdr:spPr>
    </xdr:pic>
    <xdr:clientData/>
  </xdr:twoCellAnchor>
  <xdr:twoCellAnchor editAs="oneCell">
    <xdr:from>
      <xdr:col>8</xdr:col>
      <xdr:colOff>548324</xdr:colOff>
      <xdr:row>315</xdr:row>
      <xdr:rowOff>55081</xdr:rowOff>
    </xdr:from>
    <xdr:to>
      <xdr:col>11</xdr:col>
      <xdr:colOff>863999</xdr:colOff>
      <xdr:row>324</xdr:row>
      <xdr:rowOff>175280</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6863399" y="54614281"/>
          <a:ext cx="2944575" cy="1920424"/>
        </a:xfrm>
        <a:prstGeom prst="rect">
          <a:avLst/>
        </a:prstGeom>
      </xdr:spPr>
    </xdr:pic>
    <xdr:clientData/>
  </xdr:twoCellAnchor>
  <xdr:twoCellAnchor editAs="oneCell">
    <xdr:from>
      <xdr:col>8</xdr:col>
      <xdr:colOff>438565</xdr:colOff>
      <xdr:row>335</xdr:row>
      <xdr:rowOff>76219</xdr:rowOff>
    </xdr:from>
    <xdr:to>
      <xdr:col>11</xdr:col>
      <xdr:colOff>692978</xdr:colOff>
      <xdr:row>348</xdr:row>
      <xdr:rowOff>41228</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8"/>
        <a:stretch>
          <a:fillRect/>
        </a:stretch>
      </xdr:blipFill>
      <xdr:spPr>
        <a:xfrm>
          <a:off x="6753640" y="58635919"/>
          <a:ext cx="2883313" cy="2565335"/>
        </a:xfrm>
        <a:prstGeom prst="rect">
          <a:avLst/>
        </a:prstGeom>
      </xdr:spPr>
    </xdr:pic>
    <xdr:clientData/>
  </xdr:twoCellAnchor>
  <xdr:twoCellAnchor editAs="oneCell">
    <xdr:from>
      <xdr:col>8</xdr:col>
      <xdr:colOff>331305</xdr:colOff>
      <xdr:row>357</xdr:row>
      <xdr:rowOff>132537</xdr:rowOff>
    </xdr:from>
    <xdr:to>
      <xdr:col>12</xdr:col>
      <xdr:colOff>414065</xdr:colOff>
      <xdr:row>365</xdr:row>
      <xdr:rowOff>142571</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6650935" y="64504972"/>
          <a:ext cx="3636000" cy="1600295"/>
        </a:xfrm>
        <a:prstGeom prst="rect">
          <a:avLst/>
        </a:prstGeom>
      </xdr:spPr>
    </xdr:pic>
    <xdr:clientData/>
  </xdr:twoCellAnchor>
  <xdr:twoCellAnchor editAs="oneCell">
    <xdr:from>
      <xdr:col>8</xdr:col>
      <xdr:colOff>521804</xdr:colOff>
      <xdr:row>371</xdr:row>
      <xdr:rowOff>107693</xdr:rowOff>
    </xdr:from>
    <xdr:to>
      <xdr:col>12</xdr:col>
      <xdr:colOff>568564</xdr:colOff>
      <xdr:row>379</xdr:row>
      <xdr:rowOff>128326</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0"/>
        <a:stretch>
          <a:fillRect/>
        </a:stretch>
      </xdr:blipFill>
      <xdr:spPr>
        <a:xfrm>
          <a:off x="6841434" y="63966606"/>
          <a:ext cx="3600000" cy="1610893"/>
        </a:xfrm>
        <a:prstGeom prst="rect">
          <a:avLst/>
        </a:prstGeom>
      </xdr:spPr>
    </xdr:pic>
    <xdr:clientData/>
  </xdr:twoCellAnchor>
  <xdr:twoCellAnchor editAs="oneCell">
    <xdr:from>
      <xdr:col>8</xdr:col>
      <xdr:colOff>331304</xdr:colOff>
      <xdr:row>388</xdr:row>
      <xdr:rowOff>157370</xdr:rowOff>
    </xdr:from>
    <xdr:to>
      <xdr:col>11</xdr:col>
      <xdr:colOff>585717</xdr:colOff>
      <xdr:row>401</xdr:row>
      <xdr:rowOff>115082</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6650934" y="70369044"/>
          <a:ext cx="2880000" cy="2541887"/>
        </a:xfrm>
        <a:prstGeom prst="rect">
          <a:avLst/>
        </a:prstGeom>
      </xdr:spPr>
    </xdr:pic>
    <xdr:clientData/>
  </xdr:twoCellAnchor>
  <xdr:twoCellAnchor editAs="oneCell">
    <xdr:from>
      <xdr:col>8</xdr:col>
      <xdr:colOff>422412</xdr:colOff>
      <xdr:row>418</xdr:row>
      <xdr:rowOff>157369</xdr:rowOff>
    </xdr:from>
    <xdr:to>
      <xdr:col>12</xdr:col>
      <xdr:colOff>469172</xdr:colOff>
      <xdr:row>430</xdr:row>
      <xdr:rowOff>11004</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6742042" y="76332521"/>
          <a:ext cx="3600000" cy="2239025"/>
        </a:xfrm>
        <a:prstGeom prst="rect">
          <a:avLst/>
        </a:prstGeom>
      </xdr:spPr>
    </xdr:pic>
    <xdr:clientData/>
  </xdr:twoCellAnchor>
  <xdr:twoCellAnchor>
    <xdr:from>
      <xdr:col>0</xdr:col>
      <xdr:colOff>554935</xdr:colOff>
      <xdr:row>508</xdr:row>
      <xdr:rowOff>24848</xdr:rowOff>
    </xdr:from>
    <xdr:to>
      <xdr:col>7</xdr:col>
      <xdr:colOff>239782</xdr:colOff>
      <xdr:row>545</xdr:row>
      <xdr:rowOff>124012</xdr:rowOff>
    </xdr:to>
    <xdr:grpSp>
      <xdr:nvGrpSpPr>
        <xdr:cNvPr id="16" name="Group 15">
          <a:extLst>
            <a:ext uri="{FF2B5EF4-FFF2-40B4-BE49-F238E27FC236}">
              <a16:creationId xmlns:a16="http://schemas.microsoft.com/office/drawing/2014/main" id="{00000000-0008-0000-0000-000010000000}"/>
            </a:ext>
          </a:extLst>
        </xdr:cNvPr>
        <xdr:cNvGrpSpPr/>
      </xdr:nvGrpSpPr>
      <xdr:grpSpPr>
        <a:xfrm>
          <a:off x="554935" y="101342273"/>
          <a:ext cx="5266497" cy="7500089"/>
          <a:chOff x="795337" y="396815"/>
          <a:chExt cx="5267325" cy="7454121"/>
        </a:xfrm>
      </xdr:grpSpPr>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3"/>
          <a:stretch>
            <a:fillRect/>
          </a:stretch>
        </xdr:blipFill>
        <xdr:spPr>
          <a:xfrm>
            <a:off x="795337" y="5088686"/>
            <a:ext cx="5267325" cy="2762250"/>
          </a:xfrm>
          <a:prstGeom prst="rect">
            <a:avLst/>
          </a:prstGeom>
          <a:ln>
            <a:solidFill>
              <a:schemeClr val="tx1"/>
            </a:solidFill>
          </a:ln>
        </xdr:spPr>
      </xdr:pic>
      <xdr:grpSp>
        <xdr:nvGrpSpPr>
          <xdr:cNvPr id="18" name="Group 17">
            <a:extLst>
              <a:ext uri="{FF2B5EF4-FFF2-40B4-BE49-F238E27FC236}">
                <a16:creationId xmlns:a16="http://schemas.microsoft.com/office/drawing/2014/main" id="{00000000-0008-0000-0000-000012000000}"/>
              </a:ext>
            </a:extLst>
          </xdr:cNvPr>
          <xdr:cNvGrpSpPr/>
        </xdr:nvGrpSpPr>
        <xdr:grpSpPr>
          <a:xfrm>
            <a:off x="1268999" y="396815"/>
            <a:ext cx="4320000" cy="4503475"/>
            <a:chOff x="1268999" y="396815"/>
            <a:chExt cx="4320000" cy="4503475"/>
          </a:xfrm>
        </xdr:grpSpPr>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4"/>
            <a:stretch>
              <a:fillRect/>
            </a:stretch>
          </xdr:blipFill>
          <xdr:spPr>
            <a:xfrm>
              <a:off x="1268999" y="396815"/>
              <a:ext cx="4320000" cy="4503475"/>
            </a:xfrm>
            <a:prstGeom prst="rect">
              <a:avLst/>
            </a:prstGeom>
            <a:ln>
              <a:solidFill>
                <a:schemeClr val="tx1"/>
              </a:solidFill>
            </a:ln>
          </xdr:spPr>
        </xdr:pic>
        <xdr:sp macro="" textlink="">
          <xdr:nvSpPr>
            <xdr:cNvPr id="20" name="Rectangle 19">
              <a:extLst>
                <a:ext uri="{FF2B5EF4-FFF2-40B4-BE49-F238E27FC236}">
                  <a16:creationId xmlns:a16="http://schemas.microsoft.com/office/drawing/2014/main" id="{00000000-0008-0000-0000-000014000000}"/>
                </a:ext>
              </a:extLst>
            </xdr:cNvPr>
            <xdr:cNvSpPr/>
          </xdr:nvSpPr>
          <xdr:spPr>
            <a:xfrm rot="20948427">
              <a:off x="1536700" y="1511300"/>
              <a:ext cx="635000" cy="9842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1" name="Rectangle 20">
              <a:extLst>
                <a:ext uri="{FF2B5EF4-FFF2-40B4-BE49-F238E27FC236}">
                  <a16:creationId xmlns:a16="http://schemas.microsoft.com/office/drawing/2014/main" id="{00000000-0008-0000-0000-000015000000}"/>
                </a:ext>
              </a:extLst>
            </xdr:cNvPr>
            <xdr:cNvSpPr/>
          </xdr:nvSpPr>
          <xdr:spPr>
            <a:xfrm rot="1525234">
              <a:off x="2165350" y="1444620"/>
              <a:ext cx="920750" cy="5143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2" name="Rectangle 21">
              <a:extLst>
                <a:ext uri="{FF2B5EF4-FFF2-40B4-BE49-F238E27FC236}">
                  <a16:creationId xmlns:a16="http://schemas.microsoft.com/office/drawing/2014/main" id="{00000000-0008-0000-0000-000016000000}"/>
                </a:ext>
              </a:extLst>
            </xdr:cNvPr>
            <xdr:cNvSpPr/>
          </xdr:nvSpPr>
          <xdr:spPr>
            <a:xfrm rot="17948001">
              <a:off x="3133648" y="1149570"/>
              <a:ext cx="732225" cy="430831"/>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3" name="Rectangle 22">
              <a:extLst>
                <a:ext uri="{FF2B5EF4-FFF2-40B4-BE49-F238E27FC236}">
                  <a16:creationId xmlns:a16="http://schemas.microsoft.com/office/drawing/2014/main" id="{00000000-0008-0000-0000-000017000000}"/>
                </a:ext>
              </a:extLst>
            </xdr:cNvPr>
            <xdr:cNvSpPr/>
          </xdr:nvSpPr>
          <xdr:spPr>
            <a:xfrm rot="1246383">
              <a:off x="3635403" y="751124"/>
              <a:ext cx="984250" cy="5461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4" name="Rectangle 23">
              <a:extLst>
                <a:ext uri="{FF2B5EF4-FFF2-40B4-BE49-F238E27FC236}">
                  <a16:creationId xmlns:a16="http://schemas.microsoft.com/office/drawing/2014/main" id="{00000000-0008-0000-0000-000018000000}"/>
                </a:ext>
              </a:extLst>
            </xdr:cNvPr>
            <xdr:cNvSpPr/>
          </xdr:nvSpPr>
          <xdr:spPr>
            <a:xfrm rot="7839379">
              <a:off x="4089583" y="1685051"/>
              <a:ext cx="838926" cy="500349"/>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5" name="Rectangle 24">
              <a:extLst>
                <a:ext uri="{FF2B5EF4-FFF2-40B4-BE49-F238E27FC236}">
                  <a16:creationId xmlns:a16="http://schemas.microsoft.com/office/drawing/2014/main" id="{00000000-0008-0000-0000-000019000000}"/>
                </a:ext>
              </a:extLst>
            </xdr:cNvPr>
            <xdr:cNvSpPr/>
          </xdr:nvSpPr>
          <xdr:spPr>
            <a:xfrm rot="1181244">
              <a:off x="3436517" y="1956188"/>
              <a:ext cx="730529" cy="481383"/>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6" name="Rectangle 25">
              <a:extLst>
                <a:ext uri="{FF2B5EF4-FFF2-40B4-BE49-F238E27FC236}">
                  <a16:creationId xmlns:a16="http://schemas.microsoft.com/office/drawing/2014/main" id="{00000000-0008-0000-0000-00001A000000}"/>
                </a:ext>
              </a:extLst>
            </xdr:cNvPr>
            <xdr:cNvSpPr/>
          </xdr:nvSpPr>
          <xdr:spPr>
            <a:xfrm rot="641105">
              <a:off x="2749550" y="3162002"/>
              <a:ext cx="895350" cy="4826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7" name="Rectangle 26">
              <a:extLst>
                <a:ext uri="{FF2B5EF4-FFF2-40B4-BE49-F238E27FC236}">
                  <a16:creationId xmlns:a16="http://schemas.microsoft.com/office/drawing/2014/main" id="{00000000-0008-0000-0000-00001B000000}"/>
                </a:ext>
              </a:extLst>
            </xdr:cNvPr>
            <xdr:cNvSpPr/>
          </xdr:nvSpPr>
          <xdr:spPr>
            <a:xfrm rot="20911318">
              <a:off x="1770383" y="3015786"/>
              <a:ext cx="966104" cy="617689"/>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8" name="TextBox 12">
              <a:extLst>
                <a:ext uri="{FF2B5EF4-FFF2-40B4-BE49-F238E27FC236}">
                  <a16:creationId xmlns:a16="http://schemas.microsoft.com/office/drawing/2014/main" id="{00000000-0008-0000-0000-00001C000000}"/>
                </a:ext>
              </a:extLst>
            </xdr:cNvPr>
            <xdr:cNvSpPr txBox="1"/>
          </xdr:nvSpPr>
          <xdr:spPr>
            <a:xfrm rot="21005677">
              <a:off x="1846408" y="2790250"/>
              <a:ext cx="668773" cy="24622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solidFill>
                    <a:srgbClr val="FF0000"/>
                  </a:solidFill>
                </a:rPr>
                <a:t>WING B5</a:t>
              </a:r>
              <a:endParaRPr lang="en-IN" sz="1000" b="1">
                <a:solidFill>
                  <a:srgbClr val="FF0000"/>
                </a:solidFill>
              </a:endParaRPr>
            </a:p>
          </xdr:txBody>
        </xdr:sp>
        <xdr:sp macro="" textlink="">
          <xdr:nvSpPr>
            <xdr:cNvPr id="29" name="TextBox 13">
              <a:extLst>
                <a:ext uri="{FF2B5EF4-FFF2-40B4-BE49-F238E27FC236}">
                  <a16:creationId xmlns:a16="http://schemas.microsoft.com/office/drawing/2014/main" id="{00000000-0008-0000-0000-00001D000000}"/>
                </a:ext>
              </a:extLst>
            </xdr:cNvPr>
            <xdr:cNvSpPr txBox="1"/>
          </xdr:nvSpPr>
          <xdr:spPr>
            <a:xfrm rot="21005677">
              <a:off x="1407177" y="1330904"/>
              <a:ext cx="668773" cy="24622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solidFill>
                    <a:srgbClr val="FF0000"/>
                  </a:solidFill>
                </a:rPr>
                <a:t>WING B6</a:t>
              </a:r>
              <a:endParaRPr lang="en-IN" sz="1000" b="1">
                <a:solidFill>
                  <a:srgbClr val="FF0000"/>
                </a:solidFill>
              </a:endParaRPr>
            </a:p>
          </xdr:txBody>
        </xdr:sp>
        <xdr:sp macro="" textlink="">
          <xdr:nvSpPr>
            <xdr:cNvPr id="30" name="TextBox 14">
              <a:extLst>
                <a:ext uri="{FF2B5EF4-FFF2-40B4-BE49-F238E27FC236}">
                  <a16:creationId xmlns:a16="http://schemas.microsoft.com/office/drawing/2014/main" id="{00000000-0008-0000-0000-00001E000000}"/>
                </a:ext>
              </a:extLst>
            </xdr:cNvPr>
            <xdr:cNvSpPr txBox="1"/>
          </xdr:nvSpPr>
          <xdr:spPr>
            <a:xfrm rot="1634034">
              <a:off x="2358448" y="1217657"/>
              <a:ext cx="668773" cy="24622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solidFill>
                    <a:srgbClr val="FF0000"/>
                  </a:solidFill>
                </a:rPr>
                <a:t>WING B7</a:t>
              </a:r>
              <a:endParaRPr lang="en-IN" sz="1000" b="1">
                <a:solidFill>
                  <a:srgbClr val="FF0000"/>
                </a:solidFill>
              </a:endParaRPr>
            </a:p>
          </xdr:txBody>
        </xdr:sp>
        <xdr:sp macro="" textlink="">
          <xdr:nvSpPr>
            <xdr:cNvPr id="31" name="TextBox 15">
              <a:extLst>
                <a:ext uri="{FF2B5EF4-FFF2-40B4-BE49-F238E27FC236}">
                  <a16:creationId xmlns:a16="http://schemas.microsoft.com/office/drawing/2014/main" id="{00000000-0008-0000-0000-00001F000000}"/>
                </a:ext>
              </a:extLst>
            </xdr:cNvPr>
            <xdr:cNvSpPr txBox="1"/>
          </xdr:nvSpPr>
          <xdr:spPr>
            <a:xfrm rot="18047619">
              <a:off x="2913595" y="1097144"/>
              <a:ext cx="667192" cy="24622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solidFill>
                    <a:srgbClr val="FF0000"/>
                  </a:solidFill>
                </a:rPr>
                <a:t>WING B8</a:t>
              </a:r>
              <a:endParaRPr lang="en-IN" sz="1000" b="1">
                <a:solidFill>
                  <a:srgbClr val="FF0000"/>
                </a:solidFill>
              </a:endParaRPr>
            </a:p>
          </xdr:txBody>
        </xdr:sp>
        <xdr:sp macro="" textlink="">
          <xdr:nvSpPr>
            <xdr:cNvPr id="32" name="TextBox 17">
              <a:extLst>
                <a:ext uri="{FF2B5EF4-FFF2-40B4-BE49-F238E27FC236}">
                  <a16:creationId xmlns:a16="http://schemas.microsoft.com/office/drawing/2014/main" id="{00000000-0008-0000-0000-000020000000}"/>
                </a:ext>
              </a:extLst>
            </xdr:cNvPr>
            <xdr:cNvSpPr txBox="1"/>
          </xdr:nvSpPr>
          <xdr:spPr>
            <a:xfrm rot="20534556">
              <a:off x="3498917" y="3516914"/>
              <a:ext cx="734496" cy="24622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solidFill>
                    <a:srgbClr val="FF0000"/>
                  </a:solidFill>
                </a:rPr>
                <a:t>WING B12</a:t>
              </a:r>
              <a:endParaRPr lang="en-IN" sz="1000" b="1">
                <a:solidFill>
                  <a:srgbClr val="FF0000"/>
                </a:solidFill>
              </a:endParaRPr>
            </a:p>
          </xdr:txBody>
        </xdr:sp>
        <xdr:sp macro="" textlink="">
          <xdr:nvSpPr>
            <xdr:cNvPr id="33" name="TextBox 18">
              <a:extLst>
                <a:ext uri="{FF2B5EF4-FFF2-40B4-BE49-F238E27FC236}">
                  <a16:creationId xmlns:a16="http://schemas.microsoft.com/office/drawing/2014/main" id="{00000000-0008-0000-0000-000021000000}"/>
                </a:ext>
              </a:extLst>
            </xdr:cNvPr>
            <xdr:cNvSpPr txBox="1"/>
          </xdr:nvSpPr>
          <xdr:spPr>
            <a:xfrm rot="1201571">
              <a:off x="3342806" y="2394014"/>
              <a:ext cx="734496" cy="24622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solidFill>
                    <a:srgbClr val="FF0000"/>
                  </a:solidFill>
                </a:rPr>
                <a:t>WING B11</a:t>
              </a:r>
              <a:endParaRPr lang="en-IN" sz="1000" b="1">
                <a:solidFill>
                  <a:srgbClr val="FF0000"/>
                </a:solidFill>
              </a:endParaRPr>
            </a:p>
          </xdr:txBody>
        </xdr:sp>
        <xdr:sp macro="" textlink="">
          <xdr:nvSpPr>
            <xdr:cNvPr id="34" name="TextBox 19">
              <a:extLst>
                <a:ext uri="{FF2B5EF4-FFF2-40B4-BE49-F238E27FC236}">
                  <a16:creationId xmlns:a16="http://schemas.microsoft.com/office/drawing/2014/main" id="{00000000-0008-0000-0000-000022000000}"/>
                </a:ext>
              </a:extLst>
            </xdr:cNvPr>
            <xdr:cNvSpPr txBox="1"/>
          </xdr:nvSpPr>
          <xdr:spPr>
            <a:xfrm rot="2740051">
              <a:off x="4718590" y="1598434"/>
              <a:ext cx="734496" cy="24622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solidFill>
                    <a:srgbClr val="FF0000"/>
                  </a:solidFill>
                </a:rPr>
                <a:t>WING B10</a:t>
              </a:r>
              <a:endParaRPr lang="en-IN" sz="1000" b="1">
                <a:solidFill>
                  <a:srgbClr val="FF0000"/>
                </a:solidFill>
              </a:endParaRPr>
            </a:p>
          </xdr:txBody>
        </xdr:sp>
        <xdr:sp macro="" textlink="">
          <xdr:nvSpPr>
            <xdr:cNvPr id="35" name="TextBox 20">
              <a:extLst>
                <a:ext uri="{FF2B5EF4-FFF2-40B4-BE49-F238E27FC236}">
                  <a16:creationId xmlns:a16="http://schemas.microsoft.com/office/drawing/2014/main" id="{00000000-0008-0000-0000-000023000000}"/>
                </a:ext>
              </a:extLst>
            </xdr:cNvPr>
            <xdr:cNvSpPr txBox="1"/>
          </xdr:nvSpPr>
          <xdr:spPr>
            <a:xfrm rot="786360">
              <a:off x="3926930" y="464741"/>
              <a:ext cx="668773" cy="24622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solidFill>
                    <a:srgbClr val="FF0000"/>
                  </a:solidFill>
                </a:rPr>
                <a:t>WING B9</a:t>
              </a:r>
              <a:endParaRPr lang="en-IN" sz="1000" b="1">
                <a:solidFill>
                  <a:srgbClr val="FF0000"/>
                </a:solidFill>
              </a:endParaRPr>
            </a:p>
          </xdr:txBody>
        </xdr:sp>
      </xdr:grpSp>
    </xdr:grpSp>
    <xdr:clientData/>
  </xdr:twoCellAnchor>
  <xdr:twoCellAnchor>
    <xdr:from>
      <xdr:col>0</xdr:col>
      <xdr:colOff>107672</xdr:colOff>
      <xdr:row>592</xdr:row>
      <xdr:rowOff>16565</xdr:rowOff>
    </xdr:from>
    <xdr:to>
      <xdr:col>7</xdr:col>
      <xdr:colOff>645194</xdr:colOff>
      <xdr:row>630</xdr:row>
      <xdr:rowOff>145599</xdr:rowOff>
    </xdr:to>
    <xdr:grpSp>
      <xdr:nvGrpSpPr>
        <xdr:cNvPr id="36" name="Group 35">
          <a:extLst>
            <a:ext uri="{FF2B5EF4-FFF2-40B4-BE49-F238E27FC236}">
              <a16:creationId xmlns:a16="http://schemas.microsoft.com/office/drawing/2014/main" id="{00000000-0008-0000-0000-000024000000}"/>
            </a:ext>
          </a:extLst>
        </xdr:cNvPr>
        <xdr:cNvGrpSpPr/>
      </xdr:nvGrpSpPr>
      <xdr:grpSpPr>
        <a:xfrm>
          <a:off x="107672" y="118136090"/>
          <a:ext cx="6119172" cy="7729984"/>
          <a:chOff x="305396" y="141857"/>
          <a:chExt cx="6120000" cy="7682773"/>
        </a:xfrm>
      </xdr:grpSpPr>
      <xdr:pic>
        <xdr:nvPicPr>
          <xdr:cNvPr id="37" name="Picture 36">
            <a:extLst>
              <a:ext uri="{FF2B5EF4-FFF2-40B4-BE49-F238E27FC236}">
                <a16:creationId xmlns:a16="http://schemas.microsoft.com/office/drawing/2014/main" id="{00000000-0008-0000-0000-000025000000}"/>
              </a:ext>
            </a:extLst>
          </xdr:cNvPr>
          <xdr:cNvPicPr>
            <a:picLocks noChangeAspect="1"/>
          </xdr:cNvPicPr>
        </xdr:nvPicPr>
        <xdr:blipFill rotWithShape="1">
          <a:blip xmlns:r="http://schemas.openxmlformats.org/officeDocument/2006/relationships" r:embed="rId15" cstate="screen">
            <a:extLst>
              <a:ext uri="{28A0092B-C50C-407E-A947-70E740481C1C}">
                <a14:useLocalDpi xmlns:a14="http://schemas.microsoft.com/office/drawing/2010/main"/>
              </a:ext>
            </a:extLst>
          </a:blip>
          <a:srcRect/>
          <a:stretch/>
        </xdr:blipFill>
        <xdr:spPr>
          <a:xfrm>
            <a:off x="305396" y="4053593"/>
            <a:ext cx="6120000" cy="3771037"/>
          </a:xfrm>
          <a:prstGeom prst="rect">
            <a:avLst/>
          </a:prstGeom>
          <a:ln>
            <a:solidFill>
              <a:schemeClr val="tx1"/>
            </a:solidFill>
          </a:ln>
        </xdr:spPr>
      </xdr:pic>
      <xdr:pic>
        <xdr:nvPicPr>
          <xdr:cNvPr id="38" name="Picture 37">
            <a:extLst>
              <a:ext uri="{FF2B5EF4-FFF2-40B4-BE49-F238E27FC236}">
                <a16:creationId xmlns:a16="http://schemas.microsoft.com/office/drawing/2014/main" id="{00000000-0008-0000-0000-000026000000}"/>
              </a:ext>
            </a:extLst>
          </xdr:cNvPr>
          <xdr:cNvPicPr>
            <a:picLocks noChangeAspect="1"/>
          </xdr:cNvPicPr>
        </xdr:nvPicPr>
        <xdr:blipFill rotWithShape="1">
          <a:blip xmlns:r="http://schemas.openxmlformats.org/officeDocument/2006/relationships" r:embed="rId16" cstate="screen">
            <a:extLst>
              <a:ext uri="{28A0092B-C50C-407E-A947-70E740481C1C}">
                <a14:useLocalDpi xmlns:a14="http://schemas.microsoft.com/office/drawing/2010/main"/>
              </a:ext>
            </a:extLst>
          </a:blip>
          <a:srcRect/>
          <a:stretch/>
        </xdr:blipFill>
        <xdr:spPr>
          <a:xfrm>
            <a:off x="752825" y="141857"/>
            <a:ext cx="5225143" cy="3773713"/>
          </a:xfrm>
          <a:prstGeom prst="rect">
            <a:avLst/>
          </a:prstGeom>
          <a:ln>
            <a:solidFill>
              <a:schemeClr val="tx1"/>
            </a:solidFill>
          </a:ln>
        </xdr:spPr>
      </xdr:pic>
      <xdr:sp macro="" textlink="">
        <xdr:nvSpPr>
          <xdr:cNvPr id="39" name="Rectangle 38">
            <a:extLst>
              <a:ext uri="{FF2B5EF4-FFF2-40B4-BE49-F238E27FC236}">
                <a16:creationId xmlns:a16="http://schemas.microsoft.com/office/drawing/2014/main" id="{00000000-0008-0000-0000-000027000000}"/>
              </a:ext>
            </a:extLst>
          </xdr:cNvPr>
          <xdr:cNvSpPr/>
        </xdr:nvSpPr>
        <xdr:spPr>
          <a:xfrm rot="194564">
            <a:off x="1989019" y="5004209"/>
            <a:ext cx="1229669" cy="1494405"/>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0" name="Rectangle 39">
            <a:extLst>
              <a:ext uri="{FF2B5EF4-FFF2-40B4-BE49-F238E27FC236}">
                <a16:creationId xmlns:a16="http://schemas.microsoft.com/office/drawing/2014/main" id="{00000000-0008-0000-0000-000028000000}"/>
              </a:ext>
            </a:extLst>
          </xdr:cNvPr>
          <xdr:cNvSpPr/>
        </xdr:nvSpPr>
        <xdr:spPr>
          <a:xfrm rot="194564">
            <a:off x="3272555" y="5045759"/>
            <a:ext cx="1258647" cy="1478078"/>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1" name="Rectangle 40">
            <a:extLst>
              <a:ext uri="{FF2B5EF4-FFF2-40B4-BE49-F238E27FC236}">
                <a16:creationId xmlns:a16="http://schemas.microsoft.com/office/drawing/2014/main" id="{00000000-0008-0000-0000-000029000000}"/>
              </a:ext>
            </a:extLst>
          </xdr:cNvPr>
          <xdr:cNvSpPr/>
        </xdr:nvSpPr>
        <xdr:spPr>
          <a:xfrm rot="194564">
            <a:off x="815840" y="4891234"/>
            <a:ext cx="1108799" cy="2106256"/>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2" name="TextBox 8">
            <a:extLst>
              <a:ext uri="{FF2B5EF4-FFF2-40B4-BE49-F238E27FC236}">
                <a16:creationId xmlns:a16="http://schemas.microsoft.com/office/drawing/2014/main" id="{00000000-0008-0000-0000-00002A000000}"/>
              </a:ext>
            </a:extLst>
          </xdr:cNvPr>
          <xdr:cNvSpPr txBox="1"/>
        </xdr:nvSpPr>
        <xdr:spPr>
          <a:xfrm>
            <a:off x="2170881" y="4601294"/>
            <a:ext cx="86594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Phase I</a:t>
            </a:r>
            <a:endParaRPr lang="en-IN" b="1">
              <a:solidFill>
                <a:srgbClr val="FFFF00"/>
              </a:solidFill>
            </a:endParaRPr>
          </a:p>
        </xdr:txBody>
      </xdr:sp>
      <xdr:sp macro="" textlink="">
        <xdr:nvSpPr>
          <xdr:cNvPr id="43" name="TextBox 9">
            <a:extLst>
              <a:ext uri="{FF2B5EF4-FFF2-40B4-BE49-F238E27FC236}">
                <a16:creationId xmlns:a16="http://schemas.microsoft.com/office/drawing/2014/main" id="{00000000-0008-0000-0000-00002B000000}"/>
              </a:ext>
            </a:extLst>
          </xdr:cNvPr>
          <xdr:cNvSpPr txBox="1"/>
        </xdr:nvSpPr>
        <xdr:spPr>
          <a:xfrm>
            <a:off x="3642462" y="4676893"/>
            <a:ext cx="98777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Phase III</a:t>
            </a:r>
            <a:endParaRPr lang="en-IN" b="1">
              <a:solidFill>
                <a:srgbClr val="FFFF00"/>
              </a:solidFill>
            </a:endParaRPr>
          </a:p>
        </xdr:txBody>
      </xdr:sp>
      <xdr:sp macro="" textlink="">
        <xdr:nvSpPr>
          <xdr:cNvPr id="44" name="TextBox 10">
            <a:extLst>
              <a:ext uri="{FF2B5EF4-FFF2-40B4-BE49-F238E27FC236}">
                <a16:creationId xmlns:a16="http://schemas.microsoft.com/office/drawing/2014/main" id="{00000000-0008-0000-0000-00002C000000}"/>
              </a:ext>
            </a:extLst>
          </xdr:cNvPr>
          <xdr:cNvSpPr txBox="1"/>
        </xdr:nvSpPr>
        <xdr:spPr>
          <a:xfrm>
            <a:off x="1081794" y="4532283"/>
            <a:ext cx="926857"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Phase II</a:t>
            </a:r>
            <a:endParaRPr lang="en-IN" b="1">
              <a:solidFill>
                <a:srgbClr val="FFFF00"/>
              </a:solidFill>
            </a:endParaRPr>
          </a:p>
        </xdr:txBody>
      </xdr:sp>
      <xdr:sp macro="" textlink="">
        <xdr:nvSpPr>
          <xdr:cNvPr id="45" name="TextBox 11">
            <a:extLst>
              <a:ext uri="{FF2B5EF4-FFF2-40B4-BE49-F238E27FC236}">
                <a16:creationId xmlns:a16="http://schemas.microsoft.com/office/drawing/2014/main" id="{00000000-0008-0000-0000-00002D000000}"/>
              </a:ext>
            </a:extLst>
          </xdr:cNvPr>
          <xdr:cNvSpPr txBox="1"/>
        </xdr:nvSpPr>
        <xdr:spPr>
          <a:xfrm>
            <a:off x="1679593" y="4160414"/>
            <a:ext cx="2714461"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1">
                <a:solidFill>
                  <a:srgbClr val="FFFF00"/>
                </a:solidFill>
              </a:rPr>
              <a:t>Commanders Heera Siddhi Homes</a:t>
            </a:r>
          </a:p>
        </xdr:txBody>
      </xdr:sp>
    </xdr:grpSp>
    <xdr:clientData/>
  </xdr:twoCellAnchor>
  <xdr:twoCellAnchor>
    <xdr:from>
      <xdr:col>11</xdr:col>
      <xdr:colOff>733156</xdr:colOff>
      <xdr:row>464</xdr:row>
      <xdr:rowOff>44239</xdr:rowOff>
    </xdr:from>
    <xdr:to>
      <xdr:col>19</xdr:col>
      <xdr:colOff>639698</xdr:colOff>
      <xdr:row>499</xdr:row>
      <xdr:rowOff>962</xdr:rowOff>
    </xdr:to>
    <xdr:grpSp>
      <xdr:nvGrpSpPr>
        <xdr:cNvPr id="46" name="Group 45">
          <a:extLst>
            <a:ext uri="{FF2B5EF4-FFF2-40B4-BE49-F238E27FC236}">
              <a16:creationId xmlns:a16="http://schemas.microsoft.com/office/drawing/2014/main" id="{00000000-0008-0000-0000-00002E000000}"/>
            </a:ext>
          </a:extLst>
        </xdr:cNvPr>
        <xdr:cNvGrpSpPr/>
      </xdr:nvGrpSpPr>
      <xdr:grpSpPr>
        <a:xfrm>
          <a:off x="9677131" y="92570089"/>
          <a:ext cx="5993017" cy="6948073"/>
          <a:chOff x="135578" y="177106"/>
          <a:chExt cx="6008973" cy="6905832"/>
        </a:xfrm>
      </xdr:grpSpPr>
      <xdr:pic>
        <xdr:nvPicPr>
          <xdr:cNvPr id="47" name="Picture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135578" y="177106"/>
            <a:ext cx="2880000" cy="2162002"/>
          </a:xfrm>
          <a:prstGeom prst="rect">
            <a:avLst/>
          </a:prstGeom>
          <a:ln>
            <a:solidFill>
              <a:schemeClr val="tx1"/>
            </a:solidFill>
          </a:ln>
        </xdr:spPr>
      </xdr:pic>
      <xdr:pic>
        <xdr:nvPicPr>
          <xdr:cNvPr id="48" name="Picture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135578" y="4920936"/>
            <a:ext cx="2880000" cy="2162002"/>
          </a:xfrm>
          <a:prstGeom prst="rect">
            <a:avLst/>
          </a:prstGeom>
          <a:ln>
            <a:solidFill>
              <a:schemeClr val="tx1"/>
            </a:solidFill>
          </a:ln>
        </xdr:spPr>
      </xdr:pic>
      <xdr:pic>
        <xdr:nvPicPr>
          <xdr:cNvPr id="49" name="Picture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135578" y="2549021"/>
            <a:ext cx="2880000" cy="2162002"/>
          </a:xfrm>
          <a:prstGeom prst="rect">
            <a:avLst/>
          </a:prstGeom>
          <a:ln>
            <a:solidFill>
              <a:schemeClr val="tx1"/>
            </a:solidFill>
          </a:ln>
        </xdr:spPr>
      </xdr:pic>
      <xdr:pic>
        <xdr:nvPicPr>
          <xdr:cNvPr id="50" name="Picture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3264551" y="2549021"/>
            <a:ext cx="2880000" cy="2162002"/>
          </a:xfrm>
          <a:prstGeom prst="rect">
            <a:avLst/>
          </a:prstGeom>
          <a:ln>
            <a:solidFill>
              <a:schemeClr val="tx1"/>
            </a:solidFill>
          </a:ln>
        </xdr:spPr>
      </xdr:pic>
      <xdr:pic>
        <xdr:nvPicPr>
          <xdr:cNvPr id="51" name="Picture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3264551" y="177106"/>
            <a:ext cx="2880000" cy="2162002"/>
          </a:xfrm>
          <a:prstGeom prst="rect">
            <a:avLst/>
          </a:prstGeom>
          <a:ln>
            <a:solidFill>
              <a:schemeClr val="tx1"/>
            </a:solidFill>
          </a:ln>
        </xdr:spPr>
      </xdr:pic>
      <xdr:pic>
        <xdr:nvPicPr>
          <xdr:cNvPr id="52" name="Picture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3264551" y="4920936"/>
            <a:ext cx="2880000" cy="2162002"/>
          </a:xfrm>
          <a:prstGeom prst="rect">
            <a:avLst/>
          </a:prstGeom>
          <a:ln>
            <a:solidFill>
              <a:schemeClr val="tx1"/>
            </a:solidFill>
          </a:ln>
        </xdr:spPr>
      </xdr:pic>
    </xdr:grpSp>
    <xdr:clientData/>
  </xdr:twoCellAnchor>
  <xdr:twoCellAnchor editAs="oneCell">
    <xdr:from>
      <xdr:col>9</xdr:col>
      <xdr:colOff>66260</xdr:colOff>
      <xdr:row>243</xdr:row>
      <xdr:rowOff>41413</xdr:rowOff>
    </xdr:from>
    <xdr:to>
      <xdr:col>12</xdr:col>
      <xdr:colOff>558300</xdr:colOff>
      <xdr:row>249</xdr:row>
      <xdr:rowOff>563003</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23"/>
        <a:stretch>
          <a:fillRect/>
        </a:stretch>
      </xdr:blipFill>
      <xdr:spPr>
        <a:xfrm>
          <a:off x="7545456" y="41355065"/>
          <a:ext cx="2885714" cy="1714286"/>
        </a:xfrm>
        <a:prstGeom prst="rect">
          <a:avLst/>
        </a:prstGeom>
      </xdr:spPr>
    </xdr:pic>
    <xdr:clientData/>
  </xdr:twoCellAnchor>
  <xdr:twoCellAnchor>
    <xdr:from>
      <xdr:col>8</xdr:col>
      <xdr:colOff>680758</xdr:colOff>
      <xdr:row>466</xdr:row>
      <xdr:rowOff>141194</xdr:rowOff>
    </xdr:from>
    <xdr:to>
      <xdr:col>15</xdr:col>
      <xdr:colOff>540124</xdr:colOff>
      <xdr:row>505</xdr:row>
      <xdr:rowOff>114300</xdr:rowOff>
    </xdr:to>
    <xdr:grpSp>
      <xdr:nvGrpSpPr>
        <xdr:cNvPr id="12" name="Group 11">
          <a:extLst>
            <a:ext uri="{FF2B5EF4-FFF2-40B4-BE49-F238E27FC236}">
              <a16:creationId xmlns:a16="http://schemas.microsoft.com/office/drawing/2014/main" id="{C71CB33A-8270-8003-D7FB-642411631A5C}"/>
            </a:ext>
          </a:extLst>
        </xdr:cNvPr>
        <xdr:cNvGrpSpPr/>
      </xdr:nvGrpSpPr>
      <xdr:grpSpPr>
        <a:xfrm>
          <a:off x="6995833" y="93067094"/>
          <a:ext cx="5850591" cy="7764556"/>
          <a:chOff x="239580" y="213213"/>
          <a:chExt cx="6371597" cy="8717574"/>
        </a:xfrm>
      </xdr:grpSpPr>
      <xdr:grpSp>
        <xdr:nvGrpSpPr>
          <xdr:cNvPr id="59" name="Group 58">
            <a:extLst>
              <a:ext uri="{FF2B5EF4-FFF2-40B4-BE49-F238E27FC236}">
                <a16:creationId xmlns:a16="http://schemas.microsoft.com/office/drawing/2014/main" id="{63EF734E-EABF-BE7B-AC7C-B7D684B2BB57}"/>
              </a:ext>
            </a:extLst>
          </xdr:cNvPr>
          <xdr:cNvGrpSpPr/>
        </xdr:nvGrpSpPr>
        <xdr:grpSpPr>
          <a:xfrm>
            <a:off x="239580" y="4818741"/>
            <a:ext cx="6371597" cy="2163600"/>
            <a:chOff x="180416" y="4933895"/>
            <a:chExt cx="6371597" cy="2163600"/>
          </a:xfrm>
        </xdr:grpSpPr>
        <xdr:pic>
          <xdr:nvPicPr>
            <xdr:cNvPr id="76" name="Picture 75">
              <a:extLst>
                <a:ext uri="{FF2B5EF4-FFF2-40B4-BE49-F238E27FC236}">
                  <a16:creationId xmlns:a16="http://schemas.microsoft.com/office/drawing/2014/main" id="{334E4034-8C45-6A73-77C9-9D82E65FC8EA}"/>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3178745" y="4933895"/>
              <a:ext cx="1620446" cy="2163600"/>
            </a:xfrm>
            <a:prstGeom prst="rect">
              <a:avLst/>
            </a:prstGeom>
            <a:ln>
              <a:solidFill>
                <a:schemeClr val="tx1"/>
              </a:solidFill>
            </a:ln>
          </xdr:spPr>
        </xdr:pic>
        <xdr:pic>
          <xdr:nvPicPr>
            <xdr:cNvPr id="77" name="Picture 76">
              <a:extLst>
                <a:ext uri="{FF2B5EF4-FFF2-40B4-BE49-F238E27FC236}">
                  <a16:creationId xmlns:a16="http://schemas.microsoft.com/office/drawing/2014/main" id="{9DBD1207-05E0-A379-384E-B634F8BF788B}"/>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4931567" y="4933895"/>
              <a:ext cx="1620446" cy="2163600"/>
            </a:xfrm>
            <a:prstGeom prst="rect">
              <a:avLst/>
            </a:prstGeom>
            <a:ln>
              <a:solidFill>
                <a:schemeClr val="tx1"/>
              </a:solidFill>
            </a:ln>
          </xdr:spPr>
        </xdr:pic>
        <xdr:pic>
          <xdr:nvPicPr>
            <xdr:cNvPr id="78" name="Picture 77">
              <a:extLst>
                <a:ext uri="{FF2B5EF4-FFF2-40B4-BE49-F238E27FC236}">
                  <a16:creationId xmlns:a16="http://schemas.microsoft.com/office/drawing/2014/main" id="{E8A7CC13-CA68-3A3A-87B4-E44C7B433066}"/>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180416" y="4934491"/>
              <a:ext cx="2880000" cy="2163004"/>
            </a:xfrm>
            <a:prstGeom prst="rect">
              <a:avLst/>
            </a:prstGeom>
            <a:ln>
              <a:solidFill>
                <a:schemeClr val="tx1"/>
              </a:solidFill>
            </a:ln>
          </xdr:spPr>
        </xdr:pic>
      </xdr:grpSp>
      <xdr:grpSp>
        <xdr:nvGrpSpPr>
          <xdr:cNvPr id="60" name="Group 59">
            <a:extLst>
              <a:ext uri="{FF2B5EF4-FFF2-40B4-BE49-F238E27FC236}">
                <a16:creationId xmlns:a16="http://schemas.microsoft.com/office/drawing/2014/main" id="{198E1E03-DBA0-7F2B-E3F2-D271434D1E06}"/>
              </a:ext>
            </a:extLst>
          </xdr:cNvPr>
          <xdr:cNvGrpSpPr/>
        </xdr:nvGrpSpPr>
        <xdr:grpSpPr>
          <a:xfrm>
            <a:off x="486214" y="2515977"/>
            <a:ext cx="5878329" cy="2163004"/>
            <a:chOff x="180416" y="2573852"/>
            <a:chExt cx="5878329" cy="2163004"/>
          </a:xfrm>
        </xdr:grpSpPr>
        <xdr:pic>
          <xdr:nvPicPr>
            <xdr:cNvPr id="74" name="Picture 73">
              <a:extLst>
                <a:ext uri="{FF2B5EF4-FFF2-40B4-BE49-F238E27FC236}">
                  <a16:creationId xmlns:a16="http://schemas.microsoft.com/office/drawing/2014/main" id="{DE799272-85AB-7F36-8AA9-EC18EB6DB864}"/>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3178745" y="2573852"/>
              <a:ext cx="2880000" cy="2163004"/>
            </a:xfrm>
            <a:prstGeom prst="rect">
              <a:avLst/>
            </a:prstGeom>
            <a:ln>
              <a:solidFill>
                <a:schemeClr val="tx1"/>
              </a:solidFill>
            </a:ln>
          </xdr:spPr>
        </xdr:pic>
        <xdr:pic>
          <xdr:nvPicPr>
            <xdr:cNvPr id="75" name="Picture 74">
              <a:extLst>
                <a:ext uri="{FF2B5EF4-FFF2-40B4-BE49-F238E27FC236}">
                  <a16:creationId xmlns:a16="http://schemas.microsoft.com/office/drawing/2014/main" id="{D5C37BF0-0B54-2A95-3E91-A6B1F3C58A07}"/>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xfrm>
              <a:off x="180416" y="2573852"/>
              <a:ext cx="2880000" cy="2163004"/>
            </a:xfrm>
            <a:prstGeom prst="rect">
              <a:avLst/>
            </a:prstGeom>
            <a:ln>
              <a:solidFill>
                <a:schemeClr val="tx1"/>
              </a:solidFill>
            </a:ln>
          </xdr:spPr>
        </xdr:pic>
      </xdr:grpSp>
      <xdr:grpSp>
        <xdr:nvGrpSpPr>
          <xdr:cNvPr id="61" name="Group 60">
            <a:extLst>
              <a:ext uri="{FF2B5EF4-FFF2-40B4-BE49-F238E27FC236}">
                <a16:creationId xmlns:a16="http://schemas.microsoft.com/office/drawing/2014/main" id="{9E0E8367-9D40-04DB-438B-0224370FFA56}"/>
              </a:ext>
            </a:extLst>
          </xdr:cNvPr>
          <xdr:cNvGrpSpPr/>
        </xdr:nvGrpSpPr>
        <xdr:grpSpPr>
          <a:xfrm>
            <a:off x="486213" y="213213"/>
            <a:ext cx="5878330" cy="2163004"/>
            <a:chOff x="180416" y="213213"/>
            <a:chExt cx="5878330" cy="2163004"/>
          </a:xfrm>
        </xdr:grpSpPr>
        <xdr:pic>
          <xdr:nvPicPr>
            <xdr:cNvPr id="72" name="Picture 71">
              <a:extLst>
                <a:ext uri="{FF2B5EF4-FFF2-40B4-BE49-F238E27FC236}">
                  <a16:creationId xmlns:a16="http://schemas.microsoft.com/office/drawing/2014/main" id="{613CE13E-6928-D8A5-8C12-0C3096A1A2A4}"/>
                </a:ext>
              </a:extLst>
            </xdr:cNvPr>
            <xdr:cNvPicPr>
              <a:picLocks noChangeAspect="1"/>
            </xdr:cNvPicPr>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xfrm>
              <a:off x="180416" y="213213"/>
              <a:ext cx="2880000" cy="2163004"/>
            </a:xfrm>
            <a:prstGeom prst="rect">
              <a:avLst/>
            </a:prstGeom>
            <a:ln>
              <a:solidFill>
                <a:schemeClr val="tx1"/>
              </a:solidFill>
            </a:ln>
          </xdr:spPr>
        </xdr:pic>
        <xdr:pic>
          <xdr:nvPicPr>
            <xdr:cNvPr id="73" name="Picture 72">
              <a:extLst>
                <a:ext uri="{FF2B5EF4-FFF2-40B4-BE49-F238E27FC236}">
                  <a16:creationId xmlns:a16="http://schemas.microsoft.com/office/drawing/2014/main" id="{AA5977D7-8523-AAAC-EE90-D21412DD2BE1}"/>
                </a:ext>
              </a:extLst>
            </xdr:cNvPr>
            <xdr:cNvPicPr>
              <a:picLocks noChangeAspect="1"/>
            </xdr:cNvPicPr>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xfrm>
              <a:off x="3178746" y="213213"/>
              <a:ext cx="2880000" cy="2163004"/>
            </a:xfrm>
            <a:prstGeom prst="rect">
              <a:avLst/>
            </a:prstGeom>
            <a:ln>
              <a:solidFill>
                <a:schemeClr val="tx1"/>
              </a:solidFill>
            </a:ln>
          </xdr:spPr>
        </xdr:pic>
      </xdr:grpSp>
      <xdr:grpSp>
        <xdr:nvGrpSpPr>
          <xdr:cNvPr id="62" name="Group 61">
            <a:extLst>
              <a:ext uri="{FF2B5EF4-FFF2-40B4-BE49-F238E27FC236}">
                <a16:creationId xmlns:a16="http://schemas.microsoft.com/office/drawing/2014/main" id="{3D6B6D7E-6CDD-7E1C-4DC8-9DCA5C825D01}"/>
              </a:ext>
            </a:extLst>
          </xdr:cNvPr>
          <xdr:cNvGrpSpPr/>
        </xdr:nvGrpSpPr>
        <xdr:grpSpPr>
          <a:xfrm>
            <a:off x="2018089" y="7130191"/>
            <a:ext cx="2814579" cy="1800596"/>
            <a:chOff x="1712291" y="7294534"/>
            <a:chExt cx="2814579" cy="1800596"/>
          </a:xfrm>
        </xdr:grpSpPr>
        <xdr:pic>
          <xdr:nvPicPr>
            <xdr:cNvPr id="70" name="Picture 69">
              <a:extLst>
                <a:ext uri="{FF2B5EF4-FFF2-40B4-BE49-F238E27FC236}">
                  <a16:creationId xmlns:a16="http://schemas.microsoft.com/office/drawing/2014/main" id="{3DFE3E3D-77E8-73CC-8519-D064F930459D}"/>
                </a:ext>
              </a:extLst>
            </xdr:cNvPr>
            <xdr:cNvPicPr>
              <a:picLocks noChangeAspect="1"/>
            </xdr:cNvPicPr>
          </xdr:nvPicPr>
          <xdr:blipFill>
            <a:blip xmlns:r="http://schemas.openxmlformats.org/officeDocument/2006/relationships" r:embed="rId31" cstate="screen">
              <a:extLst>
                <a:ext uri="{28A0092B-C50C-407E-A947-70E740481C1C}">
                  <a14:useLocalDpi xmlns:a14="http://schemas.microsoft.com/office/drawing/2010/main"/>
                </a:ext>
              </a:extLst>
            </a:blip>
            <a:stretch>
              <a:fillRect/>
            </a:stretch>
          </xdr:blipFill>
          <xdr:spPr>
            <a:xfrm>
              <a:off x="1712291" y="7295130"/>
              <a:ext cx="1348125" cy="1800000"/>
            </a:xfrm>
            <a:prstGeom prst="rect">
              <a:avLst/>
            </a:prstGeom>
            <a:ln>
              <a:solidFill>
                <a:schemeClr val="tx1"/>
              </a:solidFill>
            </a:ln>
          </xdr:spPr>
        </xdr:pic>
        <xdr:pic>
          <xdr:nvPicPr>
            <xdr:cNvPr id="71" name="Picture 70">
              <a:extLst>
                <a:ext uri="{FF2B5EF4-FFF2-40B4-BE49-F238E27FC236}">
                  <a16:creationId xmlns:a16="http://schemas.microsoft.com/office/drawing/2014/main" id="{D4EE2E95-B366-13A4-622C-E784E6188FE6}"/>
                </a:ext>
              </a:extLst>
            </xdr:cNvPr>
            <xdr:cNvPicPr>
              <a:picLocks noChangeAspect="1"/>
            </xdr:cNvPicPr>
          </xdr:nvPicPr>
          <xdr:blipFill>
            <a:blip xmlns:r="http://schemas.openxmlformats.org/officeDocument/2006/relationships" r:embed="rId32" cstate="screen">
              <a:extLst>
                <a:ext uri="{28A0092B-C50C-407E-A947-70E740481C1C}">
                  <a14:useLocalDpi xmlns:a14="http://schemas.microsoft.com/office/drawing/2010/main"/>
                </a:ext>
              </a:extLst>
            </a:blip>
            <a:stretch>
              <a:fillRect/>
            </a:stretch>
          </xdr:blipFill>
          <xdr:spPr>
            <a:xfrm>
              <a:off x="3178745" y="7294534"/>
              <a:ext cx="1348125" cy="1800000"/>
            </a:xfrm>
            <a:prstGeom prst="rect">
              <a:avLst/>
            </a:prstGeom>
            <a:ln>
              <a:solidFill>
                <a:schemeClr val="tx1"/>
              </a:solidFill>
            </a:ln>
          </xdr:spPr>
        </xdr:pic>
      </xdr:grpSp>
      <xdr:sp macro="" textlink="">
        <xdr:nvSpPr>
          <xdr:cNvPr id="63" name="TextBox 26">
            <a:extLst>
              <a:ext uri="{FF2B5EF4-FFF2-40B4-BE49-F238E27FC236}">
                <a16:creationId xmlns:a16="http://schemas.microsoft.com/office/drawing/2014/main" id="{7DEDFC4C-D777-4E29-7433-0836E2160028}"/>
              </a:ext>
            </a:extLst>
          </xdr:cNvPr>
          <xdr:cNvSpPr txBox="1"/>
        </xdr:nvSpPr>
        <xdr:spPr>
          <a:xfrm>
            <a:off x="536129" y="255884"/>
            <a:ext cx="504376" cy="424041"/>
          </a:xfrm>
          <a:prstGeom prst="rect">
            <a:avLst/>
          </a:prstGeom>
          <a:solidFill>
            <a:schemeClr val="bg1">
              <a:lumMod val="9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B5</a:t>
            </a:r>
            <a:endParaRPr lang="en-IN" b="1"/>
          </a:p>
        </xdr:txBody>
      </xdr:sp>
      <xdr:sp macro="" textlink="">
        <xdr:nvSpPr>
          <xdr:cNvPr id="64" name="TextBox 27">
            <a:extLst>
              <a:ext uri="{FF2B5EF4-FFF2-40B4-BE49-F238E27FC236}">
                <a16:creationId xmlns:a16="http://schemas.microsoft.com/office/drawing/2014/main" id="{5C94149E-40AA-45D1-320D-4F3D5D5B5F83}"/>
              </a:ext>
            </a:extLst>
          </xdr:cNvPr>
          <xdr:cNvSpPr txBox="1"/>
        </xdr:nvSpPr>
        <xdr:spPr>
          <a:xfrm>
            <a:off x="3547552" y="255884"/>
            <a:ext cx="504376" cy="424041"/>
          </a:xfrm>
          <a:prstGeom prst="rect">
            <a:avLst/>
          </a:prstGeom>
          <a:solidFill>
            <a:schemeClr val="bg1">
              <a:lumMod val="9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B6</a:t>
            </a:r>
            <a:endParaRPr lang="en-IN" b="1"/>
          </a:p>
        </xdr:txBody>
      </xdr:sp>
      <xdr:sp macro="" textlink="">
        <xdr:nvSpPr>
          <xdr:cNvPr id="65" name="TextBox 28">
            <a:extLst>
              <a:ext uri="{FF2B5EF4-FFF2-40B4-BE49-F238E27FC236}">
                <a16:creationId xmlns:a16="http://schemas.microsoft.com/office/drawing/2014/main" id="{A124CC00-E2DD-B2C1-4F5C-78DCDE1A4E0D}"/>
              </a:ext>
            </a:extLst>
          </xdr:cNvPr>
          <xdr:cNvSpPr txBox="1"/>
        </xdr:nvSpPr>
        <xdr:spPr>
          <a:xfrm>
            <a:off x="536129" y="2578461"/>
            <a:ext cx="504376" cy="424041"/>
          </a:xfrm>
          <a:prstGeom prst="rect">
            <a:avLst/>
          </a:prstGeom>
          <a:solidFill>
            <a:schemeClr val="bg1">
              <a:lumMod val="9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B7</a:t>
            </a:r>
            <a:endParaRPr lang="en-IN" b="1"/>
          </a:p>
        </xdr:txBody>
      </xdr:sp>
      <xdr:sp macro="" textlink="">
        <xdr:nvSpPr>
          <xdr:cNvPr id="66" name="TextBox 29">
            <a:extLst>
              <a:ext uri="{FF2B5EF4-FFF2-40B4-BE49-F238E27FC236}">
                <a16:creationId xmlns:a16="http://schemas.microsoft.com/office/drawing/2014/main" id="{A2323877-4B18-E5FB-D189-497154E1E5AC}"/>
              </a:ext>
            </a:extLst>
          </xdr:cNvPr>
          <xdr:cNvSpPr txBox="1"/>
        </xdr:nvSpPr>
        <xdr:spPr>
          <a:xfrm>
            <a:off x="3547552" y="2585029"/>
            <a:ext cx="504376" cy="424041"/>
          </a:xfrm>
          <a:prstGeom prst="rect">
            <a:avLst/>
          </a:prstGeom>
          <a:solidFill>
            <a:schemeClr val="bg1">
              <a:lumMod val="9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B8</a:t>
            </a:r>
            <a:endParaRPr lang="en-IN" b="1"/>
          </a:p>
        </xdr:txBody>
      </xdr:sp>
      <xdr:sp macro="" textlink="">
        <xdr:nvSpPr>
          <xdr:cNvPr id="67" name="TextBox 30">
            <a:extLst>
              <a:ext uri="{FF2B5EF4-FFF2-40B4-BE49-F238E27FC236}">
                <a16:creationId xmlns:a16="http://schemas.microsoft.com/office/drawing/2014/main" id="{39AF0BE3-B25D-C026-2A49-1154383C9DB7}"/>
              </a:ext>
            </a:extLst>
          </xdr:cNvPr>
          <xdr:cNvSpPr txBox="1"/>
        </xdr:nvSpPr>
        <xdr:spPr>
          <a:xfrm>
            <a:off x="457818" y="4907133"/>
            <a:ext cx="504376" cy="424041"/>
          </a:xfrm>
          <a:prstGeom prst="rect">
            <a:avLst/>
          </a:prstGeom>
          <a:solidFill>
            <a:schemeClr val="bg1">
              <a:lumMod val="9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B9</a:t>
            </a:r>
            <a:endParaRPr lang="en-IN" b="1"/>
          </a:p>
        </xdr:txBody>
      </xdr:sp>
      <xdr:sp macro="" textlink="">
        <xdr:nvSpPr>
          <xdr:cNvPr id="68" name="TextBox 31">
            <a:extLst>
              <a:ext uri="{FF2B5EF4-FFF2-40B4-BE49-F238E27FC236}">
                <a16:creationId xmlns:a16="http://schemas.microsoft.com/office/drawing/2014/main" id="{68EB7103-F866-C691-35D1-013E0FB22898}"/>
              </a:ext>
            </a:extLst>
          </xdr:cNvPr>
          <xdr:cNvSpPr txBox="1"/>
        </xdr:nvSpPr>
        <xdr:spPr>
          <a:xfrm>
            <a:off x="4182065" y="4866302"/>
            <a:ext cx="641150" cy="424041"/>
          </a:xfrm>
          <a:prstGeom prst="rect">
            <a:avLst/>
          </a:prstGeom>
          <a:solidFill>
            <a:schemeClr val="bg1">
              <a:lumMod val="9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B10</a:t>
            </a:r>
            <a:endParaRPr lang="en-IN" b="1"/>
          </a:p>
        </xdr:txBody>
      </xdr:sp>
      <xdr:sp macro="" textlink="">
        <xdr:nvSpPr>
          <xdr:cNvPr id="69" name="TextBox 32">
            <a:extLst>
              <a:ext uri="{FF2B5EF4-FFF2-40B4-BE49-F238E27FC236}">
                <a16:creationId xmlns:a16="http://schemas.microsoft.com/office/drawing/2014/main" id="{36BF7120-42A5-7D43-3BB3-1B4941E107E0}"/>
              </a:ext>
            </a:extLst>
          </xdr:cNvPr>
          <xdr:cNvSpPr txBox="1"/>
        </xdr:nvSpPr>
        <xdr:spPr>
          <a:xfrm>
            <a:off x="5152180" y="4907133"/>
            <a:ext cx="641150" cy="424041"/>
          </a:xfrm>
          <a:prstGeom prst="rect">
            <a:avLst/>
          </a:prstGeom>
          <a:solidFill>
            <a:schemeClr val="bg1">
              <a:lumMod val="9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B11</a:t>
            </a:r>
            <a:endParaRPr lang="en-IN" b="1"/>
          </a:p>
        </xdr:txBody>
      </xdr:sp>
    </xdr:grpSp>
    <xdr:clientData/>
  </xdr:twoCellAnchor>
  <xdr:twoCellAnchor editAs="oneCell">
    <xdr:from>
      <xdr:col>1</xdr:col>
      <xdr:colOff>215153</xdr:colOff>
      <xdr:row>550</xdr:row>
      <xdr:rowOff>44823</xdr:rowOff>
    </xdr:from>
    <xdr:to>
      <xdr:col>6</xdr:col>
      <xdr:colOff>671448</xdr:colOff>
      <xdr:row>577</xdr:row>
      <xdr:rowOff>116540</xdr:rowOff>
    </xdr:to>
    <xdr:pic>
      <xdr:nvPicPr>
        <xdr:cNvPr id="83" name="Picture 82">
          <a:extLst>
            <a:ext uri="{FF2B5EF4-FFF2-40B4-BE49-F238E27FC236}">
              <a16:creationId xmlns:a16="http://schemas.microsoft.com/office/drawing/2014/main" id="{6F23163E-9AB5-75D6-CF57-825D47F4B9A3}"/>
            </a:ext>
          </a:extLst>
        </xdr:cNvPr>
        <xdr:cNvPicPr>
          <a:picLocks noChangeAspect="1"/>
        </xdr:cNvPicPr>
      </xdr:nvPicPr>
      <xdr:blipFill>
        <a:blip xmlns:r="http://schemas.openxmlformats.org/officeDocument/2006/relationships" r:embed="rId33"/>
        <a:stretch>
          <a:fillRect/>
        </a:stretch>
      </xdr:blipFill>
      <xdr:spPr>
        <a:xfrm>
          <a:off x="1004047" y="105344258"/>
          <a:ext cx="4651777" cy="5396753"/>
        </a:xfrm>
        <a:prstGeom prst="rect">
          <a:avLst/>
        </a:prstGeom>
      </xdr:spPr>
    </xdr:pic>
    <xdr:clientData/>
  </xdr:twoCellAnchor>
  <xdr:twoCellAnchor>
    <xdr:from>
      <xdr:col>0</xdr:col>
      <xdr:colOff>161926</xdr:colOff>
      <xdr:row>465</xdr:row>
      <xdr:rowOff>104775</xdr:rowOff>
    </xdr:from>
    <xdr:to>
      <xdr:col>7</xdr:col>
      <xdr:colOff>504826</xdr:colOff>
      <xdr:row>505</xdr:row>
      <xdr:rowOff>28575</xdr:rowOff>
    </xdr:to>
    <xdr:grpSp>
      <xdr:nvGrpSpPr>
        <xdr:cNvPr id="53" name="Group 52">
          <a:extLst>
            <a:ext uri="{FF2B5EF4-FFF2-40B4-BE49-F238E27FC236}">
              <a16:creationId xmlns:a16="http://schemas.microsoft.com/office/drawing/2014/main" id="{104D01BD-EF1E-4A98-886E-7B92631BE060}"/>
            </a:ext>
          </a:extLst>
        </xdr:cNvPr>
        <xdr:cNvGrpSpPr/>
      </xdr:nvGrpSpPr>
      <xdr:grpSpPr>
        <a:xfrm>
          <a:off x="161926" y="92830650"/>
          <a:ext cx="5924550" cy="7915275"/>
          <a:chOff x="161926" y="92830650"/>
          <a:chExt cx="5924550" cy="7915275"/>
        </a:xfrm>
      </xdr:grpSpPr>
      <xdr:grpSp>
        <xdr:nvGrpSpPr>
          <xdr:cNvPr id="79" name="Group 78">
            <a:extLst>
              <a:ext uri="{FF2B5EF4-FFF2-40B4-BE49-F238E27FC236}">
                <a16:creationId xmlns:a16="http://schemas.microsoft.com/office/drawing/2014/main" id="{D8395EB1-E101-40B3-BCCB-9379C4ABBE75}"/>
              </a:ext>
            </a:extLst>
          </xdr:cNvPr>
          <xdr:cNvGrpSpPr/>
        </xdr:nvGrpSpPr>
        <xdr:grpSpPr>
          <a:xfrm>
            <a:off x="161926" y="92830650"/>
            <a:ext cx="5924550" cy="7915275"/>
            <a:chOff x="399209" y="171450"/>
            <a:chExt cx="5932485" cy="8377853"/>
          </a:xfrm>
        </xdr:grpSpPr>
        <xdr:pic>
          <xdr:nvPicPr>
            <xdr:cNvPr id="80" name="Picture 79">
              <a:extLst>
                <a:ext uri="{FF2B5EF4-FFF2-40B4-BE49-F238E27FC236}">
                  <a16:creationId xmlns:a16="http://schemas.microsoft.com/office/drawing/2014/main" id="{716DDBE1-3C0F-420C-BABB-D0815C5CFCE7}"/>
                </a:ext>
              </a:extLst>
            </xdr:cNvPr>
            <xdr:cNvPicPr>
              <a:picLocks noChangeAspect="1"/>
            </xdr:cNvPicPr>
          </xdr:nvPicPr>
          <xdr:blipFill>
            <a:blip xmlns:r="http://schemas.openxmlformats.org/officeDocument/2006/relationships" r:embed="rId34" cstate="screen">
              <a:extLst>
                <a:ext uri="{28A0092B-C50C-407E-A947-70E740481C1C}">
                  <a14:useLocalDpi xmlns:a14="http://schemas.microsoft.com/office/drawing/2010/main"/>
                </a:ext>
              </a:extLst>
            </a:blip>
            <a:stretch>
              <a:fillRect/>
            </a:stretch>
          </xdr:blipFill>
          <xdr:spPr>
            <a:xfrm>
              <a:off x="632291" y="171450"/>
              <a:ext cx="2636333" cy="1980000"/>
            </a:xfrm>
            <a:prstGeom prst="rect">
              <a:avLst/>
            </a:prstGeom>
            <a:ln>
              <a:solidFill>
                <a:schemeClr val="tx1"/>
              </a:solidFill>
            </a:ln>
          </xdr:spPr>
        </xdr:pic>
        <xdr:pic>
          <xdr:nvPicPr>
            <xdr:cNvPr id="81" name="Picture 80">
              <a:extLst>
                <a:ext uri="{FF2B5EF4-FFF2-40B4-BE49-F238E27FC236}">
                  <a16:creationId xmlns:a16="http://schemas.microsoft.com/office/drawing/2014/main" id="{E29FD5D9-1DEF-473A-8E0A-DFD756A4F07B}"/>
                </a:ext>
              </a:extLst>
            </xdr:cNvPr>
            <xdr:cNvPicPr>
              <a:picLocks noChangeAspect="1"/>
            </xdr:cNvPicPr>
          </xdr:nvPicPr>
          <xdr:blipFill>
            <a:blip xmlns:r="http://schemas.openxmlformats.org/officeDocument/2006/relationships" r:embed="rId35" cstate="screen">
              <a:extLst>
                <a:ext uri="{28A0092B-C50C-407E-A947-70E740481C1C}">
                  <a14:useLocalDpi xmlns:a14="http://schemas.microsoft.com/office/drawing/2010/main"/>
                </a:ext>
              </a:extLst>
            </a:blip>
            <a:stretch>
              <a:fillRect/>
            </a:stretch>
          </xdr:blipFill>
          <xdr:spPr>
            <a:xfrm>
              <a:off x="632291" y="2394697"/>
              <a:ext cx="2636333" cy="1980000"/>
            </a:xfrm>
            <a:prstGeom prst="rect">
              <a:avLst/>
            </a:prstGeom>
            <a:ln>
              <a:solidFill>
                <a:schemeClr val="tx1"/>
              </a:solidFill>
            </a:ln>
          </xdr:spPr>
        </xdr:pic>
        <xdr:pic>
          <xdr:nvPicPr>
            <xdr:cNvPr id="82" name="Picture 81">
              <a:extLst>
                <a:ext uri="{FF2B5EF4-FFF2-40B4-BE49-F238E27FC236}">
                  <a16:creationId xmlns:a16="http://schemas.microsoft.com/office/drawing/2014/main" id="{6B5E5D81-38F9-4797-9513-DCF9933F2814}"/>
                </a:ext>
              </a:extLst>
            </xdr:cNvPr>
            <xdr:cNvPicPr>
              <a:picLocks noChangeAspect="1"/>
            </xdr:cNvPicPr>
          </xdr:nvPicPr>
          <xdr:blipFill>
            <a:blip xmlns:r="http://schemas.openxmlformats.org/officeDocument/2006/relationships" r:embed="rId36" cstate="screen">
              <a:extLst>
                <a:ext uri="{28A0092B-C50C-407E-A947-70E740481C1C}">
                  <a14:useLocalDpi xmlns:a14="http://schemas.microsoft.com/office/drawing/2010/main"/>
                </a:ext>
              </a:extLst>
            </a:blip>
            <a:stretch>
              <a:fillRect/>
            </a:stretch>
          </xdr:blipFill>
          <xdr:spPr>
            <a:xfrm>
              <a:off x="3429000" y="171450"/>
              <a:ext cx="2636333" cy="1980000"/>
            </a:xfrm>
            <a:prstGeom prst="rect">
              <a:avLst/>
            </a:prstGeom>
            <a:ln>
              <a:solidFill>
                <a:schemeClr val="tx1"/>
              </a:solidFill>
            </a:ln>
          </xdr:spPr>
        </xdr:pic>
        <xdr:pic>
          <xdr:nvPicPr>
            <xdr:cNvPr id="84" name="Picture 83">
              <a:extLst>
                <a:ext uri="{FF2B5EF4-FFF2-40B4-BE49-F238E27FC236}">
                  <a16:creationId xmlns:a16="http://schemas.microsoft.com/office/drawing/2014/main" id="{E9E1C66E-8981-4D2B-AC1F-CAE579FBBBB9}"/>
                </a:ext>
              </a:extLst>
            </xdr:cNvPr>
            <xdr:cNvPicPr>
              <a:picLocks noChangeAspect="1"/>
            </xdr:cNvPicPr>
          </xdr:nvPicPr>
          <xdr:blipFill>
            <a:blip xmlns:r="http://schemas.openxmlformats.org/officeDocument/2006/relationships" r:embed="rId37" cstate="screen">
              <a:extLst>
                <a:ext uri="{28A0092B-C50C-407E-A947-70E740481C1C}">
                  <a14:useLocalDpi xmlns:a14="http://schemas.microsoft.com/office/drawing/2010/main"/>
                </a:ext>
              </a:extLst>
            </a:blip>
            <a:stretch>
              <a:fillRect/>
            </a:stretch>
          </xdr:blipFill>
          <xdr:spPr>
            <a:xfrm>
              <a:off x="3429000" y="2394697"/>
              <a:ext cx="2636333" cy="1980000"/>
            </a:xfrm>
            <a:prstGeom prst="rect">
              <a:avLst/>
            </a:prstGeom>
            <a:ln>
              <a:solidFill>
                <a:schemeClr val="tx1"/>
              </a:solidFill>
            </a:ln>
          </xdr:spPr>
        </xdr:pic>
        <xdr:pic>
          <xdr:nvPicPr>
            <xdr:cNvPr id="85" name="Picture 84">
              <a:extLst>
                <a:ext uri="{FF2B5EF4-FFF2-40B4-BE49-F238E27FC236}">
                  <a16:creationId xmlns:a16="http://schemas.microsoft.com/office/drawing/2014/main" id="{A030CF7E-1840-4105-A671-EF28CBA9CF80}"/>
                </a:ext>
              </a:extLst>
            </xdr:cNvPr>
            <xdr:cNvPicPr>
              <a:picLocks noChangeAspect="1"/>
            </xdr:cNvPicPr>
          </xdr:nvPicPr>
          <xdr:blipFill>
            <a:blip xmlns:r="http://schemas.openxmlformats.org/officeDocument/2006/relationships" r:embed="rId38" cstate="screen">
              <a:extLst>
                <a:ext uri="{28A0092B-C50C-407E-A947-70E740481C1C}">
                  <a14:useLocalDpi xmlns:a14="http://schemas.microsoft.com/office/drawing/2010/main"/>
                </a:ext>
              </a:extLst>
            </a:blip>
            <a:stretch>
              <a:fillRect/>
            </a:stretch>
          </xdr:blipFill>
          <xdr:spPr>
            <a:xfrm>
              <a:off x="399209" y="4572000"/>
              <a:ext cx="2636333" cy="1980000"/>
            </a:xfrm>
            <a:prstGeom prst="rect">
              <a:avLst/>
            </a:prstGeom>
            <a:ln>
              <a:solidFill>
                <a:schemeClr val="tx1"/>
              </a:solidFill>
            </a:ln>
          </xdr:spPr>
        </xdr:pic>
        <xdr:pic>
          <xdr:nvPicPr>
            <xdr:cNvPr id="86" name="Picture 85">
              <a:extLst>
                <a:ext uri="{FF2B5EF4-FFF2-40B4-BE49-F238E27FC236}">
                  <a16:creationId xmlns:a16="http://schemas.microsoft.com/office/drawing/2014/main" id="{BF1347DC-BE3B-4419-A3B0-1E589DEC8CA3}"/>
                </a:ext>
              </a:extLst>
            </xdr:cNvPr>
            <xdr:cNvPicPr>
              <a:picLocks noChangeAspect="1"/>
            </xdr:cNvPicPr>
          </xdr:nvPicPr>
          <xdr:blipFill>
            <a:blip xmlns:r="http://schemas.openxmlformats.org/officeDocument/2006/relationships" r:embed="rId39" cstate="screen">
              <a:extLst>
                <a:ext uri="{28A0092B-C50C-407E-A947-70E740481C1C}">
                  <a14:useLocalDpi xmlns:a14="http://schemas.microsoft.com/office/drawing/2010/main"/>
                </a:ext>
              </a:extLst>
            </a:blip>
            <a:stretch>
              <a:fillRect/>
            </a:stretch>
          </xdr:blipFill>
          <xdr:spPr>
            <a:xfrm>
              <a:off x="3200680" y="4572000"/>
              <a:ext cx="1482938" cy="1980000"/>
            </a:xfrm>
            <a:prstGeom prst="rect">
              <a:avLst/>
            </a:prstGeom>
            <a:ln>
              <a:solidFill>
                <a:schemeClr val="tx1"/>
              </a:solidFill>
            </a:ln>
          </xdr:spPr>
        </xdr:pic>
        <xdr:pic>
          <xdr:nvPicPr>
            <xdr:cNvPr id="87" name="Picture 86">
              <a:extLst>
                <a:ext uri="{FF2B5EF4-FFF2-40B4-BE49-F238E27FC236}">
                  <a16:creationId xmlns:a16="http://schemas.microsoft.com/office/drawing/2014/main" id="{ADB8B2D9-0F9F-46ED-9808-86A3B7DDD98A}"/>
                </a:ext>
              </a:extLst>
            </xdr:cNvPr>
            <xdr:cNvPicPr>
              <a:picLocks noChangeAspect="1"/>
            </xdr:cNvPicPr>
          </xdr:nvPicPr>
          <xdr:blipFill>
            <a:blip xmlns:r="http://schemas.openxmlformats.org/officeDocument/2006/relationships" r:embed="rId40" cstate="screen">
              <a:extLst>
                <a:ext uri="{28A0092B-C50C-407E-A947-70E740481C1C}">
                  <a14:useLocalDpi xmlns:a14="http://schemas.microsoft.com/office/drawing/2010/main"/>
                </a:ext>
              </a:extLst>
            </a:blip>
            <a:stretch>
              <a:fillRect/>
            </a:stretch>
          </xdr:blipFill>
          <xdr:spPr>
            <a:xfrm>
              <a:off x="4848756" y="4572000"/>
              <a:ext cx="1482938" cy="1980000"/>
            </a:xfrm>
            <a:prstGeom prst="rect">
              <a:avLst/>
            </a:prstGeom>
            <a:ln>
              <a:solidFill>
                <a:schemeClr val="tx1"/>
              </a:solidFill>
            </a:ln>
          </xdr:spPr>
        </xdr:pic>
        <xdr:pic>
          <xdr:nvPicPr>
            <xdr:cNvPr id="88" name="Picture 87">
              <a:extLst>
                <a:ext uri="{FF2B5EF4-FFF2-40B4-BE49-F238E27FC236}">
                  <a16:creationId xmlns:a16="http://schemas.microsoft.com/office/drawing/2014/main" id="{31E0638F-0A42-47DA-B38C-AAF16D152E7E}"/>
                </a:ext>
              </a:extLst>
            </xdr:cNvPr>
            <xdr:cNvPicPr>
              <a:picLocks noChangeAspect="1"/>
            </xdr:cNvPicPr>
          </xdr:nvPicPr>
          <xdr:blipFill>
            <a:blip xmlns:r="http://schemas.openxmlformats.org/officeDocument/2006/relationships" r:embed="rId41" cstate="screen">
              <a:extLst>
                <a:ext uri="{28A0092B-C50C-407E-A947-70E740481C1C}">
                  <a14:useLocalDpi xmlns:a14="http://schemas.microsoft.com/office/drawing/2010/main"/>
                </a:ext>
              </a:extLst>
            </a:blip>
            <a:stretch>
              <a:fillRect/>
            </a:stretch>
          </xdr:blipFill>
          <xdr:spPr>
            <a:xfrm>
              <a:off x="3222090" y="6749303"/>
              <a:ext cx="1348125" cy="1800000"/>
            </a:xfrm>
            <a:prstGeom prst="rect">
              <a:avLst/>
            </a:prstGeom>
            <a:ln>
              <a:solidFill>
                <a:schemeClr val="tx1"/>
              </a:solidFill>
            </a:ln>
          </xdr:spPr>
        </xdr:pic>
        <xdr:pic>
          <xdr:nvPicPr>
            <xdr:cNvPr id="89" name="Picture 88">
              <a:extLst>
                <a:ext uri="{FF2B5EF4-FFF2-40B4-BE49-F238E27FC236}">
                  <a16:creationId xmlns:a16="http://schemas.microsoft.com/office/drawing/2014/main" id="{0C9D66C4-9CEC-41B5-BF8E-2D9F70E3BE7D}"/>
                </a:ext>
              </a:extLst>
            </xdr:cNvPr>
            <xdr:cNvPicPr>
              <a:picLocks noChangeAspect="1"/>
            </xdr:cNvPicPr>
          </xdr:nvPicPr>
          <xdr:blipFill>
            <a:blip xmlns:r="http://schemas.openxmlformats.org/officeDocument/2006/relationships" r:embed="rId42" cstate="screen">
              <a:extLst>
                <a:ext uri="{28A0092B-C50C-407E-A947-70E740481C1C}">
                  <a14:useLocalDpi xmlns:a14="http://schemas.microsoft.com/office/drawing/2010/main"/>
                </a:ext>
              </a:extLst>
            </a:blip>
            <a:stretch>
              <a:fillRect/>
            </a:stretch>
          </xdr:blipFill>
          <xdr:spPr>
            <a:xfrm>
              <a:off x="632291" y="6749303"/>
              <a:ext cx="2396667" cy="1800000"/>
            </a:xfrm>
            <a:prstGeom prst="rect">
              <a:avLst/>
            </a:prstGeom>
            <a:ln>
              <a:solidFill>
                <a:schemeClr val="tx1"/>
              </a:solidFill>
            </a:ln>
          </xdr:spPr>
        </xdr:pic>
        <xdr:pic>
          <xdr:nvPicPr>
            <xdr:cNvPr id="90" name="Picture 89">
              <a:extLst>
                <a:ext uri="{FF2B5EF4-FFF2-40B4-BE49-F238E27FC236}">
                  <a16:creationId xmlns:a16="http://schemas.microsoft.com/office/drawing/2014/main" id="{14B303A9-D2F9-4A42-B09B-E93C38CABC8D}"/>
                </a:ext>
              </a:extLst>
            </xdr:cNvPr>
            <xdr:cNvPicPr>
              <a:picLocks noChangeAspect="1"/>
            </xdr:cNvPicPr>
          </xdr:nvPicPr>
          <xdr:blipFill>
            <a:blip xmlns:r="http://schemas.openxmlformats.org/officeDocument/2006/relationships" r:embed="rId43" cstate="screen">
              <a:extLst>
                <a:ext uri="{28A0092B-C50C-407E-A947-70E740481C1C}">
                  <a14:useLocalDpi xmlns:a14="http://schemas.microsoft.com/office/drawing/2010/main"/>
                </a:ext>
              </a:extLst>
            </a:blip>
            <a:stretch>
              <a:fillRect/>
            </a:stretch>
          </xdr:blipFill>
          <xdr:spPr>
            <a:xfrm>
              <a:off x="4763347" y="6749303"/>
              <a:ext cx="1348125" cy="1800000"/>
            </a:xfrm>
            <a:prstGeom prst="rect">
              <a:avLst/>
            </a:prstGeom>
            <a:ln>
              <a:solidFill>
                <a:schemeClr val="tx1"/>
              </a:solidFill>
            </a:ln>
          </xdr:spPr>
        </xdr:pic>
      </xdr:grpSp>
      <xdr:sp macro="" textlink="">
        <xdr:nvSpPr>
          <xdr:cNvPr id="91" name="TextBox 26">
            <a:extLst>
              <a:ext uri="{FF2B5EF4-FFF2-40B4-BE49-F238E27FC236}">
                <a16:creationId xmlns:a16="http://schemas.microsoft.com/office/drawing/2014/main" id="{28A350D1-EF62-40F6-BE86-DD2F46709BA3}"/>
              </a:ext>
            </a:extLst>
          </xdr:cNvPr>
          <xdr:cNvSpPr txBox="1"/>
        </xdr:nvSpPr>
        <xdr:spPr>
          <a:xfrm>
            <a:off x="485965" y="92914694"/>
            <a:ext cx="463133" cy="377684"/>
          </a:xfrm>
          <a:prstGeom prst="rect">
            <a:avLst/>
          </a:prstGeom>
          <a:solidFill>
            <a:schemeClr val="bg1">
              <a:lumMod val="95000"/>
            </a:schemeClr>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B5</a:t>
            </a:r>
            <a:endParaRPr lang="en-IN" b="1"/>
          </a:p>
        </xdr:txBody>
      </xdr:sp>
      <xdr:sp macro="" textlink="">
        <xdr:nvSpPr>
          <xdr:cNvPr id="92" name="TextBox 27">
            <a:extLst>
              <a:ext uri="{FF2B5EF4-FFF2-40B4-BE49-F238E27FC236}">
                <a16:creationId xmlns:a16="http://schemas.microsoft.com/office/drawing/2014/main" id="{16C799E4-EBE4-44AD-BC79-E5A814B9DAAA}"/>
              </a:ext>
            </a:extLst>
          </xdr:cNvPr>
          <xdr:cNvSpPr txBox="1"/>
        </xdr:nvSpPr>
        <xdr:spPr>
          <a:xfrm>
            <a:off x="3736919" y="92886119"/>
            <a:ext cx="463133" cy="377684"/>
          </a:xfrm>
          <a:prstGeom prst="rect">
            <a:avLst/>
          </a:prstGeom>
          <a:solidFill>
            <a:schemeClr val="bg1">
              <a:lumMod val="95000"/>
            </a:schemeClr>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B6</a:t>
            </a:r>
            <a:endParaRPr lang="en-IN" b="1"/>
          </a:p>
        </xdr:txBody>
      </xdr:sp>
      <xdr:sp macro="" textlink="">
        <xdr:nvSpPr>
          <xdr:cNvPr id="93" name="TextBox 28">
            <a:extLst>
              <a:ext uri="{FF2B5EF4-FFF2-40B4-BE49-F238E27FC236}">
                <a16:creationId xmlns:a16="http://schemas.microsoft.com/office/drawing/2014/main" id="{92D07291-CDAA-4F49-863C-D2A091C25E90}"/>
              </a:ext>
            </a:extLst>
          </xdr:cNvPr>
          <xdr:cNvSpPr txBox="1"/>
        </xdr:nvSpPr>
        <xdr:spPr>
          <a:xfrm>
            <a:off x="495490" y="94992889"/>
            <a:ext cx="463133" cy="377684"/>
          </a:xfrm>
          <a:prstGeom prst="rect">
            <a:avLst/>
          </a:prstGeom>
          <a:solidFill>
            <a:schemeClr val="bg1">
              <a:lumMod val="95000"/>
            </a:schemeClr>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B7</a:t>
            </a:r>
            <a:endParaRPr lang="en-IN" b="1"/>
          </a:p>
        </xdr:txBody>
      </xdr:sp>
      <xdr:sp macro="" textlink="">
        <xdr:nvSpPr>
          <xdr:cNvPr id="94" name="TextBox 29">
            <a:extLst>
              <a:ext uri="{FF2B5EF4-FFF2-40B4-BE49-F238E27FC236}">
                <a16:creationId xmlns:a16="http://schemas.microsoft.com/office/drawing/2014/main" id="{727A2606-0C39-458E-85E1-C728EC14936D}"/>
              </a:ext>
            </a:extLst>
          </xdr:cNvPr>
          <xdr:cNvSpPr txBox="1"/>
        </xdr:nvSpPr>
        <xdr:spPr>
          <a:xfrm>
            <a:off x="3232094" y="94970164"/>
            <a:ext cx="463133" cy="377684"/>
          </a:xfrm>
          <a:prstGeom prst="rect">
            <a:avLst/>
          </a:prstGeom>
          <a:solidFill>
            <a:schemeClr val="bg1">
              <a:lumMod val="95000"/>
            </a:schemeClr>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B8</a:t>
            </a:r>
            <a:endParaRPr lang="en-IN" b="1"/>
          </a:p>
        </xdr:txBody>
      </xdr:sp>
      <xdr:sp macro="" textlink="">
        <xdr:nvSpPr>
          <xdr:cNvPr id="95" name="TextBox 30">
            <a:extLst>
              <a:ext uri="{FF2B5EF4-FFF2-40B4-BE49-F238E27FC236}">
                <a16:creationId xmlns:a16="http://schemas.microsoft.com/office/drawing/2014/main" id="{57743388-3D8C-4497-ADB7-513CC16432D5}"/>
              </a:ext>
            </a:extLst>
          </xdr:cNvPr>
          <xdr:cNvSpPr txBox="1"/>
        </xdr:nvSpPr>
        <xdr:spPr>
          <a:xfrm>
            <a:off x="185458" y="97009837"/>
            <a:ext cx="463133" cy="377684"/>
          </a:xfrm>
          <a:prstGeom prst="rect">
            <a:avLst/>
          </a:prstGeom>
          <a:solidFill>
            <a:schemeClr val="bg1">
              <a:lumMod val="95000"/>
            </a:schemeClr>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B9</a:t>
            </a:r>
            <a:endParaRPr lang="en-IN" b="1"/>
          </a:p>
        </xdr:txBody>
      </xdr:sp>
      <xdr:sp macro="" textlink="">
        <xdr:nvSpPr>
          <xdr:cNvPr id="96" name="TextBox 31">
            <a:extLst>
              <a:ext uri="{FF2B5EF4-FFF2-40B4-BE49-F238E27FC236}">
                <a16:creationId xmlns:a16="http://schemas.microsoft.com/office/drawing/2014/main" id="{FAA1AEA8-3D0F-4CFC-99FD-575015ABDC9C}"/>
              </a:ext>
            </a:extLst>
          </xdr:cNvPr>
          <xdr:cNvSpPr txBox="1"/>
        </xdr:nvSpPr>
        <xdr:spPr>
          <a:xfrm>
            <a:off x="3843298" y="97030619"/>
            <a:ext cx="588723" cy="377684"/>
          </a:xfrm>
          <a:prstGeom prst="rect">
            <a:avLst/>
          </a:prstGeom>
          <a:solidFill>
            <a:schemeClr val="bg1">
              <a:lumMod val="95000"/>
            </a:schemeClr>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B10</a:t>
            </a:r>
            <a:endParaRPr lang="en-IN" b="1"/>
          </a:p>
        </xdr:txBody>
      </xdr:sp>
      <xdr:sp macro="" textlink="">
        <xdr:nvSpPr>
          <xdr:cNvPr id="97" name="TextBox 32">
            <a:extLst>
              <a:ext uri="{FF2B5EF4-FFF2-40B4-BE49-F238E27FC236}">
                <a16:creationId xmlns:a16="http://schemas.microsoft.com/office/drawing/2014/main" id="{F1DAE6BA-A9BD-4466-921B-BD03EDB58422}"/>
              </a:ext>
            </a:extLst>
          </xdr:cNvPr>
          <xdr:cNvSpPr txBox="1"/>
        </xdr:nvSpPr>
        <xdr:spPr>
          <a:xfrm>
            <a:off x="4734086" y="97066987"/>
            <a:ext cx="588723" cy="377684"/>
          </a:xfrm>
          <a:prstGeom prst="rect">
            <a:avLst/>
          </a:prstGeom>
          <a:solidFill>
            <a:schemeClr val="bg1">
              <a:lumMod val="95000"/>
            </a:schemeClr>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B11</a:t>
            </a:r>
            <a:endParaRPr lang="en-IN" b="1"/>
          </a:p>
        </xdr:txBody>
      </xdr:sp>
      <xdr:sp macro="" textlink="">
        <xdr:nvSpPr>
          <xdr:cNvPr id="98" name="TextBox 32">
            <a:extLst>
              <a:ext uri="{FF2B5EF4-FFF2-40B4-BE49-F238E27FC236}">
                <a16:creationId xmlns:a16="http://schemas.microsoft.com/office/drawing/2014/main" id="{99C81EB0-295F-4941-BF8E-4B24370D3AC2}"/>
              </a:ext>
            </a:extLst>
          </xdr:cNvPr>
          <xdr:cNvSpPr txBox="1"/>
        </xdr:nvSpPr>
        <xdr:spPr>
          <a:xfrm>
            <a:off x="466886" y="99124387"/>
            <a:ext cx="588723" cy="377684"/>
          </a:xfrm>
          <a:prstGeom prst="rect">
            <a:avLst/>
          </a:prstGeom>
          <a:solidFill>
            <a:schemeClr val="bg1">
              <a:lumMod val="95000"/>
            </a:schemeClr>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B12</a:t>
            </a:r>
            <a:endParaRPr lang="en-IN" b="1"/>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XGrfibseCshQAw7b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591"/>
  <sheetViews>
    <sheetView tabSelected="1" view="pageBreakPreview" topLeftCell="A7" zoomScaleNormal="100" zoomScaleSheetLayoutView="100" zoomScalePageLayoutView="85" workbookViewId="0">
      <selection activeCell="J440" sqref="J440"/>
    </sheetView>
  </sheetViews>
  <sheetFormatPr defaultColWidth="9.140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140625" style="40" customWidth="1"/>
    <col min="7" max="8" width="11" style="40" customWidth="1"/>
    <col min="9" max="9" width="17.42578125" style="21" customWidth="1"/>
    <col min="10" max="10" width="11.42578125" style="21" customWidth="1"/>
    <col min="11" max="11" width="10.57031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196" t="s">
        <v>160</v>
      </c>
      <c r="B1" s="196"/>
      <c r="C1" s="196"/>
      <c r="D1" s="196"/>
      <c r="E1" s="196"/>
      <c r="F1" s="196"/>
      <c r="G1" s="196"/>
      <c r="H1" s="196"/>
    </row>
    <row r="2" spans="1:26" ht="16.5" customHeight="1" x14ac:dyDescent="0.25">
      <c r="A2" s="197" t="s">
        <v>0</v>
      </c>
      <c r="B2" s="197"/>
      <c r="C2" s="197"/>
      <c r="D2" s="197"/>
      <c r="E2" s="197"/>
      <c r="F2" s="197"/>
      <c r="G2" s="197"/>
      <c r="H2" s="197"/>
    </row>
    <row r="3" spans="1:26" x14ac:dyDescent="0.25">
      <c r="A3" s="157" t="s">
        <v>1</v>
      </c>
      <c r="B3" s="157"/>
      <c r="C3" s="157"/>
      <c r="D3" s="157"/>
      <c r="E3" s="157" t="str">
        <f ca="1">TEXT(TODAY(),"DD/MM/YYYY")</f>
        <v>09/09/2025</v>
      </c>
      <c r="F3" s="157"/>
      <c r="G3" s="157"/>
      <c r="H3" s="157"/>
      <c r="K3" s="55" t="s">
        <v>232</v>
      </c>
      <c r="L3" s="54" t="s">
        <v>230</v>
      </c>
      <c r="M3" s="54" t="s">
        <v>235</v>
      </c>
      <c r="N3" s="54" t="s">
        <v>233</v>
      </c>
      <c r="O3" s="54" t="s">
        <v>234</v>
      </c>
      <c r="P3" s="54" t="s">
        <v>236</v>
      </c>
    </row>
    <row r="4" spans="1:26" ht="15" customHeight="1" x14ac:dyDescent="0.25">
      <c r="A4" s="157" t="s">
        <v>229</v>
      </c>
      <c r="B4" s="157"/>
      <c r="C4" s="157"/>
      <c r="D4" s="157"/>
      <c r="E4" s="157" t="s">
        <v>230</v>
      </c>
      <c r="F4" s="157"/>
      <c r="G4" s="157"/>
      <c r="H4" s="157"/>
      <c r="K4" s="53" t="s">
        <v>231</v>
      </c>
      <c r="L4" s="54" t="s">
        <v>166</v>
      </c>
      <c r="M4" s="54" t="s">
        <v>240</v>
      </c>
      <c r="N4" s="54" t="s">
        <v>242</v>
      </c>
      <c r="O4" s="54" t="s">
        <v>244</v>
      </c>
      <c r="P4" s="54"/>
    </row>
    <row r="5" spans="1:26" ht="15" customHeight="1" x14ac:dyDescent="0.25">
      <c r="A5" s="157" t="s">
        <v>2</v>
      </c>
      <c r="B5" s="157"/>
      <c r="C5" s="157"/>
      <c r="D5" s="157"/>
      <c r="E5" s="157" t="s">
        <v>238</v>
      </c>
      <c r="F5" s="157"/>
      <c r="G5" s="157"/>
      <c r="H5" s="157"/>
      <c r="K5" s="53"/>
      <c r="L5" s="54" t="s">
        <v>237</v>
      </c>
      <c r="M5" s="54" t="s">
        <v>241</v>
      </c>
      <c r="N5" s="54" t="s">
        <v>243</v>
      </c>
      <c r="O5" s="54" t="s">
        <v>245</v>
      </c>
      <c r="P5" s="54"/>
    </row>
    <row r="6" spans="1:26" x14ac:dyDescent="0.25">
      <c r="A6" s="157" t="s">
        <v>3</v>
      </c>
      <c r="B6" s="157"/>
      <c r="C6" s="157"/>
      <c r="D6" s="157"/>
      <c r="E6" s="198">
        <v>45907</v>
      </c>
      <c r="F6" s="157"/>
      <c r="G6" s="157"/>
      <c r="H6" s="157"/>
      <c r="K6" s="53"/>
      <c r="L6" s="54" t="s">
        <v>238</v>
      </c>
      <c r="M6" s="54"/>
      <c r="N6" s="54"/>
      <c r="O6" s="54" t="s">
        <v>246</v>
      </c>
      <c r="P6" s="54"/>
    </row>
    <row r="7" spans="1:26" ht="16.5" customHeight="1" x14ac:dyDescent="0.25">
      <c r="A7" s="157" t="s">
        <v>4</v>
      </c>
      <c r="B7" s="157"/>
      <c r="C7" s="157"/>
      <c r="D7" s="157"/>
      <c r="E7" s="157" t="s">
        <v>300</v>
      </c>
      <c r="F7" s="157"/>
      <c r="G7" s="157"/>
      <c r="H7" s="157"/>
      <c r="K7" s="53"/>
      <c r="L7" s="54" t="s">
        <v>239</v>
      </c>
      <c r="M7" s="54"/>
      <c r="N7" s="54"/>
      <c r="O7" s="54" t="s">
        <v>246</v>
      </c>
      <c r="P7" s="54"/>
    </row>
    <row r="8" spans="1:26" ht="15" customHeight="1" x14ac:dyDescent="0.25">
      <c r="A8" s="157" t="s">
        <v>5</v>
      </c>
      <c r="B8" s="157"/>
      <c r="C8" s="157"/>
      <c r="D8" s="157"/>
      <c r="E8" s="157" t="str">
        <f>E7</f>
        <v>Megaplex Properties LLP</v>
      </c>
      <c r="F8" s="157"/>
      <c r="G8" s="157"/>
      <c r="H8" s="157"/>
      <c r="K8" s="53"/>
      <c r="L8" s="54"/>
      <c r="M8" s="54"/>
      <c r="N8" s="54"/>
      <c r="O8" s="54" t="s">
        <v>247</v>
      </c>
      <c r="P8" s="54"/>
    </row>
    <row r="9" spans="1:26" x14ac:dyDescent="0.25">
      <c r="A9" s="157" t="s">
        <v>6</v>
      </c>
      <c r="B9" s="157"/>
      <c r="C9" s="157"/>
      <c r="D9" s="157"/>
      <c r="E9" s="103" t="s">
        <v>301</v>
      </c>
      <c r="F9" s="103"/>
      <c r="G9" s="103"/>
      <c r="H9" s="103"/>
      <c r="K9" s="53"/>
      <c r="L9" s="54"/>
      <c r="M9" s="54"/>
      <c r="N9" s="54"/>
      <c r="O9" s="54" t="s">
        <v>248</v>
      </c>
      <c r="P9" s="54"/>
    </row>
    <row r="10" spans="1:26" x14ac:dyDescent="0.25">
      <c r="A10" s="157" t="s">
        <v>163</v>
      </c>
      <c r="B10" s="157"/>
      <c r="C10" s="157"/>
      <c r="D10" s="157"/>
      <c r="E10" s="157" t="s">
        <v>302</v>
      </c>
      <c r="F10" s="157"/>
      <c r="G10" s="157"/>
      <c r="H10" s="157"/>
      <c r="K10" s="53"/>
      <c r="L10" s="54"/>
      <c r="M10" s="54"/>
      <c r="N10" s="54"/>
      <c r="O10" s="54"/>
      <c r="P10" s="54"/>
    </row>
    <row r="11" spans="1:26" x14ac:dyDescent="0.25">
      <c r="A11" s="157" t="s">
        <v>164</v>
      </c>
      <c r="B11" s="157"/>
      <c r="C11" s="157"/>
      <c r="D11" s="157"/>
      <c r="E11" s="157" t="s">
        <v>366</v>
      </c>
      <c r="F11" s="157"/>
      <c r="G11" s="157"/>
      <c r="H11" s="157"/>
    </row>
    <row r="12" spans="1:26" x14ac:dyDescent="0.25">
      <c r="A12" s="157" t="s">
        <v>7</v>
      </c>
      <c r="B12" s="157"/>
      <c r="C12" s="157"/>
      <c r="D12" s="157"/>
      <c r="E12" s="157" t="s">
        <v>320</v>
      </c>
      <c r="F12" s="157"/>
      <c r="G12" s="157"/>
      <c r="H12" s="157"/>
    </row>
    <row r="13" spans="1:26" x14ac:dyDescent="0.25">
      <c r="A13" s="157" t="s">
        <v>167</v>
      </c>
      <c r="B13" s="157"/>
      <c r="C13" s="157"/>
      <c r="D13" s="157"/>
      <c r="E13" s="157" t="s">
        <v>28</v>
      </c>
      <c r="F13" s="157"/>
      <c r="G13" s="157"/>
      <c r="H13" s="157"/>
      <c r="S13" s="54" t="s">
        <v>175</v>
      </c>
      <c r="T13" s="54" t="s">
        <v>185</v>
      </c>
      <c r="U13" s="54" t="s">
        <v>168</v>
      </c>
      <c r="V13" s="54" t="s">
        <v>190</v>
      </c>
      <c r="W13" s="54" t="s">
        <v>208</v>
      </c>
      <c r="X13"/>
      <c r="Y13" t="s">
        <v>190</v>
      </c>
      <c r="Z13" t="e">
        <f ca="1">OFFSET($S$13,1,MATCH($G20,$S$13:$W$13,0)-1,15,1)</f>
        <v>#VALUE!</v>
      </c>
    </row>
    <row r="14" spans="1:26" ht="31.5" customHeight="1" x14ac:dyDescent="0.25">
      <c r="A14" s="140" t="s">
        <v>275</v>
      </c>
      <c r="B14" s="140"/>
      <c r="C14" s="140"/>
      <c r="D14" s="140"/>
      <c r="E14" s="156" t="s">
        <v>356</v>
      </c>
      <c r="F14" s="156"/>
      <c r="G14" s="156"/>
      <c r="H14" s="156"/>
      <c r="S14" s="54" t="s">
        <v>176</v>
      </c>
      <c r="T14" s="54" t="s">
        <v>183</v>
      </c>
      <c r="U14" s="54" t="s">
        <v>205</v>
      </c>
      <c r="V14" s="54" t="s">
        <v>191</v>
      </c>
      <c r="W14" s="54" t="s">
        <v>209</v>
      </c>
      <c r="X14"/>
      <c r="Y14"/>
      <c r="Z14"/>
    </row>
    <row r="15" spans="1:26" x14ac:dyDescent="0.25">
      <c r="A15" s="140" t="s">
        <v>8</v>
      </c>
      <c r="B15" s="140"/>
      <c r="C15" s="140"/>
      <c r="D15" s="140"/>
      <c r="E15" s="156" t="s">
        <v>303</v>
      </c>
      <c r="F15" s="157"/>
      <c r="G15" s="157"/>
      <c r="H15" s="157"/>
      <c r="I15" s="135" t="e">
        <f ca="1">OFFSET($D$5,1,MATCH($J13,$D$5:$H$5,0)-1,15,1)</f>
        <v>#N/A</v>
      </c>
      <c r="J15" s="136"/>
      <c r="K15" s="136"/>
      <c r="L15" s="136"/>
      <c r="M15" s="136"/>
      <c r="N15" s="136"/>
      <c r="O15" s="136"/>
      <c r="P15" s="136"/>
      <c r="S15" s="54" t="s">
        <v>177</v>
      </c>
      <c r="T15" s="54" t="s">
        <v>184</v>
      </c>
      <c r="U15" s="54" t="s">
        <v>206</v>
      </c>
      <c r="V15" s="54" t="s">
        <v>192</v>
      </c>
      <c r="W15" s="54" t="s">
        <v>222</v>
      </c>
      <c r="X15"/>
      <c r="Y15"/>
      <c r="Z15"/>
    </row>
    <row r="16" spans="1:26" ht="48.75" customHeight="1" x14ac:dyDescent="0.25">
      <c r="A16" s="156" t="s">
        <v>9</v>
      </c>
      <c r="B16" s="156"/>
      <c r="C16" s="156" t="str">
        <f>CONCATENATE((IF(OR(E9="",E9="NA"),"",E9)),", ",(IF(OR(A17="",A17="NA"),"",A17)),".",(IF(OR(C17="",C17="NA"),"",C17)),", near ",(IF(OR(C22="",C22="NA"),"",C22)),", ",(IF(OR(C19="",C19="NA"),"",C19)),", ",(IF(OR(C18="",C18="NA"),"",C18)),", ",(IF(OR(G19="",G19="NA"),"",G19)),", ",(IF(OR(C20="",C20="NA"),"",C20)),", ",(IF(OR(C21="",C21="NA"),"",C21)),", ",(IF(OR(G20="",G20="NA"),"",G20))," - ",(IF(OR(G21="",G21="NA"),"",G21)),".")</f>
        <v>Commanders Heera Siddhi Homes Phase III, Gut No.16, Hissa No. 02, near Vista Harmony, Savroli - Kharpada Road, Karade, Karade Khurd, Rasayani, Panvel, Raigad - 410220.</v>
      </c>
      <c r="D16" s="156"/>
      <c r="E16" s="156"/>
      <c r="F16" s="156"/>
      <c r="G16" s="156"/>
      <c r="H16" s="156"/>
      <c r="S16" s="54" t="s">
        <v>178</v>
      </c>
      <c r="T16" s="54" t="s">
        <v>186</v>
      </c>
      <c r="U16" s="54" t="s">
        <v>207</v>
      </c>
      <c r="V16" s="54" t="s">
        <v>193</v>
      </c>
      <c r="W16" s="54" t="s">
        <v>210</v>
      </c>
      <c r="X16"/>
      <c r="Y16"/>
      <c r="Z16"/>
    </row>
    <row r="17" spans="1:26" x14ac:dyDescent="0.25">
      <c r="A17" s="156" t="s">
        <v>305</v>
      </c>
      <c r="B17" s="156"/>
      <c r="C17" s="156" t="s">
        <v>304</v>
      </c>
      <c r="D17" s="156"/>
      <c r="E17" s="156"/>
      <c r="F17" s="156"/>
      <c r="G17" s="156"/>
      <c r="H17" s="156"/>
      <c r="S17" s="54" t="s">
        <v>179</v>
      </c>
      <c r="T17" s="54" t="s">
        <v>187</v>
      </c>
      <c r="U17" s="54" t="s">
        <v>168</v>
      </c>
      <c r="V17" s="54" t="s">
        <v>194</v>
      </c>
      <c r="W17" s="54" t="s">
        <v>211</v>
      </c>
      <c r="X17"/>
      <c r="Y17"/>
      <c r="Z17"/>
    </row>
    <row r="18" spans="1:26" ht="15.75" customHeight="1" x14ac:dyDescent="0.25">
      <c r="A18" s="156" t="s">
        <v>158</v>
      </c>
      <c r="B18" s="156"/>
      <c r="C18" s="156" t="s">
        <v>307</v>
      </c>
      <c r="D18" s="156"/>
      <c r="E18" s="156"/>
      <c r="F18" s="156"/>
      <c r="G18" s="156"/>
      <c r="H18" s="156"/>
      <c r="S18" s="54" t="s">
        <v>180</v>
      </c>
      <c r="T18" s="54" t="s">
        <v>185</v>
      </c>
      <c r="U18" s="54"/>
      <c r="V18" s="54" t="s">
        <v>195</v>
      </c>
      <c r="W18" s="54" t="s">
        <v>212</v>
      </c>
      <c r="X18"/>
      <c r="Y18"/>
      <c r="Z18"/>
    </row>
    <row r="19" spans="1:26" ht="15.75" customHeight="1" x14ac:dyDescent="0.25">
      <c r="A19" s="134" t="s">
        <v>10</v>
      </c>
      <c r="B19" s="134"/>
      <c r="C19" s="157" t="s">
        <v>308</v>
      </c>
      <c r="D19" s="157"/>
      <c r="E19" s="134" t="s">
        <v>70</v>
      </c>
      <c r="F19" s="134"/>
      <c r="G19" s="156" t="s">
        <v>306</v>
      </c>
      <c r="H19" s="156"/>
      <c r="S19" s="54" t="s">
        <v>181</v>
      </c>
      <c r="T19" s="54" t="s">
        <v>188</v>
      </c>
      <c r="U19" s="54"/>
      <c r="V19" s="54" t="s">
        <v>196</v>
      </c>
      <c r="W19" s="54" t="s">
        <v>213</v>
      </c>
      <c r="X19"/>
      <c r="Y19"/>
      <c r="Z19"/>
    </row>
    <row r="20" spans="1:26" x14ac:dyDescent="0.25">
      <c r="A20" s="140" t="s">
        <v>12</v>
      </c>
      <c r="B20" s="140"/>
      <c r="C20" s="156" t="s">
        <v>309</v>
      </c>
      <c r="D20" s="156"/>
      <c r="E20" s="156" t="s">
        <v>11</v>
      </c>
      <c r="F20" s="156"/>
      <c r="G20" s="202" t="s">
        <v>190</v>
      </c>
      <c r="H20" s="202"/>
      <c r="S20" s="54" t="s">
        <v>182</v>
      </c>
      <c r="T20" s="54" t="s">
        <v>189</v>
      </c>
      <c r="U20" s="54"/>
      <c r="V20" s="54" t="s">
        <v>197</v>
      </c>
      <c r="W20" s="54" t="s">
        <v>214</v>
      </c>
      <c r="X20"/>
      <c r="Y20"/>
      <c r="Z20"/>
    </row>
    <row r="21" spans="1:26" x14ac:dyDescent="0.25">
      <c r="A21" s="140" t="s">
        <v>71</v>
      </c>
      <c r="B21" s="140"/>
      <c r="C21" s="156" t="s">
        <v>192</v>
      </c>
      <c r="D21" s="156"/>
      <c r="E21" s="156" t="s">
        <v>13</v>
      </c>
      <c r="F21" s="156"/>
      <c r="G21" s="156">
        <v>410220</v>
      </c>
      <c r="H21" s="156"/>
      <c r="S21" s="54"/>
      <c r="T21" s="54"/>
      <c r="U21" s="54"/>
      <c r="V21" s="54" t="s">
        <v>198</v>
      </c>
      <c r="W21" s="54" t="s">
        <v>215</v>
      </c>
      <c r="X21"/>
      <c r="Y21"/>
      <c r="Z21"/>
    </row>
    <row r="22" spans="1:26" ht="32.25" customHeight="1" x14ac:dyDescent="0.25">
      <c r="A22" s="140" t="s">
        <v>118</v>
      </c>
      <c r="B22" s="140"/>
      <c r="C22" s="156" t="s">
        <v>310</v>
      </c>
      <c r="D22" s="156"/>
      <c r="E22" s="156" t="s">
        <v>14</v>
      </c>
      <c r="F22" s="156"/>
      <c r="G22" s="156" t="s">
        <v>357</v>
      </c>
      <c r="H22" s="156"/>
      <c r="S22" s="54"/>
      <c r="T22" s="54"/>
      <c r="U22" s="54"/>
      <c r="V22" s="54" t="s">
        <v>199</v>
      </c>
      <c r="W22" s="54" t="s">
        <v>216</v>
      </c>
      <c r="X22"/>
      <c r="Y22"/>
      <c r="Z22"/>
    </row>
    <row r="23" spans="1:26" ht="15" customHeight="1" x14ac:dyDescent="0.25">
      <c r="A23" s="134" t="s">
        <v>73</v>
      </c>
      <c r="B23" s="134"/>
      <c r="C23" s="134"/>
      <c r="D23" s="134"/>
      <c r="E23" s="157" t="s">
        <v>15</v>
      </c>
      <c r="F23" s="157"/>
      <c r="G23" s="157"/>
      <c r="H23" s="157"/>
      <c r="S23" s="54"/>
      <c r="T23" s="54"/>
      <c r="U23" s="54"/>
      <c r="V23" s="54" t="s">
        <v>200</v>
      </c>
      <c r="W23" s="54" t="s">
        <v>217</v>
      </c>
      <c r="X23"/>
      <c r="Y23"/>
      <c r="Z23"/>
    </row>
    <row r="24" spans="1:26" ht="18.75" customHeight="1" x14ac:dyDescent="0.25">
      <c r="A24" s="134"/>
      <c r="B24" s="134"/>
      <c r="C24" s="134"/>
      <c r="D24" s="134"/>
      <c r="E24" s="157"/>
      <c r="F24" s="157"/>
      <c r="G24" s="157"/>
      <c r="H24" s="157"/>
      <c r="S24" s="54"/>
      <c r="T24" s="54"/>
      <c r="U24" s="54"/>
      <c r="V24" s="54" t="s">
        <v>201</v>
      </c>
      <c r="W24" s="54" t="s">
        <v>218</v>
      </c>
      <c r="X24"/>
      <c r="Y24"/>
      <c r="Z24"/>
    </row>
    <row r="25" spans="1:26" ht="15" customHeight="1" x14ac:dyDescent="0.25">
      <c r="A25" s="134" t="s">
        <v>16</v>
      </c>
      <c r="B25" s="134"/>
      <c r="C25" s="134"/>
      <c r="D25" s="134"/>
      <c r="E25" s="156" t="s">
        <v>17</v>
      </c>
      <c r="F25" s="156"/>
      <c r="G25" s="156"/>
      <c r="H25" s="156"/>
      <c r="S25" s="54"/>
      <c r="T25" s="54"/>
      <c r="U25" s="54"/>
      <c r="V25" s="54" t="s">
        <v>202</v>
      </c>
      <c r="W25" s="54" t="s">
        <v>219</v>
      </c>
      <c r="X25"/>
      <c r="Y25"/>
      <c r="Z25"/>
    </row>
    <row r="26" spans="1:26" ht="15" customHeight="1" x14ac:dyDescent="0.25">
      <c r="A26" s="140" t="s">
        <v>18</v>
      </c>
      <c r="B26" s="140"/>
      <c r="C26" s="140"/>
      <c r="D26" s="140"/>
      <c r="E26" s="156" t="str">
        <f>IF(AND(G20="Mumbai"),"Upper Class","Middle Class")</f>
        <v>Middle Class</v>
      </c>
      <c r="F26" s="156"/>
      <c r="G26" s="156"/>
      <c r="H26" s="156"/>
      <c r="S26" s="54"/>
      <c r="T26" s="54"/>
      <c r="U26" s="54"/>
      <c r="V26" s="54" t="s">
        <v>203</v>
      </c>
      <c r="W26" s="54" t="s">
        <v>220</v>
      </c>
      <c r="X26"/>
      <c r="Y26"/>
      <c r="Z26"/>
    </row>
    <row r="27" spans="1:26" x14ac:dyDescent="0.25">
      <c r="A27" s="140" t="s">
        <v>19</v>
      </c>
      <c r="B27" s="140"/>
      <c r="C27" s="140"/>
      <c r="D27" s="140"/>
      <c r="E27" s="156" t="s">
        <v>20</v>
      </c>
      <c r="F27" s="156"/>
      <c r="G27" s="156"/>
      <c r="H27" s="156"/>
      <c r="S27" s="54"/>
      <c r="T27" s="54"/>
      <c r="U27" s="54"/>
      <c r="V27" s="54" t="s">
        <v>204</v>
      </c>
      <c r="W27" s="54" t="s">
        <v>221</v>
      </c>
      <c r="X27"/>
      <c r="Y27"/>
      <c r="Z27"/>
    </row>
    <row r="28" spans="1:26" ht="15.75" customHeight="1" x14ac:dyDescent="0.25">
      <c r="A28" s="140" t="s">
        <v>21</v>
      </c>
      <c r="B28" s="140"/>
      <c r="C28" s="140"/>
      <c r="D28" s="140"/>
      <c r="E28" s="156" t="str">
        <f>IF(AND(G20="Mumbai"),"Developed","Developing")</f>
        <v>Developing</v>
      </c>
      <c r="F28" s="156"/>
      <c r="G28" s="156"/>
      <c r="H28" s="156"/>
    </row>
    <row r="29" spans="1:26" x14ac:dyDescent="0.25">
      <c r="A29" s="140" t="s">
        <v>22</v>
      </c>
      <c r="B29" s="140"/>
      <c r="C29" s="140"/>
      <c r="D29" s="140"/>
      <c r="E29" s="156" t="s">
        <v>23</v>
      </c>
      <c r="F29" s="156"/>
      <c r="G29" s="156"/>
      <c r="H29" s="156"/>
    </row>
    <row r="30" spans="1:26" ht="15.75" customHeight="1" x14ac:dyDescent="0.25">
      <c r="A30" s="140" t="s">
        <v>78</v>
      </c>
      <c r="B30" s="140"/>
      <c r="C30" s="140"/>
      <c r="D30" s="140"/>
      <c r="E30" s="156" t="s">
        <v>79</v>
      </c>
      <c r="F30" s="156"/>
      <c r="G30" s="156"/>
      <c r="H30" s="156"/>
    </row>
    <row r="31" spans="1:26" ht="15" customHeight="1" x14ac:dyDescent="0.25">
      <c r="A31" s="140" t="s">
        <v>30</v>
      </c>
      <c r="B31" s="140"/>
      <c r="C31" s="140"/>
      <c r="D31" s="140"/>
      <c r="E31" s="156"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56"/>
      <c r="G31" s="156"/>
      <c r="H31" s="156"/>
    </row>
    <row r="32" spans="1:26" ht="15.75" customHeight="1" x14ac:dyDescent="0.25">
      <c r="A32" s="140" t="s">
        <v>90</v>
      </c>
      <c r="B32" s="140"/>
      <c r="C32" s="140"/>
      <c r="D32" s="140"/>
      <c r="E32" s="156" t="s">
        <v>31</v>
      </c>
      <c r="F32" s="156"/>
      <c r="G32" s="156"/>
      <c r="H32" s="156"/>
    </row>
    <row r="33" spans="1:19" s="22" customFormat="1" x14ac:dyDescent="0.25">
      <c r="A33" s="207" t="s">
        <v>91</v>
      </c>
      <c r="B33" s="207"/>
      <c r="C33" s="204" t="s">
        <v>169</v>
      </c>
      <c r="D33" s="205"/>
      <c r="E33" s="206"/>
      <c r="F33" s="204" t="s">
        <v>29</v>
      </c>
      <c r="G33" s="205"/>
      <c r="H33" s="206"/>
      <c r="S33" s="22" t="e">
        <f ca="1">OFFSET($S$13,1,MATCH($G20,$S$13:$W$13,0)-1,15,1)</f>
        <v>#VALUE!</v>
      </c>
    </row>
    <row r="34" spans="1:19" s="22" customFormat="1" x14ac:dyDescent="0.25">
      <c r="A34" s="203" t="s">
        <v>24</v>
      </c>
      <c r="B34" s="203" t="s">
        <v>28</v>
      </c>
      <c r="C34" s="199" t="s">
        <v>311</v>
      </c>
      <c r="D34" s="200"/>
      <c r="E34" s="201"/>
      <c r="F34" s="199" t="s">
        <v>314</v>
      </c>
      <c r="G34" s="200"/>
      <c r="H34" s="201"/>
    </row>
    <row r="35" spans="1:19" x14ac:dyDescent="0.25">
      <c r="A35" s="203" t="s">
        <v>25</v>
      </c>
      <c r="B35" s="203" t="s">
        <v>28</v>
      </c>
      <c r="C35" s="199" t="s">
        <v>313</v>
      </c>
      <c r="D35" s="200"/>
      <c r="E35" s="201"/>
      <c r="F35" s="199" t="s">
        <v>313</v>
      </c>
      <c r="G35" s="200"/>
      <c r="H35" s="201"/>
    </row>
    <row r="36" spans="1:19" s="22" customFormat="1" x14ac:dyDescent="0.25">
      <c r="A36" s="203" t="s">
        <v>27</v>
      </c>
      <c r="B36" s="203" t="s">
        <v>28</v>
      </c>
      <c r="C36" s="199" t="s">
        <v>312</v>
      </c>
      <c r="D36" s="200"/>
      <c r="E36" s="201"/>
      <c r="F36" s="199" t="s">
        <v>315</v>
      </c>
      <c r="G36" s="200"/>
      <c r="H36" s="201"/>
    </row>
    <row r="37" spans="1:19" x14ac:dyDescent="0.25">
      <c r="A37" s="203" t="s">
        <v>26</v>
      </c>
      <c r="B37" s="203" t="s">
        <v>28</v>
      </c>
      <c r="C37" s="199" t="s">
        <v>312</v>
      </c>
      <c r="D37" s="200"/>
      <c r="E37" s="201"/>
      <c r="F37" s="199" t="s">
        <v>315</v>
      </c>
      <c r="G37" s="200"/>
      <c r="H37" s="201"/>
    </row>
    <row r="38" spans="1:19" x14ac:dyDescent="0.25">
      <c r="A38" s="140" t="s">
        <v>276</v>
      </c>
      <c r="B38" s="140"/>
      <c r="C38" s="140"/>
      <c r="D38" s="140"/>
      <c r="E38" s="140"/>
      <c r="F38" s="140"/>
      <c r="G38" s="140"/>
      <c r="H38" s="140"/>
    </row>
    <row r="39" spans="1:19" ht="15.75" customHeight="1" x14ac:dyDescent="0.25">
      <c r="A39" s="140" t="s">
        <v>161</v>
      </c>
      <c r="B39" s="140"/>
      <c r="C39" s="191" t="s">
        <v>298</v>
      </c>
      <c r="D39" s="191"/>
      <c r="E39" s="191"/>
      <c r="F39" s="191"/>
      <c r="G39" s="191"/>
      <c r="H39" s="191"/>
    </row>
    <row r="40" spans="1:19" x14ac:dyDescent="0.25">
      <c r="A40" s="140" t="s">
        <v>157</v>
      </c>
      <c r="B40" s="140"/>
      <c r="C40" s="216" t="s">
        <v>299</v>
      </c>
      <c r="D40" s="156"/>
      <c r="E40" s="156"/>
      <c r="F40" s="156"/>
      <c r="G40" s="156"/>
      <c r="H40" s="156"/>
    </row>
    <row r="41" spans="1:19" x14ac:dyDescent="0.25">
      <c r="A41" s="191" t="s">
        <v>32</v>
      </c>
      <c r="B41" s="191"/>
      <c r="C41" s="191"/>
      <c r="D41" s="191"/>
      <c r="E41" s="191"/>
      <c r="F41" s="191"/>
      <c r="G41" s="191"/>
      <c r="H41" s="191"/>
    </row>
    <row r="42" spans="1:19" x14ac:dyDescent="0.25">
      <c r="A42" s="140" t="s">
        <v>33</v>
      </c>
      <c r="B42" s="140"/>
      <c r="C42" s="140"/>
      <c r="D42" s="140"/>
      <c r="E42" s="208">
        <v>12507.172</v>
      </c>
      <c r="F42" s="208"/>
      <c r="G42" s="208"/>
      <c r="H42" s="208"/>
    </row>
    <row r="43" spans="1:19" x14ac:dyDescent="0.25">
      <c r="A43" s="140" t="s">
        <v>34</v>
      </c>
      <c r="B43" s="140"/>
      <c r="C43" s="140"/>
      <c r="D43" s="140"/>
      <c r="E43" s="147">
        <f>15008.606/E42</f>
        <v>1.1999999680183497</v>
      </c>
      <c r="F43" s="147"/>
      <c r="G43" s="147"/>
      <c r="H43" s="147"/>
    </row>
    <row r="44" spans="1:19" x14ac:dyDescent="0.25">
      <c r="A44" s="140" t="s">
        <v>35</v>
      </c>
      <c r="B44" s="140"/>
      <c r="C44" s="140"/>
      <c r="D44" s="140"/>
      <c r="E44" s="147">
        <f>E46/E42-E43</f>
        <v>0.20724772954269755</v>
      </c>
      <c r="F44" s="147"/>
      <c r="G44" s="147"/>
      <c r="H44" s="147"/>
    </row>
    <row r="45" spans="1:19" x14ac:dyDescent="0.25">
      <c r="A45" s="140" t="s">
        <v>36</v>
      </c>
      <c r="B45" s="140"/>
      <c r="C45" s="140"/>
      <c r="D45" s="140"/>
      <c r="E45" s="147">
        <f>E43+E44</f>
        <v>1.4072476975610473</v>
      </c>
      <c r="F45" s="147"/>
      <c r="G45" s="147"/>
      <c r="H45" s="147"/>
      <c r="I45" s="63">
        <f>E46/E42</f>
        <v>1.4072476975610473</v>
      </c>
    </row>
    <row r="46" spans="1:19" x14ac:dyDescent="0.25">
      <c r="A46" s="140" t="s">
        <v>89</v>
      </c>
      <c r="B46" s="140"/>
      <c r="C46" s="140"/>
      <c r="D46" s="140"/>
      <c r="E46" s="211">
        <v>17600.688999999998</v>
      </c>
      <c r="F46" s="211"/>
      <c r="G46" s="211"/>
      <c r="H46" s="211"/>
    </row>
    <row r="47" spans="1:19" x14ac:dyDescent="0.25">
      <c r="A47" s="157" t="s">
        <v>37</v>
      </c>
      <c r="B47" s="157"/>
      <c r="C47" s="157"/>
      <c r="D47" s="157"/>
      <c r="E47" s="157" t="s">
        <v>321</v>
      </c>
      <c r="F47" s="157"/>
      <c r="G47" s="157"/>
      <c r="H47" s="157"/>
    </row>
    <row r="48" spans="1:19" x14ac:dyDescent="0.25">
      <c r="A48" s="191" t="s">
        <v>38</v>
      </c>
      <c r="B48" s="191"/>
      <c r="C48" s="191"/>
      <c r="D48" s="191"/>
      <c r="E48" s="191"/>
      <c r="F48" s="191"/>
      <c r="G48" s="191"/>
      <c r="H48" s="191"/>
    </row>
    <row r="49" spans="1:24" ht="33.75" customHeight="1" x14ac:dyDescent="0.25">
      <c r="A49" s="151" t="s">
        <v>147</v>
      </c>
      <c r="B49" s="152"/>
      <c r="C49" s="220" t="s">
        <v>293</v>
      </c>
      <c r="D49" s="221"/>
      <c r="E49" s="221"/>
      <c r="F49" s="221"/>
      <c r="G49" s="221"/>
      <c r="H49" s="222"/>
      <c r="R49" t="s">
        <v>249</v>
      </c>
      <c r="S49" t="s">
        <v>168</v>
      </c>
      <c r="T49" t="s">
        <v>175</v>
      </c>
      <c r="U49" t="s">
        <v>190</v>
      </c>
      <c r="V49" t="s">
        <v>185</v>
      </c>
    </row>
    <row r="50" spans="1:24" ht="15.75" customHeight="1" x14ac:dyDescent="0.25">
      <c r="A50" s="151" t="s">
        <v>39</v>
      </c>
      <c r="B50" s="152"/>
      <c r="C50" s="151" t="s">
        <v>316</v>
      </c>
      <c r="D50" s="153"/>
      <c r="E50" s="152"/>
      <c r="F50" s="18" t="s">
        <v>40</v>
      </c>
      <c r="G50" s="154">
        <v>43760</v>
      </c>
      <c r="H50" s="152"/>
      <c r="R50"/>
      <c r="S50" t="s">
        <v>250</v>
      </c>
      <c r="T50" t="s">
        <v>255</v>
      </c>
      <c r="U50" t="s">
        <v>266</v>
      </c>
      <c r="V50" t="s">
        <v>271</v>
      </c>
    </row>
    <row r="51" spans="1:24" x14ac:dyDescent="0.25">
      <c r="A51" s="151" t="s">
        <v>41</v>
      </c>
      <c r="B51" s="152"/>
      <c r="C51" s="151" t="str">
        <f>C50</f>
        <v>MS/LNA-1/S.R./236/2018</v>
      </c>
      <c r="D51" s="153"/>
      <c r="E51" s="152"/>
      <c r="F51" s="18" t="s">
        <v>40</v>
      </c>
      <c r="G51" s="154">
        <f>G50</f>
        <v>43760</v>
      </c>
      <c r="H51" s="152"/>
      <c r="R51"/>
      <c r="S51" t="s">
        <v>251</v>
      </c>
      <c r="T51" t="s">
        <v>256</v>
      </c>
      <c r="U51" t="s">
        <v>264</v>
      </c>
      <c r="V51" t="s">
        <v>272</v>
      </c>
    </row>
    <row r="52" spans="1:24" s="23" customFormat="1" ht="15.75" customHeight="1" x14ac:dyDescent="0.25">
      <c r="A52" s="164" t="s">
        <v>318</v>
      </c>
      <c r="B52" s="165"/>
      <c r="C52" s="151" t="s">
        <v>317</v>
      </c>
      <c r="D52" s="153"/>
      <c r="E52" s="152"/>
      <c r="F52" s="18" t="s">
        <v>40</v>
      </c>
      <c r="G52" s="154">
        <f>G51</f>
        <v>43760</v>
      </c>
      <c r="H52" s="152"/>
      <c r="R52"/>
      <c r="S52" t="s">
        <v>252</v>
      </c>
      <c r="T52" t="s">
        <v>257</v>
      </c>
      <c r="U52" t="s">
        <v>254</v>
      </c>
      <c r="V52" t="s">
        <v>273</v>
      </c>
    </row>
    <row r="53" spans="1:24" s="23" customFormat="1" ht="33.75" customHeight="1" x14ac:dyDescent="0.25">
      <c r="A53" s="166"/>
      <c r="B53" s="167"/>
      <c r="C53" s="151" t="s">
        <v>319</v>
      </c>
      <c r="D53" s="153"/>
      <c r="E53" s="153"/>
      <c r="F53" s="153"/>
      <c r="G53" s="153"/>
      <c r="H53" s="152"/>
      <c r="R53"/>
      <c r="S53" t="s">
        <v>253</v>
      </c>
      <c r="T53" t="s">
        <v>260</v>
      </c>
      <c r="U53" t="s">
        <v>267</v>
      </c>
    </row>
    <row r="54" spans="1:24" s="23" customFormat="1" ht="29.25" hidden="1" customHeight="1" x14ac:dyDescent="0.25">
      <c r="A54" s="160" t="s">
        <v>277</v>
      </c>
      <c r="B54" s="161"/>
      <c r="C54" s="151" t="str">
        <f>C53</f>
        <v>Wing B5 to B12 = Ground + 1st to 7th Floor
Built Up Area = 176000.689 Sqm</v>
      </c>
      <c r="D54" s="153"/>
      <c r="E54" s="152"/>
      <c r="F54" s="18" t="s">
        <v>40</v>
      </c>
      <c r="G54" s="151"/>
      <c r="H54" s="152"/>
      <c r="R54"/>
      <c r="S54" t="s">
        <v>252</v>
      </c>
      <c r="T54" t="s">
        <v>257</v>
      </c>
      <c r="U54" t="s">
        <v>254</v>
      </c>
      <c r="V54" t="s">
        <v>273</v>
      </c>
    </row>
    <row r="55" spans="1:24" s="23" customFormat="1" ht="32.25" hidden="1" customHeight="1" x14ac:dyDescent="0.25">
      <c r="A55" s="162"/>
      <c r="B55" s="163"/>
      <c r="C55" s="217"/>
      <c r="D55" s="218"/>
      <c r="E55" s="218"/>
      <c r="F55" s="218"/>
      <c r="G55" s="218"/>
      <c r="H55" s="219"/>
      <c r="R55"/>
      <c r="S55" t="s">
        <v>254</v>
      </c>
      <c r="T55" t="s">
        <v>258</v>
      </c>
      <c r="U55" t="s">
        <v>268</v>
      </c>
      <c r="V55" s="21"/>
      <c r="W55" s="21"/>
      <c r="X55" s="21"/>
    </row>
    <row r="56" spans="1:24" s="23" customFormat="1" ht="34.5" hidden="1" customHeight="1" x14ac:dyDescent="0.25">
      <c r="A56" s="160" t="s">
        <v>278</v>
      </c>
      <c r="B56" s="161"/>
      <c r="C56" s="151">
        <f>C55</f>
        <v>0</v>
      </c>
      <c r="D56" s="153"/>
      <c r="E56" s="152"/>
      <c r="F56" s="18" t="s">
        <v>40</v>
      </c>
      <c r="G56" s="151">
        <f>G55</f>
        <v>0</v>
      </c>
      <c r="H56" s="152"/>
      <c r="R56"/>
      <c r="S56" s="21"/>
      <c r="T56" t="s">
        <v>259</v>
      </c>
      <c r="U56" t="s">
        <v>269</v>
      </c>
      <c r="V56" s="21"/>
      <c r="W56" s="21"/>
      <c r="X56" s="21"/>
    </row>
    <row r="57" spans="1:24" s="23" customFormat="1" ht="41.25" hidden="1" customHeight="1" x14ac:dyDescent="0.25">
      <c r="A57" s="162"/>
      <c r="B57" s="163"/>
      <c r="C57" s="151"/>
      <c r="D57" s="153"/>
      <c r="E57" s="153"/>
      <c r="F57" s="153"/>
      <c r="G57" s="153"/>
      <c r="H57" s="152"/>
      <c r="R57"/>
      <c r="S57" s="21"/>
      <c r="T57" t="s">
        <v>261</v>
      </c>
      <c r="U57" t="s">
        <v>270</v>
      </c>
      <c r="V57" s="21"/>
      <c r="W57" s="21"/>
      <c r="X57" s="21"/>
    </row>
    <row r="58" spans="1:24" s="23" customFormat="1" ht="15.75" hidden="1" customHeight="1" x14ac:dyDescent="0.25">
      <c r="A58" s="160" t="s">
        <v>279</v>
      </c>
      <c r="B58" s="161"/>
      <c r="C58" s="151">
        <f>C57</f>
        <v>0</v>
      </c>
      <c r="D58" s="153"/>
      <c r="E58" s="152"/>
      <c r="F58" s="18" t="s">
        <v>40</v>
      </c>
      <c r="G58" s="151">
        <f>G57</f>
        <v>0</v>
      </c>
      <c r="H58" s="152"/>
      <c r="R58"/>
      <c r="S58" s="21"/>
      <c r="T58" t="s">
        <v>262</v>
      </c>
      <c r="U58" s="21" t="s">
        <v>293</v>
      </c>
      <c r="V58" s="21"/>
      <c r="W58" s="21"/>
      <c r="X58" s="21"/>
    </row>
    <row r="59" spans="1:24" s="23" customFormat="1" ht="33.75" hidden="1" customHeight="1" x14ac:dyDescent="0.25">
      <c r="A59" s="162"/>
      <c r="B59" s="163"/>
      <c r="C59" s="151"/>
      <c r="D59" s="153"/>
      <c r="E59" s="153"/>
      <c r="F59" s="153"/>
      <c r="G59" s="153"/>
      <c r="H59" s="152"/>
      <c r="R59"/>
      <c r="S59" s="21"/>
      <c r="T59" t="s">
        <v>263</v>
      </c>
      <c r="U59" s="21"/>
      <c r="V59" s="21"/>
      <c r="W59" s="21"/>
      <c r="X59" s="21"/>
    </row>
    <row r="60" spans="1:24" x14ac:dyDescent="0.25">
      <c r="A60" s="141" t="s">
        <v>42</v>
      </c>
      <c r="B60" s="142"/>
      <c r="C60" s="141" t="s">
        <v>103</v>
      </c>
      <c r="D60" s="143"/>
      <c r="E60" s="142"/>
      <c r="F60" s="45" t="s">
        <v>40</v>
      </c>
      <c r="G60" s="158" t="s">
        <v>28</v>
      </c>
      <c r="H60" s="159"/>
      <c r="R60"/>
      <c r="T60" t="s">
        <v>265</v>
      </c>
    </row>
    <row r="61" spans="1:24" x14ac:dyDescent="0.25">
      <c r="A61" s="155" t="s">
        <v>44</v>
      </c>
      <c r="B61" s="155"/>
      <c r="C61" s="155"/>
      <c r="D61" s="155"/>
      <c r="E61" s="155"/>
      <c r="F61" s="155"/>
      <c r="G61" s="155"/>
      <c r="H61" s="155"/>
      <c r="T61" t="s">
        <v>274</v>
      </c>
    </row>
    <row r="62" spans="1:24" x14ac:dyDescent="0.25">
      <c r="A62" s="134" t="s">
        <v>88</v>
      </c>
      <c r="B62" s="134"/>
      <c r="C62" s="134"/>
      <c r="D62" s="140">
        <f>E46</f>
        <v>17600.688999999998</v>
      </c>
      <c r="E62" s="140"/>
      <c r="F62" s="140"/>
      <c r="G62" s="140"/>
      <c r="H62" s="140"/>
      <c r="R62"/>
    </row>
    <row r="63" spans="1:24" x14ac:dyDescent="0.25">
      <c r="A63" s="156" t="s">
        <v>45</v>
      </c>
      <c r="B63" s="157"/>
      <c r="C63" s="157"/>
      <c r="D63" s="157" t="s">
        <v>355</v>
      </c>
      <c r="E63" s="157"/>
      <c r="F63" s="157"/>
      <c r="G63" s="157"/>
      <c r="H63" s="157"/>
      <c r="I63" s="24"/>
      <c r="R63"/>
    </row>
    <row r="64" spans="1:24" ht="18" customHeight="1" x14ac:dyDescent="0.25">
      <c r="A64" s="126" t="s">
        <v>46</v>
      </c>
      <c r="B64" s="127"/>
      <c r="C64" s="215"/>
      <c r="D64" s="195" t="s">
        <v>359</v>
      </c>
      <c r="E64" s="214"/>
      <c r="F64" s="214"/>
      <c r="G64" s="214"/>
      <c r="H64" s="214"/>
      <c r="R64"/>
    </row>
    <row r="65" spans="1:19" ht="15.75" customHeight="1" x14ac:dyDescent="0.25">
      <c r="A65" s="126" t="s">
        <v>86</v>
      </c>
      <c r="B65" s="127"/>
      <c r="C65" s="127"/>
      <c r="D65" s="131" t="s">
        <v>331</v>
      </c>
      <c r="E65" s="132"/>
      <c r="F65" s="132"/>
      <c r="G65" s="132"/>
      <c r="H65" s="133"/>
      <c r="R65"/>
    </row>
    <row r="66" spans="1:19" ht="15.75" customHeight="1" x14ac:dyDescent="0.25">
      <c r="A66" s="120"/>
      <c r="B66" s="128"/>
      <c r="C66" s="128"/>
      <c r="D66" s="120" t="s">
        <v>358</v>
      </c>
      <c r="E66" s="121"/>
      <c r="F66" s="121"/>
      <c r="G66" s="121"/>
      <c r="H66" s="122"/>
      <c r="R66"/>
    </row>
    <row r="67" spans="1:19" ht="15.75" hidden="1" customHeight="1" x14ac:dyDescent="0.25">
      <c r="A67" s="120"/>
      <c r="B67" s="128"/>
      <c r="C67" s="128"/>
      <c r="D67" s="120" t="s">
        <v>322</v>
      </c>
      <c r="E67" s="128"/>
      <c r="F67" s="128"/>
      <c r="G67" s="128"/>
      <c r="H67" s="130"/>
      <c r="S67"/>
    </row>
    <row r="68" spans="1:19" ht="15.75" customHeight="1" x14ac:dyDescent="0.25">
      <c r="A68" s="120"/>
      <c r="B68" s="128"/>
      <c r="C68" s="128"/>
      <c r="D68" s="120" t="s">
        <v>323</v>
      </c>
      <c r="E68" s="121"/>
      <c r="F68" s="121"/>
      <c r="G68" s="121"/>
      <c r="H68" s="122"/>
      <c r="S68"/>
    </row>
    <row r="69" spans="1:19" ht="15.75" customHeight="1" x14ac:dyDescent="0.25">
      <c r="A69" s="120"/>
      <c r="B69" s="128"/>
      <c r="C69" s="128"/>
      <c r="D69" s="120" t="s">
        <v>332</v>
      </c>
      <c r="E69" s="121"/>
      <c r="F69" s="121"/>
      <c r="G69" s="121"/>
      <c r="H69" s="122"/>
      <c r="S69"/>
    </row>
    <row r="70" spans="1:19" ht="15.75" hidden="1" customHeight="1" x14ac:dyDescent="0.25">
      <c r="A70" s="120"/>
      <c r="B70" s="128"/>
      <c r="C70" s="128"/>
      <c r="D70" s="120" t="s">
        <v>324</v>
      </c>
      <c r="E70" s="121"/>
      <c r="F70" s="121"/>
      <c r="G70" s="121"/>
      <c r="H70" s="122"/>
      <c r="S70"/>
    </row>
    <row r="71" spans="1:19" ht="15.75" hidden="1" customHeight="1" x14ac:dyDescent="0.25">
      <c r="A71" s="120"/>
      <c r="B71" s="128"/>
      <c r="C71" s="128"/>
      <c r="D71" s="120" t="s">
        <v>325</v>
      </c>
      <c r="E71" s="121"/>
      <c r="F71" s="121"/>
      <c r="G71" s="121"/>
      <c r="H71" s="122"/>
      <c r="S71"/>
    </row>
    <row r="72" spans="1:19" ht="15.75" customHeight="1" x14ac:dyDescent="0.25">
      <c r="A72" s="123"/>
      <c r="B72" s="129"/>
      <c r="C72" s="129"/>
      <c r="D72" s="123" t="s">
        <v>326</v>
      </c>
      <c r="E72" s="124"/>
      <c r="F72" s="124"/>
      <c r="G72" s="124"/>
      <c r="H72" s="125"/>
      <c r="S72"/>
    </row>
    <row r="73" spans="1:19" ht="15.75" customHeight="1" x14ac:dyDescent="0.25">
      <c r="A73" s="140" t="s">
        <v>43</v>
      </c>
      <c r="B73" s="140"/>
      <c r="C73" s="140"/>
      <c r="D73" s="209" t="s">
        <v>327</v>
      </c>
      <c r="E73" s="209"/>
      <c r="F73" s="209"/>
      <c r="G73" s="209"/>
      <c r="H73" s="209"/>
      <c r="J73" s="25"/>
      <c r="K73" s="24"/>
      <c r="N73" s="24"/>
      <c r="S73"/>
    </row>
    <row r="74" spans="1:19" ht="15.75" customHeight="1" x14ac:dyDescent="0.25">
      <c r="A74" s="140" t="s">
        <v>84</v>
      </c>
      <c r="B74" s="140"/>
      <c r="C74" s="140"/>
      <c r="D74" s="210" t="str">
        <f>(IF(G60="NA","60 Years After Completion",IF(G60&lt;&gt;"NA",""&amp;60-ROUNDDOWN((E3-G60)/360,0)&amp;" Years"," ")))</f>
        <v>60 Years After Completion</v>
      </c>
      <c r="E74" s="210"/>
      <c r="F74" s="210"/>
      <c r="G74" s="210"/>
      <c r="H74" s="210"/>
      <c r="N74" s="24"/>
      <c r="S74"/>
    </row>
    <row r="75" spans="1:19" ht="15.75" customHeight="1" x14ac:dyDescent="0.25">
      <c r="A75" s="140" t="s">
        <v>85</v>
      </c>
      <c r="B75" s="140"/>
      <c r="C75" s="140"/>
      <c r="D75" s="134" t="s">
        <v>23</v>
      </c>
      <c r="E75" s="134"/>
      <c r="F75" s="134"/>
      <c r="G75" s="134"/>
      <c r="H75" s="134"/>
      <c r="J75" s="26"/>
      <c r="K75" s="26"/>
      <c r="S75"/>
    </row>
    <row r="76" spans="1:19" ht="48" customHeight="1" x14ac:dyDescent="0.25">
      <c r="A76" s="157" t="s">
        <v>328</v>
      </c>
      <c r="B76" s="157"/>
      <c r="C76" s="157"/>
      <c r="D76" s="156" t="s">
        <v>329</v>
      </c>
      <c r="E76" s="134"/>
      <c r="F76" s="134"/>
      <c r="G76" s="134"/>
      <c r="H76" s="134"/>
      <c r="I76" s="64" t="s">
        <v>330</v>
      </c>
      <c r="S76"/>
    </row>
    <row r="77" spans="1:19" x14ac:dyDescent="0.25">
      <c r="A77" s="134" t="s">
        <v>144</v>
      </c>
      <c r="B77" s="134"/>
      <c r="C77" s="134"/>
      <c r="D77" s="134" t="s">
        <v>28</v>
      </c>
      <c r="E77" s="134"/>
      <c r="F77" s="134"/>
      <c r="G77" s="134"/>
      <c r="H77" s="134"/>
      <c r="I77" s="27"/>
      <c r="J77" s="27"/>
      <c r="K77" s="27"/>
      <c r="L77" s="27"/>
      <c r="M77" s="27"/>
      <c r="N77" s="27"/>
    </row>
    <row r="78" spans="1:19" ht="15.75" customHeight="1" x14ac:dyDescent="0.25">
      <c r="A78" s="146" t="s">
        <v>83</v>
      </c>
      <c r="B78" s="146"/>
      <c r="C78" s="146"/>
      <c r="D78" s="195" t="str">
        <f ca="1">(IF(G84&gt;95%,"Nothing",IF(G84&gt;0%,"Cement, Aggregate, Steel, etc",IF(G84=0%,"Work not yet Started"))))</f>
        <v>Cement, Aggregate, Steel, etc</v>
      </c>
      <c r="E78" s="195"/>
      <c r="F78" s="195"/>
      <c r="G78" s="195"/>
      <c r="H78" s="195"/>
      <c r="J78" s="26"/>
      <c r="S78"/>
    </row>
    <row r="79" spans="1:19" ht="33.75" customHeight="1" thickBot="1" x14ac:dyDescent="0.3">
      <c r="A79" s="194" t="s">
        <v>116</v>
      </c>
      <c r="B79" s="194"/>
      <c r="C79" s="194"/>
      <c r="D79" s="195" t="str">
        <f ca="1">(IF(D78="Nothing","Yes",IF(D78="Cement, Aggregate, Steel, etc","Under Construction",IF(D78="Work not yet Started","Work not yet Started"))))</f>
        <v>Under Construction</v>
      </c>
      <c r="E79" s="195"/>
      <c r="F79" s="195" t="str">
        <f ca="1">(IF(D78="Nothing","Yes",IF(D78="Cement, Aggregate, Steel, etc","Under Construction",IF(D78="Work not yet Started","Work not yet Started"))))</f>
        <v>Under Construction</v>
      </c>
      <c r="G79" s="195"/>
      <c r="H79" s="195"/>
      <c r="S79"/>
    </row>
    <row r="80" spans="1:19" ht="15.75" customHeight="1" x14ac:dyDescent="0.25">
      <c r="A80" s="104" t="s">
        <v>136</v>
      </c>
      <c r="B80" s="105"/>
      <c r="C80" s="106" t="str">
        <f>D65</f>
        <v>Wing B5 &amp; B7 = Ground + 1st to 7th Floor</v>
      </c>
      <c r="D80" s="107"/>
      <c r="E80" s="107"/>
      <c r="F80" s="107"/>
      <c r="G80" s="107"/>
      <c r="H80" s="108"/>
      <c r="I80" s="49" t="str">
        <f ca="1">IF(D93=100%,"All work Completed. Possession granted to the Building.",IF(D92=100%,"All work Completed, Waiting for OC",I81&amp;""&amp;I82&amp;""&amp;J81&amp;""&amp;J80&amp;" "&amp;J82))</f>
        <v xml:space="preserve">Excavation Completed, Footing work is process </v>
      </c>
      <c r="J80" s="50" t="str">
        <f ca="1">(IF(C86=(D81+F81+H81),"",IF(C86&gt;0,", RCC upto "&amp;C86&amp;" Slab","")))&amp;(IF(C87=H81,"",IF(C87&gt;0,", Brickwork upto "&amp;C87&amp;" Floor","")))&amp;(IF(C88=H81,"",IF(C88&gt;0,", Internal Plaster upto "&amp;C88&amp;" Floor","")))&amp;(IF(C89=H81,"",IF(C89&gt;0,", External Plaster upto "&amp;C89&amp;" Floor","")))&amp;(IF(C90=H81,"",IF(C90&gt;0,", Flooring upto "&amp;C90&amp;" Floor","")))&amp;(IF(C91=H81,"",IF(C91&gt;0,", Painting upto "&amp;C91&amp;" Floor","")))&amp;(IF(C92=H81,"",IF(C92&gt;0,", Finishing upto "&amp;C92&amp;" Floor","")))&amp;(IF(C93=H81,"",IF(C93&gt;0,", Possession upto "&amp;C93&amp;" Floor","")))</f>
        <v/>
      </c>
      <c r="S80"/>
    </row>
    <row r="81" spans="1:19" x14ac:dyDescent="0.25">
      <c r="A81" s="16" t="s">
        <v>138</v>
      </c>
      <c r="B81" s="47">
        <f>IF(AND(ISNUMBER(SEARCH("1B",C80))),1,IF(AND(ISNUMBER(SEARCH("2B",C80))),2,IF(AND(ISNUMBER(SEARCH("3B",C80))),3,IF(AND(ISNUMBER(SEARCH("4B",C80))),4,IF(ISNUMBER(SEARCH("5B",C80)),5,0)))))</f>
        <v>0</v>
      </c>
      <c r="C81" s="47" t="s">
        <v>69</v>
      </c>
      <c r="D81" s="47">
        <v>1</v>
      </c>
      <c r="E81" s="47" t="s">
        <v>68</v>
      </c>
      <c r="F81" s="47">
        <v>0</v>
      </c>
      <c r="G81" s="47" t="s">
        <v>77</v>
      </c>
      <c r="H81" s="17">
        <f ca="1">--TRIM(RIGHT(SUBSTITUTE(LEFT(C80,_xlfn.AGGREGATE(16,6,FIND({0,1,2,3,4,5,6,7,8,9},C80,ROW(INDIRECT("1:"&amp;LEN(C80)))),1))," ",REPT(" ",LEN(C80))),LEN(C80)))</f>
        <v>7</v>
      </c>
      <c r="I81" s="51" t="str">
        <f ca="1">IF(D84=100%,"Excavation","")&amp;IF(D85=100%,", Plinth","")&amp;IF(D86=100%,", RCC Slab","")&amp;IF(D87=100%,", Brickwork","")&amp;IF(D88=100%,", Internal Plaster","")&amp;IF(D89=100%,", External Plaster","")&amp;IF(D90=100%,", Flooring","")&amp;IF(D91=100%,", Painting","")&amp;IF(D92=100%,", Building common Amenities","")</f>
        <v>Excavation</v>
      </c>
      <c r="J81" s="52" t="str">
        <f ca="1">(IF(C84=0,"Work not yet Started.",IF(D84=25%,"Piling work in process",IF(D84=50%,"Excavation work in process",IF(D84=100%,"","0")))))&amp;(IF(C85=0%,"",IF(C85=J86,", Footing work is process",IF(C85=J87,", Footing work Completed",IF(C85=J88,", 1st Basement Completed",IF(C85=J89,", 1st &amp; 2nd Basement Completed",IF(C85=J90,", 1st to 3rd Basement Completed",IF(C85=J91,", 1st to 4th Basement Completed",IF(C85=J92,", Plinth work is process",IF(C85=J93,"","0"))))))))))</f>
        <v>, Footing work is process</v>
      </c>
      <c r="S81"/>
    </row>
    <row r="82" spans="1:19" x14ac:dyDescent="0.25">
      <c r="A82" s="102" t="s">
        <v>87</v>
      </c>
      <c r="B82" s="103"/>
      <c r="C82" s="86" t="str">
        <f ca="1">I80</f>
        <v xml:space="preserve">Excavation Completed, Footing work is process </v>
      </c>
      <c r="D82" s="86"/>
      <c r="E82" s="86"/>
      <c r="F82" s="86"/>
      <c r="G82" s="86"/>
      <c r="H82" s="87"/>
      <c r="I82" s="51" t="str">
        <f ca="1">IF(I81&lt;&gt;""," Completed","")</f>
        <v xml:space="preserve"> Completed</v>
      </c>
      <c r="J82" s="52" t="str">
        <f ca="1">IF(J80&lt;&gt;"","Completed","")</f>
        <v/>
      </c>
      <c r="S82"/>
    </row>
    <row r="83" spans="1:19" ht="15.75" customHeight="1" x14ac:dyDescent="0.25">
      <c r="A83" s="88" t="s">
        <v>47</v>
      </c>
      <c r="B83" s="89"/>
      <c r="C83" s="66" t="s">
        <v>135</v>
      </c>
      <c r="D83" s="66" t="s">
        <v>80</v>
      </c>
      <c r="E83" s="109" t="s">
        <v>82</v>
      </c>
      <c r="F83" s="109"/>
      <c r="G83" s="109" t="s">
        <v>81</v>
      </c>
      <c r="H83" s="110"/>
      <c r="I83" s="13" t="s">
        <v>137</v>
      </c>
      <c r="J83" s="28">
        <f ca="1">H81*25%</f>
        <v>1.75</v>
      </c>
      <c r="S83"/>
    </row>
    <row r="84" spans="1:19" x14ac:dyDescent="0.25">
      <c r="A84" s="88" t="s">
        <v>124</v>
      </c>
      <c r="B84" s="89"/>
      <c r="C84" s="66">
        <f ca="1">J85</f>
        <v>7</v>
      </c>
      <c r="D84" s="67">
        <f ca="1">((100/H81)*C84)/100</f>
        <v>1</v>
      </c>
      <c r="E84" s="111">
        <f ca="1">(((C85/H81*10)+(40/(D81+F81+H81)*C86)+(7.5/(H81)*C87)+(7.5/(H81)*C88)+(10/H81*C89)+(10/H81*C90)+(5/H81*C91)+(5/H81*C92)+(5/H81*C93))/100)</f>
        <v>2.5000000000000001E-2</v>
      </c>
      <c r="F84" s="112"/>
      <c r="G84" s="111">
        <f ca="1">((((C84/H81)*20)+((C85/H81)*25)+(30/(H81+F81+D81)*C86)+(5/H81*C87)+(5/H81*C88)+(5/H81*C89)+(5/H81*C90)+(0/H81*C91)+(0/H81*C92)+(5/H81*C93))/100)</f>
        <v>0.26250000000000001</v>
      </c>
      <c r="H84" s="117"/>
      <c r="I84" s="13" t="s">
        <v>98</v>
      </c>
      <c r="J84" s="29">
        <f ca="1">H81*50%</f>
        <v>3.5</v>
      </c>
    </row>
    <row r="85" spans="1:19" x14ac:dyDescent="0.25">
      <c r="A85" s="88" t="s">
        <v>48</v>
      </c>
      <c r="B85" s="89"/>
      <c r="C85" s="68">
        <f ca="1">J86</f>
        <v>1.75</v>
      </c>
      <c r="D85" s="67">
        <f ca="1">((100/H81)*C85)/100</f>
        <v>0.25</v>
      </c>
      <c r="E85" s="113"/>
      <c r="F85" s="114"/>
      <c r="G85" s="113"/>
      <c r="H85" s="118"/>
      <c r="I85" s="13" t="s">
        <v>99</v>
      </c>
      <c r="J85" s="29">
        <f ca="1">H81</f>
        <v>7</v>
      </c>
      <c r="S85"/>
    </row>
    <row r="86" spans="1:19" ht="15.75" customHeight="1" x14ac:dyDescent="0.25">
      <c r="A86" s="88" t="s">
        <v>125</v>
      </c>
      <c r="B86" s="89"/>
      <c r="C86" s="66">
        <v>0</v>
      </c>
      <c r="D86" s="67">
        <f ca="1">((100/(D81+F81+H81))*C86)/100</f>
        <v>0</v>
      </c>
      <c r="E86" s="113"/>
      <c r="F86" s="114"/>
      <c r="G86" s="113"/>
      <c r="H86" s="118"/>
      <c r="I86" s="13" t="s">
        <v>100</v>
      </c>
      <c r="J86" s="30">
        <f ca="1">(IF(B81&gt;1,(H81/(B81+2)),H81/4))</f>
        <v>1.75</v>
      </c>
      <c r="S86"/>
    </row>
    <row r="87" spans="1:19" ht="15.75" customHeight="1" x14ac:dyDescent="0.25">
      <c r="A87" s="88" t="s">
        <v>132</v>
      </c>
      <c r="B87" s="89" t="s">
        <v>126</v>
      </c>
      <c r="C87" s="66">
        <v>0</v>
      </c>
      <c r="D87" s="67">
        <f ca="1">((100/H81)*C87)/100</f>
        <v>0</v>
      </c>
      <c r="E87" s="113"/>
      <c r="F87" s="114"/>
      <c r="G87" s="113"/>
      <c r="H87" s="118"/>
      <c r="I87" s="13" t="s">
        <v>101</v>
      </c>
      <c r="J87" s="30">
        <f ca="1">(IF(B81&gt;1,(H81/(B81+2)+J86),H81/4+J86))</f>
        <v>3.5</v>
      </c>
    </row>
    <row r="88" spans="1:19" ht="15.75" customHeight="1" x14ac:dyDescent="0.25">
      <c r="A88" s="88" t="s">
        <v>133</v>
      </c>
      <c r="B88" s="89" t="s">
        <v>126</v>
      </c>
      <c r="C88" s="66">
        <v>0</v>
      </c>
      <c r="D88" s="67">
        <f ca="1">((100/H81)*C88)/100</f>
        <v>0</v>
      </c>
      <c r="E88" s="113"/>
      <c r="F88" s="114"/>
      <c r="G88" s="113"/>
      <c r="H88" s="118"/>
      <c r="I88" s="13" t="s">
        <v>142</v>
      </c>
      <c r="J88" s="30">
        <f>(IF(B81&gt;1,(H81/(B81+2)+J87),0))</f>
        <v>0</v>
      </c>
    </row>
    <row r="89" spans="1:19" ht="15" customHeight="1" x14ac:dyDescent="0.25">
      <c r="A89" s="88" t="s">
        <v>131</v>
      </c>
      <c r="B89" s="89" t="s">
        <v>128</v>
      </c>
      <c r="C89" s="66">
        <v>0</v>
      </c>
      <c r="D89" s="67">
        <f ca="1">((100/(H81))*C89)/100</f>
        <v>0</v>
      </c>
      <c r="E89" s="113"/>
      <c r="F89" s="114"/>
      <c r="G89" s="113"/>
      <c r="H89" s="118"/>
      <c r="I89" s="13" t="s">
        <v>139</v>
      </c>
      <c r="J89" s="30">
        <f>(IF(B81&gt;2,(H81/(B81+2)+J88),0))</f>
        <v>0</v>
      </c>
    </row>
    <row r="90" spans="1:19" ht="15.75" customHeight="1" x14ac:dyDescent="0.25">
      <c r="A90" s="88" t="s">
        <v>127</v>
      </c>
      <c r="B90" s="89" t="s">
        <v>127</v>
      </c>
      <c r="C90" s="66">
        <v>0</v>
      </c>
      <c r="D90" s="67">
        <f ca="1">((100/H81)*C90)/100</f>
        <v>0</v>
      </c>
      <c r="E90" s="113"/>
      <c r="F90" s="114"/>
      <c r="G90" s="113"/>
      <c r="H90" s="118"/>
      <c r="I90" s="13" t="s">
        <v>140</v>
      </c>
      <c r="J90" s="31">
        <f>(IF(B81&gt;3,(H81/(B81+2)+J89),0))</f>
        <v>0</v>
      </c>
    </row>
    <row r="91" spans="1:19" ht="15.75" customHeight="1" x14ac:dyDescent="0.25">
      <c r="A91" s="88" t="s">
        <v>134</v>
      </c>
      <c r="B91" s="89"/>
      <c r="C91" s="66">
        <v>0</v>
      </c>
      <c r="D91" s="67">
        <f ca="1">((100/H81)*C91)/100</f>
        <v>0</v>
      </c>
      <c r="E91" s="113"/>
      <c r="F91" s="114"/>
      <c r="G91" s="113"/>
      <c r="H91" s="118"/>
      <c r="I91" s="13" t="s">
        <v>141</v>
      </c>
      <c r="J91" s="30">
        <f>(IF(B81&gt;4,(H81/(B81+2)+J90),0))</f>
        <v>0</v>
      </c>
    </row>
    <row r="92" spans="1:19" ht="15.75" customHeight="1" x14ac:dyDescent="0.25">
      <c r="A92" s="88" t="s">
        <v>129</v>
      </c>
      <c r="B92" s="89" t="s">
        <v>129</v>
      </c>
      <c r="C92" s="66">
        <v>0</v>
      </c>
      <c r="D92" s="67">
        <f ca="1">((100/(H81))*C92)/100</f>
        <v>0</v>
      </c>
      <c r="E92" s="113"/>
      <c r="F92" s="114"/>
      <c r="G92" s="113"/>
      <c r="H92" s="118"/>
      <c r="I92" s="13" t="s">
        <v>143</v>
      </c>
      <c r="J92" s="30">
        <f ca="1">(IF(B81=1,(H81/(B81+3)+J87),IF(B81=0,(H81/4+J87),IF(B81&gt;1,0))))</f>
        <v>5.25</v>
      </c>
    </row>
    <row r="93" spans="1:19" ht="16.5" thickBot="1" x14ac:dyDescent="0.3">
      <c r="A93" s="100" t="s">
        <v>130</v>
      </c>
      <c r="B93" s="101"/>
      <c r="C93" s="69">
        <v>0</v>
      </c>
      <c r="D93" s="70">
        <f ca="1">((100/(H81))*C93)/100</f>
        <v>0</v>
      </c>
      <c r="E93" s="115"/>
      <c r="F93" s="116"/>
      <c r="G93" s="115"/>
      <c r="H93" s="119"/>
      <c r="I93" s="15" t="s">
        <v>102</v>
      </c>
      <c r="J93" s="32">
        <f ca="1">(IF(B81&gt;1.5,(H81/(B81+2)+J87+MAX(0,J88-J87)+MAX(0,J89-J88)+MAX(0,J90-J89)+MAX(0,J91-J90)+MAX(0,J92-J91)),IF(B81=1,(H81/(B81+3)+J92),IF(B81=0,H81/4+J92))))</f>
        <v>7</v>
      </c>
    </row>
    <row r="94" spans="1:19" ht="15.75" customHeight="1" x14ac:dyDescent="0.25">
      <c r="A94" s="104" t="s">
        <v>136</v>
      </c>
      <c r="B94" s="105"/>
      <c r="C94" s="148" t="str">
        <f>D66</f>
        <v>Wing B6 = Ground + 1st to 7th Floor</v>
      </c>
      <c r="D94" s="149"/>
      <c r="E94" s="149"/>
      <c r="F94" s="149"/>
      <c r="G94" s="149"/>
      <c r="H94" s="150"/>
      <c r="I94" s="49" t="str">
        <f ca="1">IF(D107=100%,"All work Completed. Possession granted to the Building.",IF(D106=100%,"All work Completed, Waiting for OC",I95&amp;""&amp;I96&amp;""&amp;J95&amp;""&amp;J94&amp;" "&amp;J96))</f>
        <v xml:space="preserve">Excavation Completed, Plinth work is process </v>
      </c>
      <c r="J94" s="50" t="str">
        <f ca="1">(IF(C100=(D95+F95+H95),"",IF(C100&gt;0,", RCC upto "&amp;C100&amp;" Slab","")))&amp;(IF(C101=H95,"",IF(C101&gt;0,", Brickwork upto "&amp;C101&amp;" Floor","")))&amp;(IF(C102=H95,"",IF(C102&gt;0,", Internal Plaster upto "&amp;C102&amp;" Floor","")))&amp;(IF(C103=H95,"",IF(C103&gt;0,", External Plaster upto "&amp;C103&amp;" Floor","")))&amp;(IF(C104=H95,"",IF(C104&gt;0,", Flooring upto "&amp;C104&amp;" Floor","")))&amp;(IF(C105=H95,"",IF(C105&gt;0,", Painting upto "&amp;C105&amp;" Floor","")))&amp;(IF(C106=H95,"",IF(C106&gt;0,", Finishing upto "&amp;C106&amp;" Floor","")))&amp;(IF(C107=H95,"",IF(C107&gt;0,", Possession upto "&amp;C107&amp;" Floor","")))</f>
        <v/>
      </c>
    </row>
    <row r="95" spans="1:19" x14ac:dyDescent="0.25">
      <c r="A95" s="16" t="s">
        <v>138</v>
      </c>
      <c r="B95" s="47">
        <f>IF(AND(ISNUMBER(SEARCH("1B",C94))),1,IF(AND(ISNUMBER(SEARCH("2B",C94))),2,IF(AND(ISNUMBER(SEARCH("3B",C94))),3,IF(AND(ISNUMBER(SEARCH("4B",C94))),4,IF(ISNUMBER(SEARCH("5B",C94)),5,0)))))</f>
        <v>0</v>
      </c>
      <c r="C95" s="47" t="s">
        <v>69</v>
      </c>
      <c r="D95" s="47">
        <v>1</v>
      </c>
      <c r="E95" s="47" t="s">
        <v>68</v>
      </c>
      <c r="F95" s="47">
        <v>0</v>
      </c>
      <c r="G95" s="47" t="s">
        <v>77</v>
      </c>
      <c r="H95" s="17">
        <f ca="1">--TRIM(RIGHT(SUBSTITUTE(LEFT(C94,_xlfn.AGGREGATE(16,6,FIND({0,1,2,3,4,5,6,7,8,9},C94,ROW(INDIRECT("1:"&amp;LEN(C94)))),1))," ",REPT(" ",LEN(C94))),LEN(C94)))</f>
        <v>7</v>
      </c>
      <c r="I95" s="51" t="str">
        <f ca="1">IF(D98=100%,"Excavation","")&amp;IF(D99=100%,", Plinth","")&amp;IF(D100=100%,", RCC Slab","")&amp;IF(D101=100%,", Brickwork","")&amp;IF(D102=100%,", Internal Plaster","")&amp;IF(D103=100%,", External Plaster","")&amp;IF(D104=100%,", Flooring","")&amp;IF(D105=100%,", Painting","")&amp;IF(D106=100%,", Building common Amenities","")</f>
        <v>Excavation</v>
      </c>
      <c r="J95" s="52" t="str">
        <f ca="1">(IF(C98=0,"Work not yet Started.",IF(D98=25%,"Piling work in process",IF(D98=50%,"Excavation work in process",IF(D98=100%,"","0")))))&amp;(IF(C99=0%,"",IF(C99=J100,", Footing work is process",IF(C99=J101,", Footing work Completed",IF(C99=J102,", 1st Basement Completed",IF(C99=J103,", 1st &amp; 2nd Basement Completed",IF(C99=J104,", 1st to 3rd Basement Completed",IF(C99=J105,", 1st to 4th Basement Completed",IF(C99=J106,", Plinth work is process",IF(C99=J107,"","0"))))))))))</f>
        <v>, Plinth work is process</v>
      </c>
    </row>
    <row r="96" spans="1:19" x14ac:dyDescent="0.25">
      <c r="A96" s="102" t="s">
        <v>87</v>
      </c>
      <c r="B96" s="103"/>
      <c r="C96" s="86" t="str">
        <f ca="1">(IF($G$60="NA",I94,"All work Completed. OC Received."))</f>
        <v xml:space="preserve">Excavation Completed, Plinth work is process </v>
      </c>
      <c r="D96" s="86"/>
      <c r="E96" s="86"/>
      <c r="F96" s="86"/>
      <c r="G96" s="86"/>
      <c r="H96" s="87"/>
      <c r="I96" s="51" t="str">
        <f ca="1">IF(I95&lt;&gt;""," Completed","")</f>
        <v xml:space="preserve"> Completed</v>
      </c>
      <c r="J96" s="52" t="str">
        <f ca="1">IF(J94&lt;&gt;"","Completed","")</f>
        <v/>
      </c>
    </row>
    <row r="97" spans="1:10" ht="15.75" customHeight="1" x14ac:dyDescent="0.25">
      <c r="A97" s="88" t="s">
        <v>47</v>
      </c>
      <c r="B97" s="89"/>
      <c r="C97" s="66" t="s">
        <v>135</v>
      </c>
      <c r="D97" s="66" t="s">
        <v>80</v>
      </c>
      <c r="E97" s="109" t="s">
        <v>82</v>
      </c>
      <c r="F97" s="109"/>
      <c r="G97" s="109" t="s">
        <v>81</v>
      </c>
      <c r="H97" s="110"/>
      <c r="I97" s="13" t="s">
        <v>137</v>
      </c>
      <c r="J97" s="28">
        <f ca="1">H95*25%</f>
        <v>1.75</v>
      </c>
    </row>
    <row r="98" spans="1:10" x14ac:dyDescent="0.25">
      <c r="A98" s="88" t="s">
        <v>124</v>
      </c>
      <c r="B98" s="89"/>
      <c r="C98" s="66">
        <f ca="1">J99</f>
        <v>7</v>
      </c>
      <c r="D98" s="67">
        <f ca="1">((100/H95)*C98)/100</f>
        <v>1</v>
      </c>
      <c r="E98" s="111">
        <f ca="1">(((C99/H95*10)+(40/(D95+F95+H95)*C100)+(7.5/(H95)*C101)+(7.5/(H95)*C102)+(10/H95*C103)+(10/H95*C104)+(5/H95*C105)+(5/H95*C106)+(5/H95*C107))/100)</f>
        <v>7.4999999999999997E-2</v>
      </c>
      <c r="F98" s="112"/>
      <c r="G98" s="111">
        <f ca="1">((((C98/H95)*20)+((C99/H95)*25)+(30/(H95+F95+D95)*C100)+(5/H95*C101)+(5/H95*C102)+(5/H95*C103)+(5/H95*C104)+(0/H95*C105)+(0/H95*C106)+(5/H95*C107))/100)</f>
        <v>0.38750000000000001</v>
      </c>
      <c r="H98" s="117"/>
      <c r="I98" s="13" t="s">
        <v>98</v>
      </c>
      <c r="J98" s="29">
        <f ca="1">H95*50%</f>
        <v>3.5</v>
      </c>
    </row>
    <row r="99" spans="1:10" x14ac:dyDescent="0.25">
      <c r="A99" s="88" t="s">
        <v>48</v>
      </c>
      <c r="B99" s="89"/>
      <c r="C99" s="68">
        <f ca="1">J106</f>
        <v>5.25</v>
      </c>
      <c r="D99" s="67">
        <f ca="1">((100/H95)*C99)/100</f>
        <v>0.75</v>
      </c>
      <c r="E99" s="113"/>
      <c r="F99" s="114"/>
      <c r="G99" s="113"/>
      <c r="H99" s="118"/>
      <c r="I99" s="13" t="s">
        <v>99</v>
      </c>
      <c r="J99" s="29">
        <f ca="1">H95</f>
        <v>7</v>
      </c>
    </row>
    <row r="100" spans="1:10" ht="15.75" customHeight="1" x14ac:dyDescent="0.25">
      <c r="A100" s="88" t="s">
        <v>125</v>
      </c>
      <c r="B100" s="89"/>
      <c r="C100" s="66">
        <v>0</v>
      </c>
      <c r="D100" s="67">
        <f ca="1">((100/(D95+F95+H95))*C100)/100</f>
        <v>0</v>
      </c>
      <c r="E100" s="113"/>
      <c r="F100" s="114"/>
      <c r="G100" s="113"/>
      <c r="H100" s="118"/>
      <c r="I100" s="13" t="s">
        <v>100</v>
      </c>
      <c r="J100" s="30">
        <f ca="1">(IF(B95&gt;1,(H95/(B95+2)),H95/4))</f>
        <v>1.75</v>
      </c>
    </row>
    <row r="101" spans="1:10" ht="15.75" customHeight="1" x14ac:dyDescent="0.25">
      <c r="A101" s="88" t="s">
        <v>132</v>
      </c>
      <c r="B101" s="89" t="s">
        <v>126</v>
      </c>
      <c r="C101" s="66">
        <v>0</v>
      </c>
      <c r="D101" s="67">
        <f ca="1">((100/H95)*C101)/100</f>
        <v>0</v>
      </c>
      <c r="E101" s="113"/>
      <c r="F101" s="114"/>
      <c r="G101" s="113"/>
      <c r="H101" s="118"/>
      <c r="I101" s="13" t="s">
        <v>101</v>
      </c>
      <c r="J101" s="30">
        <f ca="1">(IF(B95&gt;1,(H95/(B95+2)+J100),H95/4+J100))</f>
        <v>3.5</v>
      </c>
    </row>
    <row r="102" spans="1:10" ht="15.75" customHeight="1" x14ac:dyDescent="0.25">
      <c r="A102" s="88" t="s">
        <v>133</v>
      </c>
      <c r="B102" s="89" t="s">
        <v>126</v>
      </c>
      <c r="C102" s="66">
        <v>0</v>
      </c>
      <c r="D102" s="67">
        <f ca="1">((100/H95)*C102)/100</f>
        <v>0</v>
      </c>
      <c r="E102" s="113"/>
      <c r="F102" s="114"/>
      <c r="G102" s="113"/>
      <c r="H102" s="118"/>
      <c r="I102" s="13" t="s">
        <v>142</v>
      </c>
      <c r="J102" s="30">
        <f>(IF(B95&gt;1,(H95/(B95+2)+J101),0))</f>
        <v>0</v>
      </c>
    </row>
    <row r="103" spans="1:10" ht="15" customHeight="1" x14ac:dyDescent="0.25">
      <c r="A103" s="88" t="s">
        <v>131</v>
      </c>
      <c r="B103" s="89" t="s">
        <v>128</v>
      </c>
      <c r="C103" s="66">
        <v>0</v>
      </c>
      <c r="D103" s="67">
        <f ca="1">((100/(H95))*C103)/100</f>
        <v>0</v>
      </c>
      <c r="E103" s="113"/>
      <c r="F103" s="114"/>
      <c r="G103" s="113"/>
      <c r="H103" s="118"/>
      <c r="I103" s="13" t="s">
        <v>139</v>
      </c>
      <c r="J103" s="30">
        <f>(IF(B95&gt;2,(H95/(B95+2)+J102),0))</f>
        <v>0</v>
      </c>
    </row>
    <row r="104" spans="1:10" ht="15.75" customHeight="1" x14ac:dyDescent="0.25">
      <c r="A104" s="88" t="s">
        <v>127</v>
      </c>
      <c r="B104" s="89" t="s">
        <v>127</v>
      </c>
      <c r="C104" s="66">
        <v>0</v>
      </c>
      <c r="D104" s="67">
        <f ca="1">((100/H95)*C104)/100</f>
        <v>0</v>
      </c>
      <c r="E104" s="113"/>
      <c r="F104" s="114"/>
      <c r="G104" s="113"/>
      <c r="H104" s="118"/>
      <c r="I104" s="13" t="s">
        <v>140</v>
      </c>
      <c r="J104" s="31">
        <f>(IF(B95&gt;3,(H95/(B95+2)+J103),0))</f>
        <v>0</v>
      </c>
    </row>
    <row r="105" spans="1:10" ht="15.75" customHeight="1" x14ac:dyDescent="0.25">
      <c r="A105" s="88" t="s">
        <v>134</v>
      </c>
      <c r="B105" s="89"/>
      <c r="C105" s="66">
        <v>0</v>
      </c>
      <c r="D105" s="67">
        <f ca="1">((100/H95)*C105)/100</f>
        <v>0</v>
      </c>
      <c r="E105" s="113"/>
      <c r="F105" s="114"/>
      <c r="G105" s="113"/>
      <c r="H105" s="118"/>
      <c r="I105" s="13" t="s">
        <v>141</v>
      </c>
      <c r="J105" s="30">
        <f>(IF(B95&gt;4,(H95/(B95+2)+J104),0))</f>
        <v>0</v>
      </c>
    </row>
    <row r="106" spans="1:10" ht="15.75" customHeight="1" x14ac:dyDescent="0.25">
      <c r="A106" s="88" t="s">
        <v>129</v>
      </c>
      <c r="B106" s="89" t="s">
        <v>129</v>
      </c>
      <c r="C106" s="66">
        <v>0</v>
      </c>
      <c r="D106" s="67">
        <f ca="1">((100/(H95))*C106)/100</f>
        <v>0</v>
      </c>
      <c r="E106" s="113"/>
      <c r="F106" s="114"/>
      <c r="G106" s="113"/>
      <c r="H106" s="118"/>
      <c r="I106" s="13" t="s">
        <v>143</v>
      </c>
      <c r="J106" s="30">
        <f ca="1">(IF(B95=1,(H95/(B95+3)+J101),IF(B95=0,(H95/4+J101),IF(B95&gt;1,0))))</f>
        <v>5.25</v>
      </c>
    </row>
    <row r="107" spans="1:10" ht="16.5" thickBot="1" x14ac:dyDescent="0.3">
      <c r="A107" s="100" t="s">
        <v>130</v>
      </c>
      <c r="B107" s="101"/>
      <c r="C107" s="69">
        <v>0</v>
      </c>
      <c r="D107" s="70">
        <f ca="1">((100/(H95))*C107)/100</f>
        <v>0</v>
      </c>
      <c r="E107" s="115"/>
      <c r="F107" s="116"/>
      <c r="G107" s="115"/>
      <c r="H107" s="119"/>
      <c r="I107" s="15" t="s">
        <v>102</v>
      </c>
      <c r="J107" s="32">
        <f ca="1">(IF(B95&gt;1.5,(H95/(B95+2)+J101+MAX(0,J102-J101)+MAX(0,J103-J102)+MAX(0,J104-J103)+MAX(0,J105-J104)+MAX(0,J106-J105)),IF(B95=1,(H95/(B95+3)+J106),IF(B95=0,H95/4+J106))))</f>
        <v>7</v>
      </c>
    </row>
    <row r="108" spans="1:10" ht="15.75" hidden="1" customHeight="1" x14ac:dyDescent="0.25">
      <c r="A108" s="104" t="s">
        <v>136</v>
      </c>
      <c r="B108" s="105"/>
      <c r="C108" s="106" t="str">
        <f>D67</f>
        <v>Wing B7 = Ground + 1st to 7th Floor</v>
      </c>
      <c r="D108" s="107"/>
      <c r="E108" s="107"/>
      <c r="F108" s="107"/>
      <c r="G108" s="107"/>
      <c r="H108" s="108"/>
      <c r="I108" s="49" t="str">
        <f ca="1">IF(D121=100%,"All work Completed. Possession granted to the Building.",IF(D120=100%,"All work Completed, Waiting for OC",I109&amp;""&amp;I110&amp;""&amp;J109&amp;""&amp;J108&amp;" "&amp;J110))</f>
        <v xml:space="preserve">Excavation, Plinth, RCC Slab Completed </v>
      </c>
      <c r="J108" s="50" t="str">
        <f ca="1">(IF(C114=(D109+F109+H109),"",IF(C114&gt;0,", RCC upto "&amp;C114&amp;" Slab","")))&amp;(IF(C115=H109,"",IF(C115&gt;0,", Brickwork upto "&amp;C115&amp;" Floor","")))&amp;(IF(C116=H109,"",IF(C116&gt;0,", Internal Plaster upto "&amp;C116&amp;" Floor","")))&amp;(IF(C117=H109,"",IF(C117&gt;0,", External Plaster upto "&amp;C117&amp;" Floor","")))&amp;(IF(C118=H109,"",IF(C118&gt;0,", Flooring upto "&amp;C118&amp;" Floor","")))&amp;(IF(C119=H109,"",IF(C119&gt;0,", Painting upto "&amp;C119&amp;" Floor","")))&amp;(IF(C120=H109,"",IF(C120&gt;0,", Finishing upto "&amp;C120&amp;" Floor","")))&amp;(IF(C121=H109,"",IF(C121&gt;0,", Possession upto "&amp;C121&amp;" Floor","")))</f>
        <v/>
      </c>
    </row>
    <row r="109" spans="1:10" hidden="1" x14ac:dyDescent="0.25">
      <c r="A109" s="16" t="s">
        <v>138</v>
      </c>
      <c r="B109" s="47">
        <f>IF(AND(ISNUMBER(SEARCH("1B",C108))),1,IF(AND(ISNUMBER(SEARCH("2B",C108))),2,IF(AND(ISNUMBER(SEARCH("3B",C108))),3,IF(AND(ISNUMBER(SEARCH("4B",C108))),4,IF(ISNUMBER(SEARCH("5B",C108)),5,0)))))</f>
        <v>0</v>
      </c>
      <c r="C109" s="47" t="s">
        <v>69</v>
      </c>
      <c r="D109" s="47">
        <v>1</v>
      </c>
      <c r="E109" s="47" t="s">
        <v>68</v>
      </c>
      <c r="F109" s="14">
        <v>0</v>
      </c>
      <c r="G109" s="48" t="s">
        <v>77</v>
      </c>
      <c r="H109" s="17">
        <f ca="1">--TRIM(RIGHT(SUBSTITUTE(LEFT(C108,_xlfn.AGGREGATE(16,6,FIND({0,1,2,3,4,5,6,7,8,9},C108,ROW(INDIRECT("1:"&amp;LEN(C108)))),1))," ",REPT(" ",LEN(C108))),LEN(C108)))</f>
        <v>7</v>
      </c>
      <c r="I109" s="51" t="str">
        <f ca="1">IF(D112=100%,"Excavation","")&amp;IF(D113=100%,", Plinth","")&amp;IF(D114=100%,", RCC Slab","")&amp;IF(D115=100%,", Brickwork","")&amp;IF(D116=100%,", Internal Plaster","")&amp;IF(D117=100%,", External Plaster","")&amp;IF(D118=100%,", Flooring","")&amp;IF(D119=100%,", Painting","")&amp;IF(D120=100%,", Building common Amenities","")</f>
        <v>Excavation, Plinth, RCC Slab</v>
      </c>
      <c r="J109" s="52" t="str">
        <f ca="1">(IF(C112=0,"Work not yet Started.",IF(D112=25%,"Piling work in process",IF(D112=50%,"Excavation work in process",IF(D112=100%,"","0")))))&amp;(IF(C113=0%,"",IF(C113=J114,", Footing work is process",IF(C113=J115,", Footing work Completed",IF(C113=J116,", 1st Basement Completed",IF(C113=J117,", 1st &amp; 2nd Basement Completed",IF(C113=J118,", 1st to 3rd Basement Completed",IF(C113=J119,", 1st to 4th Basement Completed",IF(C113=J120,", Plinth work is process",IF(C113=J121,"","0"))))))))))</f>
        <v/>
      </c>
    </row>
    <row r="110" spans="1:10" hidden="1" x14ac:dyDescent="0.25">
      <c r="A110" s="102" t="s">
        <v>87</v>
      </c>
      <c r="B110" s="103"/>
      <c r="C110" s="86" t="str">
        <f ca="1">(IF($G$60="NA",I108,"All work Completed. OC Received."))</f>
        <v xml:space="preserve">Excavation, Plinth, RCC Slab Completed </v>
      </c>
      <c r="D110" s="86"/>
      <c r="E110" s="86"/>
      <c r="F110" s="86"/>
      <c r="G110" s="86"/>
      <c r="H110" s="87"/>
      <c r="I110" s="51" t="str">
        <f ca="1">IF(I109&lt;&gt;""," Completed","")</f>
        <v xml:space="preserve"> Completed</v>
      </c>
      <c r="J110" s="52" t="str">
        <f ca="1">IF(J108&lt;&gt;"","Completed","")</f>
        <v/>
      </c>
    </row>
    <row r="111" spans="1:10" ht="15.75" hidden="1" customHeight="1" x14ac:dyDescent="0.25">
      <c r="A111" s="88" t="s">
        <v>47</v>
      </c>
      <c r="B111" s="89"/>
      <c r="C111" s="43" t="s">
        <v>135</v>
      </c>
      <c r="D111" s="43" t="s">
        <v>80</v>
      </c>
      <c r="E111" s="89" t="s">
        <v>82</v>
      </c>
      <c r="F111" s="89"/>
      <c r="G111" s="89" t="s">
        <v>81</v>
      </c>
      <c r="H111" s="90"/>
      <c r="I111" s="13" t="s">
        <v>137</v>
      </c>
      <c r="J111" s="28">
        <f ca="1">H109*25%</f>
        <v>1.75</v>
      </c>
    </row>
    <row r="112" spans="1:10" hidden="1" x14ac:dyDescent="0.25">
      <c r="A112" s="88" t="s">
        <v>124</v>
      </c>
      <c r="B112" s="89"/>
      <c r="C112" s="43">
        <f ca="1">J113</f>
        <v>7</v>
      </c>
      <c r="D112" s="19">
        <f ca="1">((100/H109)*C112)/100</f>
        <v>1</v>
      </c>
      <c r="E112" s="91">
        <f ca="1">(((C113/H109*10)+(40/(D109+F109+H109)*C114)+(7.5/(H109)*C115)+(7.5/(H109)*C116)+(10/H109*C117)+(10/H109*C118)+(5/H109*C119)+(5/H109*C120)+(5/H109*C121))/100)</f>
        <v>0.5</v>
      </c>
      <c r="F112" s="92"/>
      <c r="G112" s="91">
        <f ca="1">((((C112/H109)*20)+((C113/H109)*25)+(30/(H109+F109+D109)*C114)+(5/H109*C115)+(5/H109*C116)+(5/H109*C117)+(5/H109*C118)+(0/H109*C119)+(0/H109*C120)+(5/H109*C121))/100)</f>
        <v>0.75</v>
      </c>
      <c r="H112" s="97"/>
      <c r="I112" s="13" t="s">
        <v>98</v>
      </c>
      <c r="J112" s="29">
        <f ca="1">H109*50%</f>
        <v>3.5</v>
      </c>
    </row>
    <row r="113" spans="1:10" hidden="1" x14ac:dyDescent="0.25">
      <c r="A113" s="88" t="s">
        <v>48</v>
      </c>
      <c r="B113" s="89"/>
      <c r="C113" s="43">
        <f ca="1">J121</f>
        <v>7</v>
      </c>
      <c r="D113" s="19">
        <f ca="1">((100/H109)*C113)/100</f>
        <v>1</v>
      </c>
      <c r="E113" s="93"/>
      <c r="F113" s="94"/>
      <c r="G113" s="93"/>
      <c r="H113" s="98"/>
      <c r="I113" s="13" t="s">
        <v>99</v>
      </c>
      <c r="J113" s="29">
        <f ca="1">H109</f>
        <v>7</v>
      </c>
    </row>
    <row r="114" spans="1:10" ht="15.75" hidden="1" customHeight="1" x14ac:dyDescent="0.25">
      <c r="A114" s="88" t="s">
        <v>125</v>
      </c>
      <c r="B114" s="89"/>
      <c r="C114" s="43">
        <f ca="1">D109+H109</f>
        <v>8</v>
      </c>
      <c r="D114" s="19">
        <f ca="1">((100/(D109+F109+H109))*C114)/100</f>
        <v>1</v>
      </c>
      <c r="E114" s="93"/>
      <c r="F114" s="94"/>
      <c r="G114" s="93"/>
      <c r="H114" s="98"/>
      <c r="I114" s="13" t="s">
        <v>100</v>
      </c>
      <c r="J114" s="30">
        <f ca="1">(IF(B109&gt;1,(H109/(B109+2)),H109/4))</f>
        <v>1.75</v>
      </c>
    </row>
    <row r="115" spans="1:10" ht="15.75" hidden="1" customHeight="1" x14ac:dyDescent="0.25">
      <c r="A115" s="88" t="s">
        <v>132</v>
      </c>
      <c r="B115" s="89" t="s">
        <v>126</v>
      </c>
      <c r="C115" s="43">
        <v>0</v>
      </c>
      <c r="D115" s="19">
        <f ca="1">((100/H109)*C115)/100</f>
        <v>0</v>
      </c>
      <c r="E115" s="93"/>
      <c r="F115" s="94"/>
      <c r="G115" s="93"/>
      <c r="H115" s="98"/>
      <c r="I115" s="13" t="s">
        <v>101</v>
      </c>
      <c r="J115" s="30">
        <f ca="1">(IF(B109&gt;1,(H109/(B109+2)+J114),H109/4+J114))</f>
        <v>3.5</v>
      </c>
    </row>
    <row r="116" spans="1:10" ht="15.75" hidden="1" customHeight="1" x14ac:dyDescent="0.25">
      <c r="A116" s="88" t="s">
        <v>133</v>
      </c>
      <c r="B116" s="89" t="s">
        <v>126</v>
      </c>
      <c r="C116" s="43">
        <v>0</v>
      </c>
      <c r="D116" s="19">
        <f ca="1">((100/H109)*C116)/100</f>
        <v>0</v>
      </c>
      <c r="E116" s="93"/>
      <c r="F116" s="94"/>
      <c r="G116" s="93"/>
      <c r="H116" s="98"/>
      <c r="I116" s="13" t="s">
        <v>142</v>
      </c>
      <c r="J116" s="30">
        <f>(IF(B109&gt;1,(H109/(B109+2)+J115),0))</f>
        <v>0</v>
      </c>
    </row>
    <row r="117" spans="1:10" ht="15" hidden="1" customHeight="1" x14ac:dyDescent="0.25">
      <c r="A117" s="88" t="s">
        <v>131</v>
      </c>
      <c r="B117" s="89" t="s">
        <v>128</v>
      </c>
      <c r="C117" s="43">
        <v>0</v>
      </c>
      <c r="D117" s="19">
        <f ca="1">((100/(H109))*C117)/100</f>
        <v>0</v>
      </c>
      <c r="E117" s="93"/>
      <c r="F117" s="94"/>
      <c r="G117" s="93"/>
      <c r="H117" s="98"/>
      <c r="I117" s="13" t="s">
        <v>139</v>
      </c>
      <c r="J117" s="30">
        <f>(IF(B109&gt;2,(H109/(B109+2)+J116),0))</f>
        <v>0</v>
      </c>
    </row>
    <row r="118" spans="1:10" ht="15.75" hidden="1" customHeight="1" x14ac:dyDescent="0.25">
      <c r="A118" s="88" t="s">
        <v>127</v>
      </c>
      <c r="B118" s="89" t="s">
        <v>127</v>
      </c>
      <c r="C118" s="43">
        <v>0</v>
      </c>
      <c r="D118" s="19">
        <f ca="1">((100/H109)*C118)/100</f>
        <v>0</v>
      </c>
      <c r="E118" s="93"/>
      <c r="F118" s="94"/>
      <c r="G118" s="93"/>
      <c r="H118" s="98"/>
      <c r="I118" s="13" t="s">
        <v>140</v>
      </c>
      <c r="J118" s="31">
        <f>(IF(B109&gt;3,(H109/(B109+2)+J117),0))</f>
        <v>0</v>
      </c>
    </row>
    <row r="119" spans="1:10" ht="15.75" hidden="1" customHeight="1" x14ac:dyDescent="0.25">
      <c r="A119" s="88" t="s">
        <v>134</v>
      </c>
      <c r="B119" s="89"/>
      <c r="C119" s="43">
        <v>0</v>
      </c>
      <c r="D119" s="19">
        <f ca="1">((100/H109)*C119)/100</f>
        <v>0</v>
      </c>
      <c r="E119" s="93"/>
      <c r="F119" s="94"/>
      <c r="G119" s="93"/>
      <c r="H119" s="98"/>
      <c r="I119" s="13" t="s">
        <v>141</v>
      </c>
      <c r="J119" s="30">
        <f>(IF(B109&gt;4,(H109/(B109+2)+J118),0))</f>
        <v>0</v>
      </c>
    </row>
    <row r="120" spans="1:10" ht="15.75" hidden="1" customHeight="1" x14ac:dyDescent="0.25">
      <c r="A120" s="88" t="s">
        <v>129</v>
      </c>
      <c r="B120" s="89" t="s">
        <v>129</v>
      </c>
      <c r="C120" s="43">
        <v>0</v>
      </c>
      <c r="D120" s="19">
        <f ca="1">((100/(H109))*C120)/100</f>
        <v>0</v>
      </c>
      <c r="E120" s="93"/>
      <c r="F120" s="94"/>
      <c r="G120" s="93"/>
      <c r="H120" s="98"/>
      <c r="I120" s="13" t="s">
        <v>143</v>
      </c>
      <c r="J120" s="30">
        <f ca="1">(IF(B109=1,(H109/(B109+3)+J115),IF(B109=0,(H109/4+J115),IF(B109&gt;1,0))))</f>
        <v>5.25</v>
      </c>
    </row>
    <row r="121" spans="1:10" ht="16.5" hidden="1" thickBot="1" x14ac:dyDescent="0.3">
      <c r="A121" s="100" t="s">
        <v>130</v>
      </c>
      <c r="B121" s="101"/>
      <c r="C121" s="44">
        <v>0</v>
      </c>
      <c r="D121" s="20">
        <f ca="1">((100/(H109))*C121)/100</f>
        <v>0</v>
      </c>
      <c r="E121" s="95"/>
      <c r="F121" s="96"/>
      <c r="G121" s="95"/>
      <c r="H121" s="99"/>
      <c r="I121" s="15" t="s">
        <v>102</v>
      </c>
      <c r="J121" s="32">
        <f ca="1">(IF(B109&gt;1.5,(H109/(B109+2)+J115+MAX(0,J116-J115)+MAX(0,J117-J116)+MAX(0,J118-J117)+MAX(0,J119-J118)+MAX(0,J120-J119)),IF(B109=1,(H109/(B109+3)+J120),IF(B109=0,H109/4+J120))))</f>
        <v>7</v>
      </c>
    </row>
    <row r="122" spans="1:10" ht="15.75" customHeight="1" x14ac:dyDescent="0.25">
      <c r="A122" s="104" t="s">
        <v>136</v>
      </c>
      <c r="B122" s="105"/>
      <c r="C122" s="106" t="str">
        <f>D68</f>
        <v>Wing B8 = Ground + 1st to 7th Floor</v>
      </c>
      <c r="D122" s="107"/>
      <c r="E122" s="107"/>
      <c r="F122" s="107"/>
      <c r="G122" s="107"/>
      <c r="H122" s="108"/>
      <c r="I122" s="49" t="str">
        <f ca="1">IF(D135=100%,"All work Completed. Possession granted to the Building.",IF(D134=100%,"All work Completed, Waiting for OC",I123&amp;""&amp;I124&amp;""&amp;J123&amp;""&amp;J122&amp;" "&amp;J124))</f>
        <v>Excavation, Plinth Completed, RCC upto 2 Slab Completed</v>
      </c>
      <c r="J122" s="50" t="str">
        <f ca="1">(IF(C128=(D123+F123+H123),"",IF(C128&gt;0,", RCC upto "&amp;C128&amp;" Slab","")))&amp;(IF(C129=H123,"",IF(C129&gt;0,", Brickwork upto "&amp;C129&amp;" Floor","")))&amp;(IF(C130=H123,"",IF(C130&gt;0,", Internal Plaster upto "&amp;C130&amp;" Floor","")))&amp;(IF(C131=H123,"",IF(C131&gt;0,", External Plaster upto "&amp;C131&amp;" Floor","")))&amp;(IF(C132=H123,"",IF(C132&gt;0,", Flooring upto "&amp;C132&amp;" Floor","")))&amp;(IF(C133=H123,"",IF(C133&gt;0,", Painting upto "&amp;C133&amp;" Floor","")))&amp;(IF(C134=H123,"",IF(C134&gt;0,", Finishing upto "&amp;C134&amp;" Floor","")))&amp;(IF(C135=H123,"",IF(C135&gt;0,", Possession upto "&amp;C135&amp;" Floor","")))</f>
        <v>, RCC upto 2 Slab</v>
      </c>
    </row>
    <row r="123" spans="1:10" x14ac:dyDescent="0.25">
      <c r="A123" s="16" t="s">
        <v>138</v>
      </c>
      <c r="B123" s="47">
        <f>IF(AND(ISNUMBER(SEARCH("1B",C122))),1,IF(AND(ISNUMBER(SEARCH("2B",C122))),2,IF(AND(ISNUMBER(SEARCH("3B",C122))),3,IF(AND(ISNUMBER(SEARCH("4B",C122))),4,IF(ISNUMBER(SEARCH("5B",C122)),5,0)))))</f>
        <v>0</v>
      </c>
      <c r="C123" s="47" t="s">
        <v>69</v>
      </c>
      <c r="D123" s="47">
        <v>1</v>
      </c>
      <c r="E123" s="47" t="s">
        <v>68</v>
      </c>
      <c r="F123" s="47">
        <v>0</v>
      </c>
      <c r="G123" s="48" t="s">
        <v>77</v>
      </c>
      <c r="H123" s="17">
        <f ca="1">--TRIM(RIGHT(SUBSTITUTE(LEFT(C122,_xlfn.AGGREGATE(16,6,FIND({0,1,2,3,4,5,6,7,8,9},C122,ROW(INDIRECT("1:"&amp;LEN(C122)))),1))," ",REPT(" ",LEN(C122))),LEN(C122)))</f>
        <v>7</v>
      </c>
      <c r="I123" s="51" t="str">
        <f ca="1">IF(D126=100%,"Excavation","")&amp;IF(D127=100%,", Plinth","")&amp;IF(D128=100%,", RCC Slab","")&amp;IF(D129=100%,", Brickwork","")&amp;IF(D130=100%,", Internal Plaster","")&amp;IF(D131=100%,", External Plaster","")&amp;IF(D132=100%,", Flooring","")&amp;IF(D133=100%,", Painting","")&amp;IF(D134=100%,", Building common Amenities","")</f>
        <v>Excavation, Plinth</v>
      </c>
      <c r="J123" s="52" t="str">
        <f ca="1">(IF(C126=0,"Work not yet Started.",IF(D126=25%,"Piling work in process",IF(D126=50%,"Excavation work in process",IF(D126=100%,"","0")))))&amp;(IF(C127=0%,"",IF(C127=J128,", Footing work is process",IF(C127=J129,", Footing work Completed",IF(C127=J130,", 1st Basement Completed",IF(C127=J131,", 1st &amp; 2nd Basement Completed",IF(C127=J132,", 1st to 3rd Basement Completed",IF(C127=J133,", 1st to 4th Basement Completed",IF(C127=J134,", Plinth work is process",IF(C127=J135,"","0"))))))))))</f>
        <v/>
      </c>
    </row>
    <row r="124" spans="1:10" x14ac:dyDescent="0.25">
      <c r="A124" s="102" t="s">
        <v>87</v>
      </c>
      <c r="B124" s="103"/>
      <c r="C124" s="86" t="str">
        <f ca="1">(IF($G$60="NA",I122,"All work Completed. OC Received."))</f>
        <v>Excavation, Plinth Completed, RCC upto 2 Slab Completed</v>
      </c>
      <c r="D124" s="86"/>
      <c r="E124" s="86"/>
      <c r="F124" s="86"/>
      <c r="G124" s="86"/>
      <c r="H124" s="87"/>
      <c r="I124" s="51" t="str">
        <f ca="1">IF(I123&lt;&gt;""," Completed","")</f>
        <v xml:space="preserve"> Completed</v>
      </c>
      <c r="J124" s="52" t="str">
        <f ca="1">IF(J122&lt;&gt;"","Completed","")</f>
        <v>Completed</v>
      </c>
    </row>
    <row r="125" spans="1:10" ht="15.75" customHeight="1" x14ac:dyDescent="0.25">
      <c r="A125" s="88" t="s">
        <v>47</v>
      </c>
      <c r="B125" s="89"/>
      <c r="C125" s="43" t="s">
        <v>135</v>
      </c>
      <c r="D125" s="43" t="s">
        <v>80</v>
      </c>
      <c r="E125" s="89" t="s">
        <v>82</v>
      </c>
      <c r="F125" s="89"/>
      <c r="G125" s="89" t="s">
        <v>81</v>
      </c>
      <c r="H125" s="90"/>
      <c r="I125" s="13" t="s">
        <v>137</v>
      </c>
      <c r="J125" s="28">
        <f ca="1">H123*25%</f>
        <v>1.75</v>
      </c>
    </row>
    <row r="126" spans="1:10" x14ac:dyDescent="0.25">
      <c r="A126" s="88" t="s">
        <v>124</v>
      </c>
      <c r="B126" s="89"/>
      <c r="C126" s="43">
        <f ca="1">J127</f>
        <v>7</v>
      </c>
      <c r="D126" s="19">
        <f ca="1">((100/H123)*C126)/100</f>
        <v>1</v>
      </c>
      <c r="E126" s="91">
        <f ca="1">(((C127/H123*10)+(40/(D123+F123+H123)*C128)+(7.5/(H123)*C129)+(7.5/(H123)*C130)+(10/H123*C131)+(10/H123*C132)+(5/H123*C133)+(5/H123*C134)+(5/H123*C135))/100)</f>
        <v>0.2</v>
      </c>
      <c r="F126" s="92"/>
      <c r="G126" s="91">
        <f ca="1">((((C126/H123)*20)+((C127/H123)*25)+(30/(H123+F123+D123)*C128)+(5/H123*C129)+(5/H123*C130)+(5/H123*C131)+(5/H123*C132)+(0/H123*C133)+(0/H123*C134)+(5/H123*C135))/100)</f>
        <v>0.52500000000000002</v>
      </c>
      <c r="H126" s="97"/>
      <c r="I126" s="13" t="s">
        <v>98</v>
      </c>
      <c r="J126" s="29">
        <f ca="1">H123*50%</f>
        <v>3.5</v>
      </c>
    </row>
    <row r="127" spans="1:10" x14ac:dyDescent="0.25">
      <c r="A127" s="88" t="s">
        <v>48</v>
      </c>
      <c r="B127" s="89"/>
      <c r="C127" s="65">
        <f ca="1">J135</f>
        <v>7</v>
      </c>
      <c r="D127" s="19">
        <f ca="1">((100/H123)*C127)/100</f>
        <v>1</v>
      </c>
      <c r="E127" s="93"/>
      <c r="F127" s="94"/>
      <c r="G127" s="93"/>
      <c r="H127" s="98"/>
      <c r="I127" s="13" t="s">
        <v>99</v>
      </c>
      <c r="J127" s="29">
        <f ca="1">H123</f>
        <v>7</v>
      </c>
    </row>
    <row r="128" spans="1:10" ht="15.75" customHeight="1" x14ac:dyDescent="0.25">
      <c r="A128" s="88" t="s">
        <v>125</v>
      </c>
      <c r="B128" s="89"/>
      <c r="C128" s="43">
        <v>2</v>
      </c>
      <c r="D128" s="19">
        <f ca="1">((100/(D123+F123+H123))*C128)/100</f>
        <v>0.25</v>
      </c>
      <c r="E128" s="93"/>
      <c r="F128" s="94"/>
      <c r="G128" s="93"/>
      <c r="H128" s="98"/>
      <c r="I128" s="13" t="s">
        <v>100</v>
      </c>
      <c r="J128" s="30">
        <f ca="1">(IF(B123&gt;1,(H123/(B123+2)),H123/4))</f>
        <v>1.75</v>
      </c>
    </row>
    <row r="129" spans="1:10" ht="15.75" customHeight="1" x14ac:dyDescent="0.25">
      <c r="A129" s="88" t="s">
        <v>132</v>
      </c>
      <c r="B129" s="89" t="s">
        <v>126</v>
      </c>
      <c r="C129" s="43">
        <v>0</v>
      </c>
      <c r="D129" s="19">
        <f ca="1">((100/H123)*C129)/100</f>
        <v>0</v>
      </c>
      <c r="E129" s="93"/>
      <c r="F129" s="94"/>
      <c r="G129" s="93"/>
      <c r="H129" s="98"/>
      <c r="I129" s="13" t="s">
        <v>101</v>
      </c>
      <c r="J129" s="30">
        <f ca="1">(IF(B123&gt;1,(H123/(B123+2)+J128),H123/4+J128))</f>
        <v>3.5</v>
      </c>
    </row>
    <row r="130" spans="1:10" ht="15.75" customHeight="1" x14ac:dyDescent="0.25">
      <c r="A130" s="88" t="s">
        <v>133</v>
      </c>
      <c r="B130" s="89" t="s">
        <v>126</v>
      </c>
      <c r="C130" s="43">
        <v>0</v>
      </c>
      <c r="D130" s="19">
        <f ca="1">((100/H123)*C130)/100</f>
        <v>0</v>
      </c>
      <c r="E130" s="93"/>
      <c r="F130" s="94"/>
      <c r="G130" s="93"/>
      <c r="H130" s="98"/>
      <c r="I130" s="13" t="s">
        <v>142</v>
      </c>
      <c r="J130" s="30">
        <f>(IF(B123&gt;1,(H123/(B123+2)+J129),0))</f>
        <v>0</v>
      </c>
    </row>
    <row r="131" spans="1:10" ht="15" customHeight="1" x14ac:dyDescent="0.25">
      <c r="A131" s="88" t="s">
        <v>131</v>
      </c>
      <c r="B131" s="89" t="s">
        <v>128</v>
      </c>
      <c r="C131" s="43">
        <v>0</v>
      </c>
      <c r="D131" s="19">
        <f ca="1">((100/(H123))*C131)/100</f>
        <v>0</v>
      </c>
      <c r="E131" s="93"/>
      <c r="F131" s="94"/>
      <c r="G131" s="93"/>
      <c r="H131" s="98"/>
      <c r="I131" s="13" t="s">
        <v>139</v>
      </c>
      <c r="J131" s="30">
        <f>(IF(B123&gt;2,(H123/(B123+2)+J130),0))</f>
        <v>0</v>
      </c>
    </row>
    <row r="132" spans="1:10" ht="15.75" customHeight="1" x14ac:dyDescent="0.25">
      <c r="A132" s="88" t="s">
        <v>127</v>
      </c>
      <c r="B132" s="89" t="s">
        <v>127</v>
      </c>
      <c r="C132" s="43">
        <v>0</v>
      </c>
      <c r="D132" s="19">
        <f ca="1">((100/H123)*C132)/100</f>
        <v>0</v>
      </c>
      <c r="E132" s="93"/>
      <c r="F132" s="94"/>
      <c r="G132" s="93"/>
      <c r="H132" s="98"/>
      <c r="I132" s="13" t="s">
        <v>140</v>
      </c>
      <c r="J132" s="31">
        <f>(IF(B123&gt;3,(H123/(B123+2)+J131),0))</f>
        <v>0</v>
      </c>
    </row>
    <row r="133" spans="1:10" ht="15.75" customHeight="1" x14ac:dyDescent="0.25">
      <c r="A133" s="88" t="s">
        <v>134</v>
      </c>
      <c r="B133" s="89"/>
      <c r="C133" s="43">
        <v>0</v>
      </c>
      <c r="D133" s="19">
        <f ca="1">((100/H123)*C133)/100</f>
        <v>0</v>
      </c>
      <c r="E133" s="93"/>
      <c r="F133" s="94"/>
      <c r="G133" s="93"/>
      <c r="H133" s="98"/>
      <c r="I133" s="13" t="s">
        <v>141</v>
      </c>
      <c r="J133" s="30">
        <f>(IF(B123&gt;4,(H123/(B123+2)+J132),0))</f>
        <v>0</v>
      </c>
    </row>
    <row r="134" spans="1:10" ht="15.75" customHeight="1" x14ac:dyDescent="0.25">
      <c r="A134" s="88" t="s">
        <v>129</v>
      </c>
      <c r="B134" s="89" t="s">
        <v>129</v>
      </c>
      <c r="C134" s="43">
        <v>0</v>
      </c>
      <c r="D134" s="19">
        <f ca="1">((100/(H123))*C134)/100</f>
        <v>0</v>
      </c>
      <c r="E134" s="93"/>
      <c r="F134" s="94"/>
      <c r="G134" s="93"/>
      <c r="H134" s="98"/>
      <c r="I134" s="13" t="s">
        <v>143</v>
      </c>
      <c r="J134" s="30">
        <f ca="1">(IF(B123=1,(H123/(B123+3)+J129),IF(B123=0,(H123/4+J129),IF(B123&gt;1,0))))</f>
        <v>5.25</v>
      </c>
    </row>
    <row r="135" spans="1:10" ht="16.5" thickBot="1" x14ac:dyDescent="0.3">
      <c r="A135" s="100" t="s">
        <v>130</v>
      </c>
      <c r="B135" s="101"/>
      <c r="C135" s="44">
        <v>0</v>
      </c>
      <c r="D135" s="20">
        <f ca="1">((100/(H123))*C135)/100</f>
        <v>0</v>
      </c>
      <c r="E135" s="95"/>
      <c r="F135" s="96"/>
      <c r="G135" s="95"/>
      <c r="H135" s="99"/>
      <c r="I135" s="15" t="s">
        <v>102</v>
      </c>
      <c r="J135" s="32">
        <f ca="1">(IF(B123&gt;1.5,(H123/(B123+2)+J129+MAX(0,J130-J129)+MAX(0,J131-J130)+MAX(0,J132-J131)+MAX(0,J133-J132)+MAX(0,J134-J133)),IF(B123=1,(H123/(B123+3)+J134),IF(B123=0,H123/4+J134))))</f>
        <v>7</v>
      </c>
    </row>
    <row r="136" spans="1:10" ht="15.75" customHeight="1" x14ac:dyDescent="0.25">
      <c r="A136" s="104" t="s">
        <v>136</v>
      </c>
      <c r="B136" s="105"/>
      <c r="C136" s="106" t="s">
        <v>361</v>
      </c>
      <c r="D136" s="107"/>
      <c r="E136" s="107"/>
      <c r="F136" s="107"/>
      <c r="G136" s="107"/>
      <c r="H136" s="108"/>
      <c r="I136" s="49" t="str">
        <f ca="1">IF(D149=100%,"All work Completed. Possession granted to the Building.",IF(D148=100%,"All work Completed, Waiting for OC",I137&amp;""&amp;I138&amp;""&amp;J137&amp;""&amp;J136&amp;" "&amp;J138))</f>
        <v>Excavation, Plinth Completed, RCC upto 1 Slab Completed</v>
      </c>
      <c r="J136" s="50" t="str">
        <f ca="1">(IF(C142=(D137+F137+H137),"",IF(C142&gt;0,", RCC upto "&amp;C142&amp;" Slab","")))&amp;(IF(C143=H137,"",IF(C143&gt;0,", Brickwork upto "&amp;C143&amp;" Floor","")))&amp;(IF(C144=H137,"",IF(C144&gt;0,", Internal Plaster upto "&amp;C144&amp;" Floor","")))&amp;(IF(C145=H137,"",IF(C145&gt;0,", External Plaster upto "&amp;C145&amp;" Floor","")))&amp;(IF(C146=H137,"",IF(C146&gt;0,", Flooring upto "&amp;C146&amp;" Floor","")))&amp;(IF(C147=H137,"",IF(C147&gt;0,", Painting upto "&amp;C147&amp;" Floor","")))&amp;(IF(C148=H137,"",IF(C148&gt;0,", Finishing upto "&amp;C148&amp;" Floor","")))&amp;(IF(C149=H137,"",IF(C149&gt;0,", Possession upto "&amp;C149&amp;" Floor","")))</f>
        <v>, RCC upto 1 Slab</v>
      </c>
    </row>
    <row r="137" spans="1:10" x14ac:dyDescent="0.25">
      <c r="A137" s="16" t="s">
        <v>138</v>
      </c>
      <c r="B137" s="47">
        <f>IF(AND(ISNUMBER(SEARCH("1B",C136))),1,IF(AND(ISNUMBER(SEARCH("2B",C136))),2,IF(AND(ISNUMBER(SEARCH("3B",C136))),3,IF(AND(ISNUMBER(SEARCH("4B",C136))),4,IF(ISNUMBER(SEARCH("5B",C136)),5,0)))))</f>
        <v>0</v>
      </c>
      <c r="C137" s="47" t="s">
        <v>69</v>
      </c>
      <c r="D137" s="47">
        <v>1</v>
      </c>
      <c r="E137" s="47" t="s">
        <v>68</v>
      </c>
      <c r="F137" s="47">
        <v>0</v>
      </c>
      <c r="G137" s="48" t="s">
        <v>77</v>
      </c>
      <c r="H137" s="17">
        <f ca="1">--TRIM(RIGHT(SUBSTITUTE(LEFT(C136,_xlfn.AGGREGATE(16,6,FIND({0,1,2,3,4,5,6,7,8,9},C136,ROW(INDIRECT("1:"&amp;LEN(C136)))),1))," ",REPT(" ",LEN(C136))),LEN(C136)))</f>
        <v>7</v>
      </c>
      <c r="I137" s="51" t="str">
        <f ca="1">IF(D140=100%,"Excavation","")&amp;IF(D141=100%,", Plinth","")&amp;IF(D142=100%,", RCC Slab","")&amp;IF(D143=100%,", Brickwork","")&amp;IF(D144=100%,", Internal Plaster","")&amp;IF(D145=100%,", External Plaster","")&amp;IF(D146=100%,", Flooring","")&amp;IF(D147=100%,", Painting","")&amp;IF(D148=100%,", Building common Amenities","")</f>
        <v>Excavation, Plinth</v>
      </c>
      <c r="J137" s="52" t="str">
        <f ca="1">(IF(C140=0,"Work not yet Started.",IF(D140=25%,"Piling work in process",IF(D140=50%,"Excavation work in process",IF(D140=100%,"","0")))))&amp;(IF(C141=0%,"",IF(C141=J142,", Footing work is process",IF(C141=J143,", Footing work Completed",IF(C141=J144,", 1st Basement Completed",IF(C141=J145,", 1st &amp; 2nd Basement Completed",IF(C141=J146,", 1st to 3rd Basement Completed",IF(C141=J147,", 1st to 4th Basement Completed",IF(C141=J148,", Plinth work is process",IF(C141=J149,"","0"))))))))))</f>
        <v/>
      </c>
    </row>
    <row r="138" spans="1:10" x14ac:dyDescent="0.25">
      <c r="A138" s="102" t="s">
        <v>87</v>
      </c>
      <c r="B138" s="103"/>
      <c r="C138" s="86" t="str">
        <f ca="1">(IF($G$60="NA",I136,"All work Completed. OC Received."))</f>
        <v>Excavation, Plinth Completed, RCC upto 1 Slab Completed</v>
      </c>
      <c r="D138" s="86"/>
      <c r="E138" s="86"/>
      <c r="F138" s="86"/>
      <c r="G138" s="86"/>
      <c r="H138" s="87"/>
      <c r="I138" s="51" t="str">
        <f ca="1">IF(I137&lt;&gt;""," Completed","")</f>
        <v xml:space="preserve"> Completed</v>
      </c>
      <c r="J138" s="52" t="str">
        <f ca="1">IF(J136&lt;&gt;"","Completed","")</f>
        <v>Completed</v>
      </c>
    </row>
    <row r="139" spans="1:10" ht="15.75" customHeight="1" x14ac:dyDescent="0.25">
      <c r="A139" s="88" t="s">
        <v>47</v>
      </c>
      <c r="B139" s="89"/>
      <c r="C139" s="43" t="s">
        <v>135</v>
      </c>
      <c r="D139" s="43" t="s">
        <v>80</v>
      </c>
      <c r="E139" s="89" t="s">
        <v>82</v>
      </c>
      <c r="F139" s="89"/>
      <c r="G139" s="89" t="s">
        <v>81</v>
      </c>
      <c r="H139" s="90"/>
      <c r="I139" s="13" t="s">
        <v>137</v>
      </c>
      <c r="J139" s="28">
        <f ca="1">H137*25%</f>
        <v>1.75</v>
      </c>
    </row>
    <row r="140" spans="1:10" x14ac:dyDescent="0.25">
      <c r="A140" s="88" t="s">
        <v>124</v>
      </c>
      <c r="B140" s="89"/>
      <c r="C140" s="43">
        <f ca="1">J141</f>
        <v>7</v>
      </c>
      <c r="D140" s="19">
        <f ca="1">((100/H137)*C140)/100</f>
        <v>1</v>
      </c>
      <c r="E140" s="91">
        <f ca="1">(((C141/H137*10)+(40/(D137+F137+H137)*C142)+(7.5/(H137)*C143)+(7.5/(H137)*C144)+(10/H137*C145)+(10/H137*C146)+(5/H137*C147)+(5/H137*C148)+(5/H137*C149))/100)</f>
        <v>0.15</v>
      </c>
      <c r="F140" s="92"/>
      <c r="G140" s="91">
        <f ca="1">((((C140/H137)*20)+((C141/H137)*25)+(30/(H137+F137+D137)*C142)+(5/H137*C143)+(5/H137*C144)+(5/H137*C145)+(5/H137*C146)+(0/H137*C147)+(0/H137*C148)+(5/H137*C149))/100)</f>
        <v>0.48749999999999999</v>
      </c>
      <c r="H140" s="97"/>
      <c r="I140" s="13" t="s">
        <v>98</v>
      </c>
      <c r="J140" s="29">
        <f ca="1">H137*50%</f>
        <v>3.5</v>
      </c>
    </row>
    <row r="141" spans="1:10" x14ac:dyDescent="0.25">
      <c r="A141" s="88" t="s">
        <v>48</v>
      </c>
      <c r="B141" s="89"/>
      <c r="C141" s="43">
        <f ca="1">J149</f>
        <v>7</v>
      </c>
      <c r="D141" s="19">
        <f ca="1">((100/H137)*C141)/100</f>
        <v>1</v>
      </c>
      <c r="E141" s="93"/>
      <c r="F141" s="94"/>
      <c r="G141" s="93"/>
      <c r="H141" s="98"/>
      <c r="I141" s="13" t="s">
        <v>99</v>
      </c>
      <c r="J141" s="29">
        <f ca="1">H137</f>
        <v>7</v>
      </c>
    </row>
    <row r="142" spans="1:10" ht="15.75" customHeight="1" x14ac:dyDescent="0.25">
      <c r="A142" s="88" t="s">
        <v>125</v>
      </c>
      <c r="B142" s="89"/>
      <c r="C142" s="43">
        <v>1</v>
      </c>
      <c r="D142" s="19">
        <f ca="1">((100/(D137+F137+H137))*C142)/100</f>
        <v>0.125</v>
      </c>
      <c r="E142" s="93"/>
      <c r="F142" s="94"/>
      <c r="G142" s="93"/>
      <c r="H142" s="98"/>
      <c r="I142" s="13" t="s">
        <v>100</v>
      </c>
      <c r="J142" s="30">
        <f ca="1">(IF(B137&gt;1,(H137/(B137+2)),H137/4))</f>
        <v>1.75</v>
      </c>
    </row>
    <row r="143" spans="1:10" ht="15.75" customHeight="1" x14ac:dyDescent="0.25">
      <c r="A143" s="88" t="s">
        <v>132</v>
      </c>
      <c r="B143" s="89" t="s">
        <v>126</v>
      </c>
      <c r="C143" s="43">
        <v>0</v>
      </c>
      <c r="D143" s="19">
        <f ca="1">((100/H137)*C143)/100</f>
        <v>0</v>
      </c>
      <c r="E143" s="93"/>
      <c r="F143" s="94"/>
      <c r="G143" s="93"/>
      <c r="H143" s="98"/>
      <c r="I143" s="13" t="s">
        <v>101</v>
      </c>
      <c r="J143" s="30">
        <f ca="1">(IF(B137&gt;1,(H137/(B137+2)+J142),H137/4+J142))</f>
        <v>3.5</v>
      </c>
    </row>
    <row r="144" spans="1:10" ht="15.75" customHeight="1" x14ac:dyDescent="0.25">
      <c r="A144" s="88" t="s">
        <v>133</v>
      </c>
      <c r="B144" s="89" t="s">
        <v>126</v>
      </c>
      <c r="C144" s="43">
        <v>0</v>
      </c>
      <c r="D144" s="19">
        <f ca="1">((100/H137)*C144)/100</f>
        <v>0</v>
      </c>
      <c r="E144" s="93"/>
      <c r="F144" s="94"/>
      <c r="G144" s="93"/>
      <c r="H144" s="98"/>
      <c r="I144" s="13" t="s">
        <v>142</v>
      </c>
      <c r="J144" s="30">
        <f>(IF(B137&gt;1,(H137/(B137+2)+J143),0))</f>
        <v>0</v>
      </c>
    </row>
    <row r="145" spans="1:10" ht="15" customHeight="1" x14ac:dyDescent="0.25">
      <c r="A145" s="88" t="s">
        <v>131</v>
      </c>
      <c r="B145" s="89" t="s">
        <v>128</v>
      </c>
      <c r="C145" s="43">
        <v>0</v>
      </c>
      <c r="D145" s="19">
        <f ca="1">((100/(H137))*C145)/100</f>
        <v>0</v>
      </c>
      <c r="E145" s="93"/>
      <c r="F145" s="94"/>
      <c r="G145" s="93"/>
      <c r="H145" s="98"/>
      <c r="I145" s="13" t="s">
        <v>139</v>
      </c>
      <c r="J145" s="30">
        <f>(IF(B137&gt;2,(H137/(B137+2)+J144),0))</f>
        <v>0</v>
      </c>
    </row>
    <row r="146" spans="1:10" ht="15.75" customHeight="1" x14ac:dyDescent="0.25">
      <c r="A146" s="88" t="s">
        <v>127</v>
      </c>
      <c r="B146" s="89" t="s">
        <v>127</v>
      </c>
      <c r="C146" s="43">
        <v>0</v>
      </c>
      <c r="D146" s="19">
        <f ca="1">((100/H137)*C146)/100</f>
        <v>0</v>
      </c>
      <c r="E146" s="93"/>
      <c r="F146" s="94"/>
      <c r="G146" s="93"/>
      <c r="H146" s="98"/>
      <c r="I146" s="13" t="s">
        <v>140</v>
      </c>
      <c r="J146" s="31">
        <f>(IF(B137&gt;3,(H137/(B137+2)+J145),0))</f>
        <v>0</v>
      </c>
    </row>
    <row r="147" spans="1:10" ht="15.75" customHeight="1" x14ac:dyDescent="0.25">
      <c r="A147" s="88" t="s">
        <v>134</v>
      </c>
      <c r="B147" s="89"/>
      <c r="C147" s="43">
        <v>0</v>
      </c>
      <c r="D147" s="19">
        <f ca="1">((100/H137)*C147)/100</f>
        <v>0</v>
      </c>
      <c r="E147" s="93"/>
      <c r="F147" s="94"/>
      <c r="G147" s="93"/>
      <c r="H147" s="98"/>
      <c r="I147" s="13" t="s">
        <v>141</v>
      </c>
      <c r="J147" s="30">
        <f>(IF(B137&gt;4,(H137/(B137+2)+J146),0))</f>
        <v>0</v>
      </c>
    </row>
    <row r="148" spans="1:10" ht="15.75" customHeight="1" x14ac:dyDescent="0.25">
      <c r="A148" s="88" t="s">
        <v>129</v>
      </c>
      <c r="B148" s="89" t="s">
        <v>129</v>
      </c>
      <c r="C148" s="43">
        <v>0</v>
      </c>
      <c r="D148" s="19">
        <f ca="1">((100/(H137))*C148)/100</f>
        <v>0</v>
      </c>
      <c r="E148" s="93"/>
      <c r="F148" s="94"/>
      <c r="G148" s="93"/>
      <c r="H148" s="98"/>
      <c r="I148" s="13" t="s">
        <v>143</v>
      </c>
      <c r="J148" s="30">
        <f ca="1">(IF(B137=1,(H137/(B137+3)+J143),IF(B137=0,(H137/4+J143),IF(B137&gt;1,0))))</f>
        <v>5.25</v>
      </c>
    </row>
    <row r="149" spans="1:10" ht="16.5" thickBot="1" x14ac:dyDescent="0.3">
      <c r="A149" s="100" t="s">
        <v>130</v>
      </c>
      <c r="B149" s="101"/>
      <c r="C149" s="44">
        <v>0</v>
      </c>
      <c r="D149" s="20">
        <f ca="1">((100/(H137))*C149)/100</f>
        <v>0</v>
      </c>
      <c r="E149" s="95"/>
      <c r="F149" s="96"/>
      <c r="G149" s="95"/>
      <c r="H149" s="99"/>
      <c r="I149" s="15" t="s">
        <v>102</v>
      </c>
      <c r="J149" s="32">
        <f ca="1">(IF(B137&gt;1.5,(H137/(B137+2)+J143+MAX(0,J144-J143)+MAX(0,J145-J144)+MAX(0,J146-J145)+MAX(0,J147-J146)+MAX(0,J148-J147)),IF(B137=1,(H137/(B137+3)+J148),IF(B137=0,H137/4+J148))))</f>
        <v>7</v>
      </c>
    </row>
    <row r="150" spans="1:10" ht="15.75" customHeight="1" x14ac:dyDescent="0.25">
      <c r="A150" s="104" t="s">
        <v>136</v>
      </c>
      <c r="B150" s="105"/>
      <c r="C150" s="106" t="s">
        <v>324</v>
      </c>
      <c r="D150" s="107"/>
      <c r="E150" s="107"/>
      <c r="F150" s="107"/>
      <c r="G150" s="107"/>
      <c r="H150" s="108"/>
      <c r="I150" s="49" t="str">
        <f ca="1">IF(D163=100%,"All work Completed. Possession granted to the Building.",IF(D162=100%,"All work Completed, Waiting for OC",I151&amp;""&amp;I152&amp;""&amp;J151&amp;""&amp;J150&amp;" "&amp;J152))</f>
        <v>Excavation, Plinth Completed, RCC upto 3 Slab Completed</v>
      </c>
      <c r="J150" s="50" t="str">
        <f ca="1">(IF(C156=(D151+F151+H151),"",IF(C156&gt;0,", RCC upto "&amp;C156&amp;" Slab","")))&amp;(IF(C157=H151,"",IF(C157&gt;0,", Brickwork upto "&amp;C157&amp;" Floor","")))&amp;(IF(C158=H151,"",IF(C158&gt;0,", Internal Plaster upto "&amp;C158&amp;" Floor","")))&amp;(IF(C159=H151,"",IF(C159&gt;0,", External Plaster upto "&amp;C159&amp;" Floor","")))&amp;(IF(C160=H151,"",IF(C160&gt;0,", Flooring upto "&amp;C160&amp;" Floor","")))&amp;(IF(C161=H151,"",IF(C161&gt;0,", Painting upto "&amp;C161&amp;" Floor","")))&amp;(IF(C162=H151,"",IF(C162&gt;0,", Finishing upto "&amp;C162&amp;" Floor","")))&amp;(IF(C163=H151,"",IF(C163&gt;0,", Possession upto "&amp;C163&amp;" Floor","")))</f>
        <v>, RCC upto 3 Slab</v>
      </c>
    </row>
    <row r="151" spans="1:10" x14ac:dyDescent="0.25">
      <c r="A151" s="16" t="s">
        <v>138</v>
      </c>
      <c r="B151" s="47">
        <f>IF(AND(ISNUMBER(SEARCH("1B",C150))),1,IF(AND(ISNUMBER(SEARCH("2B",C150))),2,IF(AND(ISNUMBER(SEARCH("3B",C150))),3,IF(AND(ISNUMBER(SEARCH("4B",C150))),4,IF(ISNUMBER(SEARCH("5B",C150)),5,0)))))</f>
        <v>0</v>
      </c>
      <c r="C151" s="47" t="s">
        <v>69</v>
      </c>
      <c r="D151" s="47">
        <v>1</v>
      </c>
      <c r="E151" s="47" t="s">
        <v>68</v>
      </c>
      <c r="F151" s="47">
        <v>0</v>
      </c>
      <c r="G151" s="47" t="s">
        <v>77</v>
      </c>
      <c r="H151" s="17">
        <f ca="1">--TRIM(RIGHT(SUBSTITUTE(LEFT(C150,_xlfn.AGGREGATE(16,6,FIND({0,1,2,3,4,5,6,7,8,9},C150,ROW(INDIRECT("1:"&amp;LEN(C150)))),1))," ",REPT(" ",LEN(C150))),LEN(C150)))</f>
        <v>7</v>
      </c>
      <c r="I151" s="51" t="str">
        <f ca="1">IF(D154=100%,"Excavation","")&amp;IF(D155=100%,", Plinth","")&amp;IF(D156=100%,", RCC Slab","")&amp;IF(D157=100%,", Brickwork","")&amp;IF(D158=100%,", Internal Plaster","")&amp;IF(D159=100%,", External Plaster","")&amp;IF(D160=100%,", Flooring","")&amp;IF(D161=100%,", Painting","")&amp;IF(D162=100%,", Building common Amenities","")</f>
        <v>Excavation, Plinth</v>
      </c>
      <c r="J151" s="52" t="str">
        <f ca="1">(IF(C154=0,"Work not yet Started.",IF(D154=25%,"Piling work in process",IF(D154=50%,"Excavation work in process",IF(D154=100%,"","0")))))&amp;(IF(C155=0%,"",IF(C155=J156,", Footing work is process",IF(C155=J157,", Footing work Completed",IF(C155=J158,", 1st Basement Completed",IF(C155=J159,", 1st &amp; 2nd Basement Completed",IF(C155=J160,", 1st to 3rd Basement Completed",IF(C155=J161,", 1st to 4th Basement Completed",IF(C155=J162,", Plinth work is process",IF(C155=J163,"","0"))))))))))</f>
        <v/>
      </c>
    </row>
    <row r="152" spans="1:10" x14ac:dyDescent="0.25">
      <c r="A152" s="102" t="s">
        <v>87</v>
      </c>
      <c r="B152" s="103"/>
      <c r="C152" s="86" t="str">
        <f ca="1">(IF($G$60="NA",I150,"All work Completed. OC Received."))</f>
        <v>Excavation, Plinth Completed, RCC upto 3 Slab Completed</v>
      </c>
      <c r="D152" s="86"/>
      <c r="E152" s="86"/>
      <c r="F152" s="86"/>
      <c r="G152" s="86"/>
      <c r="H152" s="87"/>
      <c r="I152" s="51" t="str">
        <f ca="1">IF(I151&lt;&gt;""," Completed","")</f>
        <v xml:space="preserve"> Completed</v>
      </c>
      <c r="J152" s="52" t="str">
        <f ca="1">IF(J150&lt;&gt;"","Completed","")</f>
        <v>Completed</v>
      </c>
    </row>
    <row r="153" spans="1:10" ht="15.75" customHeight="1" x14ac:dyDescent="0.25">
      <c r="A153" s="88" t="s">
        <v>47</v>
      </c>
      <c r="B153" s="89"/>
      <c r="C153" s="66" t="s">
        <v>135</v>
      </c>
      <c r="D153" s="66" t="s">
        <v>80</v>
      </c>
      <c r="E153" s="109" t="s">
        <v>82</v>
      </c>
      <c r="F153" s="109"/>
      <c r="G153" s="109" t="s">
        <v>81</v>
      </c>
      <c r="H153" s="110"/>
      <c r="I153" s="13" t="s">
        <v>137</v>
      </c>
      <c r="J153" s="28">
        <f ca="1">H151*25%</f>
        <v>1.75</v>
      </c>
    </row>
    <row r="154" spans="1:10" x14ac:dyDescent="0.25">
      <c r="A154" s="88" t="s">
        <v>124</v>
      </c>
      <c r="B154" s="89"/>
      <c r="C154" s="66">
        <f ca="1">J155</f>
        <v>7</v>
      </c>
      <c r="D154" s="67">
        <f ca="1">((100/H151)*C154)/100</f>
        <v>1</v>
      </c>
      <c r="E154" s="111">
        <f ca="1">(((C155/H151*10)+(40/(D151+F151+H151)*C156)+(7.5/(H151)*C157)+(7.5/(H151)*C158)+(10/H151*C159)+(10/H151*C160)+(5/H151*C161)+(5/H151*C162)+(5/H151*C163))/100)</f>
        <v>0.25</v>
      </c>
      <c r="F154" s="112"/>
      <c r="G154" s="111">
        <f ca="1">((((C154/H151)*20)+((C155/H151)*25)+(30/(H151+F151+D151)*C156)+(5/H151*C157)+(5/H151*C158)+(5/H151*C159)+(5/H151*C160)+(0/H151*C161)+(0/H151*C162)+(5/H151*C163))/100)</f>
        <v>0.5625</v>
      </c>
      <c r="H154" s="117"/>
      <c r="I154" s="13" t="s">
        <v>98</v>
      </c>
      <c r="J154" s="29">
        <f ca="1">H151*50%</f>
        <v>3.5</v>
      </c>
    </row>
    <row r="155" spans="1:10" x14ac:dyDescent="0.25">
      <c r="A155" s="88" t="s">
        <v>48</v>
      </c>
      <c r="B155" s="89"/>
      <c r="C155" s="68">
        <f ca="1">J163</f>
        <v>7</v>
      </c>
      <c r="D155" s="67">
        <f ca="1">((100/H151)*C155)/100</f>
        <v>1</v>
      </c>
      <c r="E155" s="113"/>
      <c r="F155" s="114"/>
      <c r="G155" s="113"/>
      <c r="H155" s="118"/>
      <c r="I155" s="13" t="s">
        <v>99</v>
      </c>
      <c r="J155" s="29">
        <f ca="1">H151</f>
        <v>7</v>
      </c>
    </row>
    <row r="156" spans="1:10" ht="15.75" customHeight="1" x14ac:dyDescent="0.25">
      <c r="A156" s="88" t="s">
        <v>125</v>
      </c>
      <c r="B156" s="89"/>
      <c r="C156" s="66">
        <v>3</v>
      </c>
      <c r="D156" s="67">
        <f ca="1">((100/(D151+F151+H151))*C156)/100</f>
        <v>0.375</v>
      </c>
      <c r="E156" s="113"/>
      <c r="F156" s="114"/>
      <c r="G156" s="113"/>
      <c r="H156" s="118"/>
      <c r="I156" s="13" t="s">
        <v>100</v>
      </c>
      <c r="J156" s="30">
        <f ca="1">(IF(B151&gt;1,(H151/(B151+2)),H151/4))</f>
        <v>1.75</v>
      </c>
    </row>
    <row r="157" spans="1:10" ht="15.75" customHeight="1" x14ac:dyDescent="0.25">
      <c r="A157" s="88" t="s">
        <v>132</v>
      </c>
      <c r="B157" s="89" t="s">
        <v>126</v>
      </c>
      <c r="C157" s="66">
        <v>0</v>
      </c>
      <c r="D157" s="67">
        <f ca="1">((100/H151)*C157)/100</f>
        <v>0</v>
      </c>
      <c r="E157" s="113"/>
      <c r="F157" s="114"/>
      <c r="G157" s="113"/>
      <c r="H157" s="118"/>
      <c r="I157" s="13" t="s">
        <v>101</v>
      </c>
      <c r="J157" s="30">
        <f ca="1">(IF(B151&gt;1,(H151/(B151+2)+J156),H151/4+J156))</f>
        <v>3.5</v>
      </c>
    </row>
    <row r="158" spans="1:10" ht="15.75" customHeight="1" x14ac:dyDescent="0.25">
      <c r="A158" s="88" t="s">
        <v>133</v>
      </c>
      <c r="B158" s="89" t="s">
        <v>126</v>
      </c>
      <c r="C158" s="66">
        <v>0</v>
      </c>
      <c r="D158" s="67">
        <f ca="1">((100/H151)*C158)/100</f>
        <v>0</v>
      </c>
      <c r="E158" s="113"/>
      <c r="F158" s="114"/>
      <c r="G158" s="113"/>
      <c r="H158" s="118"/>
      <c r="I158" s="13" t="s">
        <v>142</v>
      </c>
      <c r="J158" s="30">
        <f>(IF(B151&gt;1,(H151/(B151+2)+J157),0))</f>
        <v>0</v>
      </c>
    </row>
    <row r="159" spans="1:10" ht="15" customHeight="1" x14ac:dyDescent="0.25">
      <c r="A159" s="88" t="s">
        <v>131</v>
      </c>
      <c r="B159" s="89" t="s">
        <v>128</v>
      </c>
      <c r="C159" s="66">
        <v>0</v>
      </c>
      <c r="D159" s="67">
        <f ca="1">((100/(H151))*C159)/100</f>
        <v>0</v>
      </c>
      <c r="E159" s="113"/>
      <c r="F159" s="114"/>
      <c r="G159" s="113"/>
      <c r="H159" s="118"/>
      <c r="I159" s="13" t="s">
        <v>139</v>
      </c>
      <c r="J159" s="30">
        <f>(IF(B151&gt;2,(H151/(B151+2)+J158),0))</f>
        <v>0</v>
      </c>
    </row>
    <row r="160" spans="1:10" ht="15.75" customHeight="1" x14ac:dyDescent="0.25">
      <c r="A160" s="88" t="s">
        <v>127</v>
      </c>
      <c r="B160" s="89" t="s">
        <v>127</v>
      </c>
      <c r="C160" s="66">
        <v>0</v>
      </c>
      <c r="D160" s="67">
        <f ca="1">((100/H151)*C160)/100</f>
        <v>0</v>
      </c>
      <c r="E160" s="113"/>
      <c r="F160" s="114"/>
      <c r="G160" s="113"/>
      <c r="H160" s="118"/>
      <c r="I160" s="13" t="s">
        <v>140</v>
      </c>
      <c r="J160" s="31">
        <f>(IF(B151&gt;3,(H151/(B151+2)+J159),0))</f>
        <v>0</v>
      </c>
    </row>
    <row r="161" spans="1:10" ht="15.75" customHeight="1" x14ac:dyDescent="0.25">
      <c r="A161" s="88" t="s">
        <v>134</v>
      </c>
      <c r="B161" s="89"/>
      <c r="C161" s="66">
        <v>0</v>
      </c>
      <c r="D161" s="67">
        <f ca="1">((100/H151)*C161)/100</f>
        <v>0</v>
      </c>
      <c r="E161" s="113"/>
      <c r="F161" s="114"/>
      <c r="G161" s="113"/>
      <c r="H161" s="118"/>
      <c r="I161" s="13" t="s">
        <v>141</v>
      </c>
      <c r="J161" s="30">
        <f>(IF(B151&gt;4,(H151/(B151+2)+J160),0))</f>
        <v>0</v>
      </c>
    </row>
    <row r="162" spans="1:10" ht="15.75" customHeight="1" x14ac:dyDescent="0.25">
      <c r="A162" s="88" t="s">
        <v>129</v>
      </c>
      <c r="B162" s="89" t="s">
        <v>129</v>
      </c>
      <c r="C162" s="66">
        <v>0</v>
      </c>
      <c r="D162" s="67">
        <f ca="1">((100/(H151))*C162)/100</f>
        <v>0</v>
      </c>
      <c r="E162" s="113"/>
      <c r="F162" s="114"/>
      <c r="G162" s="113"/>
      <c r="H162" s="118"/>
      <c r="I162" s="13" t="s">
        <v>143</v>
      </c>
      <c r="J162" s="30">
        <f ca="1">(IF(B151=1,(H151/(B151+3)+J157),IF(B151=0,(H151/4+J157),IF(B151&gt;1,0))))</f>
        <v>5.25</v>
      </c>
    </row>
    <row r="163" spans="1:10" ht="16.5" thickBot="1" x14ac:dyDescent="0.3">
      <c r="A163" s="100" t="s">
        <v>130</v>
      </c>
      <c r="B163" s="101"/>
      <c r="C163" s="69">
        <v>0</v>
      </c>
      <c r="D163" s="70">
        <f ca="1">((100/(H151))*C163)/100</f>
        <v>0</v>
      </c>
      <c r="E163" s="115"/>
      <c r="F163" s="116"/>
      <c r="G163" s="115"/>
      <c r="H163" s="119"/>
      <c r="I163" s="15" t="s">
        <v>102</v>
      </c>
      <c r="J163" s="32">
        <f ca="1">(IF(B151&gt;1.5,(H151/(B151+2)+J157+MAX(0,J158-J157)+MAX(0,J159-J158)+MAX(0,J160-J159)+MAX(0,J161-J160)+MAX(0,J162-J161)),IF(B151=1,(H151/(B151+3)+J162),IF(B151=0,H151/4+J162))))</f>
        <v>7</v>
      </c>
    </row>
    <row r="164" spans="1:10" ht="15.75" customHeight="1" x14ac:dyDescent="0.25">
      <c r="A164" s="104" t="s">
        <v>136</v>
      </c>
      <c r="B164" s="105"/>
      <c r="C164" s="106" t="str">
        <f>D71</f>
        <v>Wing B11 = Ground + 1st to 7th Floor</v>
      </c>
      <c r="D164" s="107"/>
      <c r="E164" s="107"/>
      <c r="F164" s="107"/>
      <c r="G164" s="107"/>
      <c r="H164" s="108"/>
      <c r="I164" s="49" t="str">
        <f ca="1">IF(D177=100%,"All work Completed. Possession granted to the Building.",IF(D176=100%,"All work Completed, Waiting for OC",I165&amp;""&amp;I166&amp;""&amp;J165&amp;""&amp;J164&amp;" "&amp;J166))</f>
        <v>Excavation, Plinth Completed, RCC upto 4 Slab Completed</v>
      </c>
      <c r="J164" s="50" t="str">
        <f ca="1">(IF(C170=(D165+F165+H165),"",IF(C170&gt;0,", RCC upto "&amp;C170&amp;" Slab","")))&amp;(IF(C171=H165,"",IF(C171&gt;0,", Brickwork upto "&amp;C171&amp;" Floor","")))&amp;(IF(C172=H165,"",IF(C172&gt;0,", Internal Plaster upto "&amp;C172&amp;" Floor","")))&amp;(IF(C173=H165,"",IF(C173&gt;0,", External Plaster upto "&amp;C173&amp;" Floor","")))&amp;(IF(C174=H165,"",IF(C174&gt;0,", Flooring upto "&amp;C174&amp;" Floor","")))&amp;(IF(C175=H165,"",IF(C175&gt;0,", Painting upto "&amp;C175&amp;" Floor","")))&amp;(IF(C176=H165,"",IF(C176&gt;0,", Finishing upto "&amp;C176&amp;" Floor","")))&amp;(IF(C177=H165,"",IF(C177&gt;0,", Possession upto "&amp;C177&amp;" Floor","")))</f>
        <v>, RCC upto 4 Slab</v>
      </c>
    </row>
    <row r="165" spans="1:10" x14ac:dyDescent="0.25">
      <c r="A165" s="16" t="s">
        <v>138</v>
      </c>
      <c r="B165" s="47">
        <f>IF(AND(ISNUMBER(SEARCH("1B",C164))),1,IF(AND(ISNUMBER(SEARCH("2B",C164))),2,IF(AND(ISNUMBER(SEARCH("3B",C164))),3,IF(AND(ISNUMBER(SEARCH("4B",C164))),4,IF(ISNUMBER(SEARCH("5B",C164)),5,0)))))</f>
        <v>0</v>
      </c>
      <c r="C165" s="47" t="s">
        <v>69</v>
      </c>
      <c r="D165" s="47">
        <v>1</v>
      </c>
      <c r="E165" s="47" t="s">
        <v>68</v>
      </c>
      <c r="F165" s="231">
        <v>0</v>
      </c>
      <c r="G165" s="48" t="s">
        <v>77</v>
      </c>
      <c r="H165" s="17">
        <f ca="1">--TRIM(RIGHT(SUBSTITUTE(LEFT(C164,_xlfn.AGGREGATE(16,6,FIND({0,1,2,3,4,5,6,7,8,9},C164,ROW(INDIRECT("1:"&amp;LEN(C164)))),1))," ",REPT(" ",LEN(C164))),LEN(C164)))</f>
        <v>7</v>
      </c>
      <c r="I165" s="51" t="str">
        <f ca="1">IF(D168=100%,"Excavation","")&amp;IF(D169=100%,", Plinth","")&amp;IF(D170=100%,", RCC Slab","")&amp;IF(D171=100%,", Brickwork","")&amp;IF(D172=100%,", Internal Plaster","")&amp;IF(D173=100%,", External Plaster","")&amp;IF(D174=100%,", Flooring","")&amp;IF(D175=100%,", Painting","")&amp;IF(D176=100%,", Building common Amenities","")</f>
        <v>Excavation, Plinth</v>
      </c>
      <c r="J165" s="52" t="str">
        <f ca="1">(IF(C168=0,"Work not yet Started.",IF(D168=25%,"Piling work in process",IF(D168=50%,"Excavation work in process",IF(D168=100%,"","0")))))&amp;(IF(C169=0%,"",IF(C169=J170,", Footing work is process",IF(C169=J171,", Footing work Completed",IF(C169=J172,", 1st Basement Completed",IF(C169=J173,", 1st &amp; 2nd Basement Completed",IF(C169=J174,", 1st to 3rd Basement Completed",IF(C169=J175,", 1st to 4th Basement Completed",IF(C169=J176,", Plinth work is process",IF(C169=J177,"","0"))))))))))</f>
        <v/>
      </c>
    </row>
    <row r="166" spans="1:10" x14ac:dyDescent="0.25">
      <c r="A166" s="102" t="s">
        <v>87</v>
      </c>
      <c r="B166" s="103"/>
      <c r="C166" s="86" t="str">
        <f ca="1">(IF($G$60="NA",I164,"All work Completed. OC Received."))</f>
        <v>Excavation, Plinth Completed, RCC upto 4 Slab Completed</v>
      </c>
      <c r="D166" s="86"/>
      <c r="E166" s="86"/>
      <c r="F166" s="86"/>
      <c r="G166" s="86"/>
      <c r="H166" s="87"/>
      <c r="I166" s="51" t="str">
        <f ca="1">IF(I165&lt;&gt;""," Completed","")</f>
        <v xml:space="preserve"> Completed</v>
      </c>
      <c r="J166" s="52" t="str">
        <f ca="1">IF(J164&lt;&gt;"","Completed","")</f>
        <v>Completed</v>
      </c>
    </row>
    <row r="167" spans="1:10" ht="15.75" customHeight="1" x14ac:dyDescent="0.25">
      <c r="A167" s="88" t="s">
        <v>47</v>
      </c>
      <c r="B167" s="89"/>
      <c r="C167" s="43" t="s">
        <v>135</v>
      </c>
      <c r="D167" s="43" t="s">
        <v>80</v>
      </c>
      <c r="E167" s="89" t="s">
        <v>82</v>
      </c>
      <c r="F167" s="89"/>
      <c r="G167" s="89" t="s">
        <v>81</v>
      </c>
      <c r="H167" s="90"/>
      <c r="I167" s="13" t="s">
        <v>137</v>
      </c>
      <c r="J167" s="28">
        <f ca="1">H165*25%</f>
        <v>1.75</v>
      </c>
    </row>
    <row r="168" spans="1:10" x14ac:dyDescent="0.25">
      <c r="A168" s="88" t="s">
        <v>124</v>
      </c>
      <c r="B168" s="89"/>
      <c r="C168" s="43">
        <f ca="1">J169</f>
        <v>7</v>
      </c>
      <c r="D168" s="19">
        <f ca="1">((100/H165)*C168)/100</f>
        <v>1</v>
      </c>
      <c r="E168" s="91">
        <f ca="1">(((C169/H165*10)+(40/(D165+F165+H165)*C170)+(7.5/(H165)*C171)+(7.5/(H165)*C172)+(10/H165*C173)+(10/H165*C174)+(5/H165*C175)+(5/H165*C176)+(5/H165*C177))/100)</f>
        <v>0.3</v>
      </c>
      <c r="F168" s="92"/>
      <c r="G168" s="91">
        <f ca="1">((((C168/H165)*20)+((C169/H165)*25)+(30/(H165+F165+D165)*C170)+(5/H165*C171)+(5/H165*C172)+(5/H165*C173)+(5/H165*C174)+(0/H165*C175)+(0/H165*C176)+(5/H165*C177))/100)</f>
        <v>0.6</v>
      </c>
      <c r="H168" s="97"/>
      <c r="I168" s="13" t="s">
        <v>98</v>
      </c>
      <c r="J168" s="29">
        <f ca="1">H165*50%</f>
        <v>3.5</v>
      </c>
    </row>
    <row r="169" spans="1:10" x14ac:dyDescent="0.25">
      <c r="A169" s="88" t="s">
        <v>48</v>
      </c>
      <c r="B169" s="89"/>
      <c r="C169" s="43">
        <f ca="1">J177</f>
        <v>7</v>
      </c>
      <c r="D169" s="19">
        <f ca="1">((100/H165)*C169)/100</f>
        <v>1</v>
      </c>
      <c r="E169" s="93"/>
      <c r="F169" s="94"/>
      <c r="G169" s="93"/>
      <c r="H169" s="98"/>
      <c r="I169" s="13" t="s">
        <v>99</v>
      </c>
      <c r="J169" s="29">
        <f ca="1">H165</f>
        <v>7</v>
      </c>
    </row>
    <row r="170" spans="1:10" ht="15.75" customHeight="1" x14ac:dyDescent="0.25">
      <c r="A170" s="88" t="s">
        <v>125</v>
      </c>
      <c r="B170" s="89"/>
      <c r="C170" s="43">
        <v>4</v>
      </c>
      <c r="D170" s="19">
        <f ca="1">((100/(D165+F165+H165))*C170)/100</f>
        <v>0.5</v>
      </c>
      <c r="E170" s="93"/>
      <c r="F170" s="94"/>
      <c r="G170" s="93"/>
      <c r="H170" s="98"/>
      <c r="I170" s="13" t="s">
        <v>100</v>
      </c>
      <c r="J170" s="30">
        <f ca="1">(IF(B165&gt;1,(H165/(B165+2)),H165/4))</f>
        <v>1.75</v>
      </c>
    </row>
    <row r="171" spans="1:10" ht="15.75" customHeight="1" x14ac:dyDescent="0.25">
      <c r="A171" s="88" t="s">
        <v>132</v>
      </c>
      <c r="B171" s="89" t="s">
        <v>126</v>
      </c>
      <c r="C171" s="43">
        <v>0</v>
      </c>
      <c r="D171" s="19">
        <f ca="1">((100/H165)*C171)/100</f>
        <v>0</v>
      </c>
      <c r="E171" s="93"/>
      <c r="F171" s="94"/>
      <c r="G171" s="93"/>
      <c r="H171" s="98"/>
      <c r="I171" s="13" t="s">
        <v>101</v>
      </c>
      <c r="J171" s="30">
        <f ca="1">(IF(B165&gt;1,(H165/(B165+2)+J170),H165/4+J170))</f>
        <v>3.5</v>
      </c>
    </row>
    <row r="172" spans="1:10" ht="15.75" customHeight="1" x14ac:dyDescent="0.25">
      <c r="A172" s="88" t="s">
        <v>133</v>
      </c>
      <c r="B172" s="89" t="s">
        <v>126</v>
      </c>
      <c r="C172" s="43">
        <v>0</v>
      </c>
      <c r="D172" s="19">
        <f ca="1">((100/H165)*C172)/100</f>
        <v>0</v>
      </c>
      <c r="E172" s="93"/>
      <c r="F172" s="94"/>
      <c r="G172" s="93"/>
      <c r="H172" s="98"/>
      <c r="I172" s="13" t="s">
        <v>142</v>
      </c>
      <c r="J172" s="30">
        <f>(IF(B165&gt;1,(H165/(B165+2)+J171),0))</f>
        <v>0</v>
      </c>
    </row>
    <row r="173" spans="1:10" ht="15" customHeight="1" x14ac:dyDescent="0.25">
      <c r="A173" s="88" t="s">
        <v>131</v>
      </c>
      <c r="B173" s="89" t="s">
        <v>128</v>
      </c>
      <c r="C173" s="43">
        <v>0</v>
      </c>
      <c r="D173" s="19">
        <f ca="1">((100/(H165))*C173)/100</f>
        <v>0</v>
      </c>
      <c r="E173" s="93"/>
      <c r="F173" s="94"/>
      <c r="G173" s="93"/>
      <c r="H173" s="98"/>
      <c r="I173" s="13" t="s">
        <v>139</v>
      </c>
      <c r="J173" s="30">
        <f>(IF(B165&gt;2,(H165/(B165+2)+J172),0))</f>
        <v>0</v>
      </c>
    </row>
    <row r="174" spans="1:10" ht="15.75" customHeight="1" x14ac:dyDescent="0.25">
      <c r="A174" s="88" t="s">
        <v>127</v>
      </c>
      <c r="B174" s="89" t="s">
        <v>127</v>
      </c>
      <c r="C174" s="43">
        <v>0</v>
      </c>
      <c r="D174" s="19">
        <f ca="1">((100/H165)*C174)/100</f>
        <v>0</v>
      </c>
      <c r="E174" s="93"/>
      <c r="F174" s="94"/>
      <c r="G174" s="93"/>
      <c r="H174" s="98"/>
      <c r="I174" s="13" t="s">
        <v>140</v>
      </c>
      <c r="J174" s="31">
        <f>(IF(B165&gt;3,(H165/(B165+2)+J173),0))</f>
        <v>0</v>
      </c>
    </row>
    <row r="175" spans="1:10" ht="15.75" customHeight="1" x14ac:dyDescent="0.25">
      <c r="A175" s="88" t="s">
        <v>134</v>
      </c>
      <c r="B175" s="89"/>
      <c r="C175" s="43">
        <v>0</v>
      </c>
      <c r="D175" s="19">
        <f ca="1">((100/H165)*C175)/100</f>
        <v>0</v>
      </c>
      <c r="E175" s="93"/>
      <c r="F175" s="94"/>
      <c r="G175" s="93"/>
      <c r="H175" s="98"/>
      <c r="I175" s="13" t="s">
        <v>141</v>
      </c>
      <c r="J175" s="30">
        <f>(IF(B165&gt;4,(H165/(B165+2)+J174),0))</f>
        <v>0</v>
      </c>
    </row>
    <row r="176" spans="1:10" ht="15.75" customHeight="1" x14ac:dyDescent="0.25">
      <c r="A176" s="88" t="s">
        <v>129</v>
      </c>
      <c r="B176" s="89" t="s">
        <v>129</v>
      </c>
      <c r="C176" s="43">
        <v>0</v>
      </c>
      <c r="D176" s="19">
        <f ca="1">((100/(H165))*C176)/100</f>
        <v>0</v>
      </c>
      <c r="E176" s="93"/>
      <c r="F176" s="94"/>
      <c r="G176" s="93"/>
      <c r="H176" s="98"/>
      <c r="I176" s="13" t="s">
        <v>143</v>
      </c>
      <c r="J176" s="30">
        <f ca="1">(IF(B165=1,(H165/(B165+3)+J171),IF(B165=0,(H165/4+J171),IF(B165&gt;1,0))))</f>
        <v>5.25</v>
      </c>
    </row>
    <row r="177" spans="1:22" ht="16.5" thickBot="1" x14ac:dyDescent="0.3">
      <c r="A177" s="100" t="s">
        <v>130</v>
      </c>
      <c r="B177" s="101"/>
      <c r="C177" s="44">
        <v>0</v>
      </c>
      <c r="D177" s="20">
        <f ca="1">((100/(H165))*C177)/100</f>
        <v>0</v>
      </c>
      <c r="E177" s="95"/>
      <c r="F177" s="96"/>
      <c r="G177" s="95"/>
      <c r="H177" s="99"/>
      <c r="I177" s="15" t="s">
        <v>102</v>
      </c>
      <c r="J177" s="32">
        <f ca="1">(IF(B165&gt;1.5,(H165/(B165+2)+J171+MAX(0,J172-J171)+MAX(0,J173-J172)+MAX(0,J174-J173)+MAX(0,J175-J174)+MAX(0,J176-J175)),IF(B165=1,(H165/(B165+3)+J176),IF(B165=0,H165/4+J176))))</f>
        <v>7</v>
      </c>
    </row>
    <row r="178" spans="1:22" ht="15.75" customHeight="1" x14ac:dyDescent="0.25">
      <c r="A178" s="104" t="s">
        <v>136</v>
      </c>
      <c r="B178" s="105"/>
      <c r="C178" s="106" t="str">
        <f>D72</f>
        <v>Wing B12 = Ground + 1st to 7th Floor</v>
      </c>
      <c r="D178" s="107"/>
      <c r="E178" s="107"/>
      <c r="F178" s="107"/>
      <c r="G178" s="107"/>
      <c r="H178" s="108"/>
      <c r="I178" s="49" t="str">
        <f ca="1">IF(D191=100%,"All work Completed. Possession granted to the Building.",IF(D190=100%,"All work Completed, Waiting for OC",I179&amp;""&amp;I180&amp;""&amp;J179&amp;""&amp;J178&amp;" "&amp;J180))</f>
        <v xml:space="preserve">Work not yet Started. </v>
      </c>
      <c r="J178" s="50" t="str">
        <f ca="1">(IF(C184=(D179+F179+H179),"",IF(C184&gt;0,", RCC upto "&amp;C184&amp;" Slab","")))&amp;(IF(C185=H179,"",IF(C185&gt;0,", Brickwork upto "&amp;C185&amp;" Floor","")))&amp;(IF(C186=H179,"",IF(C186&gt;0,", Internal Plaster upto "&amp;C186&amp;" Floor","")))&amp;(IF(C187=H179,"",IF(C187&gt;0,", External Plaster upto "&amp;C187&amp;" Floor","")))&amp;(IF(C188=H179,"",IF(C188&gt;0,", Flooring upto "&amp;C188&amp;" Floor","")))&amp;(IF(C189=H179,"",IF(C189&gt;0,", Painting upto "&amp;C189&amp;" Floor","")))&amp;(IF(C190=H179,"",IF(C190&gt;0,", Finishing upto "&amp;C190&amp;" Floor","")))&amp;(IF(C191=H179,"",IF(C191&gt;0,", Possession upto "&amp;C191&amp;" Floor","")))</f>
        <v/>
      </c>
    </row>
    <row r="179" spans="1:22" x14ac:dyDescent="0.25">
      <c r="A179" s="16" t="s">
        <v>138</v>
      </c>
      <c r="B179" s="47">
        <f>IF(AND(ISNUMBER(SEARCH("1B",C178))),1,IF(AND(ISNUMBER(SEARCH("2B",C178))),2,IF(AND(ISNUMBER(SEARCH("3B",C178))),3,IF(AND(ISNUMBER(SEARCH("4B",C178))),4,IF(ISNUMBER(SEARCH("5B",C178)),5,0)))))</f>
        <v>0</v>
      </c>
      <c r="C179" s="47" t="s">
        <v>69</v>
      </c>
      <c r="D179" s="47">
        <v>1</v>
      </c>
      <c r="E179" s="47" t="s">
        <v>68</v>
      </c>
      <c r="F179" s="47">
        <v>0</v>
      </c>
      <c r="G179" s="48" t="s">
        <v>77</v>
      </c>
      <c r="H179" s="17">
        <f ca="1">--TRIM(RIGHT(SUBSTITUTE(LEFT(C178,_xlfn.AGGREGATE(16,6,FIND({0,1,2,3,4,5,6,7,8,9},C178,ROW(INDIRECT("1:"&amp;LEN(C178)))),1))," ",REPT(" ",LEN(C178))),LEN(C178)))</f>
        <v>7</v>
      </c>
      <c r="I179" s="51" t="str">
        <f ca="1">IF(D182=100%,"Excavation","")&amp;IF(D183=100%,", Plinth","")&amp;IF(D184=100%,", RCC Slab","")&amp;IF(D185=100%,", Brickwork","")&amp;IF(D186=100%,", Internal Plaster","")&amp;IF(D187=100%,", External Plaster","")&amp;IF(D188=100%,", Flooring","")&amp;IF(D189=100%,", Painting","")&amp;IF(D190=100%,", Building common Amenities","")</f>
        <v/>
      </c>
      <c r="J179" s="52" t="str">
        <f>(IF(C182=0,"Work not yet Started.",IF(D182=25%,"Piling work in process",IF(D182=50%,"Excavation work in process",IF(D182=100%,"","0")))))&amp;(IF(C183=0%,"",IF(C183=J184,", Footing work is process",IF(C183=J185,", Footing work Completed",IF(C183=J186,", 1st Basement Completed",IF(C183=J187,", 1st &amp; 2nd Basement Completed",IF(C183=J188,", 1st to 3rd Basement Completed",IF(C183=J189,", 1st to 4th Basement Completed",IF(C183=J190,", Plinth work is process",IF(C183=J191,"","0"))))))))))</f>
        <v>Work not yet Started.</v>
      </c>
    </row>
    <row r="180" spans="1:22" x14ac:dyDescent="0.25">
      <c r="A180" s="102" t="s">
        <v>87</v>
      </c>
      <c r="B180" s="103"/>
      <c r="C180" s="86" t="str">
        <f ca="1">(IF($G$60="NA",I178,"All work Completed. OC Received."))</f>
        <v xml:space="preserve">Work not yet Started. </v>
      </c>
      <c r="D180" s="86"/>
      <c r="E180" s="86"/>
      <c r="F180" s="86"/>
      <c r="G180" s="86"/>
      <c r="H180" s="87"/>
      <c r="I180" s="51" t="str">
        <f ca="1">IF(I179&lt;&gt;""," Completed","")</f>
        <v/>
      </c>
      <c r="J180" s="52" t="str">
        <f ca="1">IF(J178&lt;&gt;"","Completed","")</f>
        <v/>
      </c>
    </row>
    <row r="181" spans="1:22" ht="15.75" customHeight="1" x14ac:dyDescent="0.25">
      <c r="A181" s="88" t="s">
        <v>47</v>
      </c>
      <c r="B181" s="89"/>
      <c r="C181" s="43" t="s">
        <v>135</v>
      </c>
      <c r="D181" s="43" t="s">
        <v>80</v>
      </c>
      <c r="E181" s="89" t="s">
        <v>82</v>
      </c>
      <c r="F181" s="89"/>
      <c r="G181" s="89" t="s">
        <v>81</v>
      </c>
      <c r="H181" s="90"/>
      <c r="I181" s="13" t="s">
        <v>137</v>
      </c>
      <c r="J181" s="28">
        <f ca="1">H179*25%</f>
        <v>1.75</v>
      </c>
    </row>
    <row r="182" spans="1:22" x14ac:dyDescent="0.25">
      <c r="A182" s="88" t="s">
        <v>124</v>
      </c>
      <c r="B182" s="89"/>
      <c r="C182" s="43">
        <v>0</v>
      </c>
      <c r="D182" s="19">
        <f ca="1">((100/H179)*C182)/100</f>
        <v>0</v>
      </c>
      <c r="E182" s="91">
        <f ca="1">(((C183/H179*10)+(40/(D179+F179+H179)*C184)+(7.5/(H179)*C185)+(7.5/(H179)*C186)+(10/H179*C187)+(10/H179*C188)+(5/H179*C189)+(5/H179*C190)+(5/H179*C191))/100)</f>
        <v>0</v>
      </c>
      <c r="F182" s="92"/>
      <c r="G182" s="91">
        <f ca="1">((((C182/H179)*20)+((C183/H179)*25)+(30/(H179+F179+D179)*C184)+(5/H179*C185)+(5/H179*C186)+(5/H179*C187)+(5/H179*C188)+(0/H179*C189)+(0/H179*C190)+(5/H179*C191))/100)</f>
        <v>0</v>
      </c>
      <c r="H182" s="97"/>
      <c r="I182" s="13" t="s">
        <v>98</v>
      </c>
      <c r="J182" s="29">
        <f ca="1">H179*50%</f>
        <v>3.5</v>
      </c>
    </row>
    <row r="183" spans="1:22" x14ac:dyDescent="0.25">
      <c r="A183" s="88" t="s">
        <v>48</v>
      </c>
      <c r="B183" s="89"/>
      <c r="C183" s="43">
        <v>0</v>
      </c>
      <c r="D183" s="19">
        <f ca="1">((100/H179)*C183)/100</f>
        <v>0</v>
      </c>
      <c r="E183" s="93"/>
      <c r="F183" s="94"/>
      <c r="G183" s="93"/>
      <c r="H183" s="98"/>
      <c r="I183" s="13" t="s">
        <v>99</v>
      </c>
      <c r="J183" s="29">
        <f ca="1">H179</f>
        <v>7</v>
      </c>
    </row>
    <row r="184" spans="1:22" ht="15.75" customHeight="1" x14ac:dyDescent="0.25">
      <c r="A184" s="88" t="s">
        <v>125</v>
      </c>
      <c r="B184" s="89"/>
      <c r="C184" s="43">
        <v>0</v>
      </c>
      <c r="D184" s="19">
        <f ca="1">((100/(D179+F179+H179))*C184)/100</f>
        <v>0</v>
      </c>
      <c r="E184" s="93"/>
      <c r="F184" s="94"/>
      <c r="G184" s="93"/>
      <c r="H184" s="98"/>
      <c r="I184" s="13" t="s">
        <v>100</v>
      </c>
      <c r="J184" s="30">
        <f ca="1">(IF(B179&gt;1,(H179/(B179+2)),H179/4))</f>
        <v>1.75</v>
      </c>
    </row>
    <row r="185" spans="1:22" ht="15.75" customHeight="1" x14ac:dyDescent="0.25">
      <c r="A185" s="88" t="s">
        <v>132</v>
      </c>
      <c r="B185" s="89" t="s">
        <v>126</v>
      </c>
      <c r="C185" s="43">
        <v>0</v>
      </c>
      <c r="D185" s="19">
        <f ca="1">((100/H179)*C185)/100</f>
        <v>0</v>
      </c>
      <c r="E185" s="93"/>
      <c r="F185" s="94"/>
      <c r="G185" s="93"/>
      <c r="H185" s="98"/>
      <c r="I185" s="13" t="s">
        <v>101</v>
      </c>
      <c r="J185" s="30">
        <f ca="1">(IF(B179&gt;1,(H179/(B179+2)+J184),H179/4+J184))</f>
        <v>3.5</v>
      </c>
    </row>
    <row r="186" spans="1:22" ht="15.75" customHeight="1" x14ac:dyDescent="0.25">
      <c r="A186" s="88" t="s">
        <v>133</v>
      </c>
      <c r="B186" s="89" t="s">
        <v>126</v>
      </c>
      <c r="C186" s="43">
        <v>0</v>
      </c>
      <c r="D186" s="19">
        <f ca="1">((100/H179)*C186)/100</f>
        <v>0</v>
      </c>
      <c r="E186" s="93"/>
      <c r="F186" s="94"/>
      <c r="G186" s="93"/>
      <c r="H186" s="98"/>
      <c r="I186" s="13" t="s">
        <v>142</v>
      </c>
      <c r="J186" s="30">
        <f>(IF(B179&gt;1,(H179/(B179+2)+J185),0))</f>
        <v>0</v>
      </c>
    </row>
    <row r="187" spans="1:22" ht="15" customHeight="1" x14ac:dyDescent="0.25">
      <c r="A187" s="88" t="s">
        <v>131</v>
      </c>
      <c r="B187" s="89" t="s">
        <v>128</v>
      </c>
      <c r="C187" s="43">
        <v>0</v>
      </c>
      <c r="D187" s="19">
        <f ca="1">((100/(H179))*C187)/100</f>
        <v>0</v>
      </c>
      <c r="E187" s="93"/>
      <c r="F187" s="94"/>
      <c r="G187" s="93"/>
      <c r="H187" s="98"/>
      <c r="I187" s="13" t="s">
        <v>139</v>
      </c>
      <c r="J187" s="30">
        <f>(IF(B179&gt;2,(H179/(B179+2)+J186),0))</f>
        <v>0</v>
      </c>
    </row>
    <row r="188" spans="1:22" ht="15.75" customHeight="1" x14ac:dyDescent="0.25">
      <c r="A188" s="88" t="s">
        <v>127</v>
      </c>
      <c r="B188" s="89" t="s">
        <v>127</v>
      </c>
      <c r="C188" s="43">
        <v>0</v>
      </c>
      <c r="D188" s="19">
        <f ca="1">((100/H179)*C188)/100</f>
        <v>0</v>
      </c>
      <c r="E188" s="93"/>
      <c r="F188" s="94"/>
      <c r="G188" s="93"/>
      <c r="H188" s="98"/>
      <c r="I188" s="13" t="s">
        <v>140</v>
      </c>
      <c r="J188" s="31">
        <f>(IF(B179&gt;3,(H179/(B179+2)+J187),0))</f>
        <v>0</v>
      </c>
    </row>
    <row r="189" spans="1:22" ht="15.75" customHeight="1" x14ac:dyDescent="0.25">
      <c r="A189" s="88" t="s">
        <v>134</v>
      </c>
      <c r="B189" s="89"/>
      <c r="C189" s="43">
        <v>0</v>
      </c>
      <c r="D189" s="19">
        <f ca="1">((100/H179)*C189)/100</f>
        <v>0</v>
      </c>
      <c r="E189" s="93"/>
      <c r="F189" s="94"/>
      <c r="G189" s="93"/>
      <c r="H189" s="98"/>
      <c r="I189" s="13" t="s">
        <v>141</v>
      </c>
      <c r="J189" s="30">
        <f>(IF(B179&gt;4,(H179/(B179+2)+J188),0))</f>
        <v>0</v>
      </c>
    </row>
    <row r="190" spans="1:22" ht="15.75" customHeight="1" x14ac:dyDescent="0.25">
      <c r="A190" s="88" t="s">
        <v>129</v>
      </c>
      <c r="B190" s="89" t="s">
        <v>129</v>
      </c>
      <c r="C190" s="43">
        <v>0</v>
      </c>
      <c r="D190" s="19">
        <f ca="1">((100/(H179))*C190)/100</f>
        <v>0</v>
      </c>
      <c r="E190" s="93"/>
      <c r="F190" s="94"/>
      <c r="G190" s="93"/>
      <c r="H190" s="98"/>
      <c r="I190" s="13" t="s">
        <v>143</v>
      </c>
      <c r="J190" s="30">
        <f ca="1">(IF(B179=1,(H179/(B179+3)+J185),IF(B179=0,(H179/4+J185),IF(B179&gt;1,0))))</f>
        <v>5.25</v>
      </c>
    </row>
    <row r="191" spans="1:22" ht="16.5" thickBot="1" x14ac:dyDescent="0.3">
      <c r="A191" s="100" t="s">
        <v>130</v>
      </c>
      <c r="B191" s="101"/>
      <c r="C191" s="44">
        <v>0</v>
      </c>
      <c r="D191" s="20">
        <f ca="1">((100/(H179))*C191)/100</f>
        <v>0</v>
      </c>
      <c r="E191" s="95"/>
      <c r="F191" s="96"/>
      <c r="G191" s="95"/>
      <c r="H191" s="99"/>
      <c r="I191" s="15" t="s">
        <v>102</v>
      </c>
      <c r="J191" s="32">
        <f ca="1">(IF(B179&gt;1.5,(H179/(B179+2)+J185+MAX(0,J186-J185)+MAX(0,J187-J186)+MAX(0,J188-J187)+MAX(0,J189-J188)+MAX(0,J190-J189)),IF(B179=1,(H179/(B179+3)+J190),IF(B179=0,H179/4+J190))))</f>
        <v>7</v>
      </c>
    </row>
    <row r="192" spans="1:22" x14ac:dyDescent="0.25">
      <c r="A192" s="227" t="s">
        <v>152</v>
      </c>
      <c r="B192" s="227"/>
      <c r="C192" s="227"/>
      <c r="D192" s="227"/>
      <c r="E192" s="227"/>
      <c r="F192" s="223" t="s">
        <v>156</v>
      </c>
      <c r="G192" s="223"/>
      <c r="H192" s="223"/>
      <c r="R192" t="s">
        <v>249</v>
      </c>
      <c r="S192" t="s">
        <v>168</v>
      </c>
      <c r="T192" t="s">
        <v>175</v>
      </c>
      <c r="U192" t="s">
        <v>190</v>
      </c>
      <c r="V192" t="s">
        <v>185</v>
      </c>
    </row>
    <row r="193" spans="1:22" x14ac:dyDescent="0.25">
      <c r="A193" s="140" t="s">
        <v>154</v>
      </c>
      <c r="B193" s="140"/>
      <c r="C193" s="140"/>
      <c r="D193" s="140"/>
      <c r="E193" s="140"/>
      <c r="F193" s="137">
        <v>4300</v>
      </c>
      <c r="G193" s="137"/>
      <c r="H193" s="137"/>
      <c r="R193"/>
      <c r="S193">
        <v>800000</v>
      </c>
      <c r="T193">
        <v>150000</v>
      </c>
      <c r="U193">
        <v>100000</v>
      </c>
      <c r="V193">
        <v>100000</v>
      </c>
    </row>
    <row r="194" spans="1:22" x14ac:dyDescent="0.25">
      <c r="A194" s="140" t="s">
        <v>153</v>
      </c>
      <c r="B194" s="140"/>
      <c r="C194" s="140"/>
      <c r="D194" s="140"/>
      <c r="E194" s="140"/>
      <c r="F194" s="137">
        <v>8000</v>
      </c>
      <c r="G194" s="137"/>
      <c r="H194" s="137"/>
      <c r="R194"/>
      <c r="S194">
        <v>900000</v>
      </c>
      <c r="T194">
        <v>200000</v>
      </c>
      <c r="U194">
        <v>150000</v>
      </c>
      <c r="V194">
        <v>150000</v>
      </c>
    </row>
    <row r="195" spans="1:22" hidden="1" x14ac:dyDescent="0.25">
      <c r="A195" s="140" t="s">
        <v>155</v>
      </c>
      <c r="B195" s="140"/>
      <c r="C195" s="140"/>
      <c r="D195" s="140"/>
      <c r="E195" s="140"/>
      <c r="F195" s="137"/>
      <c r="G195" s="137"/>
      <c r="H195" s="137"/>
      <c r="R195"/>
      <c r="S195">
        <v>1000000</v>
      </c>
      <c r="T195">
        <v>250000</v>
      </c>
      <c r="U195">
        <v>200000</v>
      </c>
      <c r="V195">
        <v>200000</v>
      </c>
    </row>
    <row r="196" spans="1:22" s="33" customFormat="1" hidden="1" x14ac:dyDescent="0.25">
      <c r="A196" s="140" t="s">
        <v>171</v>
      </c>
      <c r="B196" s="140"/>
      <c r="C196" s="140"/>
      <c r="D196" s="140"/>
      <c r="E196" s="140"/>
      <c r="F196" s="137"/>
      <c r="G196" s="137"/>
      <c r="H196" s="137"/>
      <c r="R196"/>
      <c r="S196">
        <v>1100000</v>
      </c>
      <c r="T196">
        <v>300000</v>
      </c>
      <c r="U196">
        <v>250000</v>
      </c>
      <c r="V196" s="23">
        <v>250000</v>
      </c>
    </row>
    <row r="197" spans="1:22" s="33" customFormat="1" hidden="1" x14ac:dyDescent="0.25">
      <c r="A197" s="140" t="s">
        <v>92</v>
      </c>
      <c r="B197" s="140"/>
      <c r="C197" s="140"/>
      <c r="D197" s="140"/>
      <c r="E197" s="140"/>
      <c r="F197" s="137"/>
      <c r="G197" s="137"/>
      <c r="H197" s="137"/>
      <c r="R197"/>
      <c r="S197">
        <v>1200000</v>
      </c>
      <c r="T197">
        <v>350000</v>
      </c>
      <c r="U197">
        <v>300000</v>
      </c>
      <c r="V197">
        <v>300000</v>
      </c>
    </row>
    <row r="198" spans="1:22" s="33" customFormat="1" hidden="1" x14ac:dyDescent="0.25">
      <c r="A198" s="140" t="s">
        <v>93</v>
      </c>
      <c r="B198" s="140"/>
      <c r="C198" s="140"/>
      <c r="D198" s="140"/>
      <c r="E198" s="140"/>
      <c r="F198" s="137"/>
      <c r="G198" s="137"/>
      <c r="H198" s="137"/>
      <c r="R198"/>
      <c r="S198">
        <v>1300000</v>
      </c>
      <c r="T198">
        <v>400000</v>
      </c>
      <c r="U198">
        <v>350000</v>
      </c>
      <c r="V198" s="23">
        <v>400000</v>
      </c>
    </row>
    <row r="199" spans="1:22" s="33" customFormat="1" hidden="1" x14ac:dyDescent="0.25">
      <c r="A199" s="140" t="s">
        <v>94</v>
      </c>
      <c r="B199" s="140"/>
      <c r="C199" s="140"/>
      <c r="D199" s="140"/>
      <c r="E199" s="140"/>
      <c r="F199" s="137"/>
      <c r="G199" s="137"/>
      <c r="H199" s="137"/>
      <c r="R199"/>
      <c r="S199">
        <v>1400000</v>
      </c>
      <c r="T199">
        <v>500000</v>
      </c>
      <c r="U199">
        <v>400000</v>
      </c>
      <c r="V199"/>
    </row>
    <row r="200" spans="1:22" s="33" customFormat="1" x14ac:dyDescent="0.25">
      <c r="A200" s="140" t="s">
        <v>95</v>
      </c>
      <c r="B200" s="140"/>
      <c r="C200" s="140"/>
      <c r="D200" s="140"/>
      <c r="E200" s="140"/>
      <c r="F200" s="137">
        <v>200000</v>
      </c>
      <c r="G200" s="137"/>
      <c r="H200" s="137"/>
      <c r="R200"/>
      <c r="S200">
        <v>1500000</v>
      </c>
      <c r="T200">
        <v>600000</v>
      </c>
      <c r="U200">
        <v>500000</v>
      </c>
      <c r="V200" s="23"/>
    </row>
    <row r="201" spans="1:22" s="33" customFormat="1" x14ac:dyDescent="0.25">
      <c r="A201" s="140" t="s">
        <v>96</v>
      </c>
      <c r="B201" s="140"/>
      <c r="C201" s="140"/>
      <c r="D201" s="140"/>
      <c r="E201" s="140"/>
      <c r="F201" s="137">
        <v>20000</v>
      </c>
      <c r="G201" s="137"/>
      <c r="H201" s="137"/>
      <c r="R201"/>
      <c r="S201">
        <v>1600000</v>
      </c>
      <c r="T201">
        <v>700000</v>
      </c>
      <c r="U201">
        <v>600000</v>
      </c>
      <c r="V201"/>
    </row>
    <row r="202" spans="1:22" s="33" customFormat="1" hidden="1" x14ac:dyDescent="0.25">
      <c r="A202" s="140" t="s">
        <v>97</v>
      </c>
      <c r="B202" s="140"/>
      <c r="C202" s="140"/>
      <c r="D202" s="140"/>
      <c r="E202" s="140"/>
      <c r="F202" s="137"/>
      <c r="G202" s="137"/>
      <c r="H202" s="137"/>
      <c r="R202"/>
      <c r="S202">
        <v>1700000</v>
      </c>
      <c r="T202">
        <v>800000</v>
      </c>
      <c r="U202"/>
      <c r="V202" s="23"/>
    </row>
    <row r="203" spans="1:22" x14ac:dyDescent="0.25">
      <c r="A203" s="140" t="s">
        <v>49</v>
      </c>
      <c r="B203" s="140"/>
      <c r="C203" s="140"/>
      <c r="D203" s="140"/>
      <c r="E203" s="140"/>
      <c r="F203" s="137">
        <v>150000</v>
      </c>
      <c r="G203" s="137"/>
      <c r="H203" s="137"/>
      <c r="R203"/>
      <c r="S203">
        <v>1800000</v>
      </c>
      <c r="T203">
        <v>900000</v>
      </c>
      <c r="U203"/>
    </row>
    <row r="204" spans="1:22" s="34" customFormat="1" x14ac:dyDescent="0.25">
      <c r="A204" s="191" t="s">
        <v>50</v>
      </c>
      <c r="B204" s="191"/>
      <c r="C204" s="191"/>
      <c r="D204" s="191"/>
      <c r="E204" s="191"/>
      <c r="F204" s="137">
        <f>F193*0.8</f>
        <v>3440</v>
      </c>
      <c r="G204" s="137"/>
      <c r="H204" s="137"/>
      <c r="R204" s="21"/>
      <c r="S204" s="21"/>
      <c r="T204">
        <v>1000000</v>
      </c>
      <c r="U204"/>
      <c r="V204" s="21"/>
    </row>
    <row r="205" spans="1:22" s="35" customFormat="1" ht="15.75" customHeight="1" x14ac:dyDescent="0.25">
      <c r="A205" s="190" t="s">
        <v>72</v>
      </c>
      <c r="B205" s="190"/>
      <c r="C205" s="190"/>
      <c r="D205" s="190"/>
      <c r="E205" s="190"/>
      <c r="F205" s="190"/>
      <c r="G205" s="190"/>
      <c r="H205" s="190"/>
      <c r="R205"/>
      <c r="S205" s="21"/>
      <c r="T205"/>
      <c r="U205"/>
      <c r="V205" s="21"/>
    </row>
    <row r="206" spans="1:22" s="35" customFormat="1" ht="15.75" customHeight="1" x14ac:dyDescent="0.25">
      <c r="A206" s="139" t="s">
        <v>51</v>
      </c>
      <c r="B206" s="139"/>
      <c r="C206" s="145" t="s">
        <v>75</v>
      </c>
      <c r="D206" s="145"/>
      <c r="E206" s="144" t="s">
        <v>52</v>
      </c>
      <c r="F206" s="144"/>
      <c r="G206" s="139" t="s">
        <v>53</v>
      </c>
      <c r="H206" s="139"/>
      <c r="R206"/>
      <c r="S206" s="21"/>
      <c r="T206"/>
      <c r="U206" s="21"/>
      <c r="V206" s="21"/>
    </row>
    <row r="207" spans="1:22" s="35" customFormat="1" x14ac:dyDescent="0.25">
      <c r="A207" s="192" t="s">
        <v>333</v>
      </c>
      <c r="B207" s="192"/>
      <c r="C207" s="173">
        <f>COUNT(D229:D240)</f>
        <v>12</v>
      </c>
      <c r="D207" s="174"/>
      <c r="E207" s="173">
        <f>SUM(F229:F240)</f>
        <v>1874.7658799999999</v>
      </c>
      <c r="F207" s="174"/>
      <c r="G207" s="173">
        <f t="shared" ref="G207" si="0">SUM(H229:H240)</f>
        <v>2812.1488199999994</v>
      </c>
      <c r="H207" s="174"/>
      <c r="R207"/>
      <c r="S207" s="21"/>
      <c r="T207"/>
      <c r="U207" s="21"/>
      <c r="V207" s="21"/>
    </row>
    <row r="208" spans="1:22" s="35" customFormat="1" x14ac:dyDescent="0.25">
      <c r="A208" s="192" t="s">
        <v>333</v>
      </c>
      <c r="B208" s="192"/>
      <c r="C208" s="173">
        <f>COUNT(D243:D248)</f>
        <v>6</v>
      </c>
      <c r="D208" s="174"/>
      <c r="E208" s="173">
        <f>SUM(F243:F248)</f>
        <v>1983.5899199999999</v>
      </c>
      <c r="F208" s="174"/>
      <c r="G208" s="173">
        <f t="shared" ref="G208" si="1">SUM(H243:H248)</f>
        <v>2975.3848799999996</v>
      </c>
      <c r="H208" s="174"/>
      <c r="R208"/>
      <c r="S208" s="21"/>
      <c r="T208"/>
      <c r="U208" s="21"/>
      <c r="V208" s="21"/>
    </row>
    <row r="209" spans="1:22" s="35" customFormat="1" x14ac:dyDescent="0.25">
      <c r="A209" s="226" t="s">
        <v>146</v>
      </c>
      <c r="B209" s="226"/>
      <c r="C209" s="175">
        <f>SUM(C207:D208)</f>
        <v>18</v>
      </c>
      <c r="D209" s="176"/>
      <c r="E209" s="175">
        <f t="shared" ref="E209" si="2">SUM(E207:F208)</f>
        <v>3858.3557999999998</v>
      </c>
      <c r="F209" s="176"/>
      <c r="G209" s="175">
        <f t="shared" ref="G209" si="3">SUM(G207:H208)</f>
        <v>5787.533699999999</v>
      </c>
      <c r="H209" s="176"/>
      <c r="T209"/>
    </row>
    <row r="210" spans="1:22" s="35" customFormat="1" x14ac:dyDescent="0.25">
      <c r="A210" s="190" t="s">
        <v>67</v>
      </c>
      <c r="B210" s="190"/>
      <c r="C210" s="190"/>
      <c r="D210" s="190"/>
      <c r="E210" s="190"/>
      <c r="F210" s="190"/>
      <c r="G210" s="190"/>
      <c r="H210" s="190"/>
      <c r="T210"/>
    </row>
    <row r="211" spans="1:22" s="35" customFormat="1" ht="15.75" customHeight="1" x14ac:dyDescent="0.25">
      <c r="A211" s="139" t="s">
        <v>51</v>
      </c>
      <c r="B211" s="139"/>
      <c r="C211" s="145" t="s">
        <v>75</v>
      </c>
      <c r="D211" s="145"/>
      <c r="E211" s="144" t="s">
        <v>52</v>
      </c>
      <c r="F211" s="144"/>
      <c r="G211" s="139" t="s">
        <v>53</v>
      </c>
      <c r="H211" s="139"/>
      <c r="T211"/>
    </row>
    <row r="212" spans="1:22" s="35" customFormat="1" x14ac:dyDescent="0.25">
      <c r="A212" s="192" t="s">
        <v>333</v>
      </c>
      <c r="B212" s="192"/>
      <c r="C212" s="173">
        <f>COUNT(D256:D265)+COUNT(D267:D276)*3+COUNT(D278:D287)*3</f>
        <v>70</v>
      </c>
      <c r="D212" s="173"/>
      <c r="E212" s="173">
        <f t="shared" ref="E212" si="4">SUM(F256:F265)+SUM(F267:F276)*3+SUM(F278:F287)*3</f>
        <v>31269.872087999996</v>
      </c>
      <c r="F212" s="173"/>
      <c r="G212" s="173">
        <f t="shared" ref="G212" si="5">SUM(H256:H265)+SUM(H267:H276)*3+SUM(H278:H287)*3</f>
        <v>46876.863711599988</v>
      </c>
      <c r="H212" s="173"/>
      <c r="R212"/>
      <c r="S212" s="21"/>
      <c r="T212"/>
      <c r="U212" s="21"/>
      <c r="V212" s="21"/>
    </row>
    <row r="213" spans="1:22" s="35" customFormat="1" x14ac:dyDescent="0.25">
      <c r="A213" s="192" t="s">
        <v>345</v>
      </c>
      <c r="B213" s="192"/>
      <c r="C213" s="173">
        <f>COUNT(D291:D300)*4+COUNT(D302:D311)*3</f>
        <v>70</v>
      </c>
      <c r="D213" s="173"/>
      <c r="E213" s="173">
        <f t="shared" ref="E213" si="6">SUM(F291:F300)*4+SUM(F302:F311)*3</f>
        <v>29341.296972</v>
      </c>
      <c r="F213" s="173"/>
      <c r="G213" s="173">
        <f t="shared" ref="G213" si="7">SUM(H291:H300)*4+SUM(H302:H311)*3</f>
        <v>43987.084385399998</v>
      </c>
      <c r="H213" s="173"/>
      <c r="R213"/>
      <c r="S213" s="21"/>
      <c r="T213"/>
      <c r="U213" s="21"/>
      <c r="V213" s="21"/>
    </row>
    <row r="214" spans="1:22" s="35" customFormat="1" x14ac:dyDescent="0.25">
      <c r="A214" s="192" t="s">
        <v>348</v>
      </c>
      <c r="B214" s="192"/>
      <c r="C214" s="173">
        <f>COUNT(D315:D322)*4+COUNT(D324:D331)*3</f>
        <v>56</v>
      </c>
      <c r="D214" s="173"/>
      <c r="E214" s="173">
        <f t="shared" ref="E214" si="8">SUM(F315:F322)*4+SUM(F324:F331)*3</f>
        <v>24025.678560000004</v>
      </c>
      <c r="F214" s="173"/>
      <c r="G214" s="173">
        <f t="shared" ref="G214" si="9">SUM(H315:H322)*4+SUM(H324:H331)*3</f>
        <v>36414.461303999997</v>
      </c>
      <c r="H214" s="173"/>
      <c r="R214"/>
      <c r="S214" s="21"/>
      <c r="T214"/>
      <c r="U214" s="21"/>
      <c r="V214" s="21"/>
    </row>
    <row r="215" spans="1:22" s="35" customFormat="1" x14ac:dyDescent="0.25">
      <c r="A215" s="192" t="s">
        <v>349</v>
      </c>
      <c r="B215" s="192"/>
      <c r="C215" s="173">
        <f>COUNT(D335:D343)*4+COUNT(D345:D353)*3</f>
        <v>63</v>
      </c>
      <c r="D215" s="173"/>
      <c r="E215" s="173">
        <f t="shared" ref="E215" si="10">SUM(F335:F343)*4+SUM(F345:F353)*3</f>
        <v>25330.415291999998</v>
      </c>
      <c r="F215" s="173"/>
      <c r="G215" s="173">
        <f t="shared" ref="G215" si="11">SUM(H335:H343)*4+SUM(H345:H353)*3</f>
        <v>37931.268749399991</v>
      </c>
      <c r="H215" s="173"/>
      <c r="R215"/>
      <c r="S215" s="21"/>
      <c r="T215"/>
      <c r="U215" s="21"/>
      <c r="V215" s="21"/>
    </row>
    <row r="216" spans="1:22" s="35" customFormat="1" x14ac:dyDescent="0.25">
      <c r="A216" s="192" t="s">
        <v>350</v>
      </c>
      <c r="B216" s="192"/>
      <c r="C216" s="173">
        <f>COUNT(D357:D361)*4+COUNT(D363:D367)*3</f>
        <v>35</v>
      </c>
      <c r="D216" s="173"/>
      <c r="E216" s="173">
        <f t="shared" ref="E216" si="12">SUM(F357:F361)*4+SUM(F363:F367)*3</f>
        <v>14220.643319999999</v>
      </c>
      <c r="F216" s="173"/>
      <c r="G216" s="173">
        <f t="shared" ref="G216" si="13">SUM(H357:H361)*4+SUM(H363:H367)*3</f>
        <v>21154.989726</v>
      </c>
      <c r="H216" s="173"/>
      <c r="R216"/>
      <c r="S216" s="21"/>
      <c r="T216"/>
      <c r="U216" s="21"/>
      <c r="V216" s="21"/>
    </row>
    <row r="217" spans="1:22" s="35" customFormat="1" x14ac:dyDescent="0.25">
      <c r="A217" s="192" t="s">
        <v>351</v>
      </c>
      <c r="B217" s="192"/>
      <c r="C217" s="173">
        <f>COUNT(D371:D375)*4+COUNT(D377:D381)*3</f>
        <v>35</v>
      </c>
      <c r="D217" s="173"/>
      <c r="E217" s="173">
        <f t="shared" ref="E217" si="14">SUM(F371:F375)*4+SUM(F377:F381)*3</f>
        <v>14220.643319999999</v>
      </c>
      <c r="F217" s="173"/>
      <c r="G217" s="173">
        <f t="shared" ref="G217" si="15">SUM(H371:H375)*4+SUM(H377:H381)*3</f>
        <v>21154.989725999996</v>
      </c>
      <c r="H217" s="173"/>
      <c r="R217"/>
      <c r="S217" s="21"/>
      <c r="T217"/>
      <c r="U217" s="21"/>
      <c r="V217" s="21"/>
    </row>
    <row r="218" spans="1:22" s="35" customFormat="1" x14ac:dyDescent="0.25">
      <c r="A218" s="192" t="s">
        <v>352</v>
      </c>
      <c r="B218" s="192"/>
      <c r="C218" s="173">
        <f>COUNT(D385:D393)*4+COUNT(D395:D403)*3</f>
        <v>63</v>
      </c>
      <c r="D218" s="173"/>
      <c r="E218" s="173">
        <f t="shared" ref="E218" si="16">SUM(F385:F393)*4+SUM(F395:F403)*3</f>
        <v>25330.415291999998</v>
      </c>
      <c r="F218" s="173"/>
      <c r="G218" s="173">
        <f t="shared" ref="G218" si="17">SUM(H385:H393)*4+SUM(H395:H403)*3</f>
        <v>37931.268749399998</v>
      </c>
      <c r="H218" s="173"/>
      <c r="R218"/>
      <c r="S218" s="21"/>
      <c r="T218"/>
      <c r="U218" s="21"/>
      <c r="V218" s="21"/>
    </row>
    <row r="219" spans="1:22" s="35" customFormat="1" x14ac:dyDescent="0.25">
      <c r="A219" s="192" t="s">
        <v>353</v>
      </c>
      <c r="B219" s="192"/>
      <c r="C219" s="173">
        <f>COUNT(D407:D416)+COUNT(D418:D427)*3+COUNT(D429:D438)*3</f>
        <v>70</v>
      </c>
      <c r="D219" s="173"/>
      <c r="E219" s="173">
        <f t="shared" ref="E219" si="18">SUM(F407:F416)+SUM(F418:F427)*3+SUM(F429:F438)*3</f>
        <v>30855.339683999999</v>
      </c>
      <c r="F219" s="173"/>
      <c r="G219" s="173">
        <f t="shared" ref="G219" si="19">SUM(H407:H416)+SUM(H418:H427)*3+SUM(H429:H438)*3</f>
        <v>46454.022037799994</v>
      </c>
      <c r="H219" s="173"/>
      <c r="R219"/>
      <c r="S219" s="21"/>
      <c r="T219"/>
      <c r="U219" s="21"/>
      <c r="V219" s="21"/>
    </row>
    <row r="220" spans="1:22" s="35" customFormat="1" ht="16.5" thickBot="1" x14ac:dyDescent="0.3">
      <c r="A220" s="226" t="s">
        <v>146</v>
      </c>
      <c r="B220" s="226"/>
      <c r="C220" s="175">
        <f>SUM(C212:D219)</f>
        <v>462</v>
      </c>
      <c r="D220" s="176"/>
      <c r="E220" s="175">
        <f>SUM(E212:F219)</f>
        <v>194594.30452800001</v>
      </c>
      <c r="F220" s="176"/>
      <c r="G220" s="175">
        <f>SUM(G212:H219)</f>
        <v>291904.94838959997</v>
      </c>
      <c r="H220" s="176"/>
      <c r="T220"/>
    </row>
    <row r="221" spans="1:22" s="35" customFormat="1" ht="16.5" thickBot="1" x14ac:dyDescent="0.3">
      <c r="A221" s="180" t="s">
        <v>162</v>
      </c>
      <c r="B221" s="181"/>
      <c r="C221" s="182">
        <f>C209+C220</f>
        <v>480</v>
      </c>
      <c r="D221" s="183"/>
      <c r="E221" s="182">
        <f t="shared" ref="E221" si="20">E209+E220</f>
        <v>198452.660328</v>
      </c>
      <c r="F221" s="183"/>
      <c r="G221" s="182">
        <f t="shared" ref="G221" si="21">G209+G220</f>
        <v>297692.48208959994</v>
      </c>
      <c r="H221" s="183"/>
      <c r="T221"/>
    </row>
    <row r="222" spans="1:22" s="34" customFormat="1" x14ac:dyDescent="0.25">
      <c r="A222" s="223" t="s">
        <v>54</v>
      </c>
      <c r="B222" s="223"/>
      <c r="C222" s="223"/>
      <c r="D222" s="223"/>
      <c r="E222" s="223"/>
      <c r="F222" s="223"/>
      <c r="G222" s="223"/>
      <c r="H222" s="223"/>
      <c r="T222" s="35"/>
    </row>
    <row r="223" spans="1:22" x14ac:dyDescent="0.25">
      <c r="A223" s="138" t="s">
        <v>170</v>
      </c>
      <c r="B223" s="138"/>
      <c r="C223" s="138"/>
      <c r="D223" s="138"/>
      <c r="E223" s="138"/>
      <c r="F223" s="138"/>
      <c r="G223" s="138"/>
      <c r="H223" s="138"/>
      <c r="T223" s="35"/>
    </row>
    <row r="224" spans="1:22" ht="47.25" customHeight="1" x14ac:dyDescent="0.25">
      <c r="A224" s="169" t="s">
        <v>336</v>
      </c>
      <c r="B224" s="169" t="s">
        <v>172</v>
      </c>
      <c r="C224" s="169" t="s">
        <v>55</v>
      </c>
      <c r="D224" s="169" t="s">
        <v>337</v>
      </c>
      <c r="E224" s="212" t="s">
        <v>151</v>
      </c>
      <c r="F224" s="169" t="s">
        <v>56</v>
      </c>
      <c r="G224" s="212" t="s">
        <v>57</v>
      </c>
      <c r="H224" s="71" t="s">
        <v>145</v>
      </c>
      <c r="T224" s="35"/>
    </row>
    <row r="225" spans="1:20" s="37" customFormat="1" x14ac:dyDescent="0.25">
      <c r="A225" s="170"/>
      <c r="B225" s="170"/>
      <c r="C225" s="170"/>
      <c r="D225" s="170"/>
      <c r="E225" s="213"/>
      <c r="F225" s="170"/>
      <c r="G225" s="213"/>
      <c r="H225" s="72">
        <v>0.5</v>
      </c>
      <c r="T225" s="35"/>
    </row>
    <row r="226" spans="1:20" s="37" customFormat="1" x14ac:dyDescent="0.25">
      <c r="A226" s="79" t="s">
        <v>344</v>
      </c>
      <c r="B226" s="80"/>
      <c r="C226" s="80"/>
      <c r="D226" s="80"/>
      <c r="E226" s="80"/>
      <c r="F226" s="80"/>
      <c r="G226" s="80"/>
      <c r="H226" s="81"/>
      <c r="J226" s="36"/>
      <c r="T226" s="35"/>
    </row>
    <row r="227" spans="1:20" s="37" customFormat="1" x14ac:dyDescent="0.25">
      <c r="A227" s="79" t="s">
        <v>333</v>
      </c>
      <c r="B227" s="80"/>
      <c r="C227" s="80"/>
      <c r="D227" s="80"/>
      <c r="E227" s="80"/>
      <c r="F227" s="80"/>
      <c r="G227" s="80"/>
      <c r="H227" s="81"/>
      <c r="J227" s="36"/>
      <c r="T227" s="35"/>
    </row>
    <row r="228" spans="1:20" s="37" customFormat="1" x14ac:dyDescent="0.25">
      <c r="A228" s="79" t="s">
        <v>334</v>
      </c>
      <c r="B228" s="80"/>
      <c r="C228" s="80"/>
      <c r="D228" s="80"/>
      <c r="E228" s="80"/>
      <c r="F228" s="80"/>
      <c r="G228" s="80"/>
      <c r="H228" s="81"/>
      <c r="J228" s="36"/>
      <c r="N228" s="42">
        <v>10.763999999999999</v>
      </c>
      <c r="T228" s="35"/>
    </row>
    <row r="229" spans="1:20" s="37" customFormat="1" ht="15.75" customHeight="1" x14ac:dyDescent="0.25">
      <c r="A229" s="82">
        <v>7</v>
      </c>
      <c r="B229" s="83"/>
      <c r="C229" s="42" t="s">
        <v>335</v>
      </c>
      <c r="D229" s="42">
        <f>(12.045)*10.764</f>
        <v>129.65237999999999</v>
      </c>
      <c r="E229" s="42">
        <v>0</v>
      </c>
      <c r="F229" s="42">
        <f>D229+(IF(E229&lt;201,E229,IF(E229&lt;301,E229/2,E229/3)))</f>
        <v>129.65237999999999</v>
      </c>
      <c r="G229" s="42">
        <v>0</v>
      </c>
      <c r="H229" s="42">
        <f>(F229+(IF(G229&lt;101,G229,IF(G229&lt;201,G229/2,IF(G229&lt;=301,G229/3,G229/4)))))*(($H$225)+1)</f>
        <v>194.47856999999999</v>
      </c>
      <c r="I229" s="36"/>
      <c r="L229" s="84"/>
      <c r="M229" s="84"/>
      <c r="N229" s="36"/>
      <c r="T229" s="35"/>
    </row>
    <row r="230" spans="1:20" s="37" customFormat="1" ht="15.75" customHeight="1" x14ac:dyDescent="0.25">
      <c r="A230" s="82">
        <f>A229+1</f>
        <v>8</v>
      </c>
      <c r="B230" s="83"/>
      <c r="C230" s="42" t="s">
        <v>335</v>
      </c>
      <c r="D230" s="42">
        <f>(15.34)*10.764</f>
        <v>165.11975999999999</v>
      </c>
      <c r="E230" s="42">
        <v>0</v>
      </c>
      <c r="F230" s="42">
        <f t="shared" ref="F230:F232" si="22">D230+(IF(E230&lt;201,E230,IF(E230&lt;301,E230/2,E230/3)))</f>
        <v>165.11975999999999</v>
      </c>
      <c r="G230" s="42">
        <v>0</v>
      </c>
      <c r="H230" s="42">
        <f t="shared" ref="H230:H232" si="23">(F230+(IF(G230&lt;101,G230,IF(G230&lt;201,G230/2,IF(G230&lt;=301,G230/3,G230/4)))))*(($H$225)+1)</f>
        <v>247.67963999999998</v>
      </c>
      <c r="I230" s="36"/>
      <c r="L230" s="84"/>
      <c r="M230" s="84"/>
      <c r="N230" s="36"/>
      <c r="T230" s="34"/>
    </row>
    <row r="231" spans="1:20" s="37" customFormat="1" ht="15.75" customHeight="1" x14ac:dyDescent="0.25">
      <c r="A231" s="82">
        <f>A230+1</f>
        <v>9</v>
      </c>
      <c r="B231" s="83"/>
      <c r="C231" s="42" t="s">
        <v>335</v>
      </c>
      <c r="D231" s="42">
        <f>(15.635)*10.764</f>
        <v>168.29513999999998</v>
      </c>
      <c r="E231" s="42">
        <v>0</v>
      </c>
      <c r="F231" s="42">
        <f t="shared" si="22"/>
        <v>168.29513999999998</v>
      </c>
      <c r="G231" s="42">
        <v>0</v>
      </c>
      <c r="H231" s="42">
        <f t="shared" si="23"/>
        <v>252.44270999999998</v>
      </c>
      <c r="I231" s="36"/>
      <c r="L231" s="84"/>
      <c r="M231" s="84"/>
      <c r="N231" s="36"/>
      <c r="T231" s="21"/>
    </row>
    <row r="232" spans="1:20" s="37" customFormat="1" ht="15.75" customHeight="1" x14ac:dyDescent="0.25">
      <c r="A232" s="82">
        <f>A231+1</f>
        <v>10</v>
      </c>
      <c r="B232" s="83"/>
      <c r="C232" s="42" t="s">
        <v>335</v>
      </c>
      <c r="D232" s="42">
        <f>(15.635)*10.764</f>
        <v>168.29513999999998</v>
      </c>
      <c r="E232" s="42">
        <v>0</v>
      </c>
      <c r="F232" s="42">
        <f t="shared" si="22"/>
        <v>168.29513999999998</v>
      </c>
      <c r="G232" s="42">
        <v>0</v>
      </c>
      <c r="H232" s="42">
        <f t="shared" si="23"/>
        <v>252.44270999999998</v>
      </c>
      <c r="I232" s="36">
        <f>2.65*5.9</f>
        <v>15.635</v>
      </c>
      <c r="L232" s="84"/>
      <c r="M232" s="84"/>
      <c r="N232" s="36"/>
      <c r="T232" s="21"/>
    </row>
    <row r="233" spans="1:20" s="37" customFormat="1" ht="15.75" customHeight="1" x14ac:dyDescent="0.25">
      <c r="A233" s="82">
        <f t="shared" ref="A233:A240" si="24">A232+1</f>
        <v>11</v>
      </c>
      <c r="B233" s="83"/>
      <c r="C233" s="42" t="s">
        <v>335</v>
      </c>
      <c r="D233" s="42">
        <f>(15.34)*10.764</f>
        <v>165.11975999999999</v>
      </c>
      <c r="E233" s="42">
        <v>0</v>
      </c>
      <c r="F233" s="42">
        <f t="shared" ref="F233:F240" si="25">D233+(IF(E233&lt;201,E233,IF(E233&lt;301,E233/2,E233/3)))</f>
        <v>165.11975999999999</v>
      </c>
      <c r="G233" s="42">
        <v>0</v>
      </c>
      <c r="H233" s="42">
        <f t="shared" ref="H233:H240" si="26">(F233+(IF(G233&lt;101,G233,IF(G233&lt;201,G233/2,IF(G233&lt;=301,G233/3,G233/4)))))*(($H$225)+1)</f>
        <v>247.67963999999998</v>
      </c>
      <c r="I233" s="36"/>
      <c r="L233" s="84"/>
      <c r="M233" s="84"/>
      <c r="N233" s="36"/>
      <c r="T233" s="21"/>
    </row>
    <row r="234" spans="1:20" s="37" customFormat="1" ht="15.75" customHeight="1" x14ac:dyDescent="0.25">
      <c r="A234" s="82">
        <f t="shared" si="24"/>
        <v>12</v>
      </c>
      <c r="B234" s="83"/>
      <c r="C234" s="42" t="s">
        <v>335</v>
      </c>
      <c r="D234" s="42">
        <f>(13.09)*10.764</f>
        <v>140.90075999999999</v>
      </c>
      <c r="E234" s="42">
        <v>0</v>
      </c>
      <c r="F234" s="42">
        <f t="shared" si="25"/>
        <v>140.90075999999999</v>
      </c>
      <c r="G234" s="42">
        <v>0</v>
      </c>
      <c r="H234" s="42">
        <f t="shared" si="26"/>
        <v>211.35113999999999</v>
      </c>
      <c r="I234" s="36">
        <f>2.75*4+1.1*1.9</f>
        <v>13.09</v>
      </c>
      <c r="L234" s="84"/>
      <c r="M234" s="84"/>
      <c r="N234" s="36"/>
      <c r="T234" s="21"/>
    </row>
    <row r="235" spans="1:20" s="37" customFormat="1" ht="15.75" customHeight="1" x14ac:dyDescent="0.25">
      <c r="A235" s="82">
        <f t="shared" si="24"/>
        <v>13</v>
      </c>
      <c r="B235" s="83"/>
      <c r="C235" s="42" t="s">
        <v>335</v>
      </c>
      <c r="D235" s="42">
        <f>(13.09)*10.764</f>
        <v>140.90075999999999</v>
      </c>
      <c r="E235" s="42">
        <v>0</v>
      </c>
      <c r="F235" s="42">
        <f t="shared" si="25"/>
        <v>140.90075999999999</v>
      </c>
      <c r="G235" s="42">
        <v>0</v>
      </c>
      <c r="H235" s="42">
        <f t="shared" si="26"/>
        <v>211.35113999999999</v>
      </c>
      <c r="I235" s="36"/>
      <c r="L235" s="84"/>
      <c r="M235" s="84"/>
      <c r="N235" s="36"/>
      <c r="T235" s="21"/>
    </row>
    <row r="236" spans="1:20" s="37" customFormat="1" ht="15.75" customHeight="1" x14ac:dyDescent="0.25">
      <c r="A236" s="82">
        <f t="shared" si="24"/>
        <v>14</v>
      </c>
      <c r="B236" s="83"/>
      <c r="C236" s="42" t="s">
        <v>335</v>
      </c>
      <c r="D236" s="42">
        <f>(15.34)*10.764</f>
        <v>165.11975999999999</v>
      </c>
      <c r="E236" s="42">
        <v>0</v>
      </c>
      <c r="F236" s="42">
        <f t="shared" si="25"/>
        <v>165.11975999999999</v>
      </c>
      <c r="G236" s="42">
        <v>0</v>
      </c>
      <c r="H236" s="42">
        <f t="shared" si="26"/>
        <v>247.67963999999998</v>
      </c>
      <c r="I236" s="36"/>
      <c r="L236" s="84"/>
      <c r="M236" s="84"/>
      <c r="N236" s="36"/>
      <c r="T236" s="21"/>
    </row>
    <row r="237" spans="1:20" s="37" customFormat="1" ht="15.75" customHeight="1" x14ac:dyDescent="0.25">
      <c r="A237" s="82">
        <f t="shared" si="24"/>
        <v>15</v>
      </c>
      <c r="B237" s="83"/>
      <c r="C237" s="42" t="s">
        <v>335</v>
      </c>
      <c r="D237" s="42">
        <f>(15.635)*10.764</f>
        <v>168.29513999999998</v>
      </c>
      <c r="E237" s="42">
        <v>0</v>
      </c>
      <c r="F237" s="42">
        <f t="shared" si="25"/>
        <v>168.29513999999998</v>
      </c>
      <c r="G237" s="42">
        <v>0</v>
      </c>
      <c r="H237" s="42">
        <f t="shared" si="26"/>
        <v>252.44270999999998</v>
      </c>
      <c r="I237" s="36"/>
      <c r="L237" s="84"/>
      <c r="M237" s="84"/>
      <c r="N237" s="36"/>
      <c r="T237" s="21"/>
    </row>
    <row r="238" spans="1:20" s="37" customFormat="1" ht="15.75" customHeight="1" x14ac:dyDescent="0.25">
      <c r="A238" s="82">
        <f t="shared" si="24"/>
        <v>16</v>
      </c>
      <c r="B238" s="83"/>
      <c r="C238" s="42" t="s">
        <v>335</v>
      </c>
      <c r="D238" s="42">
        <f>(15.635)*10.764</f>
        <v>168.29513999999998</v>
      </c>
      <c r="E238" s="42">
        <v>0</v>
      </c>
      <c r="F238" s="42">
        <f t="shared" si="25"/>
        <v>168.29513999999998</v>
      </c>
      <c r="G238" s="42">
        <v>0</v>
      </c>
      <c r="H238" s="42">
        <f t="shared" si="26"/>
        <v>252.44270999999998</v>
      </c>
      <c r="I238" s="36"/>
      <c r="L238" s="84"/>
      <c r="M238" s="84"/>
      <c r="N238" s="36"/>
      <c r="T238" s="21"/>
    </row>
    <row r="239" spans="1:20" s="37" customFormat="1" ht="15.75" customHeight="1" x14ac:dyDescent="0.25">
      <c r="A239" s="82">
        <f t="shared" si="24"/>
        <v>17</v>
      </c>
      <c r="B239" s="83"/>
      <c r="C239" s="42" t="s">
        <v>335</v>
      </c>
      <c r="D239" s="42">
        <f>(15.34)*10.764</f>
        <v>165.11975999999999</v>
      </c>
      <c r="E239" s="42">
        <v>0</v>
      </c>
      <c r="F239" s="42">
        <f t="shared" si="25"/>
        <v>165.11975999999999</v>
      </c>
      <c r="G239" s="42">
        <v>0</v>
      </c>
      <c r="H239" s="42">
        <f t="shared" si="26"/>
        <v>247.67963999999998</v>
      </c>
      <c r="I239" s="36"/>
      <c r="L239" s="84"/>
      <c r="M239" s="84"/>
      <c r="N239" s="36"/>
      <c r="T239" s="21"/>
    </row>
    <row r="240" spans="1:20" s="37" customFormat="1" ht="15.75" customHeight="1" x14ac:dyDescent="0.25">
      <c r="A240" s="82">
        <f t="shared" si="24"/>
        <v>18</v>
      </c>
      <c r="B240" s="83"/>
      <c r="C240" s="42" t="s">
        <v>335</v>
      </c>
      <c r="D240" s="42">
        <f>(12.045)*10.764</f>
        <v>129.65237999999999</v>
      </c>
      <c r="E240" s="42">
        <v>0</v>
      </c>
      <c r="F240" s="42">
        <f t="shared" si="25"/>
        <v>129.65237999999999</v>
      </c>
      <c r="G240" s="42">
        <v>0</v>
      </c>
      <c r="H240" s="42">
        <f t="shared" si="26"/>
        <v>194.47856999999999</v>
      </c>
      <c r="I240" s="36">
        <f>2.75*4+1.1*0.9</f>
        <v>11.99</v>
      </c>
      <c r="L240" s="84"/>
      <c r="M240" s="84"/>
      <c r="N240" s="36"/>
      <c r="T240" s="21"/>
    </row>
    <row r="241" spans="1:20" s="37" customFormat="1" x14ac:dyDescent="0.25">
      <c r="A241" s="79" t="s">
        <v>353</v>
      </c>
      <c r="B241" s="80"/>
      <c r="C241" s="80"/>
      <c r="D241" s="80"/>
      <c r="E241" s="80"/>
      <c r="F241" s="80"/>
      <c r="G241" s="80"/>
      <c r="H241" s="81"/>
      <c r="J241" s="36"/>
      <c r="T241" s="35"/>
    </row>
    <row r="242" spans="1:20" s="37" customFormat="1" x14ac:dyDescent="0.25">
      <c r="A242" s="79" t="s">
        <v>334</v>
      </c>
      <c r="B242" s="80"/>
      <c r="C242" s="80"/>
      <c r="D242" s="80"/>
      <c r="E242" s="80"/>
      <c r="F242" s="80"/>
      <c r="G242" s="80"/>
      <c r="H242" s="81"/>
      <c r="J242" s="36"/>
      <c r="N242" s="42">
        <v>10.763999999999999</v>
      </c>
      <c r="T242" s="35"/>
    </row>
    <row r="243" spans="1:20" s="37" customFormat="1" ht="15.75" customHeight="1" x14ac:dyDescent="0.25">
      <c r="A243" s="82">
        <v>1</v>
      </c>
      <c r="B243" s="83"/>
      <c r="C243" s="42" t="s">
        <v>335</v>
      </c>
      <c r="D243" s="42">
        <f>(32.312)*10.764</f>
        <v>347.80636799999996</v>
      </c>
      <c r="E243" s="42">
        <v>0</v>
      </c>
      <c r="F243" s="42">
        <f>D243+(IF(E243&lt;201,E243,IF(E243&lt;301,E243/2,E243/3)))</f>
        <v>347.80636799999996</v>
      </c>
      <c r="G243" s="42">
        <v>0</v>
      </c>
      <c r="H243" s="42">
        <f t="shared" ref="H243:H248" si="27">(F243+(IF(G243&lt;101,G243,IF(G243&lt;201,G243/2,IF(G243&lt;=301,G243/3,G243/4)))))*(($H$225)+1)</f>
        <v>521.70955199999992</v>
      </c>
      <c r="I243" s="36">
        <f>2.75*10.45+1.75*1.3+1.2*0.9</f>
        <v>32.092499999999994</v>
      </c>
      <c r="L243" s="84"/>
      <c r="M243" s="84"/>
      <c r="N243" s="36"/>
      <c r="T243" s="35"/>
    </row>
    <row r="244" spans="1:20" s="37" customFormat="1" ht="15.75" customHeight="1" x14ac:dyDescent="0.25">
      <c r="A244" s="82">
        <f>A243+1</f>
        <v>2</v>
      </c>
      <c r="B244" s="83"/>
      <c r="C244" s="42" t="s">
        <v>335</v>
      </c>
      <c r="D244" s="42">
        <f>(30.27)*10.764</f>
        <v>325.82628</v>
      </c>
      <c r="E244" s="42">
        <v>0</v>
      </c>
      <c r="F244" s="42">
        <f t="shared" ref="F244:F248" si="28">D244+(IF(E244&lt;201,E244,IF(E244&lt;301,E244/2,E244/3)))</f>
        <v>325.82628</v>
      </c>
      <c r="G244" s="42">
        <v>0</v>
      </c>
      <c r="H244" s="42">
        <f t="shared" si="27"/>
        <v>488.73942</v>
      </c>
      <c r="I244" s="36"/>
      <c r="L244" s="84"/>
      <c r="M244" s="84"/>
      <c r="N244" s="36"/>
      <c r="T244" s="34"/>
    </row>
    <row r="245" spans="1:20" s="37" customFormat="1" ht="15.75" customHeight="1" x14ac:dyDescent="0.25">
      <c r="A245" s="82">
        <f>A244+1</f>
        <v>3</v>
      </c>
      <c r="B245" s="83"/>
      <c r="C245" s="42" t="s">
        <v>335</v>
      </c>
      <c r="D245" s="42">
        <f>(29.558)*10.764</f>
        <v>318.16231199999999</v>
      </c>
      <c r="E245" s="42">
        <v>0</v>
      </c>
      <c r="F245" s="42">
        <f t="shared" si="28"/>
        <v>318.16231199999999</v>
      </c>
      <c r="G245" s="42">
        <v>0</v>
      </c>
      <c r="H245" s="42">
        <f t="shared" si="27"/>
        <v>477.24346800000001</v>
      </c>
      <c r="I245" s="36"/>
      <c r="L245" s="84"/>
      <c r="M245" s="84"/>
      <c r="N245" s="36"/>
      <c r="T245" s="21"/>
    </row>
    <row r="246" spans="1:20" s="37" customFormat="1" ht="15.75" customHeight="1" x14ac:dyDescent="0.25">
      <c r="A246" s="82">
        <f>A245+1</f>
        <v>4</v>
      </c>
      <c r="B246" s="83"/>
      <c r="C246" s="42" t="s">
        <v>335</v>
      </c>
      <c r="D246" s="42">
        <f>(29.558)*10.764</f>
        <v>318.16231199999999</v>
      </c>
      <c r="E246" s="42">
        <v>0</v>
      </c>
      <c r="F246" s="42">
        <f t="shared" si="28"/>
        <v>318.16231199999999</v>
      </c>
      <c r="G246" s="42">
        <v>0</v>
      </c>
      <c r="H246" s="42">
        <f t="shared" si="27"/>
        <v>477.24346800000001</v>
      </c>
      <c r="I246" s="36"/>
      <c r="L246" s="84"/>
      <c r="M246" s="84"/>
      <c r="N246" s="36"/>
      <c r="T246" s="21"/>
    </row>
    <row r="247" spans="1:20" s="37" customFormat="1" ht="15.75" customHeight="1" x14ac:dyDescent="0.25">
      <c r="A247" s="82">
        <f t="shared" ref="A247:A248" si="29">A246+1</f>
        <v>5</v>
      </c>
      <c r="B247" s="83"/>
      <c r="C247" s="42" t="s">
        <v>335</v>
      </c>
      <c r="D247" s="42">
        <f>(30.27)*10.764</f>
        <v>325.82628</v>
      </c>
      <c r="E247" s="42">
        <v>0</v>
      </c>
      <c r="F247" s="42">
        <f t="shared" si="28"/>
        <v>325.82628</v>
      </c>
      <c r="G247" s="42">
        <v>0</v>
      </c>
      <c r="H247" s="42">
        <f t="shared" si="27"/>
        <v>488.73942</v>
      </c>
      <c r="I247" s="36"/>
      <c r="L247" s="84"/>
      <c r="M247" s="84"/>
      <c r="N247" s="36"/>
      <c r="T247" s="21"/>
    </row>
    <row r="248" spans="1:20" s="37" customFormat="1" ht="15.75" customHeight="1" x14ac:dyDescent="0.25">
      <c r="A248" s="82">
        <f t="shared" si="29"/>
        <v>6</v>
      </c>
      <c r="B248" s="83"/>
      <c r="C248" s="42" t="s">
        <v>335</v>
      </c>
      <c r="D248" s="42">
        <f>(32.312)*10.764</f>
        <v>347.80636799999996</v>
      </c>
      <c r="E248" s="42">
        <v>0</v>
      </c>
      <c r="F248" s="42">
        <f t="shared" si="28"/>
        <v>347.80636799999996</v>
      </c>
      <c r="G248" s="42">
        <v>0</v>
      </c>
      <c r="H248" s="42">
        <f t="shared" si="27"/>
        <v>521.70955199999992</v>
      </c>
      <c r="I248" s="36"/>
      <c r="L248" s="84"/>
      <c r="M248" s="84"/>
      <c r="N248" s="36"/>
      <c r="T248" s="21"/>
    </row>
    <row r="249" spans="1:20" s="37" customFormat="1" x14ac:dyDescent="0.25">
      <c r="A249" s="82"/>
      <c r="B249" s="193"/>
      <c r="C249" s="193"/>
      <c r="D249" s="193"/>
      <c r="E249" s="193"/>
      <c r="F249" s="193"/>
      <c r="G249" s="193"/>
      <c r="H249" s="83"/>
      <c r="I249" s="36"/>
      <c r="N249" s="36"/>
    </row>
    <row r="250" spans="1:20" ht="47.25" customHeight="1" x14ac:dyDescent="0.25">
      <c r="A250" s="224" t="s">
        <v>117</v>
      </c>
      <c r="B250" s="171" t="s">
        <v>173</v>
      </c>
      <c r="C250" s="171" t="s">
        <v>55</v>
      </c>
      <c r="D250" s="169" t="s">
        <v>340</v>
      </c>
      <c r="E250" s="171" t="s">
        <v>341</v>
      </c>
      <c r="F250" s="171" t="s">
        <v>56</v>
      </c>
      <c r="G250" s="228" t="s">
        <v>57</v>
      </c>
      <c r="H250" s="62" t="s">
        <v>145</v>
      </c>
      <c r="I250" s="36"/>
      <c r="T250" s="37"/>
    </row>
    <row r="251" spans="1:20" s="37" customFormat="1" x14ac:dyDescent="0.25">
      <c r="A251" s="225"/>
      <c r="B251" s="172"/>
      <c r="C251" s="172"/>
      <c r="D251" s="170"/>
      <c r="E251" s="172"/>
      <c r="F251" s="172"/>
      <c r="G251" s="229"/>
      <c r="H251" s="72">
        <v>0.45</v>
      </c>
      <c r="I251" s="36"/>
      <c r="L251" s="42">
        <v>10.763999999999999</v>
      </c>
    </row>
    <row r="252" spans="1:20" s="37" customFormat="1" x14ac:dyDescent="0.25">
      <c r="A252" s="79" t="s">
        <v>344</v>
      </c>
      <c r="B252" s="80"/>
      <c r="C252" s="80"/>
      <c r="D252" s="80"/>
      <c r="E252" s="80"/>
      <c r="F252" s="80"/>
      <c r="G252" s="80"/>
      <c r="H252" s="81"/>
      <c r="J252" s="36"/>
      <c r="T252" s="35"/>
    </row>
    <row r="253" spans="1:20" s="37" customFormat="1" x14ac:dyDescent="0.25">
      <c r="A253" s="79" t="s">
        <v>333</v>
      </c>
      <c r="B253" s="80"/>
      <c r="C253" s="80"/>
      <c r="D253" s="80"/>
      <c r="E253" s="80"/>
      <c r="F253" s="80"/>
      <c r="G253" s="80"/>
      <c r="H253" s="81"/>
      <c r="J253" s="36"/>
      <c r="T253" s="35"/>
    </row>
    <row r="254" spans="1:20" s="37" customFormat="1" x14ac:dyDescent="0.25">
      <c r="A254" s="79" t="s">
        <v>334</v>
      </c>
      <c r="B254" s="80"/>
      <c r="C254" s="80"/>
      <c r="D254" s="80"/>
      <c r="E254" s="80"/>
      <c r="F254" s="80"/>
      <c r="G254" s="80"/>
      <c r="H254" s="81"/>
      <c r="J254" s="36"/>
      <c r="N254" s="42">
        <v>10.763999999999999</v>
      </c>
      <c r="T254" s="35"/>
    </row>
    <row r="255" spans="1:20" s="37" customFormat="1" ht="15.75" customHeight="1" x14ac:dyDescent="0.25">
      <c r="A255" s="79" t="s">
        <v>338</v>
      </c>
      <c r="B255" s="80"/>
      <c r="C255" s="80"/>
      <c r="D255" s="80"/>
      <c r="E255" s="80"/>
      <c r="F255" s="80"/>
      <c r="G255" s="80"/>
      <c r="H255" s="81"/>
      <c r="J255" s="36"/>
    </row>
    <row r="256" spans="1:20" s="37" customFormat="1" ht="15.75" customHeight="1" x14ac:dyDescent="0.25">
      <c r="A256" s="82">
        <v>1</v>
      </c>
      <c r="B256" s="83"/>
      <c r="C256" s="42" t="s">
        <v>339</v>
      </c>
      <c r="D256" s="42">
        <f>(22.86)*10.764</f>
        <v>246.06503999999998</v>
      </c>
      <c r="E256" s="42">
        <f>(7.637+5.512)*10.764</f>
        <v>141.53583599999999</v>
      </c>
      <c r="F256" s="42">
        <f>D256+E256</f>
        <v>387.60087599999997</v>
      </c>
      <c r="G256" s="42">
        <v>0</v>
      </c>
      <c r="H256" s="42">
        <f>F256*(($H$251)+1)+(IF(G256&lt;101,G256,IF(G256&lt;201,G256/2,IF(G256&lt;=301,G256/3,G256/4))))</f>
        <v>562.02127019999989</v>
      </c>
      <c r="I256" s="36"/>
      <c r="L256" s="84"/>
      <c r="M256" s="84"/>
      <c r="N256" s="36"/>
    </row>
    <row r="257" spans="1:20" s="37" customFormat="1" ht="15.75" customHeight="1" x14ac:dyDescent="0.25">
      <c r="A257" s="82">
        <f>A256+1</f>
        <v>2</v>
      </c>
      <c r="B257" s="83"/>
      <c r="C257" s="42" t="s">
        <v>339</v>
      </c>
      <c r="D257" s="42">
        <f>(31.57+0.99)*10.764</f>
        <v>350.47584000000001</v>
      </c>
      <c r="E257" s="42">
        <f>(5.362+4.012)*10.764</f>
        <v>100.90173599999999</v>
      </c>
      <c r="F257" s="42">
        <f>D257+E257</f>
        <v>451.37757599999998</v>
      </c>
      <c r="G257" s="42">
        <f>(4.458)*10.764</f>
        <v>47.985911999999999</v>
      </c>
      <c r="H257" s="42">
        <f>F257*(($H$251)+1)+(IF(G257&lt;101,G257,IF(G257&lt;201,G257/2,IF(G257&lt;=301,G257/3,G257/4))))</f>
        <v>702.4833971999999</v>
      </c>
      <c r="I257" s="36">
        <f>3.05*4.3+2.2*1.5+2.75*2.4+1.95*1.2+2.1*1.2+0.9*2.2+0.3*1.2+0.5*1.8</f>
        <v>31.114999999999998</v>
      </c>
      <c r="J257" s="73">
        <f>2.2*1+2.75*1.15</f>
        <v>5.3624999999999998</v>
      </c>
      <c r="K257" s="36">
        <f>0.75*(3.05+2.2+2.75)</f>
        <v>6</v>
      </c>
      <c r="L257" s="84"/>
      <c r="M257" s="84"/>
      <c r="N257" s="74">
        <f>2+2.2+2.75</f>
        <v>6.95</v>
      </c>
    </row>
    <row r="258" spans="1:20" s="37" customFormat="1" ht="15.75" customHeight="1" x14ac:dyDescent="0.25">
      <c r="A258" s="82">
        <f>A257+1</f>
        <v>3</v>
      </c>
      <c r="B258" s="83"/>
      <c r="C258" s="42" t="s">
        <v>339</v>
      </c>
      <c r="D258" s="42">
        <f>(31.57+0.9)*10.764</f>
        <v>349.50707999999997</v>
      </c>
      <c r="E258" s="42">
        <f>(5.362+3.956)*10.764</f>
        <v>100.29895199999999</v>
      </c>
      <c r="F258" s="42">
        <f>D258+E258</f>
        <v>449.80603199999996</v>
      </c>
      <c r="G258" s="42">
        <f>(4.458)*10.764</f>
        <v>47.985911999999999</v>
      </c>
      <c r="H258" s="42">
        <f>F258*(($H$251)+1)+(IF(G258&lt;101,G258,IF(G258&lt;201,G258/2,IF(G258&lt;=301,G258/3,G258/4))))</f>
        <v>700.20465839999986</v>
      </c>
      <c r="I258" s="36"/>
      <c r="L258" s="84"/>
      <c r="M258" s="84"/>
      <c r="N258" s="36"/>
    </row>
    <row r="259" spans="1:20" s="37" customFormat="1" ht="15.75" customHeight="1" x14ac:dyDescent="0.25">
      <c r="A259" s="82">
        <f>A258+1</f>
        <v>4</v>
      </c>
      <c r="B259" s="83"/>
      <c r="C259" s="42" t="s">
        <v>339</v>
      </c>
      <c r="D259" s="42">
        <f>(31.57+0.9)*10.764</f>
        <v>349.50707999999997</v>
      </c>
      <c r="E259" s="42">
        <f>(5.362+3.956)*10.764</f>
        <v>100.29895199999999</v>
      </c>
      <c r="F259" s="42">
        <f>D259+E259</f>
        <v>449.80603199999996</v>
      </c>
      <c r="G259" s="42">
        <f>(4.458)*10.764</f>
        <v>47.985911999999999</v>
      </c>
      <c r="H259" s="42">
        <f>F259*(($H$251)+1)+(IF(G259&lt;101,G259,IF(G259&lt;201,G259/2,IF(G259&lt;=301,G259/3,G259/4))))</f>
        <v>700.20465839999986</v>
      </c>
      <c r="I259" s="36"/>
      <c r="K259" s="37">
        <f>8700/1.5</f>
        <v>5800</v>
      </c>
      <c r="L259" s="84"/>
      <c r="M259" s="84"/>
      <c r="N259" s="36"/>
      <c r="T259" s="21"/>
    </row>
    <row r="260" spans="1:20" s="37" customFormat="1" ht="15.75" customHeight="1" x14ac:dyDescent="0.25">
      <c r="A260" s="82">
        <f t="shared" ref="A260:A265" si="30">A259+1</f>
        <v>5</v>
      </c>
      <c r="B260" s="83"/>
      <c r="C260" s="42" t="s">
        <v>339</v>
      </c>
      <c r="D260" s="42">
        <f>(31.57+0.99)*10.764</f>
        <v>350.47584000000001</v>
      </c>
      <c r="E260" s="42">
        <f>(5.362+4.012)*10.764</f>
        <v>100.90173599999999</v>
      </c>
      <c r="F260" s="42">
        <f t="shared" ref="F260:F265" si="31">D260+E260</f>
        <v>451.37757599999998</v>
      </c>
      <c r="G260" s="42">
        <f>(4.458)*10.764</f>
        <v>47.985911999999999</v>
      </c>
      <c r="H260" s="42">
        <f t="shared" ref="H260:H265" si="32">F260*(($H$251)+1)+(IF(G260&lt;101,G260,IF(G260&lt;201,G260/2,IF(G260&lt;=301,G260/3,G260/4))))</f>
        <v>702.4833971999999</v>
      </c>
      <c r="I260" s="36"/>
      <c r="L260" s="84"/>
      <c r="M260" s="84"/>
      <c r="N260" s="36"/>
      <c r="T260" s="21"/>
    </row>
    <row r="261" spans="1:20" s="37" customFormat="1" ht="15.75" customHeight="1" x14ac:dyDescent="0.25">
      <c r="A261" s="82">
        <f t="shared" si="30"/>
        <v>6</v>
      </c>
      <c r="B261" s="83"/>
      <c r="C261" s="42" t="s">
        <v>339</v>
      </c>
      <c r="D261" s="42">
        <f>(22.86)*10.764</f>
        <v>246.06503999999998</v>
      </c>
      <c r="E261" s="42">
        <f>(7.637+5.512)*10.764</f>
        <v>141.53583599999999</v>
      </c>
      <c r="F261" s="42">
        <f t="shared" si="31"/>
        <v>387.60087599999997</v>
      </c>
      <c r="G261" s="42">
        <v>0</v>
      </c>
      <c r="H261" s="42">
        <f t="shared" si="32"/>
        <v>562.02127019999989</v>
      </c>
      <c r="I261" s="36">
        <f>2.85*3.15+0.15*1.15+1.5*2.2+2.15*2.75+2*1.3+0.9*1.4</f>
        <v>22.2225</v>
      </c>
      <c r="J261" s="37">
        <f>2+2.2+2.75</f>
        <v>6.95</v>
      </c>
      <c r="K261" s="37">
        <f>0.75*(2+2.2+2.75)</f>
        <v>5.2125000000000004</v>
      </c>
      <c r="L261" s="84"/>
      <c r="M261" s="84"/>
      <c r="N261" s="36"/>
      <c r="T261" s="21"/>
    </row>
    <row r="262" spans="1:20" s="37" customFormat="1" ht="15.75" customHeight="1" x14ac:dyDescent="0.25">
      <c r="A262" s="82">
        <f t="shared" si="30"/>
        <v>7</v>
      </c>
      <c r="B262" s="83"/>
      <c r="C262" s="42" t="s">
        <v>339</v>
      </c>
      <c r="D262" s="42">
        <f>(31.57+0.99)*10.764</f>
        <v>350.47584000000001</v>
      </c>
      <c r="E262" s="42">
        <f>(5.362+4.012)*10.764</f>
        <v>100.90173599999999</v>
      </c>
      <c r="F262" s="42">
        <f t="shared" si="31"/>
        <v>451.37757599999998</v>
      </c>
      <c r="G262" s="42">
        <f>(4.458)*10.764</f>
        <v>47.985911999999999</v>
      </c>
      <c r="H262" s="42">
        <f t="shared" si="32"/>
        <v>702.4833971999999</v>
      </c>
      <c r="I262" s="36"/>
      <c r="L262" s="84"/>
      <c r="M262" s="84"/>
      <c r="N262" s="36"/>
      <c r="T262" s="21"/>
    </row>
    <row r="263" spans="1:20" s="37" customFormat="1" ht="15.75" customHeight="1" x14ac:dyDescent="0.25">
      <c r="A263" s="82">
        <f t="shared" si="30"/>
        <v>8</v>
      </c>
      <c r="B263" s="83"/>
      <c r="C263" s="42" t="s">
        <v>339</v>
      </c>
      <c r="D263" s="42">
        <f>(31.57+0.9)*10.764</f>
        <v>349.50707999999997</v>
      </c>
      <c r="E263" s="42">
        <f>(5.362+3.956)*10.764</f>
        <v>100.29895199999999</v>
      </c>
      <c r="F263" s="42">
        <f t="shared" si="31"/>
        <v>449.80603199999996</v>
      </c>
      <c r="G263" s="42">
        <f>(4.458)*10.764</f>
        <v>47.985911999999999</v>
      </c>
      <c r="H263" s="42">
        <f t="shared" si="32"/>
        <v>700.20465839999986</v>
      </c>
      <c r="I263" s="36"/>
      <c r="L263" s="84"/>
      <c r="M263" s="84"/>
      <c r="N263" s="36"/>
      <c r="T263" s="21"/>
    </row>
    <row r="264" spans="1:20" s="37" customFormat="1" ht="15.75" customHeight="1" x14ac:dyDescent="0.25">
      <c r="A264" s="82">
        <f t="shared" si="30"/>
        <v>9</v>
      </c>
      <c r="B264" s="83"/>
      <c r="C264" s="42" t="s">
        <v>339</v>
      </c>
      <c r="D264" s="42">
        <f>(31.57+0.9)*10.764</f>
        <v>349.50707999999997</v>
      </c>
      <c r="E264" s="42">
        <f>(5.362+3.956)*10.764</f>
        <v>100.29895199999999</v>
      </c>
      <c r="F264" s="42">
        <f t="shared" si="31"/>
        <v>449.80603199999996</v>
      </c>
      <c r="G264" s="42">
        <f>(4.458)*10.764</f>
        <v>47.985911999999999</v>
      </c>
      <c r="H264" s="42">
        <f t="shared" si="32"/>
        <v>700.20465839999986</v>
      </c>
      <c r="I264" s="36"/>
      <c r="L264" s="84"/>
      <c r="M264" s="84"/>
      <c r="N264" s="36"/>
      <c r="T264" s="21"/>
    </row>
    <row r="265" spans="1:20" s="37" customFormat="1" ht="15.75" customHeight="1" x14ac:dyDescent="0.25">
      <c r="A265" s="82">
        <f t="shared" si="30"/>
        <v>10</v>
      </c>
      <c r="B265" s="83"/>
      <c r="C265" s="42" t="s">
        <v>339</v>
      </c>
      <c r="D265" s="42">
        <f>(31.57+0.99)*10.764</f>
        <v>350.47584000000001</v>
      </c>
      <c r="E265" s="42">
        <f>(5.362+4.012)*10.764</f>
        <v>100.90173599999999</v>
      </c>
      <c r="F265" s="42">
        <f t="shared" si="31"/>
        <v>451.37757599999998</v>
      </c>
      <c r="G265" s="42">
        <f>(4.458)*10.764</f>
        <v>47.985911999999999</v>
      </c>
      <c r="H265" s="42">
        <f t="shared" si="32"/>
        <v>702.4833971999999</v>
      </c>
      <c r="I265" s="36"/>
      <c r="L265" s="84"/>
      <c r="M265" s="84"/>
      <c r="N265" s="36"/>
      <c r="T265" s="21"/>
    </row>
    <row r="266" spans="1:20" s="37" customFormat="1" x14ac:dyDescent="0.25">
      <c r="A266" s="85" t="s">
        <v>342</v>
      </c>
      <c r="B266" s="85"/>
      <c r="C266" s="85"/>
      <c r="D266" s="85"/>
      <c r="E266" s="85"/>
      <c r="F266" s="85"/>
      <c r="G266" s="85"/>
      <c r="H266" s="85"/>
      <c r="I266" s="36"/>
      <c r="L266" s="84"/>
      <c r="M266" s="84"/>
    </row>
    <row r="267" spans="1:20" s="37" customFormat="1" x14ac:dyDescent="0.25">
      <c r="A267" s="78">
        <v>1</v>
      </c>
      <c r="B267" s="78"/>
      <c r="C267" s="42" t="s">
        <v>339</v>
      </c>
      <c r="D267" s="42">
        <f>(22.86)*10.764</f>
        <v>246.06503999999998</v>
      </c>
      <c r="E267" s="42">
        <f>(7.637+5.625)*10.764</f>
        <v>142.75216799999998</v>
      </c>
      <c r="F267" s="42">
        <f>D267+E267</f>
        <v>388.81720799999994</v>
      </c>
      <c r="G267" s="42">
        <v>0</v>
      </c>
      <c r="H267" s="42">
        <f>F267*(($H$251)+1)+(IF(G267&lt;101,G267,IF(G267&lt;201,G267/2,IF(G267&lt;=301,G267/3,G267/4))))</f>
        <v>563.78495159999989</v>
      </c>
      <c r="I267" s="36"/>
      <c r="N267" s="36"/>
    </row>
    <row r="268" spans="1:20" s="37" customFormat="1" x14ac:dyDescent="0.25">
      <c r="A268" s="78">
        <f>A267+1</f>
        <v>2</v>
      </c>
      <c r="B268" s="78"/>
      <c r="C268" s="42" t="s">
        <v>339</v>
      </c>
      <c r="D268" s="42">
        <f>(31.57+0.99)*10.764</f>
        <v>350.47584000000001</v>
      </c>
      <c r="E268" s="42">
        <f>(5.362+6.318)*10.764</f>
        <v>125.72351999999999</v>
      </c>
      <c r="F268" s="42">
        <f>D268+E268</f>
        <v>476.19936000000001</v>
      </c>
      <c r="G268" s="42">
        <v>0</v>
      </c>
      <c r="H268" s="42">
        <f>F268*(($H$251)+1)+(IF(G268&lt;101,G268,IF(G268&lt;201,G268/2,IF(G268&lt;=301,G268/3,G268/4))))</f>
        <v>690.48907199999996</v>
      </c>
      <c r="I268" s="36"/>
      <c r="N268" s="36"/>
    </row>
    <row r="269" spans="1:20" s="37" customFormat="1" x14ac:dyDescent="0.25">
      <c r="A269" s="78">
        <f>A268+1</f>
        <v>3</v>
      </c>
      <c r="B269" s="78"/>
      <c r="C269" s="42" t="s">
        <v>339</v>
      </c>
      <c r="D269" s="42">
        <f>(31.57+0.9)*10.764</f>
        <v>349.50707999999997</v>
      </c>
      <c r="E269" s="42">
        <f>(5.362+6.262)*10.764</f>
        <v>125.12073599999998</v>
      </c>
      <c r="F269" s="42">
        <f>D269+E269</f>
        <v>474.62781599999994</v>
      </c>
      <c r="G269" s="42">
        <v>0</v>
      </c>
      <c r="H269" s="42">
        <f>F269*(($H$251)+1)+(IF(G269&lt;101,G269,IF(G269&lt;201,G269/2,IF(G269&lt;=301,G269/3,G269/4))))</f>
        <v>688.21033319999992</v>
      </c>
      <c r="I269" s="36"/>
      <c r="N269" s="36"/>
    </row>
    <row r="270" spans="1:20" s="37" customFormat="1" x14ac:dyDescent="0.25">
      <c r="A270" s="78">
        <f>A269+1</f>
        <v>4</v>
      </c>
      <c r="B270" s="78"/>
      <c r="C270" s="42" t="s">
        <v>339</v>
      </c>
      <c r="D270" s="42">
        <f>(31.57+0.9)*10.764</f>
        <v>349.50707999999997</v>
      </c>
      <c r="E270" s="42">
        <f>(5.362+6.262)*10.764</f>
        <v>125.12073599999998</v>
      </c>
      <c r="F270" s="42">
        <f>D270+E270</f>
        <v>474.62781599999994</v>
      </c>
      <c r="G270" s="42">
        <v>0</v>
      </c>
      <c r="H270" s="42">
        <f>F270*(($H$251)+1)+(IF(G270&lt;101,G270,IF(G270&lt;201,G270/2,IF(G270&lt;=301,G270/3,G270/4))))</f>
        <v>688.21033319999992</v>
      </c>
      <c r="I270" s="36"/>
      <c r="N270" s="36"/>
    </row>
    <row r="271" spans="1:20" s="37" customFormat="1" x14ac:dyDescent="0.25">
      <c r="A271" s="78">
        <f>A270+1</f>
        <v>5</v>
      </c>
      <c r="B271" s="78"/>
      <c r="C271" s="42" t="s">
        <v>339</v>
      </c>
      <c r="D271" s="42">
        <f>(31.57+0.99)*10.764</f>
        <v>350.47584000000001</v>
      </c>
      <c r="E271" s="42">
        <f>(5.362+6.318)*10.764</f>
        <v>125.72351999999999</v>
      </c>
      <c r="F271" s="42">
        <f>D271+E271</f>
        <v>476.19936000000001</v>
      </c>
      <c r="G271" s="42">
        <v>0</v>
      </c>
      <c r="H271" s="42">
        <f>F271*(($H$251)+1)+(IF(G271&lt;101,G271,IF(G271&lt;201,G271/2,IF(G271&lt;=301,G271/3,G271/4))))</f>
        <v>690.48907199999996</v>
      </c>
      <c r="I271" s="36"/>
      <c r="N271" s="36"/>
    </row>
    <row r="272" spans="1:20" s="37" customFormat="1" x14ac:dyDescent="0.25">
      <c r="A272" s="78">
        <f t="shared" ref="A272:A276" si="33">A271+1</f>
        <v>6</v>
      </c>
      <c r="B272" s="78"/>
      <c r="C272" s="42" t="s">
        <v>339</v>
      </c>
      <c r="D272" s="42">
        <f>(22.86)*10.764</f>
        <v>246.06503999999998</v>
      </c>
      <c r="E272" s="42">
        <f>(7.637+5.625)*10.764</f>
        <v>142.75216799999998</v>
      </c>
      <c r="F272" s="42">
        <f t="shared" ref="F272:F276" si="34">D272+E272</f>
        <v>388.81720799999994</v>
      </c>
      <c r="G272" s="42">
        <v>0</v>
      </c>
      <c r="H272" s="42">
        <f t="shared" ref="H272:H276" si="35">F272*(($H$251)+1)+(IF(G272&lt;101,G272,IF(G272&lt;201,G272/2,IF(G272&lt;=301,G272/3,G272/4))))</f>
        <v>563.78495159999989</v>
      </c>
      <c r="I272" s="36"/>
      <c r="N272" s="36"/>
    </row>
    <row r="273" spans="1:14" s="37" customFormat="1" x14ac:dyDescent="0.25">
      <c r="A273" s="78">
        <f t="shared" si="33"/>
        <v>7</v>
      </c>
      <c r="B273" s="78"/>
      <c r="C273" s="42" t="s">
        <v>339</v>
      </c>
      <c r="D273" s="42">
        <f>(31.57+0.99)*10.764</f>
        <v>350.47584000000001</v>
      </c>
      <c r="E273" s="42">
        <f>(5.362+6.318)*10.764</f>
        <v>125.72351999999999</v>
      </c>
      <c r="F273" s="42">
        <f t="shared" si="34"/>
        <v>476.19936000000001</v>
      </c>
      <c r="G273" s="42">
        <v>0</v>
      </c>
      <c r="H273" s="42">
        <f t="shared" si="35"/>
        <v>690.48907199999996</v>
      </c>
      <c r="I273" s="36"/>
      <c r="N273" s="36"/>
    </row>
    <row r="274" spans="1:14" s="37" customFormat="1" x14ac:dyDescent="0.25">
      <c r="A274" s="78">
        <f t="shared" si="33"/>
        <v>8</v>
      </c>
      <c r="B274" s="78"/>
      <c r="C274" s="42" t="s">
        <v>339</v>
      </c>
      <c r="D274" s="42">
        <f>(31.57+0.9)*10.764</f>
        <v>349.50707999999997</v>
      </c>
      <c r="E274" s="42">
        <f>(5.362+6.262)*10.764</f>
        <v>125.12073599999998</v>
      </c>
      <c r="F274" s="42">
        <f t="shared" si="34"/>
        <v>474.62781599999994</v>
      </c>
      <c r="G274" s="42">
        <v>0</v>
      </c>
      <c r="H274" s="42">
        <f t="shared" si="35"/>
        <v>688.21033319999992</v>
      </c>
      <c r="I274" s="36"/>
      <c r="N274" s="36"/>
    </row>
    <row r="275" spans="1:14" s="37" customFormat="1" x14ac:dyDescent="0.25">
      <c r="A275" s="78">
        <f t="shared" si="33"/>
        <v>9</v>
      </c>
      <c r="B275" s="78"/>
      <c r="C275" s="42" t="s">
        <v>339</v>
      </c>
      <c r="D275" s="42">
        <f>(31.57+0.9)*10.764</f>
        <v>349.50707999999997</v>
      </c>
      <c r="E275" s="42">
        <f>(5.362+6.262)*10.764</f>
        <v>125.12073599999998</v>
      </c>
      <c r="F275" s="42">
        <f t="shared" si="34"/>
        <v>474.62781599999994</v>
      </c>
      <c r="G275" s="42">
        <v>0</v>
      </c>
      <c r="H275" s="42">
        <f t="shared" si="35"/>
        <v>688.21033319999992</v>
      </c>
      <c r="I275" s="36"/>
      <c r="N275" s="36"/>
    </row>
    <row r="276" spans="1:14" s="37" customFormat="1" x14ac:dyDescent="0.25">
      <c r="A276" s="78">
        <f t="shared" si="33"/>
        <v>10</v>
      </c>
      <c r="B276" s="78"/>
      <c r="C276" s="42" t="s">
        <v>339</v>
      </c>
      <c r="D276" s="42">
        <f>(31.57+0.99)*10.764</f>
        <v>350.47584000000001</v>
      </c>
      <c r="E276" s="42">
        <f>(5.362+6.318)*10.764</f>
        <v>125.72351999999999</v>
      </c>
      <c r="F276" s="42">
        <f t="shared" si="34"/>
        <v>476.19936000000001</v>
      </c>
      <c r="G276" s="42">
        <v>0</v>
      </c>
      <c r="H276" s="42">
        <f t="shared" si="35"/>
        <v>690.48907199999996</v>
      </c>
      <c r="I276" s="36"/>
      <c r="N276" s="36"/>
    </row>
    <row r="277" spans="1:14" s="37" customFormat="1" x14ac:dyDescent="0.25">
      <c r="A277" s="85" t="s">
        <v>343</v>
      </c>
      <c r="B277" s="85"/>
      <c r="C277" s="85"/>
      <c r="D277" s="85"/>
      <c r="E277" s="85"/>
      <c r="F277" s="85"/>
      <c r="G277" s="85"/>
      <c r="H277" s="85"/>
      <c r="I277" s="36"/>
      <c r="L277" s="84"/>
      <c r="M277" s="84"/>
    </row>
    <row r="278" spans="1:14" s="37" customFormat="1" x14ac:dyDescent="0.25">
      <c r="A278" s="78">
        <v>1</v>
      </c>
      <c r="B278" s="78"/>
      <c r="C278" s="42" t="s">
        <v>339</v>
      </c>
      <c r="D278" s="42">
        <f>(22.86)*10.764</f>
        <v>246.06503999999998</v>
      </c>
      <c r="E278" s="42">
        <f>(7.637+5.625)*10.764</f>
        <v>142.75216799999998</v>
      </c>
      <c r="F278" s="42">
        <f>D278+E278</f>
        <v>388.81720799999994</v>
      </c>
      <c r="G278" s="42">
        <v>0</v>
      </c>
      <c r="H278" s="42">
        <f>F278*(($H$251)+1)+(IF(G278&lt;101,G278,IF(G278&lt;201,G278/2,IF(G278&lt;=301,G278/3,G278/4))))</f>
        <v>563.78495159999989</v>
      </c>
      <c r="I278" s="36"/>
      <c r="N278" s="36"/>
    </row>
    <row r="279" spans="1:14" s="37" customFormat="1" x14ac:dyDescent="0.25">
      <c r="A279" s="78">
        <f>A278+1</f>
        <v>2</v>
      </c>
      <c r="B279" s="78"/>
      <c r="C279" s="42" t="s">
        <v>339</v>
      </c>
      <c r="D279" s="42">
        <f>(31.57+0.99)*10.764</f>
        <v>350.47584000000001</v>
      </c>
      <c r="E279" s="42">
        <f>(5.362+4.012)*10.764</f>
        <v>100.90173599999999</v>
      </c>
      <c r="F279" s="42">
        <f>D279+E279</f>
        <v>451.37757599999998</v>
      </c>
      <c r="G279" s="42">
        <f>(4.458)*10.764</f>
        <v>47.985911999999999</v>
      </c>
      <c r="H279" s="42">
        <f>F279*(($H$251)+1)+(IF(G279&lt;101,G279,IF(G279&lt;201,G279/2,IF(G279&lt;=301,G279/3,G279/4))))</f>
        <v>702.4833971999999</v>
      </c>
      <c r="I279" s="36"/>
      <c r="N279" s="36"/>
    </row>
    <row r="280" spans="1:14" s="37" customFormat="1" x14ac:dyDescent="0.25">
      <c r="A280" s="78">
        <f>A279+1</f>
        <v>3</v>
      </c>
      <c r="B280" s="78"/>
      <c r="C280" s="42" t="s">
        <v>339</v>
      </c>
      <c r="D280" s="42">
        <f>(31.57+0.9)*10.764</f>
        <v>349.50707999999997</v>
      </c>
      <c r="E280" s="42">
        <f>(5.362+3.956)*10.764</f>
        <v>100.29895199999999</v>
      </c>
      <c r="F280" s="42">
        <f>D280+E280</f>
        <v>449.80603199999996</v>
      </c>
      <c r="G280" s="42">
        <f>(4.458)*10.764</f>
        <v>47.985911999999999</v>
      </c>
      <c r="H280" s="42">
        <f>F280*(($H$251)+1)+(IF(G280&lt;101,G280,IF(G280&lt;201,G280/2,IF(G280&lt;=301,G280/3,G280/4))))</f>
        <v>700.20465839999986</v>
      </c>
      <c r="I280" s="36"/>
      <c r="N280" s="36"/>
    </row>
    <row r="281" spans="1:14" s="37" customFormat="1" x14ac:dyDescent="0.25">
      <c r="A281" s="78">
        <f>A280+1</f>
        <v>4</v>
      </c>
      <c r="B281" s="78"/>
      <c r="C281" s="42" t="s">
        <v>339</v>
      </c>
      <c r="D281" s="42">
        <f>(31.57+0.9)*10.764</f>
        <v>349.50707999999997</v>
      </c>
      <c r="E281" s="42">
        <f>(5.362+3.956)*10.764</f>
        <v>100.29895199999999</v>
      </c>
      <c r="F281" s="42">
        <f>D281+E281</f>
        <v>449.80603199999996</v>
      </c>
      <c r="G281" s="42">
        <f>(4.458)*10.764</f>
        <v>47.985911999999999</v>
      </c>
      <c r="H281" s="42">
        <f>F281*(($H$251)+1)+(IF(G281&lt;101,G281,IF(G281&lt;201,G281/2,IF(G281&lt;=301,G281/3,G281/4))))</f>
        <v>700.20465839999986</v>
      </c>
      <c r="I281" s="36"/>
      <c r="N281" s="36"/>
    </row>
    <row r="282" spans="1:14" s="37" customFormat="1" x14ac:dyDescent="0.25">
      <c r="A282" s="78">
        <f>A281+1</f>
        <v>5</v>
      </c>
      <c r="B282" s="78"/>
      <c r="C282" s="42" t="s">
        <v>339</v>
      </c>
      <c r="D282" s="42">
        <f>(31.57+0.99)*10.764</f>
        <v>350.47584000000001</v>
      </c>
      <c r="E282" s="42">
        <f>(5.362+4.012)*10.764</f>
        <v>100.90173599999999</v>
      </c>
      <c r="F282" s="42">
        <f>D282+E282</f>
        <v>451.37757599999998</v>
      </c>
      <c r="G282" s="42">
        <f>(4.458)*10.764</f>
        <v>47.985911999999999</v>
      </c>
      <c r="H282" s="42">
        <f>F282*(($H$251)+1)+(IF(G282&lt;101,G282,IF(G282&lt;201,G282/2,IF(G282&lt;=301,G282/3,G282/4))))</f>
        <v>702.4833971999999</v>
      </c>
      <c r="I282" s="36"/>
      <c r="N282" s="36"/>
    </row>
    <row r="283" spans="1:14" s="37" customFormat="1" x14ac:dyDescent="0.25">
      <c r="A283" s="78">
        <f t="shared" ref="A283:A287" si="36">A282+1</f>
        <v>6</v>
      </c>
      <c r="B283" s="78"/>
      <c r="C283" s="42" t="s">
        <v>339</v>
      </c>
      <c r="D283" s="42">
        <f>(22.86)*10.764</f>
        <v>246.06503999999998</v>
      </c>
      <c r="E283" s="42">
        <f>(7.637+5.625)*10.764</f>
        <v>142.75216799999998</v>
      </c>
      <c r="F283" s="42">
        <f t="shared" ref="F283:F287" si="37">D283+E283</f>
        <v>388.81720799999994</v>
      </c>
      <c r="G283" s="42">
        <v>0</v>
      </c>
      <c r="H283" s="42">
        <f t="shared" ref="H283:H287" si="38">F283*(($H$251)+1)+(IF(G283&lt;101,G283,IF(G283&lt;201,G283/2,IF(G283&lt;=301,G283/3,G283/4))))</f>
        <v>563.78495159999989</v>
      </c>
      <c r="I283" s="36"/>
      <c r="N283" s="36"/>
    </row>
    <row r="284" spans="1:14" s="37" customFormat="1" x14ac:dyDescent="0.25">
      <c r="A284" s="78">
        <f t="shared" si="36"/>
        <v>7</v>
      </c>
      <c r="B284" s="78"/>
      <c r="C284" s="42" t="s">
        <v>339</v>
      </c>
      <c r="D284" s="42">
        <f>(31.57+0.99)*10.764</f>
        <v>350.47584000000001</v>
      </c>
      <c r="E284" s="42">
        <f>(5.362+4.012)*10.764</f>
        <v>100.90173599999999</v>
      </c>
      <c r="F284" s="42">
        <f t="shared" si="37"/>
        <v>451.37757599999998</v>
      </c>
      <c r="G284" s="42">
        <f>(4.458)*10.764</f>
        <v>47.985911999999999</v>
      </c>
      <c r="H284" s="42">
        <f t="shared" si="38"/>
        <v>702.4833971999999</v>
      </c>
      <c r="I284" s="36"/>
      <c r="N284" s="36"/>
    </row>
    <row r="285" spans="1:14" s="37" customFormat="1" x14ac:dyDescent="0.25">
      <c r="A285" s="78">
        <f t="shared" si="36"/>
        <v>8</v>
      </c>
      <c r="B285" s="78"/>
      <c r="C285" s="42" t="s">
        <v>339</v>
      </c>
      <c r="D285" s="42">
        <f>(31.57+0.9)*10.764</f>
        <v>349.50707999999997</v>
      </c>
      <c r="E285" s="42">
        <f>(5.362+3.956)*10.764</f>
        <v>100.29895199999999</v>
      </c>
      <c r="F285" s="42">
        <f t="shared" si="37"/>
        <v>449.80603199999996</v>
      </c>
      <c r="G285" s="42">
        <f>(4.458)*10.764</f>
        <v>47.985911999999999</v>
      </c>
      <c r="H285" s="42">
        <f t="shared" si="38"/>
        <v>700.20465839999986</v>
      </c>
      <c r="I285" s="36"/>
      <c r="N285" s="36"/>
    </row>
    <row r="286" spans="1:14" s="37" customFormat="1" x14ac:dyDescent="0.25">
      <c r="A286" s="78">
        <f t="shared" si="36"/>
        <v>9</v>
      </c>
      <c r="B286" s="78"/>
      <c r="C286" s="42" t="s">
        <v>339</v>
      </c>
      <c r="D286" s="42">
        <f>(31.57+0.9)*10.764</f>
        <v>349.50707999999997</v>
      </c>
      <c r="E286" s="42">
        <f>(5.362+3.956)*10.764</f>
        <v>100.29895199999999</v>
      </c>
      <c r="F286" s="42">
        <f t="shared" si="37"/>
        <v>449.80603199999996</v>
      </c>
      <c r="G286" s="42">
        <f>(4.458)*10.764</f>
        <v>47.985911999999999</v>
      </c>
      <c r="H286" s="42">
        <f t="shared" si="38"/>
        <v>700.20465839999986</v>
      </c>
      <c r="I286" s="36"/>
      <c r="N286" s="36"/>
    </row>
    <row r="287" spans="1:14" s="37" customFormat="1" x14ac:dyDescent="0.25">
      <c r="A287" s="78">
        <f t="shared" si="36"/>
        <v>10</v>
      </c>
      <c r="B287" s="78"/>
      <c r="C287" s="42" t="s">
        <v>339</v>
      </c>
      <c r="D287" s="42">
        <f>(31.57+0.99)*10.764</f>
        <v>350.47584000000001</v>
      </c>
      <c r="E287" s="42">
        <f>(5.362+4.012)*10.764</f>
        <v>100.90173599999999</v>
      </c>
      <c r="F287" s="42">
        <f t="shared" si="37"/>
        <v>451.37757599999998</v>
      </c>
      <c r="G287" s="42">
        <f>(4.458)*10.764</f>
        <v>47.985911999999999</v>
      </c>
      <c r="H287" s="42">
        <f t="shared" si="38"/>
        <v>702.4833971999999</v>
      </c>
      <c r="I287" s="36"/>
      <c r="N287" s="36"/>
    </row>
    <row r="288" spans="1:14" s="37" customFormat="1" ht="15.75" customHeight="1" x14ac:dyDescent="0.25">
      <c r="A288" s="79" t="s">
        <v>345</v>
      </c>
      <c r="B288" s="80"/>
      <c r="C288" s="80"/>
      <c r="D288" s="80"/>
      <c r="E288" s="80"/>
      <c r="F288" s="80"/>
      <c r="G288" s="80"/>
      <c r="H288" s="81"/>
      <c r="I288" s="36"/>
    </row>
    <row r="289" spans="1:11" s="37" customFormat="1" ht="15.75" customHeight="1" x14ac:dyDescent="0.25">
      <c r="A289" s="79" t="s">
        <v>346</v>
      </c>
      <c r="B289" s="80"/>
      <c r="C289" s="80"/>
      <c r="D289" s="80"/>
      <c r="E289" s="80"/>
      <c r="F289" s="80"/>
      <c r="G289" s="80"/>
      <c r="H289" s="81"/>
      <c r="I289" s="36"/>
    </row>
    <row r="290" spans="1:11" s="37" customFormat="1" ht="15.75" customHeight="1" x14ac:dyDescent="0.25">
      <c r="A290" s="79" t="s">
        <v>347</v>
      </c>
      <c r="B290" s="80"/>
      <c r="C290" s="80"/>
      <c r="D290" s="80"/>
      <c r="E290" s="80"/>
      <c r="F290" s="80"/>
      <c r="G290" s="80"/>
      <c r="H290" s="81"/>
      <c r="I290" s="36"/>
    </row>
    <row r="291" spans="1:11" s="37" customFormat="1" ht="15.75" customHeight="1" x14ac:dyDescent="0.25">
      <c r="A291" s="78">
        <v>1</v>
      </c>
      <c r="B291" s="78"/>
      <c r="C291" s="42" t="s">
        <v>339</v>
      </c>
      <c r="D291" s="42">
        <f>(25)*10.764</f>
        <v>269.09999999999997</v>
      </c>
      <c r="E291" s="42">
        <f>(6.7+5.27)*10.764</f>
        <v>128.84507999999997</v>
      </c>
      <c r="F291" s="42">
        <f>D291+E291</f>
        <v>397.94507999999996</v>
      </c>
      <c r="G291" s="42">
        <v>0</v>
      </c>
      <c r="H291" s="42">
        <f>F291*(($H$251)+1)+(IF(G291&lt;101,G291,IF(G291&lt;201,G291/2,IF(G291&lt;=301,G291/3,G291/4))))</f>
        <v>577.02036599999997</v>
      </c>
      <c r="I291" s="36"/>
      <c r="K291" s="42">
        <v>10.763999999999999</v>
      </c>
    </row>
    <row r="292" spans="1:11" s="37" customFormat="1" ht="15.75" customHeight="1" x14ac:dyDescent="0.25">
      <c r="A292" s="78">
        <f>A291+1</f>
        <v>2</v>
      </c>
      <c r="B292" s="78"/>
      <c r="C292" s="42" t="s">
        <v>339</v>
      </c>
      <c r="D292" s="42">
        <f>(26.488)*10.764</f>
        <v>285.11683199999999</v>
      </c>
      <c r="E292" s="42">
        <f>(4.95+3.956)*10.764</f>
        <v>95.864183999999995</v>
      </c>
      <c r="F292" s="42">
        <f>D292+E292</f>
        <v>380.98101599999995</v>
      </c>
      <c r="G292" s="42">
        <f>(3.011)*10.764</f>
        <v>32.410404</v>
      </c>
      <c r="H292" s="42">
        <f>F292*(($H$251)+1)+(IF(G292&lt;101,G292,IF(G292&lt;201,G292/2,IF(G292&lt;=301,G292/3,G292/4))))</f>
        <v>584.83287719999987</v>
      </c>
      <c r="I292" s="36"/>
    </row>
    <row r="293" spans="1:11" s="37" customFormat="1" ht="15.75" customHeight="1" x14ac:dyDescent="0.25">
      <c r="A293" s="78">
        <f>A292+1</f>
        <v>3</v>
      </c>
      <c r="B293" s="78"/>
      <c r="C293" s="42" t="s">
        <v>339</v>
      </c>
      <c r="D293" s="42">
        <f>(26.488)*10.764</f>
        <v>285.11683199999999</v>
      </c>
      <c r="E293" s="42">
        <f>(4.95+4.013)*10.764</f>
        <v>96.477732000000003</v>
      </c>
      <c r="F293" s="42">
        <f>D293+E293</f>
        <v>381.59456399999999</v>
      </c>
      <c r="G293" s="42">
        <f>(3.011)*10.764</f>
        <v>32.410404</v>
      </c>
      <c r="H293" s="42">
        <f>F293*(($H$251)+1)+(IF(G293&lt;101,G293,IF(G293&lt;201,G293/2,IF(G293&lt;=301,G293/3,G293/4))))</f>
        <v>585.72252179999998</v>
      </c>
      <c r="I293" s="36">
        <f>3*3.1+0.7*1.8+1.5*2.2+2.4*2.75+1.35*0.9+1.5*1+0.3*1.4+0.9*1</f>
        <v>24.495000000000001</v>
      </c>
      <c r="J293" s="37">
        <f>2.2*1+2.75*1</f>
        <v>4.95</v>
      </c>
      <c r="K293" s="73">
        <f>0.75*2.75+0.75*2.2</f>
        <v>3.7125000000000004</v>
      </c>
    </row>
    <row r="294" spans="1:11" s="37" customFormat="1" ht="15.75" customHeight="1" x14ac:dyDescent="0.25">
      <c r="A294" s="78">
        <f>A293+1</f>
        <v>4</v>
      </c>
      <c r="B294" s="78"/>
      <c r="C294" s="42" t="s">
        <v>339</v>
      </c>
      <c r="D294" s="42">
        <f t="shared" ref="D294:D299" si="39">(30.003)*10.764</f>
        <v>322.952292</v>
      </c>
      <c r="E294" s="42">
        <f>(4.95+4.013)*10.764</f>
        <v>96.477732000000003</v>
      </c>
      <c r="F294" s="42">
        <f>D294+E294</f>
        <v>419.430024</v>
      </c>
      <c r="G294" s="42">
        <f>(4.703)*10.764</f>
        <v>50.623092</v>
      </c>
      <c r="H294" s="42">
        <f>F294*(($H$251)+1)+(IF(G294&lt;101,G294,IF(G294&lt;201,G294/2,IF(G294&lt;=301,G294/3,G294/4))))</f>
        <v>658.79662680000001</v>
      </c>
      <c r="I294" s="36"/>
    </row>
    <row r="295" spans="1:11" s="37" customFormat="1" ht="15.75" customHeight="1" x14ac:dyDescent="0.25">
      <c r="A295" s="78">
        <f>A294+1</f>
        <v>5</v>
      </c>
      <c r="B295" s="78"/>
      <c r="C295" s="42" t="s">
        <v>339</v>
      </c>
      <c r="D295" s="42">
        <f t="shared" si="39"/>
        <v>322.952292</v>
      </c>
      <c r="E295" s="42">
        <f>(4.95+3.956)*10.764</f>
        <v>95.864183999999995</v>
      </c>
      <c r="F295" s="42">
        <f>D295+E295</f>
        <v>418.81647599999997</v>
      </c>
      <c r="G295" s="42">
        <f>(4.455)*10.764</f>
        <v>47.953620000000001</v>
      </c>
      <c r="H295" s="42">
        <f>F295*(($H$251)+1)+(IF(G295&lt;101,G295,IF(G295&lt;201,G295/2,IF(G295&lt;=301,G295/3,G295/4))))</f>
        <v>655.23751019999997</v>
      </c>
      <c r="I295" s="36"/>
    </row>
    <row r="296" spans="1:11" s="37" customFormat="1" ht="15.75" customHeight="1" x14ac:dyDescent="0.25">
      <c r="A296" s="78">
        <f t="shared" ref="A296:A300" si="40">A295+1</f>
        <v>6</v>
      </c>
      <c r="B296" s="78"/>
      <c r="C296" s="42" t="s">
        <v>339</v>
      </c>
      <c r="D296" s="42">
        <f t="shared" si="39"/>
        <v>322.952292</v>
      </c>
      <c r="E296" s="42">
        <f>(4.95+3.956)*10.764</f>
        <v>95.864183999999995</v>
      </c>
      <c r="F296" s="42">
        <f t="shared" ref="F296:F300" si="41">D296+E296</f>
        <v>418.81647599999997</v>
      </c>
      <c r="G296" s="42">
        <f>(4.579)*10.764</f>
        <v>49.288355999999993</v>
      </c>
      <c r="H296" s="42">
        <f t="shared" ref="H296:H300" si="42">F296*(($H$251)+1)+(IF(G296&lt;101,G296,IF(G296&lt;201,G296/2,IF(G296&lt;=301,G296/3,G296/4))))</f>
        <v>656.5722462</v>
      </c>
      <c r="I296" s="36"/>
    </row>
    <row r="297" spans="1:11" s="37" customFormat="1" ht="15.75" customHeight="1" x14ac:dyDescent="0.25">
      <c r="A297" s="78">
        <f t="shared" si="40"/>
        <v>7</v>
      </c>
      <c r="B297" s="78"/>
      <c r="C297" s="42" t="s">
        <v>339</v>
      </c>
      <c r="D297" s="42">
        <f t="shared" si="39"/>
        <v>322.952292</v>
      </c>
      <c r="E297" s="42">
        <f>(4.95+4.013)*10.764</f>
        <v>96.477732000000003</v>
      </c>
      <c r="F297" s="42">
        <f t="shared" si="41"/>
        <v>419.430024</v>
      </c>
      <c r="G297" s="42">
        <f>(4.579)*10.764</f>
        <v>49.288355999999993</v>
      </c>
      <c r="H297" s="42">
        <f t="shared" si="42"/>
        <v>657.46189079999999</v>
      </c>
      <c r="I297" s="36"/>
    </row>
    <row r="298" spans="1:11" s="37" customFormat="1" ht="15.75" customHeight="1" x14ac:dyDescent="0.25">
      <c r="A298" s="78">
        <f t="shared" si="40"/>
        <v>8</v>
      </c>
      <c r="B298" s="78"/>
      <c r="C298" s="42" t="s">
        <v>339</v>
      </c>
      <c r="D298" s="42">
        <f t="shared" si="39"/>
        <v>322.952292</v>
      </c>
      <c r="E298" s="42">
        <f>(4.95+4.013)*10.764</f>
        <v>96.477732000000003</v>
      </c>
      <c r="F298" s="42">
        <f t="shared" si="41"/>
        <v>419.430024</v>
      </c>
      <c r="G298" s="42">
        <f>(4.579)*10.764</f>
        <v>49.288355999999993</v>
      </c>
      <c r="H298" s="42">
        <f t="shared" si="42"/>
        <v>657.46189079999999</v>
      </c>
      <c r="I298" s="36"/>
    </row>
    <row r="299" spans="1:11" s="37" customFormat="1" ht="15.75" customHeight="1" x14ac:dyDescent="0.25">
      <c r="A299" s="78">
        <f t="shared" si="40"/>
        <v>9</v>
      </c>
      <c r="B299" s="78"/>
      <c r="C299" s="42" t="s">
        <v>339</v>
      </c>
      <c r="D299" s="42">
        <f t="shared" si="39"/>
        <v>322.952292</v>
      </c>
      <c r="E299" s="42">
        <f>(4.95+4.013)*10.764</f>
        <v>96.477732000000003</v>
      </c>
      <c r="F299" s="42">
        <f t="shared" si="41"/>
        <v>419.430024</v>
      </c>
      <c r="G299" s="42">
        <f>(4.579)*10.764</f>
        <v>49.288355999999993</v>
      </c>
      <c r="H299" s="42">
        <f t="shared" si="42"/>
        <v>657.46189079999999</v>
      </c>
      <c r="I299" s="36"/>
    </row>
    <row r="300" spans="1:11" s="37" customFormat="1" ht="15.75" customHeight="1" x14ac:dyDescent="0.25">
      <c r="A300" s="78">
        <f t="shared" si="40"/>
        <v>10</v>
      </c>
      <c r="B300" s="78"/>
      <c r="C300" s="42" t="s">
        <v>339</v>
      </c>
      <c r="D300" s="42">
        <f>(26.897)*10.764</f>
        <v>289.51930799999997</v>
      </c>
      <c r="E300" s="42">
        <f>(8.46+6.037)*10.764</f>
        <v>156.04570799999999</v>
      </c>
      <c r="F300" s="42">
        <f t="shared" si="41"/>
        <v>445.56501599999996</v>
      </c>
      <c r="G300" s="42">
        <v>0</v>
      </c>
      <c r="H300" s="42">
        <f t="shared" si="42"/>
        <v>646.06927319999988</v>
      </c>
      <c r="I300" s="36"/>
    </row>
    <row r="301" spans="1:11" s="37" customFormat="1" ht="15.75" customHeight="1" x14ac:dyDescent="0.25">
      <c r="A301" s="79" t="s">
        <v>342</v>
      </c>
      <c r="B301" s="80"/>
      <c r="C301" s="80"/>
      <c r="D301" s="80"/>
      <c r="E301" s="80"/>
      <c r="F301" s="80"/>
      <c r="G301" s="80"/>
      <c r="H301" s="81"/>
      <c r="I301" s="36"/>
    </row>
    <row r="302" spans="1:11" s="37" customFormat="1" ht="15.75" customHeight="1" x14ac:dyDescent="0.25">
      <c r="A302" s="78">
        <v>1</v>
      </c>
      <c r="B302" s="78"/>
      <c r="C302" s="42" t="s">
        <v>339</v>
      </c>
      <c r="D302" s="42">
        <f>(25)*10.764</f>
        <v>269.09999999999997</v>
      </c>
      <c r="E302" s="42">
        <f>(6.7+5.269)*10.764</f>
        <v>128.834316</v>
      </c>
      <c r="F302" s="42">
        <f>D302+E302</f>
        <v>397.93431599999997</v>
      </c>
      <c r="G302" s="42">
        <v>0</v>
      </c>
      <c r="H302" s="42">
        <f>F302*(($H$251)+1)+(IF(G302&lt;101,G302,IF(G302&lt;201,G302/2,IF(G302&lt;=301,G302/3,G302/4))))</f>
        <v>577.00475819999997</v>
      </c>
      <c r="I302" s="36"/>
      <c r="K302" s="42">
        <v>10.763999999999999</v>
      </c>
    </row>
    <row r="303" spans="1:11" s="37" customFormat="1" ht="15.75" customHeight="1" x14ac:dyDescent="0.25">
      <c r="A303" s="78">
        <f>A302+1</f>
        <v>2</v>
      </c>
      <c r="B303" s="78"/>
      <c r="C303" s="42" t="s">
        <v>339</v>
      </c>
      <c r="D303" s="42">
        <f>(26.488)*10.764</f>
        <v>285.11683199999999</v>
      </c>
      <c r="E303" s="42">
        <f>(4.95+5.325)*10.764</f>
        <v>110.6001</v>
      </c>
      <c r="F303" s="42">
        <f>D303+E303</f>
        <v>395.71693199999999</v>
      </c>
      <c r="G303" s="42">
        <v>0</v>
      </c>
      <c r="H303" s="42">
        <f>F303*(($H$251)+1)+(IF(G303&lt;101,G303,IF(G303&lt;201,G303/2,IF(G303&lt;=301,G303/3,G303/4))))</f>
        <v>573.78955139999994</v>
      </c>
      <c r="I303" s="36"/>
    </row>
    <row r="304" spans="1:11" s="37" customFormat="1" ht="15.75" customHeight="1" x14ac:dyDescent="0.25">
      <c r="A304" s="78">
        <f>A303+1</f>
        <v>3</v>
      </c>
      <c r="B304" s="78"/>
      <c r="C304" s="42" t="s">
        <v>339</v>
      </c>
      <c r="D304" s="42">
        <f>(26.488)*10.764</f>
        <v>285.11683199999999</v>
      </c>
      <c r="E304" s="42">
        <f>(4.95+5.381)*10.764</f>
        <v>111.20288399999998</v>
      </c>
      <c r="F304" s="42">
        <f>D304+E304</f>
        <v>396.31971599999997</v>
      </c>
      <c r="G304" s="42">
        <v>0</v>
      </c>
      <c r="H304" s="42">
        <f>F304*(($H$251)+1)+(IF(G304&lt;101,G304,IF(G304&lt;201,G304/2,IF(G304&lt;=301,G304/3,G304/4))))</f>
        <v>574.66358819999994</v>
      </c>
      <c r="I304" s="36"/>
    </row>
    <row r="305" spans="1:11" s="37" customFormat="1" ht="15.75" customHeight="1" x14ac:dyDescent="0.25">
      <c r="A305" s="78">
        <f>A304+1</f>
        <v>4</v>
      </c>
      <c r="B305" s="78"/>
      <c r="C305" s="42" t="s">
        <v>339</v>
      </c>
      <c r="D305" s="42">
        <f t="shared" ref="D305:D310" si="43">(30.003)*10.764</f>
        <v>322.952292</v>
      </c>
      <c r="E305" s="42">
        <f>(4.95+6.15)*10.764</f>
        <v>119.4804</v>
      </c>
      <c r="F305" s="42">
        <f>D305+E305</f>
        <v>442.43269199999997</v>
      </c>
      <c r="G305" s="42">
        <v>0</v>
      </c>
      <c r="H305" s="42">
        <f>F305*(($H$251)+1)+(IF(G305&lt;101,G305,IF(G305&lt;201,G305/2,IF(G305&lt;=301,G305/3,G305/4))))</f>
        <v>641.52740339999991</v>
      </c>
      <c r="I305" s="36"/>
    </row>
    <row r="306" spans="1:11" s="37" customFormat="1" ht="15.75" customHeight="1" x14ac:dyDescent="0.25">
      <c r="A306" s="78">
        <f>A305+1</f>
        <v>5</v>
      </c>
      <c r="B306" s="78"/>
      <c r="C306" s="42" t="s">
        <v>339</v>
      </c>
      <c r="D306" s="42">
        <f t="shared" si="43"/>
        <v>322.952292</v>
      </c>
      <c r="E306" s="42">
        <f>(4.95+5.981)*10.764</f>
        <v>117.66128400000001</v>
      </c>
      <c r="F306" s="42">
        <f>D306+E306</f>
        <v>440.61357600000002</v>
      </c>
      <c r="G306" s="42">
        <v>0</v>
      </c>
      <c r="H306" s="42">
        <f>F306*(($H$251)+1)+(IF(G306&lt;101,G306,IF(G306&lt;201,G306/2,IF(G306&lt;=301,G306/3,G306/4))))</f>
        <v>638.88968520000003</v>
      </c>
      <c r="I306" s="36"/>
    </row>
    <row r="307" spans="1:11" s="37" customFormat="1" ht="15.75" customHeight="1" x14ac:dyDescent="0.25">
      <c r="A307" s="78">
        <f t="shared" ref="A307:A311" si="44">A306+1</f>
        <v>6</v>
      </c>
      <c r="B307" s="78"/>
      <c r="C307" s="42" t="s">
        <v>339</v>
      </c>
      <c r="D307" s="42">
        <f t="shared" si="43"/>
        <v>322.952292</v>
      </c>
      <c r="E307" s="42">
        <f>(4.95+6.037)*10.764</f>
        <v>118.26406799999999</v>
      </c>
      <c r="F307" s="42">
        <f t="shared" ref="F307:F311" si="45">D307+E307</f>
        <v>441.21636000000001</v>
      </c>
      <c r="G307" s="42">
        <v>0</v>
      </c>
      <c r="H307" s="42">
        <f t="shared" ref="H307:H311" si="46">F307*(($H$251)+1)+(IF(G307&lt;101,G307,IF(G307&lt;201,G307/2,IF(G307&lt;=301,G307/3,G307/4))))</f>
        <v>639.76372200000003</v>
      </c>
      <c r="I307" s="36"/>
    </row>
    <row r="308" spans="1:11" s="37" customFormat="1" ht="15.75" customHeight="1" x14ac:dyDescent="0.25">
      <c r="A308" s="78">
        <f t="shared" si="44"/>
        <v>7</v>
      </c>
      <c r="B308" s="78"/>
      <c r="C308" s="42" t="s">
        <v>339</v>
      </c>
      <c r="D308" s="42">
        <f t="shared" si="43"/>
        <v>322.952292</v>
      </c>
      <c r="E308" s="42">
        <f>(4.95+6.094)*10.764</f>
        <v>118.877616</v>
      </c>
      <c r="F308" s="42">
        <f t="shared" si="45"/>
        <v>441.82990799999999</v>
      </c>
      <c r="G308" s="42">
        <v>0</v>
      </c>
      <c r="H308" s="42">
        <f t="shared" si="46"/>
        <v>640.65336659999991</v>
      </c>
      <c r="I308" s="36"/>
    </row>
    <row r="309" spans="1:11" s="37" customFormat="1" ht="15.75" customHeight="1" x14ac:dyDescent="0.25">
      <c r="A309" s="78">
        <f t="shared" si="44"/>
        <v>8</v>
      </c>
      <c r="B309" s="78"/>
      <c r="C309" s="42" t="s">
        <v>339</v>
      </c>
      <c r="D309" s="42">
        <f t="shared" si="43"/>
        <v>322.952292</v>
      </c>
      <c r="E309" s="42">
        <f>(4.95+6.094)*10.764</f>
        <v>118.877616</v>
      </c>
      <c r="F309" s="42">
        <f t="shared" si="45"/>
        <v>441.82990799999999</v>
      </c>
      <c r="G309" s="42">
        <v>0</v>
      </c>
      <c r="H309" s="42">
        <f t="shared" si="46"/>
        <v>640.65336659999991</v>
      </c>
      <c r="I309" s="36"/>
    </row>
    <row r="310" spans="1:11" s="37" customFormat="1" ht="15.75" customHeight="1" x14ac:dyDescent="0.25">
      <c r="A310" s="78">
        <f t="shared" si="44"/>
        <v>9</v>
      </c>
      <c r="B310" s="78"/>
      <c r="C310" s="42" t="s">
        <v>339</v>
      </c>
      <c r="D310" s="42">
        <f t="shared" si="43"/>
        <v>322.952292</v>
      </c>
      <c r="E310" s="42">
        <f>(4.95+6.094)*10.764</f>
        <v>118.877616</v>
      </c>
      <c r="F310" s="42">
        <f t="shared" si="45"/>
        <v>441.82990799999999</v>
      </c>
      <c r="G310" s="42">
        <v>0</v>
      </c>
      <c r="H310" s="42">
        <f t="shared" si="46"/>
        <v>640.65336659999991</v>
      </c>
      <c r="I310" s="36"/>
    </row>
    <row r="311" spans="1:11" s="37" customFormat="1" ht="15.75" customHeight="1" x14ac:dyDescent="0.25">
      <c r="A311" s="78">
        <f t="shared" si="44"/>
        <v>10</v>
      </c>
      <c r="B311" s="78"/>
      <c r="C311" s="42" t="s">
        <v>339</v>
      </c>
      <c r="D311" s="42">
        <f>(26.897)*10.764</f>
        <v>289.51930799999997</v>
      </c>
      <c r="E311" s="42">
        <f>(8.45+6.037)*10.764</f>
        <v>155.93806799999996</v>
      </c>
      <c r="F311" s="42">
        <f t="shared" si="45"/>
        <v>445.45737599999995</v>
      </c>
      <c r="G311" s="42">
        <v>0</v>
      </c>
      <c r="H311" s="42">
        <f t="shared" si="46"/>
        <v>645.9131951999999</v>
      </c>
      <c r="I311" s="36"/>
    </row>
    <row r="312" spans="1:11" s="37" customFormat="1" ht="15.75" customHeight="1" x14ac:dyDescent="0.25">
      <c r="A312" s="79" t="s">
        <v>348</v>
      </c>
      <c r="B312" s="80"/>
      <c r="C312" s="80"/>
      <c r="D312" s="80"/>
      <c r="E312" s="80"/>
      <c r="F312" s="80"/>
      <c r="G312" s="80"/>
      <c r="H312" s="81"/>
      <c r="I312" s="36"/>
    </row>
    <row r="313" spans="1:11" s="37" customFormat="1" ht="15.75" customHeight="1" x14ac:dyDescent="0.25">
      <c r="A313" s="79" t="s">
        <v>346</v>
      </c>
      <c r="B313" s="80"/>
      <c r="C313" s="80"/>
      <c r="D313" s="80"/>
      <c r="E313" s="80"/>
      <c r="F313" s="80"/>
      <c r="G313" s="80"/>
      <c r="H313" s="81"/>
      <c r="I313" s="36"/>
    </row>
    <row r="314" spans="1:11" s="37" customFormat="1" ht="15.75" customHeight="1" x14ac:dyDescent="0.25">
      <c r="A314" s="79" t="s">
        <v>360</v>
      </c>
      <c r="B314" s="80"/>
      <c r="C314" s="80"/>
      <c r="D314" s="80"/>
      <c r="E314" s="80"/>
      <c r="F314" s="80"/>
      <c r="G314" s="80"/>
      <c r="H314" s="81"/>
      <c r="I314" s="36"/>
    </row>
    <row r="315" spans="1:11" s="37" customFormat="1" ht="15.75" customHeight="1" x14ac:dyDescent="0.25">
      <c r="A315" s="78">
        <v>1</v>
      </c>
      <c r="B315" s="78"/>
      <c r="C315" s="42" t="s">
        <v>339</v>
      </c>
      <c r="D315" s="42">
        <f t="shared" ref="D315:D322" si="47">(29.233)*10.764</f>
        <v>314.66401200000001</v>
      </c>
      <c r="E315" s="42">
        <f t="shared" ref="E315:E322" si="48">(5.72+4.013)*10.764</f>
        <v>104.766012</v>
      </c>
      <c r="F315" s="42">
        <f>D315+E315</f>
        <v>419.430024</v>
      </c>
      <c r="G315" s="42">
        <f t="shared" ref="G315:G322" si="49">(4.579)*10.764</f>
        <v>49.288355999999993</v>
      </c>
      <c r="H315" s="42">
        <f>F315*(($H$251)+1)+(IF(G315&lt;101,G315,IF(G315&lt;201,G315/2,IF(G315&lt;=301,G315/3,G315/4))))</f>
        <v>657.46189079999999</v>
      </c>
      <c r="I315" s="36"/>
      <c r="K315" s="42">
        <v>10.763999999999999</v>
      </c>
    </row>
    <row r="316" spans="1:11" s="37" customFormat="1" ht="15.75" customHeight="1" x14ac:dyDescent="0.25">
      <c r="A316" s="78">
        <f>A315+1</f>
        <v>2</v>
      </c>
      <c r="B316" s="78"/>
      <c r="C316" s="42" t="s">
        <v>339</v>
      </c>
      <c r="D316" s="42">
        <f t="shared" si="47"/>
        <v>314.66401200000001</v>
      </c>
      <c r="E316" s="42">
        <f t="shared" si="48"/>
        <v>104.766012</v>
      </c>
      <c r="F316" s="42">
        <f>D316+E316</f>
        <v>419.430024</v>
      </c>
      <c r="G316" s="42">
        <f t="shared" si="49"/>
        <v>49.288355999999993</v>
      </c>
      <c r="H316" s="42">
        <f>F316*(($H$251)+1)+(IF(G316&lt;101,G316,IF(G316&lt;201,G316/2,IF(G316&lt;=301,G316/3,G316/4))))</f>
        <v>657.46189079999999</v>
      </c>
      <c r="I316" s="36"/>
    </row>
    <row r="317" spans="1:11" s="37" customFormat="1" ht="15.75" customHeight="1" x14ac:dyDescent="0.25">
      <c r="A317" s="78">
        <f>A316+1</f>
        <v>3</v>
      </c>
      <c r="B317" s="78"/>
      <c r="C317" s="42" t="s">
        <v>339</v>
      </c>
      <c r="D317" s="42">
        <f t="shared" si="47"/>
        <v>314.66401200000001</v>
      </c>
      <c r="E317" s="42">
        <f t="shared" si="48"/>
        <v>104.766012</v>
      </c>
      <c r="F317" s="42">
        <f>D317+E317</f>
        <v>419.430024</v>
      </c>
      <c r="G317" s="42">
        <f t="shared" si="49"/>
        <v>49.288355999999993</v>
      </c>
      <c r="H317" s="42">
        <f>F317*(($H$251)+1)+(IF(G317&lt;101,G317,IF(G317&lt;201,G317/2,IF(G317&lt;=301,G317/3,G317/4))))</f>
        <v>657.46189079999999</v>
      </c>
      <c r="I317" s="36"/>
    </row>
    <row r="318" spans="1:11" s="37" customFormat="1" ht="15.75" customHeight="1" x14ac:dyDescent="0.25">
      <c r="A318" s="78">
        <f>A317+1</f>
        <v>4</v>
      </c>
      <c r="B318" s="78"/>
      <c r="C318" s="42" t="s">
        <v>339</v>
      </c>
      <c r="D318" s="42">
        <f t="shared" si="47"/>
        <v>314.66401200000001</v>
      </c>
      <c r="E318" s="42">
        <f t="shared" si="48"/>
        <v>104.766012</v>
      </c>
      <c r="F318" s="42">
        <f>D318+E318</f>
        <v>419.430024</v>
      </c>
      <c r="G318" s="42">
        <f t="shared" si="49"/>
        <v>49.288355999999993</v>
      </c>
      <c r="H318" s="42">
        <f>F318*(($H$251)+1)+(IF(G318&lt;101,G318,IF(G318&lt;201,G318/2,IF(G318&lt;=301,G318/3,G318/4))))</f>
        <v>657.46189079999999</v>
      </c>
      <c r="I318" s="36"/>
    </row>
    <row r="319" spans="1:11" s="37" customFormat="1" ht="15.75" customHeight="1" x14ac:dyDescent="0.25">
      <c r="A319" s="78">
        <f>A318+1</f>
        <v>5</v>
      </c>
      <c r="B319" s="78"/>
      <c r="C319" s="42" t="s">
        <v>339</v>
      </c>
      <c r="D319" s="42">
        <f t="shared" si="47"/>
        <v>314.66401200000001</v>
      </c>
      <c r="E319" s="42">
        <f t="shared" si="48"/>
        <v>104.766012</v>
      </c>
      <c r="F319" s="42">
        <f>D319+E319</f>
        <v>419.430024</v>
      </c>
      <c r="G319" s="42">
        <f t="shared" si="49"/>
        <v>49.288355999999993</v>
      </c>
      <c r="H319" s="42">
        <f>F319*(($H$251)+1)+(IF(G319&lt;101,G319,IF(G319&lt;201,G319/2,IF(G319&lt;=301,G319/3,G319/4))))</f>
        <v>657.46189079999999</v>
      </c>
      <c r="I319" s="36"/>
    </row>
    <row r="320" spans="1:11" s="37" customFormat="1" ht="15.75" customHeight="1" x14ac:dyDescent="0.25">
      <c r="A320" s="78">
        <f t="shared" ref="A320:A322" si="50">A319+1</f>
        <v>6</v>
      </c>
      <c r="B320" s="78"/>
      <c r="C320" s="42" t="s">
        <v>339</v>
      </c>
      <c r="D320" s="42">
        <f t="shared" si="47"/>
        <v>314.66401200000001</v>
      </c>
      <c r="E320" s="42">
        <f t="shared" si="48"/>
        <v>104.766012</v>
      </c>
      <c r="F320" s="42">
        <f t="shared" ref="F320:F322" si="51">D320+E320</f>
        <v>419.430024</v>
      </c>
      <c r="G320" s="42">
        <f t="shared" si="49"/>
        <v>49.288355999999993</v>
      </c>
      <c r="H320" s="42">
        <f t="shared" ref="H320:H322" si="52">F320*(($H$251)+1)+(IF(G320&lt;101,G320,IF(G320&lt;201,G320/2,IF(G320&lt;=301,G320/3,G320/4))))</f>
        <v>657.46189079999999</v>
      </c>
      <c r="I320" s="36"/>
    </row>
    <row r="321" spans="1:11" s="37" customFormat="1" ht="15.75" customHeight="1" x14ac:dyDescent="0.25">
      <c r="A321" s="78">
        <f t="shared" si="50"/>
        <v>7</v>
      </c>
      <c r="B321" s="78"/>
      <c r="C321" s="42" t="s">
        <v>339</v>
      </c>
      <c r="D321" s="42">
        <f t="shared" si="47"/>
        <v>314.66401200000001</v>
      </c>
      <c r="E321" s="42">
        <f t="shared" si="48"/>
        <v>104.766012</v>
      </c>
      <c r="F321" s="42">
        <f t="shared" si="51"/>
        <v>419.430024</v>
      </c>
      <c r="G321" s="42">
        <f t="shared" si="49"/>
        <v>49.288355999999993</v>
      </c>
      <c r="H321" s="42">
        <f t="shared" si="52"/>
        <v>657.46189079999999</v>
      </c>
      <c r="I321" s="36"/>
    </row>
    <row r="322" spans="1:11" s="37" customFormat="1" ht="15.75" customHeight="1" x14ac:dyDescent="0.25">
      <c r="A322" s="78">
        <f t="shared" si="50"/>
        <v>8</v>
      </c>
      <c r="B322" s="78"/>
      <c r="C322" s="42" t="s">
        <v>339</v>
      </c>
      <c r="D322" s="42">
        <f t="shared" si="47"/>
        <v>314.66401200000001</v>
      </c>
      <c r="E322" s="42">
        <f t="shared" si="48"/>
        <v>104.766012</v>
      </c>
      <c r="F322" s="42">
        <f t="shared" si="51"/>
        <v>419.430024</v>
      </c>
      <c r="G322" s="42">
        <f t="shared" si="49"/>
        <v>49.288355999999993</v>
      </c>
      <c r="H322" s="42">
        <f t="shared" si="52"/>
        <v>657.46189079999999</v>
      </c>
      <c r="I322" s="36"/>
    </row>
    <row r="323" spans="1:11" s="37" customFormat="1" ht="15.75" customHeight="1" x14ac:dyDescent="0.25">
      <c r="A323" s="79" t="s">
        <v>342</v>
      </c>
      <c r="B323" s="80"/>
      <c r="C323" s="80"/>
      <c r="D323" s="80"/>
      <c r="E323" s="80"/>
      <c r="F323" s="80"/>
      <c r="G323" s="80"/>
      <c r="H323" s="81"/>
      <c r="I323" s="36"/>
    </row>
    <row r="324" spans="1:11" s="37" customFormat="1" ht="15.75" customHeight="1" x14ac:dyDescent="0.25">
      <c r="A324" s="78">
        <v>1</v>
      </c>
      <c r="B324" s="78"/>
      <c r="C324" s="42" t="s">
        <v>339</v>
      </c>
      <c r="D324" s="42">
        <f t="shared" ref="D324:D331" si="53">(29.233)*10.764</f>
        <v>314.66401200000001</v>
      </c>
      <c r="E324" s="42">
        <f t="shared" ref="E324:E331" si="54">(5.72+6.094)*10.764</f>
        <v>127.16589599999999</v>
      </c>
      <c r="F324" s="42">
        <f>D324+E324</f>
        <v>441.82990799999999</v>
      </c>
      <c r="G324" s="42">
        <v>0</v>
      </c>
      <c r="H324" s="42">
        <f>F324*(($H$251)+1)+(IF(G324&lt;101,G324,IF(G324&lt;201,G324/2,IF(G324&lt;=301,G324/3,G324/4))))</f>
        <v>640.65336659999991</v>
      </c>
      <c r="I324" s="36"/>
      <c r="K324" s="42">
        <v>10.763999999999999</v>
      </c>
    </row>
    <row r="325" spans="1:11" s="37" customFormat="1" ht="15.75" customHeight="1" x14ac:dyDescent="0.25">
      <c r="A325" s="78">
        <f>A324+1</f>
        <v>2</v>
      </c>
      <c r="B325" s="78"/>
      <c r="C325" s="42" t="s">
        <v>339</v>
      </c>
      <c r="D325" s="42">
        <f t="shared" si="53"/>
        <v>314.66401200000001</v>
      </c>
      <c r="E325" s="42">
        <f t="shared" si="54"/>
        <v>127.16589599999999</v>
      </c>
      <c r="F325" s="42">
        <f>D325+E325</f>
        <v>441.82990799999999</v>
      </c>
      <c r="G325" s="42">
        <v>0</v>
      </c>
      <c r="H325" s="42">
        <f>F325*(($H$251)+1)+(IF(G325&lt;101,G325,IF(G325&lt;201,G325/2,IF(G325&lt;=301,G325/3,G325/4))))</f>
        <v>640.65336659999991</v>
      </c>
      <c r="I325" s="36"/>
    </row>
    <row r="326" spans="1:11" s="37" customFormat="1" ht="15.75" customHeight="1" x14ac:dyDescent="0.25">
      <c r="A326" s="78">
        <f>A325+1</f>
        <v>3</v>
      </c>
      <c r="B326" s="78"/>
      <c r="C326" s="42" t="s">
        <v>339</v>
      </c>
      <c r="D326" s="42">
        <f t="shared" si="53"/>
        <v>314.66401200000001</v>
      </c>
      <c r="E326" s="42">
        <f t="shared" si="54"/>
        <v>127.16589599999999</v>
      </c>
      <c r="F326" s="42">
        <f>D326+E326</f>
        <v>441.82990799999999</v>
      </c>
      <c r="G326" s="42">
        <v>0</v>
      </c>
      <c r="H326" s="42">
        <f>F326*(($H$251)+1)+(IF(G326&lt;101,G326,IF(G326&lt;201,G326/2,IF(G326&lt;=301,G326/3,G326/4))))</f>
        <v>640.65336659999991</v>
      </c>
      <c r="I326" s="36"/>
    </row>
    <row r="327" spans="1:11" s="37" customFormat="1" ht="15.75" customHeight="1" x14ac:dyDescent="0.25">
      <c r="A327" s="78">
        <f>A326+1</f>
        <v>4</v>
      </c>
      <c r="B327" s="78"/>
      <c r="C327" s="42" t="s">
        <v>339</v>
      </c>
      <c r="D327" s="42">
        <f t="shared" si="53"/>
        <v>314.66401200000001</v>
      </c>
      <c r="E327" s="42">
        <f t="shared" si="54"/>
        <v>127.16589599999999</v>
      </c>
      <c r="F327" s="42">
        <f>D327+E327</f>
        <v>441.82990799999999</v>
      </c>
      <c r="G327" s="42">
        <v>0</v>
      </c>
      <c r="H327" s="42">
        <f>F327*(($H$251)+1)+(IF(G327&lt;101,G327,IF(G327&lt;201,G327/2,IF(G327&lt;=301,G327/3,G327/4))))</f>
        <v>640.65336659999991</v>
      </c>
      <c r="I327" s="36"/>
    </row>
    <row r="328" spans="1:11" s="37" customFormat="1" ht="15.75" customHeight="1" x14ac:dyDescent="0.25">
      <c r="A328" s="78">
        <f>A327+1</f>
        <v>5</v>
      </c>
      <c r="B328" s="78"/>
      <c r="C328" s="42" t="s">
        <v>339</v>
      </c>
      <c r="D328" s="42">
        <f t="shared" si="53"/>
        <v>314.66401200000001</v>
      </c>
      <c r="E328" s="42">
        <f t="shared" si="54"/>
        <v>127.16589599999999</v>
      </c>
      <c r="F328" s="42">
        <f>D328+E328</f>
        <v>441.82990799999999</v>
      </c>
      <c r="G328" s="42">
        <v>0</v>
      </c>
      <c r="H328" s="42">
        <f>F328*(($H$251)+1)+(IF(G328&lt;101,G328,IF(G328&lt;201,G328/2,IF(G328&lt;=301,G328/3,G328/4))))</f>
        <v>640.65336659999991</v>
      </c>
      <c r="I328" s="36"/>
    </row>
    <row r="329" spans="1:11" s="37" customFormat="1" ht="15.75" customHeight="1" x14ac:dyDescent="0.25">
      <c r="A329" s="78">
        <f t="shared" ref="A329:A331" si="55">A328+1</f>
        <v>6</v>
      </c>
      <c r="B329" s="78"/>
      <c r="C329" s="42" t="s">
        <v>339</v>
      </c>
      <c r="D329" s="42">
        <f t="shared" si="53"/>
        <v>314.66401200000001</v>
      </c>
      <c r="E329" s="42">
        <f t="shared" si="54"/>
        <v>127.16589599999999</v>
      </c>
      <c r="F329" s="42">
        <f t="shared" ref="F329:F331" si="56">D329+E329</f>
        <v>441.82990799999999</v>
      </c>
      <c r="G329" s="42">
        <v>0</v>
      </c>
      <c r="H329" s="42">
        <f t="shared" ref="H329:H331" si="57">F329*(($H$251)+1)+(IF(G329&lt;101,G329,IF(G329&lt;201,G329/2,IF(G329&lt;=301,G329/3,G329/4))))</f>
        <v>640.65336659999991</v>
      </c>
      <c r="I329" s="36"/>
    </row>
    <row r="330" spans="1:11" s="37" customFormat="1" ht="15.75" customHeight="1" x14ac:dyDescent="0.25">
      <c r="A330" s="78">
        <f t="shared" si="55"/>
        <v>7</v>
      </c>
      <c r="B330" s="78"/>
      <c r="C330" s="42" t="s">
        <v>339</v>
      </c>
      <c r="D330" s="42">
        <f t="shared" si="53"/>
        <v>314.66401200000001</v>
      </c>
      <c r="E330" s="42">
        <f t="shared" si="54"/>
        <v>127.16589599999999</v>
      </c>
      <c r="F330" s="42">
        <f t="shared" si="56"/>
        <v>441.82990799999999</v>
      </c>
      <c r="G330" s="42">
        <v>0</v>
      </c>
      <c r="H330" s="42">
        <f t="shared" si="57"/>
        <v>640.65336659999991</v>
      </c>
      <c r="I330" s="36"/>
    </row>
    <row r="331" spans="1:11" s="37" customFormat="1" ht="15.75" customHeight="1" x14ac:dyDescent="0.25">
      <c r="A331" s="78">
        <f t="shared" si="55"/>
        <v>8</v>
      </c>
      <c r="B331" s="78"/>
      <c r="C331" s="42" t="s">
        <v>339</v>
      </c>
      <c r="D331" s="42">
        <f t="shared" si="53"/>
        <v>314.66401200000001</v>
      </c>
      <c r="E331" s="42">
        <f t="shared" si="54"/>
        <v>127.16589599999999</v>
      </c>
      <c r="F331" s="42">
        <f t="shared" si="56"/>
        <v>441.82990799999999</v>
      </c>
      <c r="G331" s="42">
        <v>0</v>
      </c>
      <c r="H331" s="42">
        <f t="shared" si="57"/>
        <v>640.65336659999991</v>
      </c>
      <c r="I331" s="36"/>
    </row>
    <row r="332" spans="1:11" s="37" customFormat="1" ht="15.75" customHeight="1" x14ac:dyDescent="0.25">
      <c r="A332" s="79" t="s">
        <v>349</v>
      </c>
      <c r="B332" s="80"/>
      <c r="C332" s="80"/>
      <c r="D332" s="80"/>
      <c r="E332" s="80"/>
      <c r="F332" s="80"/>
      <c r="G332" s="80"/>
      <c r="H332" s="81"/>
      <c r="I332" s="36"/>
    </row>
    <row r="333" spans="1:11" s="37" customFormat="1" ht="15.75" customHeight="1" x14ac:dyDescent="0.25">
      <c r="A333" s="79" t="s">
        <v>346</v>
      </c>
      <c r="B333" s="80"/>
      <c r="C333" s="80"/>
      <c r="D333" s="80"/>
      <c r="E333" s="80"/>
      <c r="F333" s="80"/>
      <c r="G333" s="80"/>
      <c r="H333" s="81"/>
      <c r="I333" s="36"/>
    </row>
    <row r="334" spans="1:11" s="37" customFormat="1" ht="15.75" customHeight="1" x14ac:dyDescent="0.25">
      <c r="A334" s="79" t="s">
        <v>347</v>
      </c>
      <c r="B334" s="80"/>
      <c r="C334" s="80"/>
      <c r="D334" s="80"/>
      <c r="E334" s="80"/>
      <c r="F334" s="80"/>
      <c r="G334" s="80"/>
      <c r="H334" s="81"/>
      <c r="I334" s="36"/>
    </row>
    <row r="335" spans="1:11" s="37" customFormat="1" ht="15.75" customHeight="1" x14ac:dyDescent="0.25">
      <c r="A335" s="78">
        <v>1</v>
      </c>
      <c r="B335" s="78"/>
      <c r="C335" s="42" t="s">
        <v>339</v>
      </c>
      <c r="D335" s="42">
        <f>(25)*10.764</f>
        <v>269.09999999999997</v>
      </c>
      <c r="E335" s="42">
        <f>(6.7+5.418)*10.764</f>
        <v>130.438152</v>
      </c>
      <c r="F335" s="42">
        <f>D335+E335</f>
        <v>399.53815199999997</v>
      </c>
      <c r="G335" s="42">
        <v>0</v>
      </c>
      <c r="H335" s="42">
        <f>F335*(($H$251)+1)+(IF(G335&lt;101,G335,IF(G335&lt;201,G335/2,IF(G335&lt;=301,G335/3,G335/4))))</f>
        <v>579.33032039999989</v>
      </c>
      <c r="I335" s="36"/>
      <c r="K335" s="42">
        <v>10.763999999999999</v>
      </c>
    </row>
    <row r="336" spans="1:11" s="37" customFormat="1" ht="15.75" customHeight="1" x14ac:dyDescent="0.25">
      <c r="A336" s="78">
        <f>A335+1</f>
        <v>2</v>
      </c>
      <c r="B336" s="78"/>
      <c r="C336" s="42" t="s">
        <v>339</v>
      </c>
      <c r="D336" s="42">
        <f>(26.487)*10.764</f>
        <v>285.10606799999994</v>
      </c>
      <c r="E336" s="42">
        <f>(4.95+3.956)*10.764</f>
        <v>95.864183999999995</v>
      </c>
      <c r="F336" s="42">
        <f>D336+E336</f>
        <v>380.97025199999996</v>
      </c>
      <c r="G336" s="42">
        <f>(3.135)*10.764</f>
        <v>33.745139999999992</v>
      </c>
      <c r="H336" s="42">
        <f>F336*(($H$251)+1)+(IF(G336&lt;101,G336,IF(G336&lt;201,G336/2,IF(G336&lt;=301,G336/3,G336/4))))</f>
        <v>586.15200539999989</v>
      </c>
      <c r="I336" s="36"/>
    </row>
    <row r="337" spans="1:11" s="37" customFormat="1" ht="15.75" customHeight="1" x14ac:dyDescent="0.25">
      <c r="A337" s="78">
        <f>A336+1</f>
        <v>3</v>
      </c>
      <c r="B337" s="78"/>
      <c r="C337" s="42" t="s">
        <v>339</v>
      </c>
      <c r="D337" s="42">
        <f>(26.487)*10.764</f>
        <v>285.10606799999994</v>
      </c>
      <c r="E337" s="42">
        <f>(4.95+4.014)*10.764</f>
        <v>96.488495999999998</v>
      </c>
      <c r="F337" s="42">
        <f>D337+E337</f>
        <v>381.59456399999993</v>
      </c>
      <c r="G337" s="42">
        <f>(3.135)*10.764</f>
        <v>33.745139999999992</v>
      </c>
      <c r="H337" s="42">
        <f>F337*(($H$251)+1)+(IF(G337&lt;101,G337,IF(G337&lt;201,G337/2,IF(G337&lt;=301,G337/3,G337/4))))</f>
        <v>587.05725779999989</v>
      </c>
      <c r="I337" s="36"/>
    </row>
    <row r="338" spans="1:11" s="37" customFormat="1" ht="15.75" customHeight="1" x14ac:dyDescent="0.25">
      <c r="A338" s="78">
        <f>A337+1</f>
        <v>4</v>
      </c>
      <c r="B338" s="78"/>
      <c r="C338" s="42" t="s">
        <v>339</v>
      </c>
      <c r="D338" s="42">
        <f>(30.002)*10.764</f>
        <v>322.94152799999995</v>
      </c>
      <c r="E338" s="42">
        <f>(4.95+4.011)*10.764</f>
        <v>96.456204</v>
      </c>
      <c r="F338" s="42">
        <f>D338+E338</f>
        <v>419.39773199999996</v>
      </c>
      <c r="G338" s="42">
        <f>(4.703)*10.764</f>
        <v>50.623092</v>
      </c>
      <c r="H338" s="42">
        <f>F338*(($H$251)+1)+(IF(G338&lt;101,G338,IF(G338&lt;201,G338/2,IF(G338&lt;=301,G338/3,G338/4))))</f>
        <v>658.74980340000002</v>
      </c>
      <c r="I338" s="36"/>
    </row>
    <row r="339" spans="1:11" s="37" customFormat="1" ht="15.75" customHeight="1" x14ac:dyDescent="0.25">
      <c r="A339" s="78">
        <f>A338+1</f>
        <v>5</v>
      </c>
      <c r="B339" s="78"/>
      <c r="C339" s="42" t="s">
        <v>339</v>
      </c>
      <c r="D339" s="42">
        <f>(30.002)*10.764</f>
        <v>322.94152799999995</v>
      </c>
      <c r="E339" s="42">
        <f>(4.95+3.956)*10.764</f>
        <v>95.864183999999995</v>
      </c>
      <c r="F339" s="42">
        <f>D339+E339</f>
        <v>418.80571199999997</v>
      </c>
      <c r="G339" s="42">
        <f>(4.657)*10.764</f>
        <v>50.127947999999996</v>
      </c>
      <c r="H339" s="42">
        <f>F339*(($H$251)+1)+(IF(G339&lt;101,G339,IF(G339&lt;201,G339/2,IF(G339&lt;=301,G339/3,G339/4))))</f>
        <v>657.39623039999992</v>
      </c>
      <c r="I339" s="36"/>
    </row>
    <row r="340" spans="1:11" s="37" customFormat="1" ht="15.75" customHeight="1" x14ac:dyDescent="0.25">
      <c r="A340" s="78">
        <f t="shared" ref="A340:A342" si="58">A339+1</f>
        <v>6</v>
      </c>
      <c r="B340" s="78"/>
      <c r="C340" s="42" t="s">
        <v>339</v>
      </c>
      <c r="D340" s="42">
        <f>(26.487)*10.764</f>
        <v>285.10606799999994</v>
      </c>
      <c r="E340" s="42">
        <f>(4.95+3.956)*10.764</f>
        <v>95.864183999999995</v>
      </c>
      <c r="F340" s="42">
        <f t="shared" ref="F340:F342" si="59">D340+E340</f>
        <v>380.97025199999996</v>
      </c>
      <c r="G340" s="42">
        <f>(3.135)*10.764</f>
        <v>33.745139999999992</v>
      </c>
      <c r="H340" s="42">
        <f t="shared" ref="H340:H342" si="60">F340*(($H$251)+1)+(IF(G340&lt;101,G340,IF(G340&lt;201,G340/2,IF(G340&lt;=301,G340/3,G340/4))))</f>
        <v>586.15200539999989</v>
      </c>
      <c r="I340" s="36"/>
    </row>
    <row r="341" spans="1:11" s="37" customFormat="1" ht="15.75" customHeight="1" x14ac:dyDescent="0.25">
      <c r="A341" s="78">
        <f t="shared" si="58"/>
        <v>7</v>
      </c>
      <c r="B341" s="78"/>
      <c r="C341" s="42" t="s">
        <v>339</v>
      </c>
      <c r="D341" s="42">
        <f>(30.002)*10.764</f>
        <v>322.94152799999995</v>
      </c>
      <c r="E341" s="42">
        <f>(4.95+4.012)*10.764</f>
        <v>96.466967999999994</v>
      </c>
      <c r="F341" s="42">
        <f t="shared" si="59"/>
        <v>419.40849599999996</v>
      </c>
      <c r="G341" s="42">
        <f>(4.578)*10.764</f>
        <v>49.277591999999999</v>
      </c>
      <c r="H341" s="42">
        <f t="shared" si="60"/>
        <v>657.4199112</v>
      </c>
      <c r="I341" s="36"/>
    </row>
    <row r="342" spans="1:11" s="37" customFormat="1" ht="15.75" customHeight="1" x14ac:dyDescent="0.25">
      <c r="A342" s="78">
        <f t="shared" si="58"/>
        <v>8</v>
      </c>
      <c r="B342" s="78"/>
      <c r="C342" s="42" t="s">
        <v>339</v>
      </c>
      <c r="D342" s="42">
        <f>(30.002)*10.764</f>
        <v>322.94152799999995</v>
      </c>
      <c r="E342" s="42">
        <f>(4.95+4.012)*10.764</f>
        <v>96.466967999999994</v>
      </c>
      <c r="F342" s="42">
        <f t="shared" si="59"/>
        <v>419.40849599999996</v>
      </c>
      <c r="G342" s="42">
        <f>(4.578)*10.764</f>
        <v>49.277591999999999</v>
      </c>
      <c r="H342" s="42">
        <f t="shared" si="60"/>
        <v>657.4199112</v>
      </c>
      <c r="I342" s="36"/>
    </row>
    <row r="343" spans="1:11" s="37" customFormat="1" ht="15.75" customHeight="1" x14ac:dyDescent="0.25">
      <c r="A343" s="78">
        <f t="shared" ref="A343" si="61">A342+1</f>
        <v>9</v>
      </c>
      <c r="B343" s="78"/>
      <c r="C343" s="42" t="s">
        <v>339</v>
      </c>
      <c r="D343" s="42">
        <f>(25)*10.764</f>
        <v>269.09999999999997</v>
      </c>
      <c r="E343" s="42">
        <f>(6.7+5.325)*10.764</f>
        <v>129.43709999999999</v>
      </c>
      <c r="F343" s="42">
        <f t="shared" ref="F343" si="62">D343+E343</f>
        <v>398.53709999999995</v>
      </c>
      <c r="G343" s="42">
        <v>0</v>
      </c>
      <c r="H343" s="42">
        <f t="shared" ref="H343" si="63">F343*(($H$251)+1)+(IF(G343&lt;101,G343,IF(G343&lt;201,G343/2,IF(G343&lt;=301,G343/3,G343/4))))</f>
        <v>577.87879499999997</v>
      </c>
      <c r="I343" s="36"/>
    </row>
    <row r="344" spans="1:11" s="37" customFormat="1" ht="15.75" customHeight="1" x14ac:dyDescent="0.25">
      <c r="A344" s="79" t="s">
        <v>342</v>
      </c>
      <c r="B344" s="80"/>
      <c r="C344" s="80"/>
      <c r="D344" s="80"/>
      <c r="E344" s="80"/>
      <c r="F344" s="80"/>
      <c r="G344" s="80"/>
      <c r="H344" s="81"/>
      <c r="I344" s="36"/>
    </row>
    <row r="345" spans="1:11" s="37" customFormat="1" ht="15.75" customHeight="1" x14ac:dyDescent="0.25">
      <c r="A345" s="78">
        <v>1</v>
      </c>
      <c r="B345" s="78"/>
      <c r="C345" s="42" t="s">
        <v>339</v>
      </c>
      <c r="D345" s="42">
        <f>(25)*10.764</f>
        <v>269.09999999999997</v>
      </c>
      <c r="E345" s="42">
        <f>(6.7+5.418)*10.764</f>
        <v>130.438152</v>
      </c>
      <c r="F345" s="42">
        <f>D345+E345</f>
        <v>399.53815199999997</v>
      </c>
      <c r="G345" s="42">
        <v>0</v>
      </c>
      <c r="H345" s="42">
        <f>F345*(($H$251)+1)+(IF(G345&lt;101,G345,IF(G345&lt;201,G345/2,IF(G345&lt;=301,G345/3,G345/4))))</f>
        <v>579.33032039999989</v>
      </c>
      <c r="I345" s="36"/>
      <c r="K345" s="42">
        <v>10.763999999999999</v>
      </c>
    </row>
    <row r="346" spans="1:11" s="37" customFormat="1" ht="15.75" customHeight="1" x14ac:dyDescent="0.25">
      <c r="A346" s="78">
        <f>A345+1</f>
        <v>2</v>
      </c>
      <c r="B346" s="78"/>
      <c r="C346" s="42" t="s">
        <v>339</v>
      </c>
      <c r="D346" s="42">
        <f>(26.487)*10.764</f>
        <v>285.10606799999994</v>
      </c>
      <c r="E346" s="42">
        <f>(4.95+3.956)*10.764</f>
        <v>95.864183999999995</v>
      </c>
      <c r="F346" s="42">
        <f>D346+E346</f>
        <v>380.97025199999996</v>
      </c>
      <c r="G346" s="42">
        <v>0</v>
      </c>
      <c r="H346" s="42">
        <f>F346*(($H$251)+1)+(IF(G346&lt;101,G346,IF(G346&lt;201,G346/2,IF(G346&lt;=301,G346/3,G346/4))))</f>
        <v>552.4068653999999</v>
      </c>
      <c r="I346" s="36"/>
    </row>
    <row r="347" spans="1:11" s="37" customFormat="1" ht="15.75" customHeight="1" x14ac:dyDescent="0.25">
      <c r="A347" s="78">
        <f>A346+1</f>
        <v>3</v>
      </c>
      <c r="B347" s="78"/>
      <c r="C347" s="42" t="s">
        <v>339</v>
      </c>
      <c r="D347" s="42">
        <f>(26.487)*10.764</f>
        <v>285.10606799999994</v>
      </c>
      <c r="E347" s="42">
        <f>(4.95+4.014)*10.764</f>
        <v>96.488495999999998</v>
      </c>
      <c r="F347" s="42">
        <f>D347+E347</f>
        <v>381.59456399999993</v>
      </c>
      <c r="G347" s="42">
        <v>0</v>
      </c>
      <c r="H347" s="42">
        <f>F347*(($H$251)+1)+(IF(G347&lt;101,G347,IF(G347&lt;201,G347/2,IF(G347&lt;=301,G347/3,G347/4))))</f>
        <v>553.3121177999999</v>
      </c>
      <c r="I347" s="36"/>
    </row>
    <row r="348" spans="1:11" s="37" customFormat="1" ht="15.75" customHeight="1" x14ac:dyDescent="0.25">
      <c r="A348" s="78">
        <f>A347+1</f>
        <v>4</v>
      </c>
      <c r="B348" s="78"/>
      <c r="C348" s="42" t="s">
        <v>339</v>
      </c>
      <c r="D348" s="42">
        <f>(30.002)*10.764</f>
        <v>322.94152799999995</v>
      </c>
      <c r="E348" s="42">
        <f>(4.95+4.011)*10.764</f>
        <v>96.456204</v>
      </c>
      <c r="F348" s="42">
        <f>D348+E348</f>
        <v>419.39773199999996</v>
      </c>
      <c r="G348" s="42">
        <v>0</v>
      </c>
      <c r="H348" s="42">
        <f>F348*(($H$251)+1)+(IF(G348&lt;101,G348,IF(G348&lt;201,G348/2,IF(G348&lt;=301,G348/3,G348/4))))</f>
        <v>608.12671139999998</v>
      </c>
      <c r="I348" s="36"/>
    </row>
    <row r="349" spans="1:11" s="37" customFormat="1" ht="15.75" customHeight="1" x14ac:dyDescent="0.25">
      <c r="A349" s="78">
        <f>A348+1</f>
        <v>5</v>
      </c>
      <c r="B349" s="78"/>
      <c r="C349" s="42" t="s">
        <v>339</v>
      </c>
      <c r="D349" s="42">
        <f>(30.002)*10.764</f>
        <v>322.94152799999995</v>
      </c>
      <c r="E349" s="42">
        <f>(4.95+3.956)*10.764</f>
        <v>95.864183999999995</v>
      </c>
      <c r="F349" s="42">
        <f>D349+E349</f>
        <v>418.80571199999997</v>
      </c>
      <c r="G349" s="42">
        <v>0</v>
      </c>
      <c r="H349" s="42">
        <f>F349*(($H$251)+1)+(IF(G349&lt;101,G349,IF(G349&lt;201,G349/2,IF(G349&lt;=301,G349/3,G349/4))))</f>
        <v>607.26828239999998</v>
      </c>
      <c r="I349" s="36"/>
    </row>
    <row r="350" spans="1:11" s="37" customFormat="1" ht="15.75" customHeight="1" x14ac:dyDescent="0.25">
      <c r="A350" s="78">
        <f t="shared" ref="A350:A352" si="64">A349+1</f>
        <v>6</v>
      </c>
      <c r="B350" s="78"/>
      <c r="C350" s="42" t="s">
        <v>339</v>
      </c>
      <c r="D350" s="42">
        <f>(26.487)*10.764</f>
        <v>285.10606799999994</v>
      </c>
      <c r="E350" s="42">
        <f>(4.95+3.956)*10.764</f>
        <v>95.864183999999995</v>
      </c>
      <c r="F350" s="42">
        <f t="shared" ref="F350:F352" si="65">D350+E350</f>
        <v>380.97025199999996</v>
      </c>
      <c r="G350" s="42">
        <v>0</v>
      </c>
      <c r="H350" s="42">
        <f t="shared" ref="H350:H352" si="66">F350*(($H$251)+1)+(IF(G350&lt;101,G350,IF(G350&lt;201,G350/2,IF(G350&lt;=301,G350/3,G350/4))))</f>
        <v>552.4068653999999</v>
      </c>
      <c r="I350" s="36"/>
    </row>
    <row r="351" spans="1:11" s="37" customFormat="1" ht="15.75" customHeight="1" x14ac:dyDescent="0.25">
      <c r="A351" s="78">
        <f t="shared" si="64"/>
        <v>7</v>
      </c>
      <c r="B351" s="78"/>
      <c r="C351" s="42" t="s">
        <v>339</v>
      </c>
      <c r="D351" s="42">
        <f>(30.002)*10.764</f>
        <v>322.94152799999995</v>
      </c>
      <c r="E351" s="42">
        <f>(4.95+4.012)*10.764</f>
        <v>96.466967999999994</v>
      </c>
      <c r="F351" s="42">
        <f t="shared" si="65"/>
        <v>419.40849599999996</v>
      </c>
      <c r="G351" s="42">
        <v>0</v>
      </c>
      <c r="H351" s="42">
        <f t="shared" si="66"/>
        <v>608.14231919999997</v>
      </c>
      <c r="I351" s="36"/>
    </row>
    <row r="352" spans="1:11" s="37" customFormat="1" ht="15.75" customHeight="1" x14ac:dyDescent="0.25">
      <c r="A352" s="78">
        <f t="shared" si="64"/>
        <v>8</v>
      </c>
      <c r="B352" s="78"/>
      <c r="C352" s="42" t="s">
        <v>339</v>
      </c>
      <c r="D352" s="42">
        <f>(30.002)*10.764</f>
        <v>322.94152799999995</v>
      </c>
      <c r="E352" s="42">
        <f>(4.95+4.012)*10.764</f>
        <v>96.466967999999994</v>
      </c>
      <c r="F352" s="42">
        <f t="shared" si="65"/>
        <v>419.40849599999996</v>
      </c>
      <c r="G352" s="42">
        <v>0</v>
      </c>
      <c r="H352" s="42">
        <f t="shared" si="66"/>
        <v>608.14231919999997</v>
      </c>
      <c r="I352" s="36"/>
    </row>
    <row r="353" spans="1:11" s="37" customFormat="1" ht="15.75" customHeight="1" x14ac:dyDescent="0.25">
      <c r="A353" s="78">
        <f t="shared" ref="A353" si="67">A352+1</f>
        <v>9</v>
      </c>
      <c r="B353" s="78"/>
      <c r="C353" s="42" t="s">
        <v>339</v>
      </c>
      <c r="D353" s="42">
        <f>(25)*10.764</f>
        <v>269.09999999999997</v>
      </c>
      <c r="E353" s="42">
        <f>(6.7+5.325)*10.764</f>
        <v>129.43709999999999</v>
      </c>
      <c r="F353" s="42">
        <f t="shared" ref="F353" si="68">D353+E353</f>
        <v>398.53709999999995</v>
      </c>
      <c r="G353" s="42">
        <v>0</v>
      </c>
      <c r="H353" s="42">
        <f t="shared" ref="H353" si="69">F353*(($H$251)+1)+(IF(G353&lt;101,G353,IF(G353&lt;201,G353/2,IF(G353&lt;=301,G353/3,G353/4))))</f>
        <v>577.87879499999997</v>
      </c>
      <c r="I353" s="36"/>
    </row>
    <row r="354" spans="1:11" s="37" customFormat="1" ht="15.75" customHeight="1" x14ac:dyDescent="0.25">
      <c r="A354" s="79" t="s">
        <v>350</v>
      </c>
      <c r="B354" s="80"/>
      <c r="C354" s="80"/>
      <c r="D354" s="80"/>
      <c r="E354" s="80"/>
      <c r="F354" s="80"/>
      <c r="G354" s="80"/>
      <c r="H354" s="81"/>
      <c r="I354" s="36"/>
    </row>
    <row r="355" spans="1:11" s="37" customFormat="1" ht="15.75" customHeight="1" x14ac:dyDescent="0.25">
      <c r="A355" s="79" t="s">
        <v>346</v>
      </c>
      <c r="B355" s="80"/>
      <c r="C355" s="80"/>
      <c r="D355" s="80"/>
      <c r="E355" s="80"/>
      <c r="F355" s="80"/>
      <c r="G355" s="80"/>
      <c r="H355" s="81"/>
      <c r="I355" s="36"/>
    </row>
    <row r="356" spans="1:11" s="37" customFormat="1" ht="15.75" customHeight="1" x14ac:dyDescent="0.25">
      <c r="A356" s="79" t="s">
        <v>347</v>
      </c>
      <c r="B356" s="80"/>
      <c r="C356" s="80"/>
      <c r="D356" s="80"/>
      <c r="E356" s="80"/>
      <c r="F356" s="80"/>
      <c r="G356" s="80"/>
      <c r="H356" s="81"/>
      <c r="I356" s="36"/>
    </row>
    <row r="357" spans="1:11" s="37" customFormat="1" ht="15.75" customHeight="1" x14ac:dyDescent="0.25">
      <c r="A357" s="78">
        <v>1</v>
      </c>
      <c r="B357" s="78"/>
      <c r="C357" s="42" t="s">
        <v>339</v>
      </c>
      <c r="D357" s="42">
        <f>(26.487)*10.764</f>
        <v>285.10606799999994</v>
      </c>
      <c r="E357" s="42">
        <f>(4.95+4.012)*10.764</f>
        <v>96.466967999999994</v>
      </c>
      <c r="F357" s="42">
        <f>D357+E357</f>
        <v>381.57303599999995</v>
      </c>
      <c r="G357" s="42">
        <f>(3.135)*10.764</f>
        <v>33.745139999999992</v>
      </c>
      <c r="H357" s="42">
        <f>F357*(($H$251)+1)+(IF(G357&lt;101,G357,IF(G357&lt;201,G357/2,IF(G357&lt;=301,G357/3,G357/4))))</f>
        <v>587.02604219999989</v>
      </c>
      <c r="I357" s="36"/>
      <c r="K357" s="42">
        <v>10.763999999999999</v>
      </c>
    </row>
    <row r="358" spans="1:11" s="37" customFormat="1" ht="15.75" customHeight="1" x14ac:dyDescent="0.25">
      <c r="A358" s="78">
        <f>A357+1</f>
        <v>2</v>
      </c>
      <c r="B358" s="78"/>
      <c r="C358" s="42" t="s">
        <v>339</v>
      </c>
      <c r="D358" s="42">
        <f>(26.487)*10.764</f>
        <v>285.10606799999994</v>
      </c>
      <c r="E358" s="42">
        <f>(5.325+4.012)*10.764</f>
        <v>100.503468</v>
      </c>
      <c r="F358" s="42">
        <f>D358+E358</f>
        <v>385.60953599999993</v>
      </c>
      <c r="G358" s="42">
        <v>0</v>
      </c>
      <c r="H358" s="42">
        <f>F358*(($H$251)+1)+(IF(G358&lt;101,G358,IF(G358&lt;201,G358/2,IF(G358&lt;=301,G358/3,G358/4))))</f>
        <v>559.13382719999993</v>
      </c>
      <c r="I358" s="36"/>
    </row>
    <row r="359" spans="1:11" s="37" customFormat="1" ht="15.75" customHeight="1" x14ac:dyDescent="0.25">
      <c r="A359" s="78">
        <f>A358+1</f>
        <v>3</v>
      </c>
      <c r="B359" s="78"/>
      <c r="C359" s="42" t="s">
        <v>339</v>
      </c>
      <c r="D359" s="42">
        <f>(25)*10.764</f>
        <v>269.09999999999997</v>
      </c>
      <c r="E359" s="42">
        <f>(6.7+5.437)*10.764</f>
        <v>130.64266799999999</v>
      </c>
      <c r="F359" s="42">
        <f>D359+E359</f>
        <v>399.74266799999998</v>
      </c>
      <c r="G359" s="42">
        <v>0</v>
      </c>
      <c r="H359" s="42">
        <f>F359*(($H$251)+1)+(IF(G359&lt;101,G359,IF(G359&lt;201,G359/2,IF(G359&lt;=301,G359/3,G359/4))))</f>
        <v>579.62686859999997</v>
      </c>
      <c r="I359" s="36"/>
    </row>
    <row r="360" spans="1:11" s="37" customFormat="1" ht="15.75" customHeight="1" x14ac:dyDescent="0.25">
      <c r="A360" s="78">
        <f>A359+1</f>
        <v>4</v>
      </c>
      <c r="B360" s="78"/>
      <c r="C360" s="42" t="s">
        <v>339</v>
      </c>
      <c r="D360" s="42">
        <f>(30.002)*10.764</f>
        <v>322.94152799999995</v>
      </c>
      <c r="E360" s="42">
        <f>(4.95+4.012)*10.764</f>
        <v>96.466967999999994</v>
      </c>
      <c r="F360" s="42">
        <f>D360+E360</f>
        <v>419.40849599999996</v>
      </c>
      <c r="G360" s="42">
        <f>(4.702)*10.764</f>
        <v>50.612327999999998</v>
      </c>
      <c r="H360" s="42">
        <f>F360*(($H$251)+1)+(IF(G360&lt;101,G360,IF(G360&lt;201,G360/2,IF(G360&lt;=301,G360/3,G360/4))))</f>
        <v>658.75464720000002</v>
      </c>
      <c r="I360" s="36"/>
    </row>
    <row r="361" spans="1:11" s="37" customFormat="1" ht="15.75" customHeight="1" x14ac:dyDescent="0.25">
      <c r="A361" s="78">
        <f>A360+1</f>
        <v>5</v>
      </c>
      <c r="B361" s="78"/>
      <c r="C361" s="42" t="s">
        <v>339</v>
      </c>
      <c r="D361" s="42">
        <f>(30.002)*10.764</f>
        <v>322.94152799999995</v>
      </c>
      <c r="E361" s="42">
        <f>(4.95+4.012)*10.764</f>
        <v>96.466967999999994</v>
      </c>
      <c r="F361" s="42">
        <f>D361+E361</f>
        <v>419.40849599999996</v>
      </c>
      <c r="G361" s="42">
        <f>(4.59)*10.764</f>
        <v>49.406759999999998</v>
      </c>
      <c r="H361" s="42">
        <f>F361*(($H$251)+1)+(IF(G361&lt;101,G361,IF(G361&lt;201,G361/2,IF(G361&lt;=301,G361/3,G361/4))))</f>
        <v>657.54907919999994</v>
      </c>
      <c r="I361" s="36"/>
    </row>
    <row r="362" spans="1:11" s="37" customFormat="1" ht="15.75" customHeight="1" x14ac:dyDescent="0.25">
      <c r="A362" s="79" t="s">
        <v>342</v>
      </c>
      <c r="B362" s="80"/>
      <c r="C362" s="80"/>
      <c r="D362" s="80"/>
      <c r="E362" s="80"/>
      <c r="F362" s="80"/>
      <c r="G362" s="80"/>
      <c r="H362" s="81"/>
      <c r="I362" s="36"/>
    </row>
    <row r="363" spans="1:11" s="37" customFormat="1" ht="15.75" customHeight="1" x14ac:dyDescent="0.25">
      <c r="A363" s="78">
        <v>1</v>
      </c>
      <c r="B363" s="78"/>
      <c r="C363" s="42" t="s">
        <v>339</v>
      </c>
      <c r="D363" s="42">
        <f>(26.487)*10.764</f>
        <v>285.10606799999994</v>
      </c>
      <c r="E363" s="42">
        <f>(4.95+5.437)*10.764</f>
        <v>111.805668</v>
      </c>
      <c r="F363" s="42">
        <f>D363+E363</f>
        <v>396.91173599999991</v>
      </c>
      <c r="G363" s="42">
        <v>0</v>
      </c>
      <c r="H363" s="42">
        <f>F363*(($H$251)+1)+(IF(G363&lt;101,G363,IF(G363&lt;201,G363/2,IF(G363&lt;=301,G363/3,G363/4))))</f>
        <v>575.52201719999982</v>
      </c>
      <c r="I363" s="36"/>
      <c r="K363" s="42">
        <v>10.763999999999999</v>
      </c>
    </row>
    <row r="364" spans="1:11" s="37" customFormat="1" ht="15.75" customHeight="1" x14ac:dyDescent="0.25">
      <c r="A364" s="78">
        <f>A363+1</f>
        <v>2</v>
      </c>
      <c r="B364" s="78"/>
      <c r="C364" s="42" t="s">
        <v>339</v>
      </c>
      <c r="D364" s="42">
        <f>(26.487)*10.764</f>
        <v>285.10606799999994</v>
      </c>
      <c r="E364" s="42">
        <f>(5.325+4.012)*10.764</f>
        <v>100.503468</v>
      </c>
      <c r="F364" s="42">
        <f>D364+E364</f>
        <v>385.60953599999993</v>
      </c>
      <c r="G364" s="42">
        <v>0</v>
      </c>
      <c r="H364" s="42">
        <f>F364*(($H$251)+1)+(IF(G364&lt;101,G364,IF(G364&lt;201,G364/2,IF(G364&lt;=301,G364/3,G364/4))))</f>
        <v>559.13382719999993</v>
      </c>
      <c r="I364" s="36"/>
    </row>
    <row r="365" spans="1:11" s="37" customFormat="1" ht="15.75" customHeight="1" x14ac:dyDescent="0.25">
      <c r="A365" s="78">
        <f>A364+1</f>
        <v>3</v>
      </c>
      <c r="B365" s="78"/>
      <c r="C365" s="42" t="s">
        <v>339</v>
      </c>
      <c r="D365" s="42">
        <f>(25)*10.764</f>
        <v>269.09999999999997</v>
      </c>
      <c r="E365" s="42">
        <f>(6.7+5.437)*10.764</f>
        <v>130.64266799999999</v>
      </c>
      <c r="F365" s="42">
        <f>D365+E365</f>
        <v>399.74266799999998</v>
      </c>
      <c r="G365" s="42">
        <v>0</v>
      </c>
      <c r="H365" s="42">
        <f>F365*(($H$251)+1)+(IF(G365&lt;101,G365,IF(G365&lt;201,G365/2,IF(G365&lt;=301,G365/3,G365/4))))</f>
        <v>579.62686859999997</v>
      </c>
      <c r="I365" s="36"/>
    </row>
    <row r="366" spans="1:11" s="37" customFormat="1" ht="15.75" customHeight="1" x14ac:dyDescent="0.25">
      <c r="A366" s="78">
        <f>A365+1</f>
        <v>4</v>
      </c>
      <c r="B366" s="78"/>
      <c r="C366" s="42" t="s">
        <v>339</v>
      </c>
      <c r="D366" s="42">
        <f>(30.002)*10.764</f>
        <v>322.94152799999995</v>
      </c>
      <c r="E366" s="42">
        <f>(4.95+6.15)*10.764</f>
        <v>119.4804</v>
      </c>
      <c r="F366" s="42">
        <f>D366+E366</f>
        <v>442.42192799999998</v>
      </c>
      <c r="G366" s="42">
        <v>0</v>
      </c>
      <c r="H366" s="42">
        <f>F366*(($H$251)+1)+(IF(G366&lt;101,G366,IF(G366&lt;201,G366/2,IF(G366&lt;=301,G366/3,G366/4))))</f>
        <v>641.51179559999991</v>
      </c>
      <c r="I366" s="36"/>
    </row>
    <row r="367" spans="1:11" s="37" customFormat="1" ht="15.75" customHeight="1" x14ac:dyDescent="0.25">
      <c r="A367" s="78">
        <f>A366+1</f>
        <v>5</v>
      </c>
      <c r="B367" s="78"/>
      <c r="C367" s="42" t="s">
        <v>339</v>
      </c>
      <c r="D367" s="42">
        <f>(30.002)*10.764</f>
        <v>322.94152799999995</v>
      </c>
      <c r="E367" s="42">
        <f>(4.95+6.037)*10.764</f>
        <v>118.26406799999999</v>
      </c>
      <c r="F367" s="42">
        <f>D367+E367</f>
        <v>441.20559599999996</v>
      </c>
      <c r="G367" s="42">
        <v>0</v>
      </c>
      <c r="H367" s="42">
        <f>F367*(($H$251)+1)+(IF(G367&lt;101,G367,IF(G367&lt;201,G367/2,IF(G367&lt;=301,G367/3,G367/4))))</f>
        <v>639.74811419999992</v>
      </c>
      <c r="I367" s="36"/>
    </row>
    <row r="368" spans="1:11" s="37" customFormat="1" ht="15.75" customHeight="1" x14ac:dyDescent="0.25">
      <c r="A368" s="79" t="s">
        <v>351</v>
      </c>
      <c r="B368" s="80"/>
      <c r="C368" s="80"/>
      <c r="D368" s="80"/>
      <c r="E368" s="80"/>
      <c r="F368" s="80"/>
      <c r="G368" s="80"/>
      <c r="H368" s="81"/>
      <c r="I368" s="36"/>
    </row>
    <row r="369" spans="1:11" s="37" customFormat="1" ht="15.75" customHeight="1" x14ac:dyDescent="0.25">
      <c r="A369" s="79" t="s">
        <v>346</v>
      </c>
      <c r="B369" s="80"/>
      <c r="C369" s="80"/>
      <c r="D369" s="80"/>
      <c r="E369" s="80"/>
      <c r="F369" s="80"/>
      <c r="G369" s="80"/>
      <c r="H369" s="81"/>
      <c r="I369" s="36"/>
    </row>
    <row r="370" spans="1:11" s="37" customFormat="1" ht="15.75" customHeight="1" x14ac:dyDescent="0.25">
      <c r="A370" s="79" t="s">
        <v>347</v>
      </c>
      <c r="B370" s="80"/>
      <c r="C370" s="80"/>
      <c r="D370" s="80"/>
      <c r="E370" s="80"/>
      <c r="F370" s="80"/>
      <c r="G370" s="80"/>
      <c r="H370" s="81"/>
      <c r="I370" s="36"/>
    </row>
    <row r="371" spans="1:11" s="37" customFormat="1" ht="15.75" customHeight="1" x14ac:dyDescent="0.25">
      <c r="A371" s="78">
        <v>1</v>
      </c>
      <c r="B371" s="78"/>
      <c r="C371" s="42" t="s">
        <v>339</v>
      </c>
      <c r="D371" s="42">
        <f>(26.487)*10.764</f>
        <v>285.10606799999994</v>
      </c>
      <c r="E371" s="42">
        <f>(5.325+4.012)*10.764</f>
        <v>100.503468</v>
      </c>
      <c r="F371" s="42">
        <f>D371+E371</f>
        <v>385.60953599999993</v>
      </c>
      <c r="G371" s="42">
        <v>0</v>
      </c>
      <c r="H371" s="42">
        <f>F371*(($H$251)+1)+(IF(G371&lt;101,G371,IF(G371&lt;201,G371/2,IF(G371&lt;=301,G371/3,G371/4))))</f>
        <v>559.13382719999993</v>
      </c>
      <c r="I371" s="36"/>
      <c r="K371" s="42">
        <v>10.763999999999999</v>
      </c>
    </row>
    <row r="372" spans="1:11" s="37" customFormat="1" ht="15.75" customHeight="1" x14ac:dyDescent="0.25">
      <c r="A372" s="78">
        <f>A371+1</f>
        <v>2</v>
      </c>
      <c r="B372" s="78"/>
      <c r="C372" s="42" t="s">
        <v>339</v>
      </c>
      <c r="D372" s="42">
        <f>(26.487)*10.764</f>
        <v>285.10606799999994</v>
      </c>
      <c r="E372" s="42">
        <f>(4.95+4.012)*10.764</f>
        <v>96.466967999999994</v>
      </c>
      <c r="F372" s="42">
        <f>D372+E372</f>
        <v>381.57303599999995</v>
      </c>
      <c r="G372" s="42">
        <f>(3.135)*10.764</f>
        <v>33.745139999999992</v>
      </c>
      <c r="H372" s="42">
        <f>F372*(($H$251)+1)+(IF(G372&lt;101,G372,IF(G372&lt;201,G372/2,IF(G372&lt;=301,G372/3,G372/4))))</f>
        <v>587.02604219999989</v>
      </c>
      <c r="I372" s="36"/>
    </row>
    <row r="373" spans="1:11" s="37" customFormat="1" ht="15.75" customHeight="1" x14ac:dyDescent="0.25">
      <c r="A373" s="78">
        <f>A372+1</f>
        <v>3</v>
      </c>
      <c r="B373" s="78"/>
      <c r="C373" s="42" t="s">
        <v>339</v>
      </c>
      <c r="D373" s="42">
        <f>(30.002)*10.764</f>
        <v>322.94152799999995</v>
      </c>
      <c r="E373" s="42">
        <f>(4.95+4.012)*10.764</f>
        <v>96.466967999999994</v>
      </c>
      <c r="F373" s="42">
        <f>D373+E373</f>
        <v>419.40849599999996</v>
      </c>
      <c r="G373" s="42">
        <f>(4.59)*10.764</f>
        <v>49.406759999999998</v>
      </c>
      <c r="H373" s="42">
        <f>F373*(($H$251)+1)+(IF(G373&lt;101,G373,IF(G373&lt;201,G373/2,IF(G373&lt;=301,G373/3,G373/4))))</f>
        <v>657.54907919999994</v>
      </c>
      <c r="I373" s="36"/>
    </row>
    <row r="374" spans="1:11" s="37" customFormat="1" ht="15.75" customHeight="1" x14ac:dyDescent="0.25">
      <c r="A374" s="78">
        <f>A373+1</f>
        <v>4</v>
      </c>
      <c r="B374" s="78"/>
      <c r="C374" s="42" t="s">
        <v>339</v>
      </c>
      <c r="D374" s="42">
        <f>(30.002)*10.764</f>
        <v>322.94152799999995</v>
      </c>
      <c r="E374" s="42">
        <f>(4.95+4.012)*10.764</f>
        <v>96.466967999999994</v>
      </c>
      <c r="F374" s="42">
        <f>D374+E374</f>
        <v>419.40849599999996</v>
      </c>
      <c r="G374" s="42">
        <f>(4.702)*10.764</f>
        <v>50.612327999999998</v>
      </c>
      <c r="H374" s="42">
        <f>F374*(($H$251)+1)+(IF(G374&lt;101,G374,IF(G374&lt;201,G374/2,IF(G374&lt;=301,G374/3,G374/4))))</f>
        <v>658.75464720000002</v>
      </c>
      <c r="I374" s="36"/>
    </row>
    <row r="375" spans="1:11" s="37" customFormat="1" ht="15.75" customHeight="1" x14ac:dyDescent="0.25">
      <c r="A375" s="78">
        <f>A374+1</f>
        <v>5</v>
      </c>
      <c r="B375" s="78"/>
      <c r="C375" s="42" t="s">
        <v>339</v>
      </c>
      <c r="D375" s="42">
        <f>(25)*10.764</f>
        <v>269.09999999999997</v>
      </c>
      <c r="E375" s="42">
        <f>(6.7+5.437)*10.764</f>
        <v>130.64266799999999</v>
      </c>
      <c r="F375" s="42">
        <f>D375+E375</f>
        <v>399.74266799999998</v>
      </c>
      <c r="G375" s="42">
        <v>0</v>
      </c>
      <c r="H375" s="42">
        <f>F375*(($H$251)+1)+(IF(G375&lt;101,G375,IF(G375&lt;201,G375/2,IF(G375&lt;=301,G375/3,G375/4))))</f>
        <v>579.62686859999997</v>
      </c>
      <c r="I375" s="36"/>
    </row>
    <row r="376" spans="1:11" s="37" customFormat="1" ht="15.75" customHeight="1" x14ac:dyDescent="0.25">
      <c r="A376" s="79" t="s">
        <v>342</v>
      </c>
      <c r="B376" s="80"/>
      <c r="C376" s="80"/>
      <c r="D376" s="80"/>
      <c r="E376" s="80"/>
      <c r="F376" s="80"/>
      <c r="G376" s="80"/>
      <c r="H376" s="81"/>
      <c r="I376" s="36"/>
    </row>
    <row r="377" spans="1:11" s="37" customFormat="1" ht="15.75" customHeight="1" x14ac:dyDescent="0.25">
      <c r="A377" s="78">
        <v>1</v>
      </c>
      <c r="B377" s="78"/>
      <c r="C377" s="42" t="s">
        <v>339</v>
      </c>
      <c r="D377" s="42">
        <f>(26.487)*10.764</f>
        <v>285.10606799999994</v>
      </c>
      <c r="E377" s="42">
        <f>(5.325+4.012)*10.764</f>
        <v>100.503468</v>
      </c>
      <c r="F377" s="42">
        <f>D377+E377</f>
        <v>385.60953599999993</v>
      </c>
      <c r="G377" s="42">
        <v>0</v>
      </c>
      <c r="H377" s="42">
        <f>F377*(($H$251)+1)+(IF(G377&lt;101,G377,IF(G377&lt;201,G377/2,IF(G377&lt;=301,G377/3,G377/4))))</f>
        <v>559.13382719999993</v>
      </c>
      <c r="I377" s="36"/>
      <c r="K377" s="42">
        <v>10.763999999999999</v>
      </c>
    </row>
    <row r="378" spans="1:11" s="37" customFormat="1" ht="15.75" customHeight="1" x14ac:dyDescent="0.25">
      <c r="A378" s="78">
        <f>A377+1</f>
        <v>2</v>
      </c>
      <c r="B378" s="78"/>
      <c r="C378" s="42" t="s">
        <v>339</v>
      </c>
      <c r="D378" s="42">
        <f>(26.487)*10.764</f>
        <v>285.10606799999994</v>
      </c>
      <c r="E378" s="42">
        <f>(4.95+5.437)*10.764</f>
        <v>111.805668</v>
      </c>
      <c r="F378" s="42">
        <f>D378+E378</f>
        <v>396.91173599999991</v>
      </c>
      <c r="G378" s="42">
        <v>0</v>
      </c>
      <c r="H378" s="42">
        <f>F378*(($H$251)+1)+(IF(G378&lt;101,G378,IF(G378&lt;201,G378/2,IF(G378&lt;=301,G378/3,G378/4))))</f>
        <v>575.52201719999982</v>
      </c>
      <c r="I378" s="36"/>
    </row>
    <row r="379" spans="1:11" s="37" customFormat="1" ht="15.75" customHeight="1" x14ac:dyDescent="0.25">
      <c r="A379" s="78">
        <f>A378+1</f>
        <v>3</v>
      </c>
      <c r="B379" s="78"/>
      <c r="C379" s="42" t="s">
        <v>339</v>
      </c>
      <c r="D379" s="42">
        <f>(30.002)*10.764</f>
        <v>322.94152799999995</v>
      </c>
      <c r="E379" s="42">
        <f>(4.95+6.037)*10.764</f>
        <v>118.26406799999999</v>
      </c>
      <c r="F379" s="42">
        <f>D379+E379</f>
        <v>441.20559599999996</v>
      </c>
      <c r="G379" s="42">
        <v>0</v>
      </c>
      <c r="H379" s="42">
        <f>F379*(($H$251)+1)+(IF(G379&lt;101,G379,IF(G379&lt;201,G379/2,IF(G379&lt;=301,G379/3,G379/4))))</f>
        <v>639.74811419999992</v>
      </c>
      <c r="I379" s="36"/>
    </row>
    <row r="380" spans="1:11" s="37" customFormat="1" ht="15.75" customHeight="1" x14ac:dyDescent="0.25">
      <c r="A380" s="78">
        <f>A379+1</f>
        <v>4</v>
      </c>
      <c r="B380" s="78"/>
      <c r="C380" s="42" t="s">
        <v>339</v>
      </c>
      <c r="D380" s="42">
        <f>(30.002)*10.764</f>
        <v>322.94152799999995</v>
      </c>
      <c r="E380" s="42">
        <f>(4.95+6.15)*10.764</f>
        <v>119.4804</v>
      </c>
      <c r="F380" s="42">
        <f>D380+E380</f>
        <v>442.42192799999998</v>
      </c>
      <c r="G380" s="42">
        <v>0</v>
      </c>
      <c r="H380" s="42">
        <f>F380*(($H$251)+1)+(IF(G380&lt;101,G380,IF(G380&lt;201,G380/2,IF(G380&lt;=301,G380/3,G380/4))))</f>
        <v>641.51179559999991</v>
      </c>
      <c r="I380" s="36"/>
    </row>
    <row r="381" spans="1:11" s="37" customFormat="1" ht="15.75" customHeight="1" x14ac:dyDescent="0.25">
      <c r="A381" s="78">
        <f>A380+1</f>
        <v>5</v>
      </c>
      <c r="B381" s="78"/>
      <c r="C381" s="42" t="s">
        <v>339</v>
      </c>
      <c r="D381" s="42">
        <f>(25)*10.764</f>
        <v>269.09999999999997</v>
      </c>
      <c r="E381" s="42">
        <f>(6.7+5.437)*10.764</f>
        <v>130.64266799999999</v>
      </c>
      <c r="F381" s="42">
        <f>D381+E381</f>
        <v>399.74266799999998</v>
      </c>
      <c r="G381" s="42">
        <v>0</v>
      </c>
      <c r="H381" s="42">
        <f>F381*(($H$251)+1)+(IF(G381&lt;101,G381,IF(G381&lt;201,G381/2,IF(G381&lt;=301,G381/3,G381/4))))</f>
        <v>579.62686859999997</v>
      </c>
      <c r="I381" s="36"/>
    </row>
    <row r="382" spans="1:11" s="37" customFormat="1" ht="15.75" customHeight="1" x14ac:dyDescent="0.25">
      <c r="A382" s="79" t="s">
        <v>352</v>
      </c>
      <c r="B382" s="80"/>
      <c r="C382" s="80"/>
      <c r="D382" s="80"/>
      <c r="E382" s="80"/>
      <c r="F382" s="80"/>
      <c r="G382" s="80"/>
      <c r="H382" s="81"/>
      <c r="I382" s="36"/>
    </row>
    <row r="383" spans="1:11" s="37" customFormat="1" ht="15.75" customHeight="1" x14ac:dyDescent="0.25">
      <c r="A383" s="79" t="s">
        <v>346</v>
      </c>
      <c r="B383" s="80"/>
      <c r="C383" s="80"/>
      <c r="D383" s="80"/>
      <c r="E383" s="80"/>
      <c r="F383" s="80"/>
      <c r="G383" s="80"/>
      <c r="H383" s="81"/>
      <c r="I383" s="36"/>
    </row>
    <row r="384" spans="1:11" s="37" customFormat="1" ht="15.75" customHeight="1" x14ac:dyDescent="0.25">
      <c r="A384" s="79" t="s">
        <v>347</v>
      </c>
      <c r="B384" s="80"/>
      <c r="C384" s="80"/>
      <c r="D384" s="80"/>
      <c r="E384" s="80"/>
      <c r="F384" s="80"/>
      <c r="G384" s="80"/>
      <c r="H384" s="81"/>
      <c r="I384" s="36"/>
    </row>
    <row r="385" spans="1:11" s="37" customFormat="1" ht="15.75" customHeight="1" x14ac:dyDescent="0.25">
      <c r="A385" s="78">
        <v>1</v>
      </c>
      <c r="B385" s="78"/>
      <c r="C385" s="42" t="s">
        <v>339</v>
      </c>
      <c r="D385" s="42">
        <f>(25)*10.764</f>
        <v>269.09999999999997</v>
      </c>
      <c r="E385" s="42">
        <f>(6.7+5.325)*10.764</f>
        <v>129.43709999999999</v>
      </c>
      <c r="F385" s="42">
        <f>D385+E385</f>
        <v>398.53709999999995</v>
      </c>
      <c r="G385" s="42">
        <v>0</v>
      </c>
      <c r="H385" s="42">
        <f>F385*(($H$251)+1)+(IF(G385&lt;101,G385,IF(G385&lt;201,G385/2,IF(G385&lt;=301,G385/3,G385/4))))</f>
        <v>577.87879499999997</v>
      </c>
      <c r="I385" s="36"/>
      <c r="K385" s="42">
        <v>10.763999999999999</v>
      </c>
    </row>
    <row r="386" spans="1:11" s="37" customFormat="1" ht="15.75" customHeight="1" x14ac:dyDescent="0.25">
      <c r="A386" s="78">
        <f>A385+1</f>
        <v>2</v>
      </c>
      <c r="B386" s="78"/>
      <c r="C386" s="42" t="s">
        <v>339</v>
      </c>
      <c r="D386" s="42">
        <f>(30.002)*10.764</f>
        <v>322.94152799999995</v>
      </c>
      <c r="E386" s="42">
        <f>(4.95+4.012)*10.764</f>
        <v>96.466967999999994</v>
      </c>
      <c r="F386" s="42">
        <f>D386+E386</f>
        <v>419.40849599999996</v>
      </c>
      <c r="G386" s="42">
        <f>(4.578)*10.764</f>
        <v>49.277591999999999</v>
      </c>
      <c r="H386" s="42">
        <f>F386*(($H$251)+1)+(IF(G386&lt;101,G386,IF(G386&lt;201,G386/2,IF(G386&lt;=301,G386/3,G386/4))))</f>
        <v>657.4199112</v>
      </c>
      <c r="I386" s="36"/>
    </row>
    <row r="387" spans="1:11" s="37" customFormat="1" ht="15.75" customHeight="1" x14ac:dyDescent="0.25">
      <c r="A387" s="78">
        <f>A386+1</f>
        <v>3</v>
      </c>
      <c r="B387" s="78"/>
      <c r="C387" s="42" t="s">
        <v>339</v>
      </c>
      <c r="D387" s="42">
        <f>(30.002)*10.764</f>
        <v>322.94152799999995</v>
      </c>
      <c r="E387" s="42">
        <f>(4.95+4.012)*10.764</f>
        <v>96.466967999999994</v>
      </c>
      <c r="F387" s="42">
        <f>D387+E387</f>
        <v>419.40849599999996</v>
      </c>
      <c r="G387" s="42">
        <f>(4.578)*10.764</f>
        <v>49.277591999999999</v>
      </c>
      <c r="H387" s="42">
        <f>F387*(($H$251)+1)+(IF(G387&lt;101,G387,IF(G387&lt;201,G387/2,IF(G387&lt;=301,G387/3,G387/4))))</f>
        <v>657.4199112</v>
      </c>
      <c r="I387" s="36"/>
    </row>
    <row r="388" spans="1:11" s="37" customFormat="1" ht="15.75" customHeight="1" x14ac:dyDescent="0.25">
      <c r="A388" s="78">
        <f>A387+1</f>
        <v>4</v>
      </c>
      <c r="B388" s="78"/>
      <c r="C388" s="42" t="s">
        <v>339</v>
      </c>
      <c r="D388" s="42">
        <f>(26.487)*10.764</f>
        <v>285.10606799999994</v>
      </c>
      <c r="E388" s="42">
        <f>(4.95+3.956)*10.764</f>
        <v>95.864183999999995</v>
      </c>
      <c r="F388" s="42">
        <f>D388+E388</f>
        <v>380.97025199999996</v>
      </c>
      <c r="G388" s="42">
        <f>(3.135)*10.764</f>
        <v>33.745139999999992</v>
      </c>
      <c r="H388" s="42">
        <f>F388*(($H$251)+1)+(IF(G388&lt;101,G388,IF(G388&lt;201,G388/2,IF(G388&lt;=301,G388/3,G388/4))))</f>
        <v>586.15200539999989</v>
      </c>
      <c r="I388" s="36"/>
    </row>
    <row r="389" spans="1:11" s="37" customFormat="1" ht="15.75" customHeight="1" x14ac:dyDescent="0.25">
      <c r="A389" s="78">
        <f>A388+1</f>
        <v>5</v>
      </c>
      <c r="B389" s="78"/>
      <c r="C389" s="42" t="s">
        <v>339</v>
      </c>
      <c r="D389" s="42">
        <f>(30.002)*10.764</f>
        <v>322.94152799999995</v>
      </c>
      <c r="E389" s="42">
        <f>(4.95+3.956)*10.764</f>
        <v>95.864183999999995</v>
      </c>
      <c r="F389" s="42">
        <f>D389+E389</f>
        <v>418.80571199999997</v>
      </c>
      <c r="G389" s="42">
        <f>(4.657)*10.764</f>
        <v>50.127947999999996</v>
      </c>
      <c r="H389" s="42">
        <f>F389*(($H$251)+1)+(IF(G389&lt;101,G389,IF(G389&lt;201,G389/2,IF(G389&lt;=301,G389/3,G389/4))))</f>
        <v>657.39623039999992</v>
      </c>
      <c r="I389" s="36"/>
    </row>
    <row r="390" spans="1:11" s="37" customFormat="1" ht="15.75" customHeight="1" x14ac:dyDescent="0.25">
      <c r="A390" s="78">
        <f t="shared" ref="A390:A393" si="70">A389+1</f>
        <v>6</v>
      </c>
      <c r="B390" s="78"/>
      <c r="C390" s="42" t="s">
        <v>339</v>
      </c>
      <c r="D390" s="42">
        <f>(30.002)*10.764</f>
        <v>322.94152799999995</v>
      </c>
      <c r="E390" s="42">
        <f>(4.95+4.011)*10.764</f>
        <v>96.456204</v>
      </c>
      <c r="F390" s="42">
        <f t="shared" ref="F390:F393" si="71">D390+E390</f>
        <v>419.39773199999996</v>
      </c>
      <c r="G390" s="42">
        <f>(4.703)*10.764</f>
        <v>50.623092</v>
      </c>
      <c r="H390" s="42">
        <f t="shared" ref="H390:H393" si="72">F390*(($H$251)+1)+(IF(G390&lt;101,G390,IF(G390&lt;201,G390/2,IF(G390&lt;=301,G390/3,G390/4))))</f>
        <v>658.74980340000002</v>
      </c>
      <c r="I390" s="36"/>
    </row>
    <row r="391" spans="1:11" s="37" customFormat="1" ht="15.75" customHeight="1" x14ac:dyDescent="0.25">
      <c r="A391" s="78">
        <f t="shared" si="70"/>
        <v>7</v>
      </c>
      <c r="B391" s="78"/>
      <c r="C391" s="42" t="s">
        <v>339</v>
      </c>
      <c r="D391" s="42">
        <f>(26.487)*10.764</f>
        <v>285.10606799999994</v>
      </c>
      <c r="E391" s="42">
        <f>(4.95+4.014)*10.764</f>
        <v>96.488495999999998</v>
      </c>
      <c r="F391" s="42">
        <f t="shared" si="71"/>
        <v>381.59456399999993</v>
      </c>
      <c r="G391" s="42">
        <f>(3.135)*10.764</f>
        <v>33.745139999999992</v>
      </c>
      <c r="H391" s="42">
        <f t="shared" si="72"/>
        <v>587.05725779999989</v>
      </c>
      <c r="I391" s="36"/>
    </row>
    <row r="392" spans="1:11" s="37" customFormat="1" ht="15.75" customHeight="1" x14ac:dyDescent="0.25">
      <c r="A392" s="78">
        <f t="shared" si="70"/>
        <v>8</v>
      </c>
      <c r="B392" s="78"/>
      <c r="C392" s="42" t="s">
        <v>339</v>
      </c>
      <c r="D392" s="42">
        <f>(26.487)*10.764</f>
        <v>285.10606799999994</v>
      </c>
      <c r="E392" s="42">
        <f>(4.95+3.956)*10.764</f>
        <v>95.864183999999995</v>
      </c>
      <c r="F392" s="42">
        <f t="shared" si="71"/>
        <v>380.97025199999996</v>
      </c>
      <c r="G392" s="42">
        <f>(3.135)*10.764</f>
        <v>33.745139999999992</v>
      </c>
      <c r="H392" s="42">
        <f t="shared" si="72"/>
        <v>586.15200539999989</v>
      </c>
      <c r="I392" s="36"/>
    </row>
    <row r="393" spans="1:11" s="37" customFormat="1" ht="15.75" customHeight="1" x14ac:dyDescent="0.25">
      <c r="A393" s="78">
        <f t="shared" si="70"/>
        <v>9</v>
      </c>
      <c r="B393" s="78"/>
      <c r="C393" s="42" t="s">
        <v>339</v>
      </c>
      <c r="D393" s="42">
        <f>(25)*10.764</f>
        <v>269.09999999999997</v>
      </c>
      <c r="E393" s="42">
        <f>(6.7+5.418)*10.764</f>
        <v>130.438152</v>
      </c>
      <c r="F393" s="42">
        <f t="shared" si="71"/>
        <v>399.53815199999997</v>
      </c>
      <c r="G393" s="42">
        <v>0</v>
      </c>
      <c r="H393" s="42">
        <f t="shared" si="72"/>
        <v>579.33032039999989</v>
      </c>
      <c r="I393" s="36"/>
    </row>
    <row r="394" spans="1:11" s="37" customFormat="1" ht="15.75" customHeight="1" x14ac:dyDescent="0.25">
      <c r="A394" s="79" t="s">
        <v>342</v>
      </c>
      <c r="B394" s="80"/>
      <c r="C394" s="80"/>
      <c r="D394" s="80"/>
      <c r="E394" s="80"/>
      <c r="F394" s="80"/>
      <c r="G394" s="80"/>
      <c r="H394" s="81"/>
      <c r="I394" s="36"/>
    </row>
    <row r="395" spans="1:11" s="37" customFormat="1" ht="15.75" customHeight="1" x14ac:dyDescent="0.25">
      <c r="A395" s="78">
        <v>1</v>
      </c>
      <c r="B395" s="78"/>
      <c r="C395" s="42" t="s">
        <v>339</v>
      </c>
      <c r="D395" s="42">
        <f>(25)*10.764</f>
        <v>269.09999999999997</v>
      </c>
      <c r="E395" s="42">
        <f>(6.7+5.325)*10.764</f>
        <v>129.43709999999999</v>
      </c>
      <c r="F395" s="42">
        <f>D395+E395</f>
        <v>398.53709999999995</v>
      </c>
      <c r="G395" s="42">
        <v>0</v>
      </c>
      <c r="H395" s="42">
        <f>F395*(($H$251)+1)+(IF(G395&lt;101,G395,IF(G395&lt;201,G395/2,IF(G395&lt;=301,G395/3,G395/4))))</f>
        <v>577.87879499999997</v>
      </c>
      <c r="I395" s="36"/>
      <c r="K395" s="42">
        <v>10.763999999999999</v>
      </c>
    </row>
    <row r="396" spans="1:11" s="37" customFormat="1" ht="15.75" customHeight="1" x14ac:dyDescent="0.25">
      <c r="A396" s="78">
        <f>A395+1</f>
        <v>2</v>
      </c>
      <c r="B396" s="78"/>
      <c r="C396" s="42" t="s">
        <v>339</v>
      </c>
      <c r="D396" s="42">
        <f>(30.002)*10.764</f>
        <v>322.94152799999995</v>
      </c>
      <c r="E396" s="42">
        <f>(4.95+4.012)*10.764</f>
        <v>96.466967999999994</v>
      </c>
      <c r="F396" s="42">
        <f>D396+E396</f>
        <v>419.40849599999996</v>
      </c>
      <c r="G396" s="42">
        <v>0</v>
      </c>
      <c r="H396" s="42">
        <f>F396*(($H$251)+1)+(IF(G396&lt;101,G396,IF(G396&lt;201,G396/2,IF(G396&lt;=301,G396/3,G396/4))))</f>
        <v>608.14231919999997</v>
      </c>
      <c r="I396" s="36"/>
    </row>
    <row r="397" spans="1:11" s="37" customFormat="1" ht="15.75" customHeight="1" x14ac:dyDescent="0.25">
      <c r="A397" s="78">
        <f>A396+1</f>
        <v>3</v>
      </c>
      <c r="B397" s="78"/>
      <c r="C397" s="42" t="s">
        <v>339</v>
      </c>
      <c r="D397" s="42">
        <f>(30.002)*10.764</f>
        <v>322.94152799999995</v>
      </c>
      <c r="E397" s="42">
        <f>(4.95+4.012)*10.764</f>
        <v>96.466967999999994</v>
      </c>
      <c r="F397" s="42">
        <f>D397+E397</f>
        <v>419.40849599999996</v>
      </c>
      <c r="G397" s="42">
        <v>0</v>
      </c>
      <c r="H397" s="42">
        <f>F397*(($H$251)+1)+(IF(G397&lt;101,G397,IF(G397&lt;201,G397/2,IF(G397&lt;=301,G397/3,G397/4))))</f>
        <v>608.14231919999997</v>
      </c>
      <c r="I397" s="36"/>
    </row>
    <row r="398" spans="1:11" s="37" customFormat="1" ht="15.75" customHeight="1" x14ac:dyDescent="0.25">
      <c r="A398" s="78">
        <f>A397+1</f>
        <v>4</v>
      </c>
      <c r="B398" s="78"/>
      <c r="C398" s="42" t="s">
        <v>339</v>
      </c>
      <c r="D398" s="42">
        <f>(26.487)*10.764</f>
        <v>285.10606799999994</v>
      </c>
      <c r="E398" s="42">
        <f>(4.95+3.956)*10.764</f>
        <v>95.864183999999995</v>
      </c>
      <c r="F398" s="42">
        <f>D398+E398</f>
        <v>380.97025199999996</v>
      </c>
      <c r="G398" s="42">
        <v>0</v>
      </c>
      <c r="H398" s="42">
        <f>F398*(($H$251)+1)+(IF(G398&lt;101,G398,IF(G398&lt;201,G398/2,IF(G398&lt;=301,G398/3,G398/4))))</f>
        <v>552.4068653999999</v>
      </c>
      <c r="I398" s="36"/>
    </row>
    <row r="399" spans="1:11" s="37" customFormat="1" ht="15.75" customHeight="1" x14ac:dyDescent="0.25">
      <c r="A399" s="78">
        <f>A398+1</f>
        <v>5</v>
      </c>
      <c r="B399" s="78"/>
      <c r="C399" s="42" t="s">
        <v>339</v>
      </c>
      <c r="D399" s="42">
        <f>(30.002)*10.764</f>
        <v>322.94152799999995</v>
      </c>
      <c r="E399" s="42">
        <f>(4.95+3.956)*10.764</f>
        <v>95.864183999999995</v>
      </c>
      <c r="F399" s="42">
        <f>D399+E399</f>
        <v>418.80571199999997</v>
      </c>
      <c r="G399" s="42">
        <v>0</v>
      </c>
      <c r="H399" s="42">
        <f>F399*(($H$251)+1)+(IF(G399&lt;101,G399,IF(G399&lt;201,G399/2,IF(G399&lt;=301,G399/3,G399/4))))</f>
        <v>607.26828239999998</v>
      </c>
      <c r="I399" s="36"/>
    </row>
    <row r="400" spans="1:11" s="37" customFormat="1" ht="15.75" customHeight="1" x14ac:dyDescent="0.25">
      <c r="A400" s="78">
        <f t="shared" ref="A400:A403" si="73">A399+1</f>
        <v>6</v>
      </c>
      <c r="B400" s="78"/>
      <c r="C400" s="42" t="s">
        <v>339</v>
      </c>
      <c r="D400" s="42">
        <f>(30.002)*10.764</f>
        <v>322.94152799999995</v>
      </c>
      <c r="E400" s="42">
        <f>(4.95+4.011)*10.764</f>
        <v>96.456204</v>
      </c>
      <c r="F400" s="42">
        <f t="shared" ref="F400:F403" si="74">D400+E400</f>
        <v>419.39773199999996</v>
      </c>
      <c r="G400" s="42">
        <v>0</v>
      </c>
      <c r="H400" s="42">
        <f t="shared" ref="H400:H403" si="75">F400*(($H$251)+1)+(IF(G400&lt;101,G400,IF(G400&lt;201,G400/2,IF(G400&lt;=301,G400/3,G400/4))))</f>
        <v>608.12671139999998</v>
      </c>
      <c r="I400" s="36"/>
    </row>
    <row r="401" spans="1:11" s="37" customFormat="1" ht="15.75" customHeight="1" x14ac:dyDescent="0.25">
      <c r="A401" s="78">
        <f t="shared" si="73"/>
        <v>7</v>
      </c>
      <c r="B401" s="78"/>
      <c r="C401" s="42" t="s">
        <v>339</v>
      </c>
      <c r="D401" s="42">
        <f>(26.487)*10.764</f>
        <v>285.10606799999994</v>
      </c>
      <c r="E401" s="42">
        <f>(4.95+4.014)*10.764</f>
        <v>96.488495999999998</v>
      </c>
      <c r="F401" s="42">
        <f t="shared" si="74"/>
        <v>381.59456399999993</v>
      </c>
      <c r="G401" s="42">
        <v>0</v>
      </c>
      <c r="H401" s="42">
        <f t="shared" si="75"/>
        <v>553.3121177999999</v>
      </c>
      <c r="I401" s="36"/>
    </row>
    <row r="402" spans="1:11" s="37" customFormat="1" ht="15.75" customHeight="1" x14ac:dyDescent="0.25">
      <c r="A402" s="78">
        <f t="shared" si="73"/>
        <v>8</v>
      </c>
      <c r="B402" s="78"/>
      <c r="C402" s="42" t="s">
        <v>339</v>
      </c>
      <c r="D402" s="42">
        <f>(26.487)*10.764</f>
        <v>285.10606799999994</v>
      </c>
      <c r="E402" s="42">
        <f>(4.95+3.956)*10.764</f>
        <v>95.864183999999995</v>
      </c>
      <c r="F402" s="42">
        <f t="shared" si="74"/>
        <v>380.97025199999996</v>
      </c>
      <c r="G402" s="42">
        <v>0</v>
      </c>
      <c r="H402" s="42">
        <f t="shared" si="75"/>
        <v>552.4068653999999</v>
      </c>
      <c r="I402" s="36"/>
    </row>
    <row r="403" spans="1:11" s="37" customFormat="1" ht="15.75" customHeight="1" x14ac:dyDescent="0.25">
      <c r="A403" s="78">
        <f t="shared" si="73"/>
        <v>9</v>
      </c>
      <c r="B403" s="78"/>
      <c r="C403" s="42" t="s">
        <v>339</v>
      </c>
      <c r="D403" s="42">
        <f>(25)*10.764</f>
        <v>269.09999999999997</v>
      </c>
      <c r="E403" s="42">
        <f>(6.7+5.418)*10.764</f>
        <v>130.438152</v>
      </c>
      <c r="F403" s="42">
        <f t="shared" si="74"/>
        <v>399.53815199999997</v>
      </c>
      <c r="G403" s="42">
        <v>0</v>
      </c>
      <c r="H403" s="42">
        <f t="shared" si="75"/>
        <v>579.33032039999989</v>
      </c>
      <c r="I403" s="36"/>
    </row>
    <row r="404" spans="1:11" s="37" customFormat="1" ht="15.75" customHeight="1" x14ac:dyDescent="0.25">
      <c r="A404" s="79" t="s">
        <v>353</v>
      </c>
      <c r="B404" s="80"/>
      <c r="C404" s="80"/>
      <c r="D404" s="80"/>
      <c r="E404" s="80"/>
      <c r="F404" s="80"/>
      <c r="G404" s="80"/>
      <c r="H404" s="81"/>
      <c r="I404" s="36"/>
    </row>
    <row r="405" spans="1:11" s="37" customFormat="1" ht="15.75" customHeight="1" x14ac:dyDescent="0.25">
      <c r="A405" s="79" t="s">
        <v>334</v>
      </c>
      <c r="B405" s="80"/>
      <c r="C405" s="80"/>
      <c r="D405" s="80"/>
      <c r="E405" s="80"/>
      <c r="F405" s="80"/>
      <c r="G405" s="80"/>
      <c r="H405" s="81"/>
      <c r="I405" s="36"/>
    </row>
    <row r="406" spans="1:11" s="37" customFormat="1" ht="15.75" customHeight="1" x14ac:dyDescent="0.25">
      <c r="A406" s="79" t="s">
        <v>338</v>
      </c>
      <c r="B406" s="80"/>
      <c r="C406" s="80"/>
      <c r="D406" s="80"/>
      <c r="E406" s="80"/>
      <c r="F406" s="80"/>
      <c r="G406" s="80"/>
      <c r="H406" s="81"/>
      <c r="I406" s="36"/>
    </row>
    <row r="407" spans="1:11" s="37" customFormat="1" ht="15.75" customHeight="1" x14ac:dyDescent="0.25">
      <c r="A407" s="78">
        <v>1</v>
      </c>
      <c r="B407" s="78"/>
      <c r="C407" s="42" t="s">
        <v>339</v>
      </c>
      <c r="D407" s="42">
        <f>(31.57+0.99)*10.764</f>
        <v>350.47584000000001</v>
      </c>
      <c r="E407" s="42">
        <f>(5.362+4.012)*10.764</f>
        <v>100.90173599999999</v>
      </c>
      <c r="F407" s="42">
        <f>D407+E407</f>
        <v>451.37757599999998</v>
      </c>
      <c r="G407" s="42">
        <v>0</v>
      </c>
      <c r="H407" s="42">
        <f>F407*(($H$251)+1)+(IF(G407&lt;101,G407,IF(G407&lt;201,G407/2,IF(G407&lt;=301,G407/3,G407/4))))</f>
        <v>654.49748519999991</v>
      </c>
      <c r="I407" s="36"/>
      <c r="K407" s="42">
        <v>10.763999999999999</v>
      </c>
    </row>
    <row r="408" spans="1:11" s="37" customFormat="1" ht="15.75" customHeight="1" x14ac:dyDescent="0.25">
      <c r="A408" s="78">
        <f>A407+1</f>
        <v>2</v>
      </c>
      <c r="B408" s="78"/>
      <c r="C408" s="42" t="s">
        <v>339</v>
      </c>
      <c r="D408" s="42">
        <f>(31.57+0.99)*10.764</f>
        <v>350.47584000000001</v>
      </c>
      <c r="E408" s="42">
        <f>(5.362+4.012)*10.764</f>
        <v>100.90173599999999</v>
      </c>
      <c r="F408" s="42">
        <f>D408+E408</f>
        <v>451.37757599999998</v>
      </c>
      <c r="G408" s="42">
        <v>0</v>
      </c>
      <c r="H408" s="42">
        <f>F408*(($H$251)+1)+(IF(G408&lt;101,G408,IF(G408&lt;201,G408/2,IF(G408&lt;=301,G408/3,G408/4))))</f>
        <v>654.49748519999991</v>
      </c>
      <c r="I408" s="36"/>
    </row>
    <row r="409" spans="1:11" s="37" customFormat="1" ht="15.75" customHeight="1" x14ac:dyDescent="0.25">
      <c r="A409" s="78">
        <f>A408+1</f>
        <v>3</v>
      </c>
      <c r="B409" s="78"/>
      <c r="C409" s="42" t="s">
        <v>339</v>
      </c>
      <c r="D409" s="42">
        <f>(31.57+0.99)*10.764</f>
        <v>350.47584000000001</v>
      </c>
      <c r="E409" s="42">
        <f>(5.362+4.012)*10.764</f>
        <v>100.90173599999999</v>
      </c>
      <c r="F409" s="42">
        <f>D409+E409</f>
        <v>451.37757599999998</v>
      </c>
      <c r="G409" s="42">
        <v>0</v>
      </c>
      <c r="H409" s="42">
        <f>F409*(($H$251)+1)+(IF(G409&lt;101,G409,IF(G409&lt;201,G409/2,IF(G409&lt;=301,G409/3,G409/4))))</f>
        <v>654.49748519999991</v>
      </c>
      <c r="I409" s="36"/>
    </row>
    <row r="410" spans="1:11" s="37" customFormat="1" ht="15.75" customHeight="1" x14ac:dyDescent="0.25">
      <c r="A410" s="78">
        <f>A409+1</f>
        <v>4</v>
      </c>
      <c r="B410" s="78"/>
      <c r="C410" s="42" t="s">
        <v>339</v>
      </c>
      <c r="D410" s="42">
        <f>(31.57+0.99)*10.764</f>
        <v>350.47584000000001</v>
      </c>
      <c r="E410" s="42">
        <f>(5.362+4.012)*10.764</f>
        <v>100.90173599999999</v>
      </c>
      <c r="F410" s="42">
        <f>D410+E410</f>
        <v>451.37757599999998</v>
      </c>
      <c r="G410" s="42">
        <v>0</v>
      </c>
      <c r="H410" s="42">
        <f>F410*(($H$251)+1)+(IF(G410&lt;101,G410,IF(G410&lt;201,G410/2,IF(G410&lt;=301,G410/3,G410/4))))</f>
        <v>654.49748519999991</v>
      </c>
      <c r="I410" s="36"/>
    </row>
    <row r="411" spans="1:11" s="37" customFormat="1" ht="15.75" customHeight="1" x14ac:dyDescent="0.25">
      <c r="A411" s="78">
        <f>A410+1</f>
        <v>5</v>
      </c>
      <c r="B411" s="78"/>
      <c r="C411" s="42" t="s">
        <v>339</v>
      </c>
      <c r="D411" s="42">
        <f t="shared" ref="D411:D416" si="76">(29.312)*10.764</f>
        <v>315.51436799999999</v>
      </c>
      <c r="E411" s="42">
        <f>(5.61+3.956)*10.764</f>
        <v>102.968424</v>
      </c>
      <c r="F411" s="42">
        <f>D411+E411</f>
        <v>418.48279200000002</v>
      </c>
      <c r="G411" s="42">
        <v>0</v>
      </c>
      <c r="H411" s="42">
        <f>F411*(($H$251)+1)+(IF(G411&lt;101,G411,IF(G411&lt;201,G411/2,IF(G411&lt;=301,G411/3,G411/4))))</f>
        <v>606.80004840000004</v>
      </c>
      <c r="I411" s="36"/>
    </row>
    <row r="412" spans="1:11" s="37" customFormat="1" ht="15.75" customHeight="1" x14ac:dyDescent="0.25">
      <c r="A412" s="78">
        <f t="shared" ref="A412:A416" si="77">A411+1</f>
        <v>6</v>
      </c>
      <c r="B412" s="78"/>
      <c r="C412" s="42" t="s">
        <v>339</v>
      </c>
      <c r="D412" s="42">
        <f t="shared" si="76"/>
        <v>315.51436799999999</v>
      </c>
      <c r="E412" s="42">
        <f>(5.61+3.956)*10.764</f>
        <v>102.968424</v>
      </c>
      <c r="F412" s="42">
        <f t="shared" ref="F412:F416" si="78">D412+E412</f>
        <v>418.48279200000002</v>
      </c>
      <c r="G412" s="42">
        <f>(4.59)*10.764</f>
        <v>49.406759999999998</v>
      </c>
      <c r="H412" s="42">
        <f t="shared" ref="H412:H416" si="79">F412*(($H$251)+1)+(IF(G412&lt;101,G412,IF(G412&lt;201,G412/2,IF(G412&lt;=301,G412/3,G412/4))))</f>
        <v>656.2068084</v>
      </c>
      <c r="I412" s="36"/>
    </row>
    <row r="413" spans="1:11" s="37" customFormat="1" ht="15.75" customHeight="1" x14ac:dyDescent="0.25">
      <c r="A413" s="78">
        <f t="shared" si="77"/>
        <v>7</v>
      </c>
      <c r="B413" s="78"/>
      <c r="C413" s="42" t="s">
        <v>339</v>
      </c>
      <c r="D413" s="42">
        <f t="shared" si="76"/>
        <v>315.51436799999999</v>
      </c>
      <c r="E413" s="42">
        <f>(5.61+4.012)*10.764</f>
        <v>103.571208</v>
      </c>
      <c r="F413" s="42">
        <f t="shared" si="78"/>
        <v>419.085576</v>
      </c>
      <c r="G413" s="42">
        <f>(4.455)*10.764</f>
        <v>47.953620000000001</v>
      </c>
      <c r="H413" s="42">
        <f t="shared" si="79"/>
        <v>655.62770520000004</v>
      </c>
      <c r="I413" s="36"/>
    </row>
    <row r="414" spans="1:11" s="37" customFormat="1" ht="15.75" customHeight="1" x14ac:dyDescent="0.25">
      <c r="A414" s="78">
        <f t="shared" si="77"/>
        <v>8</v>
      </c>
      <c r="B414" s="78"/>
      <c r="C414" s="42" t="s">
        <v>339</v>
      </c>
      <c r="D414" s="42">
        <f t="shared" si="76"/>
        <v>315.51436799999999</v>
      </c>
      <c r="E414" s="42">
        <f>(5.61+4.012)*10.764</f>
        <v>103.571208</v>
      </c>
      <c r="F414" s="42">
        <f t="shared" si="78"/>
        <v>419.085576</v>
      </c>
      <c r="G414" s="42">
        <f>(4.578)*10.764</f>
        <v>49.277591999999999</v>
      </c>
      <c r="H414" s="42">
        <f t="shared" si="79"/>
        <v>656.95167720000006</v>
      </c>
      <c r="I414" s="36"/>
    </row>
    <row r="415" spans="1:11" s="37" customFormat="1" ht="15.75" customHeight="1" x14ac:dyDescent="0.25">
      <c r="A415" s="78">
        <f t="shared" si="77"/>
        <v>9</v>
      </c>
      <c r="B415" s="78"/>
      <c r="C415" s="42" t="s">
        <v>339</v>
      </c>
      <c r="D415" s="42">
        <f t="shared" si="76"/>
        <v>315.51436799999999</v>
      </c>
      <c r="E415" s="42">
        <f>(5.61+3.956)*10.764</f>
        <v>102.968424</v>
      </c>
      <c r="F415" s="42">
        <f t="shared" si="78"/>
        <v>418.48279200000002</v>
      </c>
      <c r="G415" s="42">
        <f>(4.578)*10.764</f>
        <v>49.277591999999999</v>
      </c>
      <c r="H415" s="42">
        <f t="shared" si="79"/>
        <v>656.07764040000006</v>
      </c>
      <c r="I415" s="36"/>
    </row>
    <row r="416" spans="1:11" s="37" customFormat="1" ht="15.75" customHeight="1" x14ac:dyDescent="0.25">
      <c r="A416" s="78">
        <f t="shared" si="77"/>
        <v>10</v>
      </c>
      <c r="B416" s="78"/>
      <c r="C416" s="42" t="s">
        <v>339</v>
      </c>
      <c r="D416" s="42">
        <f t="shared" si="76"/>
        <v>315.51436799999999</v>
      </c>
      <c r="E416" s="42">
        <f>(5.61+3.956)*10.764</f>
        <v>102.968424</v>
      </c>
      <c r="F416" s="42">
        <f t="shared" si="78"/>
        <v>418.48279200000002</v>
      </c>
      <c r="G416" s="42">
        <f>(4.702)*10.764</f>
        <v>50.612327999999998</v>
      </c>
      <c r="H416" s="42">
        <f t="shared" si="79"/>
        <v>657.41237640000008</v>
      </c>
      <c r="I416" s="36"/>
    </row>
    <row r="417" spans="1:9" s="37" customFormat="1" ht="15.75" customHeight="1" x14ac:dyDescent="0.25">
      <c r="A417" s="79" t="s">
        <v>343</v>
      </c>
      <c r="B417" s="80"/>
      <c r="C417" s="80"/>
      <c r="D417" s="80"/>
      <c r="E417" s="80"/>
      <c r="F417" s="80"/>
      <c r="G417" s="80"/>
      <c r="H417" s="81"/>
      <c r="I417" s="36"/>
    </row>
    <row r="418" spans="1:9" s="37" customFormat="1" ht="15.75" customHeight="1" x14ac:dyDescent="0.25">
      <c r="A418" s="78">
        <v>1</v>
      </c>
      <c r="B418" s="78"/>
      <c r="C418" s="42" t="s">
        <v>339</v>
      </c>
      <c r="D418" s="42">
        <f>(31.57+0.99)*10.764</f>
        <v>350.47584000000001</v>
      </c>
      <c r="E418" s="42">
        <f>(5.362+4.012)*10.764</f>
        <v>100.90173599999999</v>
      </c>
      <c r="F418" s="42">
        <f>D418+E418</f>
        <v>451.37757599999998</v>
      </c>
      <c r="G418" s="42">
        <f>(4.458)*10.764</f>
        <v>47.985911999999999</v>
      </c>
      <c r="H418" s="42">
        <f>F418*(($H$251)+1)+(IF(G418&lt;101,G418,IF(G418&lt;201,G418/2,IF(G418&lt;=301,G418/3,G418/4))))</f>
        <v>702.4833971999999</v>
      </c>
      <c r="I418" s="36"/>
    </row>
    <row r="419" spans="1:9" s="37" customFormat="1" ht="15.75" customHeight="1" x14ac:dyDescent="0.25">
      <c r="A419" s="78">
        <f>A418+1</f>
        <v>2</v>
      </c>
      <c r="B419" s="78"/>
      <c r="C419" s="42" t="s">
        <v>339</v>
      </c>
      <c r="D419" s="42">
        <f>(31.57+0.99)*10.764</f>
        <v>350.47584000000001</v>
      </c>
      <c r="E419" s="42">
        <f>(5.362+4.012)*10.764</f>
        <v>100.90173599999999</v>
      </c>
      <c r="F419" s="42">
        <f>D419+E419</f>
        <v>451.37757599999998</v>
      </c>
      <c r="G419" s="42">
        <f>(4.458)*10.764</f>
        <v>47.985911999999999</v>
      </c>
      <c r="H419" s="42">
        <f>F419*(($H$251)+1)+(IF(G419&lt;101,G419,IF(G419&lt;201,G419/2,IF(G419&lt;=301,G419/3,G419/4))))</f>
        <v>702.4833971999999</v>
      </c>
      <c r="I419" s="36"/>
    </row>
    <row r="420" spans="1:9" s="37" customFormat="1" ht="15.75" customHeight="1" x14ac:dyDescent="0.25">
      <c r="A420" s="78">
        <f>A419+1</f>
        <v>3</v>
      </c>
      <c r="B420" s="78"/>
      <c r="C420" s="42" t="s">
        <v>339</v>
      </c>
      <c r="D420" s="42">
        <f>(31.57+0.99)*10.764</f>
        <v>350.47584000000001</v>
      </c>
      <c r="E420" s="42">
        <f>(5.362+4.012)*10.764</f>
        <v>100.90173599999999</v>
      </c>
      <c r="F420" s="42">
        <f>D420+E420</f>
        <v>451.37757599999998</v>
      </c>
      <c r="G420" s="42">
        <f>(4.458)*10.764</f>
        <v>47.985911999999999</v>
      </c>
      <c r="H420" s="42">
        <f>F420*(($H$251)+1)+(IF(G420&lt;101,G420,IF(G420&lt;201,G420/2,IF(G420&lt;=301,G420/3,G420/4))))</f>
        <v>702.4833971999999</v>
      </c>
      <c r="I420" s="36"/>
    </row>
    <row r="421" spans="1:9" s="37" customFormat="1" ht="15.75" customHeight="1" x14ac:dyDescent="0.25">
      <c r="A421" s="78">
        <f>A420+1</f>
        <v>4</v>
      </c>
      <c r="B421" s="78"/>
      <c r="C421" s="42" t="s">
        <v>339</v>
      </c>
      <c r="D421" s="42">
        <f>(31.57+0.99)*10.764</f>
        <v>350.47584000000001</v>
      </c>
      <c r="E421" s="42">
        <f>(5.362+4.012)*10.764</f>
        <v>100.90173599999999</v>
      </c>
      <c r="F421" s="42">
        <f>D421+E421</f>
        <v>451.37757599999998</v>
      </c>
      <c r="G421" s="42">
        <f>(4.458)*10.764</f>
        <v>47.985911999999999</v>
      </c>
      <c r="H421" s="42">
        <f>F421*(($H$251)+1)+(IF(G421&lt;101,G421,IF(G421&lt;201,G421/2,IF(G421&lt;=301,G421/3,G421/4))))</f>
        <v>702.4833971999999</v>
      </c>
      <c r="I421" s="36"/>
    </row>
    <row r="422" spans="1:9" s="37" customFormat="1" ht="15.75" customHeight="1" x14ac:dyDescent="0.25">
      <c r="A422" s="78">
        <f>A421+1</f>
        <v>5</v>
      </c>
      <c r="B422" s="78"/>
      <c r="C422" s="42" t="s">
        <v>339</v>
      </c>
      <c r="D422" s="42">
        <f t="shared" ref="D422:D427" si="80">(29.312)*10.764</f>
        <v>315.51436799999999</v>
      </c>
      <c r="E422" s="42">
        <f>(5.61+3.956)*10.764</f>
        <v>102.968424</v>
      </c>
      <c r="F422" s="42">
        <f>D422+E422</f>
        <v>418.48279200000002</v>
      </c>
      <c r="G422" s="42">
        <f>(4.702)*10.764</f>
        <v>50.612327999999998</v>
      </c>
      <c r="H422" s="42">
        <f>F422*(($H$251)+1)+(IF(G422&lt;101,G422,IF(G422&lt;201,G422/2,IF(G422&lt;=301,G422/3,G422/4))))</f>
        <v>657.41237640000008</v>
      </c>
      <c r="I422" s="36"/>
    </row>
    <row r="423" spans="1:9" s="37" customFormat="1" ht="15.75" customHeight="1" x14ac:dyDescent="0.25">
      <c r="A423" s="78">
        <f t="shared" ref="A423:A427" si="81">A422+1</f>
        <v>6</v>
      </c>
      <c r="B423" s="78"/>
      <c r="C423" s="42" t="s">
        <v>339</v>
      </c>
      <c r="D423" s="42">
        <f t="shared" si="80"/>
        <v>315.51436799999999</v>
      </c>
      <c r="E423" s="42">
        <f>(5.61+3.956)*10.764</f>
        <v>102.968424</v>
      </c>
      <c r="F423" s="42">
        <f t="shared" ref="F423:F427" si="82">D423+E423</f>
        <v>418.48279200000002</v>
      </c>
      <c r="G423" s="42">
        <f>(4.59)*10.764</f>
        <v>49.406759999999998</v>
      </c>
      <c r="H423" s="42">
        <f t="shared" ref="H423:H427" si="83">F423*(($H$251)+1)+(IF(G423&lt;101,G423,IF(G423&lt;201,G423/2,IF(G423&lt;=301,G423/3,G423/4))))</f>
        <v>656.2068084</v>
      </c>
      <c r="I423" s="36"/>
    </row>
    <row r="424" spans="1:9" s="37" customFormat="1" ht="15.75" customHeight="1" x14ac:dyDescent="0.25">
      <c r="A424" s="78">
        <f t="shared" si="81"/>
        <v>7</v>
      </c>
      <c r="B424" s="78"/>
      <c r="C424" s="42" t="s">
        <v>339</v>
      </c>
      <c r="D424" s="42">
        <f t="shared" si="80"/>
        <v>315.51436799999999</v>
      </c>
      <c r="E424" s="42">
        <f>(5.61+4.012)*10.764</f>
        <v>103.571208</v>
      </c>
      <c r="F424" s="42">
        <f t="shared" si="82"/>
        <v>419.085576</v>
      </c>
      <c r="G424" s="42">
        <f>(4.455)*10.764</f>
        <v>47.953620000000001</v>
      </c>
      <c r="H424" s="42">
        <f t="shared" si="83"/>
        <v>655.62770520000004</v>
      </c>
      <c r="I424" s="36"/>
    </row>
    <row r="425" spans="1:9" s="37" customFormat="1" ht="15.75" customHeight="1" x14ac:dyDescent="0.25">
      <c r="A425" s="78">
        <f t="shared" si="81"/>
        <v>8</v>
      </c>
      <c r="B425" s="78"/>
      <c r="C425" s="42" t="s">
        <v>339</v>
      </c>
      <c r="D425" s="42">
        <f t="shared" si="80"/>
        <v>315.51436799999999</v>
      </c>
      <c r="E425" s="42">
        <f>(5.61+4.012)*10.764</f>
        <v>103.571208</v>
      </c>
      <c r="F425" s="42">
        <f t="shared" si="82"/>
        <v>419.085576</v>
      </c>
      <c r="G425" s="42">
        <f>(4.578)*10.764</f>
        <v>49.277591999999999</v>
      </c>
      <c r="H425" s="42">
        <f t="shared" si="83"/>
        <v>656.95167720000006</v>
      </c>
      <c r="I425" s="36"/>
    </row>
    <row r="426" spans="1:9" s="37" customFormat="1" ht="15.75" customHeight="1" x14ac:dyDescent="0.25">
      <c r="A426" s="78">
        <f t="shared" si="81"/>
        <v>9</v>
      </c>
      <c r="B426" s="78"/>
      <c r="C426" s="42" t="s">
        <v>339</v>
      </c>
      <c r="D426" s="42">
        <f t="shared" si="80"/>
        <v>315.51436799999999</v>
      </c>
      <c r="E426" s="42">
        <f>(5.61+3.956)*10.764</f>
        <v>102.968424</v>
      </c>
      <c r="F426" s="42">
        <f t="shared" si="82"/>
        <v>418.48279200000002</v>
      </c>
      <c r="G426" s="42">
        <f>(4.578)*10.764</f>
        <v>49.277591999999999</v>
      </c>
      <c r="H426" s="42">
        <f t="shared" si="83"/>
        <v>656.07764040000006</v>
      </c>
      <c r="I426" s="36"/>
    </row>
    <row r="427" spans="1:9" s="37" customFormat="1" ht="15.75" customHeight="1" x14ac:dyDescent="0.25">
      <c r="A427" s="78">
        <f t="shared" si="81"/>
        <v>10</v>
      </c>
      <c r="B427" s="78"/>
      <c r="C427" s="42" t="s">
        <v>339</v>
      </c>
      <c r="D427" s="42">
        <f t="shared" si="80"/>
        <v>315.51436799999999</v>
      </c>
      <c r="E427" s="42">
        <f>(5.61+3.956)*10.764</f>
        <v>102.968424</v>
      </c>
      <c r="F427" s="42">
        <f t="shared" si="82"/>
        <v>418.48279200000002</v>
      </c>
      <c r="G427" s="42">
        <f>(4.702)*10.764</f>
        <v>50.612327999999998</v>
      </c>
      <c r="H427" s="42">
        <f t="shared" si="83"/>
        <v>657.41237640000008</v>
      </c>
      <c r="I427" s="36"/>
    </row>
    <row r="428" spans="1:9" s="37" customFormat="1" ht="15.75" customHeight="1" x14ac:dyDescent="0.25">
      <c r="A428" s="79" t="s">
        <v>342</v>
      </c>
      <c r="B428" s="80"/>
      <c r="C428" s="80"/>
      <c r="D428" s="80"/>
      <c r="E428" s="80"/>
      <c r="F428" s="80"/>
      <c r="G428" s="80"/>
      <c r="H428" s="81"/>
      <c r="I428" s="36"/>
    </row>
    <row r="429" spans="1:9" s="37" customFormat="1" ht="15.75" customHeight="1" x14ac:dyDescent="0.25">
      <c r="A429" s="78">
        <v>1</v>
      </c>
      <c r="B429" s="78"/>
      <c r="C429" s="42" t="s">
        <v>339</v>
      </c>
      <c r="D429" s="42">
        <f>(31.57+0.99)*10.764</f>
        <v>350.47584000000001</v>
      </c>
      <c r="E429" s="42">
        <f>(5.362+6.318)*10.764</f>
        <v>125.72351999999999</v>
      </c>
      <c r="F429" s="42">
        <f>D429+E429</f>
        <v>476.19936000000001</v>
      </c>
      <c r="G429" s="42">
        <v>0</v>
      </c>
      <c r="H429" s="42">
        <f>F429*(($H$251)+1)+(IF(G429&lt;101,G429,IF(G429&lt;201,G429/2,IF(G429&lt;=301,G429/3,G429/4))))</f>
        <v>690.48907199999996</v>
      </c>
      <c r="I429" s="36"/>
    </row>
    <row r="430" spans="1:9" s="37" customFormat="1" ht="15.75" customHeight="1" x14ac:dyDescent="0.25">
      <c r="A430" s="78">
        <f>A429+1</f>
        <v>2</v>
      </c>
      <c r="B430" s="78"/>
      <c r="C430" s="42" t="s">
        <v>339</v>
      </c>
      <c r="D430" s="42">
        <f>(31.57+0.99)*10.764</f>
        <v>350.47584000000001</v>
      </c>
      <c r="E430" s="42">
        <f>(5.362+6.318)*10.764</f>
        <v>125.72351999999999</v>
      </c>
      <c r="F430" s="42">
        <f>D430+E430</f>
        <v>476.19936000000001</v>
      </c>
      <c r="G430" s="42">
        <v>0</v>
      </c>
      <c r="H430" s="42">
        <f>F430*(($H$251)+1)+(IF(G430&lt;101,G430,IF(G430&lt;201,G430/2,IF(G430&lt;=301,G430/3,G430/4))))</f>
        <v>690.48907199999996</v>
      </c>
      <c r="I430" s="36"/>
    </row>
    <row r="431" spans="1:9" s="37" customFormat="1" ht="15.75" customHeight="1" x14ac:dyDescent="0.25">
      <c r="A431" s="78">
        <f>A430+1</f>
        <v>3</v>
      </c>
      <c r="B431" s="78"/>
      <c r="C431" s="42" t="s">
        <v>339</v>
      </c>
      <c r="D431" s="42">
        <f>(31.57+0.99)*10.764</f>
        <v>350.47584000000001</v>
      </c>
      <c r="E431" s="42">
        <f>(5.362+6.318)*10.764</f>
        <v>125.72351999999999</v>
      </c>
      <c r="F431" s="42">
        <f>D431+E431</f>
        <v>476.19936000000001</v>
      </c>
      <c r="G431" s="42">
        <v>0</v>
      </c>
      <c r="H431" s="42">
        <f>F431*(($H$251)+1)+(IF(G431&lt;101,G431,IF(G431&lt;201,G431/2,IF(G431&lt;=301,G431/3,G431/4))))</f>
        <v>690.48907199999996</v>
      </c>
      <c r="I431" s="36"/>
    </row>
    <row r="432" spans="1:9" s="37" customFormat="1" ht="15.75" customHeight="1" x14ac:dyDescent="0.25">
      <c r="A432" s="78">
        <f>A431+1</f>
        <v>4</v>
      </c>
      <c r="B432" s="78"/>
      <c r="C432" s="42" t="s">
        <v>339</v>
      </c>
      <c r="D432" s="42">
        <f>(31.57+0.99)*10.764</f>
        <v>350.47584000000001</v>
      </c>
      <c r="E432" s="42">
        <f>(5.362+6.318)*10.764</f>
        <v>125.72351999999999</v>
      </c>
      <c r="F432" s="42">
        <f>D432+E432</f>
        <v>476.19936000000001</v>
      </c>
      <c r="G432" s="42">
        <v>0</v>
      </c>
      <c r="H432" s="42">
        <f>F432*(($H$251)+1)+(IF(G432&lt;101,G432,IF(G432&lt;201,G432/2,IF(G432&lt;=301,G432/3,G432/4))))</f>
        <v>690.48907199999996</v>
      </c>
      <c r="I432" s="36"/>
    </row>
    <row r="433" spans="1:20" s="37" customFormat="1" ht="15.75" customHeight="1" x14ac:dyDescent="0.25">
      <c r="A433" s="78">
        <f>A432+1</f>
        <v>5</v>
      </c>
      <c r="B433" s="78"/>
      <c r="C433" s="42" t="s">
        <v>339</v>
      </c>
      <c r="D433" s="42">
        <f t="shared" ref="D433:D438" si="84">(29.312)*10.764</f>
        <v>315.51436799999999</v>
      </c>
      <c r="E433" s="42">
        <f>(5.61+6.093)*10.764</f>
        <v>125.97109199999998</v>
      </c>
      <c r="F433" s="42">
        <f>D433+E433</f>
        <v>441.48545999999999</v>
      </c>
      <c r="G433" s="42">
        <v>0</v>
      </c>
      <c r="H433" s="42">
        <f>F433*(($H$251)+1)+(IF(G433&lt;101,G433,IF(G433&lt;201,G433/2,IF(G433&lt;=301,G433/3,G433/4))))</f>
        <v>640.15391699999998</v>
      </c>
      <c r="I433" s="36"/>
    </row>
    <row r="434" spans="1:20" s="37" customFormat="1" ht="15.75" customHeight="1" x14ac:dyDescent="0.25">
      <c r="A434" s="78">
        <f t="shared" ref="A434:A438" si="85">A433+1</f>
        <v>6</v>
      </c>
      <c r="B434" s="78"/>
      <c r="C434" s="42" t="s">
        <v>339</v>
      </c>
      <c r="D434" s="42">
        <f t="shared" si="84"/>
        <v>315.51436799999999</v>
      </c>
      <c r="E434" s="42">
        <f>(5.61+5.981)*10.764</f>
        <v>124.765524</v>
      </c>
      <c r="F434" s="42">
        <f t="shared" ref="F434:F438" si="86">D434+E434</f>
        <v>440.27989200000002</v>
      </c>
      <c r="G434" s="42">
        <v>0</v>
      </c>
      <c r="H434" s="42">
        <f t="shared" ref="H434:H438" si="87">F434*(($H$251)+1)+(IF(G434&lt;101,G434,IF(G434&lt;201,G434/2,IF(G434&lt;=301,G434/3,G434/4))))</f>
        <v>638.40584339999998</v>
      </c>
      <c r="I434" s="36"/>
    </row>
    <row r="435" spans="1:20" s="37" customFormat="1" ht="15.75" customHeight="1" x14ac:dyDescent="0.25">
      <c r="A435" s="78">
        <f t="shared" si="85"/>
        <v>7</v>
      </c>
      <c r="B435" s="78"/>
      <c r="C435" s="42" t="s">
        <v>339</v>
      </c>
      <c r="D435" s="42">
        <f t="shared" si="84"/>
        <v>315.51436799999999</v>
      </c>
      <c r="E435" s="42">
        <f>(5.61+6.037)*10.764</f>
        <v>125.368308</v>
      </c>
      <c r="F435" s="42">
        <f t="shared" si="86"/>
        <v>440.882676</v>
      </c>
      <c r="G435" s="42">
        <v>0</v>
      </c>
      <c r="H435" s="42">
        <f t="shared" si="87"/>
        <v>639.27988019999998</v>
      </c>
      <c r="I435" s="36"/>
    </row>
    <row r="436" spans="1:20" s="37" customFormat="1" ht="15.75" customHeight="1" x14ac:dyDescent="0.25">
      <c r="A436" s="78">
        <f t="shared" si="85"/>
        <v>8</v>
      </c>
      <c r="B436" s="78"/>
      <c r="C436" s="42" t="s">
        <v>339</v>
      </c>
      <c r="D436" s="42">
        <f t="shared" si="84"/>
        <v>315.51436799999999</v>
      </c>
      <c r="E436" s="42">
        <f>(5.61+6.093)*10.764</f>
        <v>125.97109199999998</v>
      </c>
      <c r="F436" s="42">
        <f t="shared" si="86"/>
        <v>441.48545999999999</v>
      </c>
      <c r="G436" s="42">
        <v>0</v>
      </c>
      <c r="H436" s="42">
        <f t="shared" si="87"/>
        <v>640.15391699999998</v>
      </c>
      <c r="I436" s="36"/>
    </row>
    <row r="437" spans="1:20" s="37" customFormat="1" ht="15.75" customHeight="1" x14ac:dyDescent="0.25">
      <c r="A437" s="78">
        <f t="shared" si="85"/>
        <v>9</v>
      </c>
      <c r="B437" s="78"/>
      <c r="C437" s="42" t="s">
        <v>339</v>
      </c>
      <c r="D437" s="42">
        <f t="shared" si="84"/>
        <v>315.51436799999999</v>
      </c>
      <c r="E437" s="42">
        <f>(5.61+6.037)*10.764</f>
        <v>125.368308</v>
      </c>
      <c r="F437" s="42">
        <f t="shared" si="86"/>
        <v>440.882676</v>
      </c>
      <c r="G437" s="42">
        <v>0</v>
      </c>
      <c r="H437" s="42">
        <f t="shared" si="87"/>
        <v>639.27988019999998</v>
      </c>
      <c r="I437" s="36"/>
    </row>
    <row r="438" spans="1:20" s="37" customFormat="1" ht="15.75" customHeight="1" x14ac:dyDescent="0.25">
      <c r="A438" s="78">
        <f t="shared" si="85"/>
        <v>10</v>
      </c>
      <c r="B438" s="78"/>
      <c r="C438" s="42" t="s">
        <v>339</v>
      </c>
      <c r="D438" s="42">
        <f t="shared" si="84"/>
        <v>315.51436799999999</v>
      </c>
      <c r="E438" s="42">
        <f>(5.61+3.956)*10.764</f>
        <v>102.968424</v>
      </c>
      <c r="F438" s="42">
        <f t="shared" si="86"/>
        <v>418.48279200000002</v>
      </c>
      <c r="G438" s="42">
        <v>0</v>
      </c>
      <c r="H438" s="42">
        <f t="shared" si="87"/>
        <v>606.80004840000004</v>
      </c>
      <c r="I438" s="36"/>
    </row>
    <row r="439" spans="1:20" s="35" customFormat="1" x14ac:dyDescent="0.25">
      <c r="A439" s="187" t="s">
        <v>65</v>
      </c>
      <c r="B439" s="187"/>
      <c r="C439" s="187"/>
      <c r="D439" s="187"/>
      <c r="E439" s="187"/>
      <c r="F439" s="187"/>
      <c r="G439" s="187"/>
      <c r="H439" s="187"/>
      <c r="T439" s="37"/>
    </row>
    <row r="440" spans="1:20" s="35" customFormat="1" ht="82.5" customHeight="1" x14ac:dyDescent="0.25">
      <c r="A440" s="46" t="s">
        <v>149</v>
      </c>
      <c r="B440" s="184" t="s">
        <v>368</v>
      </c>
      <c r="C440" s="185"/>
      <c r="D440" s="185"/>
      <c r="E440" s="185"/>
      <c r="F440" s="185"/>
      <c r="G440" s="185"/>
      <c r="H440" s="186"/>
      <c r="T440" s="37"/>
    </row>
    <row r="441" spans="1:20" s="35" customFormat="1" x14ac:dyDescent="0.25">
      <c r="A441" s="46" t="s">
        <v>149</v>
      </c>
      <c r="B441" s="184" t="str">
        <f>(IF(H250="Saleable area Loading :","We have considered Saleable area of Flats as per our Calculation.","We considered Saleable area of Flat as per Builder area Sheet."))</f>
        <v>We have considered Saleable area of Flats as per our Calculation.</v>
      </c>
      <c r="C441" s="185"/>
      <c r="D441" s="185"/>
      <c r="E441" s="185"/>
      <c r="F441" s="185"/>
      <c r="G441" s="185"/>
      <c r="H441" s="186"/>
      <c r="T441" s="37"/>
    </row>
    <row r="442" spans="1:20" s="35" customFormat="1" x14ac:dyDescent="0.25">
      <c r="A442" s="46" t="s">
        <v>149</v>
      </c>
      <c r="B442" s="184" t="str">
        <f>(IF(H224="Saleable area Loading :","We have considered Saleable area of Commercial as per our Calculation.","We considered Saleable area of Commercial as per Builder area Sheet."))</f>
        <v>We have considered Saleable area of Commercial as per our Calculation.</v>
      </c>
      <c r="C442" s="185"/>
      <c r="D442" s="185"/>
      <c r="E442" s="185"/>
      <c r="F442" s="185"/>
      <c r="G442" s="185"/>
      <c r="H442" s="186"/>
      <c r="T442" s="37"/>
    </row>
    <row r="443" spans="1:20" s="35" customFormat="1" x14ac:dyDescent="0.25">
      <c r="A443" s="46" t="s">
        <v>149</v>
      </c>
      <c r="B443" s="75" t="s">
        <v>119</v>
      </c>
      <c r="C443" s="76"/>
      <c r="D443" s="76"/>
      <c r="E443" s="76"/>
      <c r="F443" s="76"/>
      <c r="G443" s="76"/>
      <c r="H443" s="77"/>
      <c r="T443" s="37"/>
    </row>
    <row r="444" spans="1:20" s="35" customFormat="1" x14ac:dyDescent="0.25">
      <c r="A444" s="46" t="s">
        <v>149</v>
      </c>
      <c r="B444" s="75" t="s">
        <v>354</v>
      </c>
      <c r="C444" s="76"/>
      <c r="D444" s="76"/>
      <c r="E444" s="76"/>
      <c r="F444" s="76"/>
      <c r="G444" s="76"/>
      <c r="H444" s="77"/>
      <c r="T444" s="37"/>
    </row>
    <row r="445" spans="1:20" s="35" customFormat="1" x14ac:dyDescent="0.25">
      <c r="A445" s="46" t="s">
        <v>149</v>
      </c>
      <c r="B445" s="75" t="s">
        <v>148</v>
      </c>
      <c r="C445" s="76"/>
      <c r="D445" s="76"/>
      <c r="E445" s="76"/>
      <c r="F445" s="76"/>
      <c r="G445" s="76"/>
      <c r="H445" s="77"/>
    </row>
    <row r="446" spans="1:20" s="35" customFormat="1" x14ac:dyDescent="0.25">
      <c r="A446" s="46" t="s">
        <v>149</v>
      </c>
      <c r="B446" s="75" t="s">
        <v>120</v>
      </c>
      <c r="C446" s="76"/>
      <c r="D446" s="76"/>
      <c r="E446" s="76"/>
      <c r="F446" s="76"/>
      <c r="G446" s="76"/>
      <c r="H446" s="77"/>
    </row>
    <row r="447" spans="1:20" s="35" customFormat="1" ht="34.5" customHeight="1" x14ac:dyDescent="0.25">
      <c r="A447" s="46" t="s">
        <v>149</v>
      </c>
      <c r="B447" s="75" t="s">
        <v>150</v>
      </c>
      <c r="C447" s="76"/>
      <c r="D447" s="76"/>
      <c r="E447" s="76"/>
      <c r="F447" s="76"/>
      <c r="G447" s="76"/>
      <c r="H447" s="77"/>
    </row>
    <row r="448" spans="1:20" s="35" customFormat="1" x14ac:dyDescent="0.25">
      <c r="A448" s="46" t="s">
        <v>149</v>
      </c>
      <c r="B448" s="75" t="s">
        <v>121</v>
      </c>
      <c r="C448" s="76"/>
      <c r="D448" s="76"/>
      <c r="E448" s="76"/>
      <c r="F448" s="76"/>
      <c r="G448" s="76"/>
      <c r="H448" s="77"/>
    </row>
    <row r="449" spans="1:20" s="35" customFormat="1" ht="32.25" hidden="1" customHeight="1" x14ac:dyDescent="0.25">
      <c r="A449" s="46" t="s">
        <v>149</v>
      </c>
      <c r="B449" s="177" t="s">
        <v>174</v>
      </c>
      <c r="C449" s="178"/>
      <c r="D449" s="178"/>
      <c r="E449" s="178"/>
      <c r="F449" s="178"/>
      <c r="G449" s="178"/>
      <c r="H449" s="179"/>
    </row>
    <row r="450" spans="1:20" s="35" customFormat="1" hidden="1" x14ac:dyDescent="0.25">
      <c r="A450" s="46" t="s">
        <v>149</v>
      </c>
      <c r="B450" s="177" t="s">
        <v>228</v>
      </c>
      <c r="C450" s="178"/>
      <c r="D450" s="178"/>
      <c r="E450" s="178"/>
      <c r="F450" s="178"/>
      <c r="G450" s="178"/>
      <c r="H450" s="179"/>
    </row>
    <row r="451" spans="1:20" s="35" customFormat="1" ht="114.6" customHeight="1" x14ac:dyDescent="0.25">
      <c r="A451" s="46" t="s">
        <v>149</v>
      </c>
      <c r="B451" s="75" t="s">
        <v>364</v>
      </c>
      <c r="C451" s="76"/>
      <c r="D451" s="76"/>
      <c r="E451" s="76"/>
      <c r="F451" s="76"/>
      <c r="G451" s="76"/>
      <c r="H451" s="77"/>
    </row>
    <row r="452" spans="1:20" s="35" customFormat="1" ht="31.9" customHeight="1" x14ac:dyDescent="0.25">
      <c r="A452" s="46" t="s">
        <v>149</v>
      </c>
      <c r="B452" s="75" t="s">
        <v>363</v>
      </c>
      <c r="C452" s="76"/>
      <c r="D452" s="76"/>
      <c r="E452" s="76"/>
      <c r="F452" s="76"/>
      <c r="G452" s="76"/>
      <c r="H452" s="77"/>
    </row>
    <row r="453" spans="1:20" x14ac:dyDescent="0.25">
      <c r="A453" s="155" t="s">
        <v>58</v>
      </c>
      <c r="B453" s="155"/>
      <c r="C453" s="155"/>
      <c r="D453" s="155"/>
      <c r="E453" s="155"/>
      <c r="F453" s="155"/>
      <c r="G453" s="155"/>
      <c r="H453" s="155"/>
      <c r="T453" s="35"/>
    </row>
    <row r="454" spans="1:20" x14ac:dyDescent="0.25">
      <c r="A454" s="140" t="s">
        <v>59</v>
      </c>
      <c r="B454" s="140"/>
      <c r="C454" s="140"/>
      <c r="D454" s="140"/>
      <c r="E454" s="140"/>
      <c r="F454" s="140"/>
      <c r="G454" s="140"/>
      <c r="H454" s="140"/>
      <c r="T454" s="35"/>
    </row>
    <row r="455" spans="1:20" ht="15.75" customHeight="1" x14ac:dyDescent="0.25">
      <c r="A455" s="168" t="s">
        <v>60</v>
      </c>
      <c r="B455" s="168"/>
      <c r="C455" s="168"/>
      <c r="D455" s="168"/>
      <c r="E455" s="168"/>
      <c r="F455" s="168"/>
      <c r="G455" s="168"/>
      <c r="H455" s="168"/>
      <c r="T455" s="35"/>
    </row>
    <row r="456" spans="1:20" x14ac:dyDescent="0.25">
      <c r="A456" s="140" t="s">
        <v>61</v>
      </c>
      <c r="B456" s="140"/>
      <c r="C456" s="140"/>
      <c r="D456" s="140"/>
      <c r="E456" s="140"/>
      <c r="F456" s="140"/>
      <c r="G456" s="140"/>
      <c r="H456" s="140"/>
      <c r="T456" s="35"/>
    </row>
    <row r="457" spans="1:20" x14ac:dyDescent="0.25">
      <c r="A457" s="140" t="s">
        <v>62</v>
      </c>
      <c r="B457" s="140"/>
      <c r="C457" s="140"/>
      <c r="D457" s="140"/>
      <c r="E457" s="140"/>
      <c r="F457" s="140"/>
      <c r="G457" s="140"/>
      <c r="H457" s="140"/>
      <c r="T457" s="35"/>
    </row>
    <row r="458" spans="1:20" x14ac:dyDescent="0.25">
      <c r="A458" s="140" t="s">
        <v>122</v>
      </c>
      <c r="B458" s="140"/>
      <c r="C458" s="140"/>
      <c r="D458" s="140"/>
      <c r="E458" s="140"/>
      <c r="F458" s="140"/>
      <c r="G458" s="140"/>
      <c r="H458" s="140"/>
      <c r="T458" s="35"/>
    </row>
    <row r="459" spans="1:20" ht="33.950000000000003" customHeight="1" x14ac:dyDescent="0.25">
      <c r="A459" s="134" t="s">
        <v>123</v>
      </c>
      <c r="B459" s="134"/>
      <c r="C459" s="134"/>
      <c r="D459" s="134"/>
      <c r="E459" s="134"/>
      <c r="F459" s="134"/>
      <c r="G459" s="134"/>
      <c r="H459" s="134"/>
    </row>
    <row r="460" spans="1:20" x14ac:dyDescent="0.25">
      <c r="A460" s="189" t="s">
        <v>74</v>
      </c>
      <c r="B460" s="189"/>
      <c r="C460" s="189" t="s">
        <v>362</v>
      </c>
      <c r="D460" s="189"/>
      <c r="E460" s="189" t="s">
        <v>104</v>
      </c>
      <c r="F460" s="189"/>
      <c r="G460" s="189" t="s">
        <v>367</v>
      </c>
      <c r="H460" s="189"/>
    </row>
    <row r="461" spans="1:20" x14ac:dyDescent="0.25">
      <c r="A461" s="188" t="s">
        <v>76</v>
      </c>
      <c r="B461" s="188"/>
      <c r="C461" s="188"/>
      <c r="D461" s="188"/>
      <c r="E461" s="188"/>
      <c r="F461" s="188"/>
      <c r="G461" s="188"/>
      <c r="H461" s="188"/>
    </row>
    <row r="462" spans="1:20" x14ac:dyDescent="0.25">
      <c r="A462" s="188"/>
      <c r="B462" s="188"/>
      <c r="C462" s="188"/>
      <c r="D462" s="188"/>
      <c r="E462" s="188"/>
      <c r="F462" s="188"/>
      <c r="G462" s="188"/>
      <c r="H462" s="188"/>
    </row>
    <row r="463" spans="1:20" x14ac:dyDescent="0.25">
      <c r="A463" s="188"/>
      <c r="B463" s="188"/>
      <c r="C463" s="188"/>
      <c r="D463" s="188"/>
      <c r="E463" s="188"/>
      <c r="F463" s="188"/>
      <c r="G463" s="188"/>
      <c r="H463" s="188"/>
    </row>
    <row r="464" spans="1:20" x14ac:dyDescent="0.25">
      <c r="A464" s="188"/>
      <c r="B464" s="188"/>
      <c r="C464" s="188"/>
      <c r="D464" s="188"/>
      <c r="E464" s="188"/>
      <c r="F464" s="188"/>
      <c r="G464" s="188"/>
      <c r="H464" s="188"/>
    </row>
    <row r="465" spans="1:8" x14ac:dyDescent="0.25">
      <c r="A465" s="38" t="s">
        <v>63</v>
      </c>
      <c r="B465" s="39"/>
      <c r="C465" s="39"/>
      <c r="D465" s="38" t="str">
        <f>E9</f>
        <v>Commanders Heera Siddhi Homes Phase III</v>
      </c>
      <c r="F465" s="39"/>
      <c r="G465" s="39"/>
      <c r="H465" s="39"/>
    </row>
    <row r="466" spans="1:8" x14ac:dyDescent="0.25">
      <c r="A466" s="39"/>
      <c r="B466" s="39"/>
      <c r="C466" s="39"/>
      <c r="D466" s="39"/>
      <c r="E466" s="39"/>
      <c r="F466" s="39"/>
      <c r="G466" s="39"/>
      <c r="H466" s="39"/>
    </row>
    <row r="467" spans="1:8" x14ac:dyDescent="0.25">
      <c r="A467" s="39"/>
      <c r="B467" s="39"/>
      <c r="C467" s="39"/>
      <c r="D467" s="39"/>
      <c r="E467" s="39"/>
      <c r="F467" s="39"/>
      <c r="G467" s="39"/>
      <c r="H467" s="39"/>
    </row>
    <row r="468" spans="1:8" ht="15" customHeight="1" x14ac:dyDescent="0.25"/>
    <row r="507" spans="1:1" x14ac:dyDescent="0.25">
      <c r="A507" s="41" t="s">
        <v>159</v>
      </c>
    </row>
    <row r="549" spans="1:1" x14ac:dyDescent="0.25">
      <c r="A549" s="41" t="s">
        <v>365</v>
      </c>
    </row>
    <row r="591" spans="1:1" x14ac:dyDescent="0.25">
      <c r="A591" s="41" t="s">
        <v>64</v>
      </c>
    </row>
  </sheetData>
  <autoFilter ref="A250:H465" xr:uid="{00000000-0009-0000-0000-000000000000}"/>
  <mergeCells count="683">
    <mergeCell ref="B452:H452"/>
    <mergeCell ref="L233:M233"/>
    <mergeCell ref="L234:M234"/>
    <mergeCell ref="L235:M235"/>
    <mergeCell ref="L236:M236"/>
    <mergeCell ref="L237:M237"/>
    <mergeCell ref="L238:M238"/>
    <mergeCell ref="L239:M239"/>
    <mergeCell ref="A240:B240"/>
    <mergeCell ref="L240:M240"/>
    <mergeCell ref="A438:B438"/>
    <mergeCell ref="A417:H417"/>
    <mergeCell ref="A418:B418"/>
    <mergeCell ref="A419:B419"/>
    <mergeCell ref="A420:B420"/>
    <mergeCell ref="A421:B421"/>
    <mergeCell ref="A422:B422"/>
    <mergeCell ref="A423:B423"/>
    <mergeCell ref="A424:B424"/>
    <mergeCell ref="A425:B425"/>
    <mergeCell ref="A426:B426"/>
    <mergeCell ref="A427:B427"/>
    <mergeCell ref="A428:H428"/>
    <mergeCell ref="A429:B429"/>
    <mergeCell ref="A217:B217"/>
    <mergeCell ref="C217:D217"/>
    <mergeCell ref="E217:F217"/>
    <mergeCell ref="G217:H217"/>
    <mergeCell ref="A218:B218"/>
    <mergeCell ref="C218:D218"/>
    <mergeCell ref="E218:F218"/>
    <mergeCell ref="G218:H218"/>
    <mergeCell ref="A219:B219"/>
    <mergeCell ref="C219:D219"/>
    <mergeCell ref="E219:F219"/>
    <mergeCell ref="G219:H219"/>
    <mergeCell ref="E214:F214"/>
    <mergeCell ref="G214:H214"/>
    <mergeCell ref="A215:B215"/>
    <mergeCell ref="C215:D215"/>
    <mergeCell ref="E215:F215"/>
    <mergeCell ref="G215:H215"/>
    <mergeCell ref="A216:B216"/>
    <mergeCell ref="C216:D216"/>
    <mergeCell ref="E216:F216"/>
    <mergeCell ref="G216:H216"/>
    <mergeCell ref="A437:B437"/>
    <mergeCell ref="A402:B402"/>
    <mergeCell ref="A403:B403"/>
    <mergeCell ref="A404:H404"/>
    <mergeCell ref="A405:H405"/>
    <mergeCell ref="A412:B412"/>
    <mergeCell ref="A413:B413"/>
    <mergeCell ref="A414:B414"/>
    <mergeCell ref="A415:B415"/>
    <mergeCell ref="A416:B416"/>
    <mergeCell ref="A430:B430"/>
    <mergeCell ref="A431:B431"/>
    <mergeCell ref="A432:B432"/>
    <mergeCell ref="A433:B433"/>
    <mergeCell ref="A434:B434"/>
    <mergeCell ref="A435:B435"/>
    <mergeCell ref="A436:B436"/>
    <mergeCell ref="A399:B399"/>
    <mergeCell ref="A400:B400"/>
    <mergeCell ref="A401:B401"/>
    <mergeCell ref="A408:B408"/>
    <mergeCell ref="A411:B411"/>
    <mergeCell ref="A406:H406"/>
    <mergeCell ref="A409:B409"/>
    <mergeCell ref="A410:B410"/>
    <mergeCell ref="A384:H384"/>
    <mergeCell ref="A385:B385"/>
    <mergeCell ref="A386:B386"/>
    <mergeCell ref="A387:B387"/>
    <mergeCell ref="A388:B388"/>
    <mergeCell ref="A389:B389"/>
    <mergeCell ref="A390:B390"/>
    <mergeCell ref="A391:B391"/>
    <mergeCell ref="A392:B392"/>
    <mergeCell ref="A393:B393"/>
    <mergeCell ref="A394:H394"/>
    <mergeCell ref="A395:B395"/>
    <mergeCell ref="A396:B396"/>
    <mergeCell ref="A397:B397"/>
    <mergeCell ref="A398:B398"/>
    <mergeCell ref="A107:B107"/>
    <mergeCell ref="A112:B112"/>
    <mergeCell ref="A220:B220"/>
    <mergeCell ref="E220:F220"/>
    <mergeCell ref="C110:H110"/>
    <mergeCell ref="A111:B111"/>
    <mergeCell ref="A202:E202"/>
    <mergeCell ref="G220:H220"/>
    <mergeCell ref="A382:H382"/>
    <mergeCell ref="A117:B117"/>
    <mergeCell ref="A119:B119"/>
    <mergeCell ref="A120:B120"/>
    <mergeCell ref="A195:E195"/>
    <mergeCell ref="A192:E192"/>
    <mergeCell ref="F196:H196"/>
    <mergeCell ref="G111:H111"/>
    <mergeCell ref="C250:C251"/>
    <mergeCell ref="G250:G251"/>
    <mergeCell ref="A212:B212"/>
    <mergeCell ref="C212:D212"/>
    <mergeCell ref="E212:F212"/>
    <mergeCell ref="G212:H212"/>
    <mergeCell ref="A213:B213"/>
    <mergeCell ref="C213:D213"/>
    <mergeCell ref="F192:H192"/>
    <mergeCell ref="F197:H197"/>
    <mergeCell ref="A256:B256"/>
    <mergeCell ref="A232:B232"/>
    <mergeCell ref="A231:B231"/>
    <mergeCell ref="A198:E198"/>
    <mergeCell ref="F198:H198"/>
    <mergeCell ref="A200:E200"/>
    <mergeCell ref="F195:H195"/>
    <mergeCell ref="A199:E199"/>
    <mergeCell ref="E211:F211"/>
    <mergeCell ref="A222:H222"/>
    <mergeCell ref="A250:A251"/>
    <mergeCell ref="F250:F251"/>
    <mergeCell ref="A208:B208"/>
    <mergeCell ref="C208:D208"/>
    <mergeCell ref="E208:F208"/>
    <mergeCell ref="G208:H208"/>
    <mergeCell ref="A209:B209"/>
    <mergeCell ref="A197:E197"/>
    <mergeCell ref="E213:F213"/>
    <mergeCell ref="G213:H213"/>
    <mergeCell ref="A214:B214"/>
    <mergeCell ref="C214:D214"/>
    <mergeCell ref="A110:B110"/>
    <mergeCell ref="G224:G225"/>
    <mergeCell ref="A40:B40"/>
    <mergeCell ref="C40:H40"/>
    <mergeCell ref="F224:F225"/>
    <mergeCell ref="C207:D207"/>
    <mergeCell ref="E207:F207"/>
    <mergeCell ref="B224:B225"/>
    <mergeCell ref="A224:A225"/>
    <mergeCell ref="G221:H221"/>
    <mergeCell ref="C55:H55"/>
    <mergeCell ref="A83:B83"/>
    <mergeCell ref="A49:B49"/>
    <mergeCell ref="C49:H49"/>
    <mergeCell ref="A113:B113"/>
    <mergeCell ref="A114:B114"/>
    <mergeCell ref="G98:H107"/>
    <mergeCell ref="A99:B99"/>
    <mergeCell ref="A100:B100"/>
    <mergeCell ref="A101:B101"/>
    <mergeCell ref="F194:H194"/>
    <mergeCell ref="A194:E194"/>
    <mergeCell ref="D224:D225"/>
    <mergeCell ref="A196:E196"/>
    <mergeCell ref="A39:B39"/>
    <mergeCell ref="C39:H39"/>
    <mergeCell ref="A46:D46"/>
    <mergeCell ref="L232:M232"/>
    <mergeCell ref="L231:M231"/>
    <mergeCell ref="L230:M230"/>
    <mergeCell ref="L229:M229"/>
    <mergeCell ref="A91:B91"/>
    <mergeCell ref="A193:E193"/>
    <mergeCell ref="A108:B108"/>
    <mergeCell ref="C108:H108"/>
    <mergeCell ref="A228:H228"/>
    <mergeCell ref="E224:E225"/>
    <mergeCell ref="A98:B98"/>
    <mergeCell ref="A47:D47"/>
    <mergeCell ref="A48:H48"/>
    <mergeCell ref="D64:H64"/>
    <mergeCell ref="A64:C64"/>
    <mergeCell ref="A90:B90"/>
    <mergeCell ref="C96:H96"/>
    <mergeCell ref="A45:D45"/>
    <mergeCell ref="C80:H80"/>
    <mergeCell ref="A88:B88"/>
    <mergeCell ref="A75:C75"/>
    <mergeCell ref="A38:H38"/>
    <mergeCell ref="A37:B37"/>
    <mergeCell ref="C37:E37"/>
    <mergeCell ref="G112:H121"/>
    <mergeCell ref="A42:D42"/>
    <mergeCell ref="E42:H42"/>
    <mergeCell ref="A41:H41"/>
    <mergeCell ref="A73:C73"/>
    <mergeCell ref="A74:C74"/>
    <mergeCell ref="D73:H73"/>
    <mergeCell ref="E84:F93"/>
    <mergeCell ref="G84:H93"/>
    <mergeCell ref="A92:B92"/>
    <mergeCell ref="A93:B93"/>
    <mergeCell ref="D74:H74"/>
    <mergeCell ref="A44:D44"/>
    <mergeCell ref="E44:H44"/>
    <mergeCell ref="E45:H45"/>
    <mergeCell ref="E46:H46"/>
    <mergeCell ref="A97:B97"/>
    <mergeCell ref="E47:H47"/>
    <mergeCell ref="C57:H57"/>
    <mergeCell ref="C59:H59"/>
    <mergeCell ref="A96:B96"/>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C82:H82"/>
    <mergeCell ref="A85:B85"/>
    <mergeCell ref="A87:B87"/>
    <mergeCell ref="E83:F83"/>
    <mergeCell ref="A76:C76"/>
    <mergeCell ref="D76:H76"/>
    <mergeCell ref="A79:C79"/>
    <mergeCell ref="D79:H79"/>
    <mergeCell ref="A77:C77"/>
    <mergeCell ref="D78:H78"/>
    <mergeCell ref="A84:B84"/>
    <mergeCell ref="G83:H83"/>
    <mergeCell ref="A86:B86"/>
    <mergeCell ref="A461:H464"/>
    <mergeCell ref="A460:B460"/>
    <mergeCell ref="E460:F460"/>
    <mergeCell ref="C460:D460"/>
    <mergeCell ref="G460:H460"/>
    <mergeCell ref="A205:H205"/>
    <mergeCell ref="A203:E203"/>
    <mergeCell ref="F203:H203"/>
    <mergeCell ref="A204:E204"/>
    <mergeCell ref="F204:H204"/>
    <mergeCell ref="A266:H266"/>
    <mergeCell ref="A293:B293"/>
    <mergeCell ref="A207:B207"/>
    <mergeCell ref="A456:H456"/>
    <mergeCell ref="A210:H210"/>
    <mergeCell ref="A459:H459"/>
    <mergeCell ref="A457:H457"/>
    <mergeCell ref="A453:H453"/>
    <mergeCell ref="G211:H211"/>
    <mergeCell ref="A295:B295"/>
    <mergeCell ref="C224:C225"/>
    <mergeCell ref="B250:B251"/>
    <mergeCell ref="A454:H454"/>
    <mergeCell ref="A249:H249"/>
    <mergeCell ref="C209:D209"/>
    <mergeCell ref="E209:F209"/>
    <mergeCell ref="G209:H209"/>
    <mergeCell ref="A407:B407"/>
    <mergeCell ref="A257:B257"/>
    <mergeCell ref="A280:B280"/>
    <mergeCell ref="A281:B281"/>
    <mergeCell ref="A282:B282"/>
    <mergeCell ref="A283:B283"/>
    <mergeCell ref="A284:B284"/>
    <mergeCell ref="A285:B285"/>
    <mergeCell ref="A286:B286"/>
    <mergeCell ref="A234:B234"/>
    <mergeCell ref="A235:B235"/>
    <mergeCell ref="A236:B236"/>
    <mergeCell ref="A238:B238"/>
    <mergeCell ref="A239:B239"/>
    <mergeCell ref="A287:B287"/>
    <mergeCell ref="A226:H226"/>
    <mergeCell ref="A237:B237"/>
    <mergeCell ref="A227:H227"/>
    <mergeCell ref="A233:B233"/>
    <mergeCell ref="A288:H288"/>
    <mergeCell ref="A296:B296"/>
    <mergeCell ref="A458:H458"/>
    <mergeCell ref="A455:H455"/>
    <mergeCell ref="A267:B267"/>
    <mergeCell ref="A211:B211"/>
    <mergeCell ref="D250:D251"/>
    <mergeCell ref="E250:E251"/>
    <mergeCell ref="A102:B102"/>
    <mergeCell ref="A103:B103"/>
    <mergeCell ref="A104:B104"/>
    <mergeCell ref="A118:B118"/>
    <mergeCell ref="F193:H193"/>
    <mergeCell ref="G207:H207"/>
    <mergeCell ref="A121:B121"/>
    <mergeCell ref="F199:H199"/>
    <mergeCell ref="C206:D206"/>
    <mergeCell ref="C220:D220"/>
    <mergeCell ref="A255:H255"/>
    <mergeCell ref="A294:B294"/>
    <mergeCell ref="A291:B291"/>
    <mergeCell ref="A229:B229"/>
    <mergeCell ref="B449:H449"/>
    <mergeCell ref="A221:B221"/>
    <mergeCell ref="C221:D221"/>
    <mergeCell ref="E221:F221"/>
    <mergeCell ref="C50:E50"/>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C52:E52"/>
    <mergeCell ref="C51:E51"/>
    <mergeCell ref="I15:P15"/>
    <mergeCell ref="F202:H202"/>
    <mergeCell ref="F200:H200"/>
    <mergeCell ref="A292:B292"/>
    <mergeCell ref="A223:H223"/>
    <mergeCell ref="G206:H206"/>
    <mergeCell ref="A201:E201"/>
    <mergeCell ref="A230:B230"/>
    <mergeCell ref="A60:B60"/>
    <mergeCell ref="C60:E60"/>
    <mergeCell ref="D62:H62"/>
    <mergeCell ref="F201:H201"/>
    <mergeCell ref="E206:F206"/>
    <mergeCell ref="A206:B206"/>
    <mergeCell ref="C211:D211"/>
    <mergeCell ref="D77:H77"/>
    <mergeCell ref="A78:C78"/>
    <mergeCell ref="E43:H43"/>
    <mergeCell ref="A43:D43"/>
    <mergeCell ref="A94:B94"/>
    <mergeCell ref="C94:H94"/>
    <mergeCell ref="A89:B89"/>
    <mergeCell ref="A50:B50"/>
    <mergeCell ref="D68:H68"/>
    <mergeCell ref="D69:H69"/>
    <mergeCell ref="D70:H70"/>
    <mergeCell ref="D71:H71"/>
    <mergeCell ref="D72:H72"/>
    <mergeCell ref="A65:C72"/>
    <mergeCell ref="A122:B122"/>
    <mergeCell ref="C122:H122"/>
    <mergeCell ref="A124:B124"/>
    <mergeCell ref="C124:H124"/>
    <mergeCell ref="D67:H67"/>
    <mergeCell ref="D65:H65"/>
    <mergeCell ref="D66:H66"/>
    <mergeCell ref="E97:F97"/>
    <mergeCell ref="G97:H97"/>
    <mergeCell ref="A115:B115"/>
    <mergeCell ref="A116:B116"/>
    <mergeCell ref="E98:F107"/>
    <mergeCell ref="A105:B105"/>
    <mergeCell ref="A106:B106"/>
    <mergeCell ref="E111:F111"/>
    <mergeCell ref="E112:F121"/>
    <mergeCell ref="A82:B82"/>
    <mergeCell ref="A80:B80"/>
    <mergeCell ref="D75:H75"/>
    <mergeCell ref="A125:B125"/>
    <mergeCell ref="E125:F125"/>
    <mergeCell ref="G125:H125"/>
    <mergeCell ref="A126:B126"/>
    <mergeCell ref="E126:F135"/>
    <mergeCell ref="G126:H135"/>
    <mergeCell ref="A127:B127"/>
    <mergeCell ref="A128:B128"/>
    <mergeCell ref="A129:B129"/>
    <mergeCell ref="A130:B130"/>
    <mergeCell ref="A131:B131"/>
    <mergeCell ref="A132:B132"/>
    <mergeCell ref="A133:B133"/>
    <mergeCell ref="A134:B134"/>
    <mergeCell ref="A135:B135"/>
    <mergeCell ref="A136:B136"/>
    <mergeCell ref="C136:H136"/>
    <mergeCell ref="A138:B138"/>
    <mergeCell ref="C138:H138"/>
    <mergeCell ref="A139:B139"/>
    <mergeCell ref="E139:F139"/>
    <mergeCell ref="G139:H139"/>
    <mergeCell ref="A140:B140"/>
    <mergeCell ref="E140:F149"/>
    <mergeCell ref="G140:H149"/>
    <mergeCell ref="A141:B141"/>
    <mergeCell ref="A142:B142"/>
    <mergeCell ref="A143:B143"/>
    <mergeCell ref="A144:B144"/>
    <mergeCell ref="A145:B145"/>
    <mergeCell ref="A146:B146"/>
    <mergeCell ref="A147:B147"/>
    <mergeCell ref="A148:B148"/>
    <mergeCell ref="A149:B149"/>
    <mergeCell ref="A178:B178"/>
    <mergeCell ref="C178:H178"/>
    <mergeCell ref="A180:B180"/>
    <mergeCell ref="A150:B150"/>
    <mergeCell ref="C150:H150"/>
    <mergeCell ref="A152:B152"/>
    <mergeCell ref="C152:H152"/>
    <mergeCell ref="A153:B153"/>
    <mergeCell ref="E153:F153"/>
    <mergeCell ref="G153:H153"/>
    <mergeCell ref="A154:B154"/>
    <mergeCell ref="E154:F163"/>
    <mergeCell ref="G154:H163"/>
    <mergeCell ref="A155:B155"/>
    <mergeCell ref="A156:B156"/>
    <mergeCell ref="A157:B157"/>
    <mergeCell ref="A158:B158"/>
    <mergeCell ref="A159:B159"/>
    <mergeCell ref="A160:B160"/>
    <mergeCell ref="A161:B161"/>
    <mergeCell ref="A162:B162"/>
    <mergeCell ref="A163:B163"/>
    <mergeCell ref="A164:B164"/>
    <mergeCell ref="C164:H164"/>
    <mergeCell ref="A166:B166"/>
    <mergeCell ref="C166:H166"/>
    <mergeCell ref="A167:B167"/>
    <mergeCell ref="E167:F167"/>
    <mergeCell ref="G167:H167"/>
    <mergeCell ref="A168:B168"/>
    <mergeCell ref="E168:F177"/>
    <mergeCell ref="G168:H177"/>
    <mergeCell ref="A169:B169"/>
    <mergeCell ref="A170:B170"/>
    <mergeCell ref="A171:B171"/>
    <mergeCell ref="A172:B172"/>
    <mergeCell ref="A173:B173"/>
    <mergeCell ref="A174:B174"/>
    <mergeCell ref="A175:B175"/>
    <mergeCell ref="A176:B176"/>
    <mergeCell ref="A177:B177"/>
    <mergeCell ref="C180:H180"/>
    <mergeCell ref="A181:B181"/>
    <mergeCell ref="E181:F181"/>
    <mergeCell ref="G181:H181"/>
    <mergeCell ref="A182:B182"/>
    <mergeCell ref="E182:F191"/>
    <mergeCell ref="G182:H191"/>
    <mergeCell ref="A183:B183"/>
    <mergeCell ref="A184:B184"/>
    <mergeCell ref="A185:B185"/>
    <mergeCell ref="A186:B186"/>
    <mergeCell ref="A187:B187"/>
    <mergeCell ref="A188:B188"/>
    <mergeCell ref="A189:B189"/>
    <mergeCell ref="A190:B190"/>
    <mergeCell ref="A191:B191"/>
    <mergeCell ref="L260:M260"/>
    <mergeCell ref="L259:M259"/>
    <mergeCell ref="L256:M256"/>
    <mergeCell ref="L257:M257"/>
    <mergeCell ref="A258:B258"/>
    <mergeCell ref="L258:M258"/>
    <mergeCell ref="A259:B259"/>
    <mergeCell ref="A241:H241"/>
    <mergeCell ref="A242:H242"/>
    <mergeCell ref="A243:B243"/>
    <mergeCell ref="L243:M243"/>
    <mergeCell ref="A244:B244"/>
    <mergeCell ref="L244:M244"/>
    <mergeCell ref="A245:B245"/>
    <mergeCell ref="L245:M245"/>
    <mergeCell ref="A246:B246"/>
    <mergeCell ref="A252:H252"/>
    <mergeCell ref="A253:H253"/>
    <mergeCell ref="A254:H254"/>
    <mergeCell ref="L246:M246"/>
    <mergeCell ref="L247:M247"/>
    <mergeCell ref="A248:B248"/>
    <mergeCell ref="L248:M248"/>
    <mergeCell ref="L277:M277"/>
    <mergeCell ref="A278:B278"/>
    <mergeCell ref="A279:B279"/>
    <mergeCell ref="A261:B261"/>
    <mergeCell ref="L261:M261"/>
    <mergeCell ref="A262:B262"/>
    <mergeCell ref="L262:M262"/>
    <mergeCell ref="A263:B263"/>
    <mergeCell ref="L263:M263"/>
    <mergeCell ref="A264:B264"/>
    <mergeCell ref="L264:M264"/>
    <mergeCell ref="A265:B265"/>
    <mergeCell ref="L265:M265"/>
    <mergeCell ref="L266:M266"/>
    <mergeCell ref="A272:B272"/>
    <mergeCell ref="A273:B273"/>
    <mergeCell ref="A274:B274"/>
    <mergeCell ref="A275:B275"/>
    <mergeCell ref="A276:B276"/>
    <mergeCell ref="A277:H277"/>
    <mergeCell ref="A271:B271"/>
    <mergeCell ref="A268:B268"/>
    <mergeCell ref="A269:B269"/>
    <mergeCell ref="A270:B270"/>
    <mergeCell ref="A297:B297"/>
    <mergeCell ref="A298:B298"/>
    <mergeCell ref="A299:B299"/>
    <mergeCell ref="A300:B300"/>
    <mergeCell ref="A289:H289"/>
    <mergeCell ref="A247:B247"/>
    <mergeCell ref="A260:B260"/>
    <mergeCell ref="A301:H301"/>
    <mergeCell ref="A302:B302"/>
    <mergeCell ref="A290:H290"/>
    <mergeCell ref="A303:B303"/>
    <mergeCell ref="A304:B304"/>
    <mergeCell ref="A305:B305"/>
    <mergeCell ref="A306:B306"/>
    <mergeCell ref="A307:B307"/>
    <mergeCell ref="A308:B308"/>
    <mergeCell ref="A309:B309"/>
    <mergeCell ref="A310:B310"/>
    <mergeCell ref="A311:B311"/>
    <mergeCell ref="A312:H312"/>
    <mergeCell ref="A313:H313"/>
    <mergeCell ref="A314:H314"/>
    <mergeCell ref="A315:B315"/>
    <mergeCell ref="A316:B316"/>
    <mergeCell ref="A317:B317"/>
    <mergeCell ref="A318:B318"/>
    <mergeCell ref="A319:B319"/>
    <mergeCell ref="A320:B320"/>
    <mergeCell ref="A344:H344"/>
    <mergeCell ref="A328:B328"/>
    <mergeCell ref="A329:B329"/>
    <mergeCell ref="A330:B330"/>
    <mergeCell ref="A331:B331"/>
    <mergeCell ref="A332:H332"/>
    <mergeCell ref="A333:H333"/>
    <mergeCell ref="A334:H334"/>
    <mergeCell ref="A321:B321"/>
    <mergeCell ref="A322:B322"/>
    <mergeCell ref="A323:H323"/>
    <mergeCell ref="A324:B324"/>
    <mergeCell ref="A325:B325"/>
    <mergeCell ref="A326:B326"/>
    <mergeCell ref="A327:B327"/>
    <mergeCell ref="A343:B343"/>
    <mergeCell ref="A335:B335"/>
    <mergeCell ref="A336:B336"/>
    <mergeCell ref="A337:B337"/>
    <mergeCell ref="A338:B338"/>
    <mergeCell ref="A339:B339"/>
    <mergeCell ref="A340:B340"/>
    <mergeCell ref="A341:B341"/>
    <mergeCell ref="A342:B342"/>
    <mergeCell ref="A353:B353"/>
    <mergeCell ref="A354:H354"/>
    <mergeCell ref="A355:H355"/>
    <mergeCell ref="A356:H356"/>
    <mergeCell ref="A357:B357"/>
    <mergeCell ref="A358:B358"/>
    <mergeCell ref="A359:B359"/>
    <mergeCell ref="A360:B360"/>
    <mergeCell ref="A345:B345"/>
    <mergeCell ref="A346:B346"/>
    <mergeCell ref="A347:B347"/>
    <mergeCell ref="A348:B348"/>
    <mergeCell ref="A349:B349"/>
    <mergeCell ref="A350:B350"/>
    <mergeCell ref="A351:B351"/>
    <mergeCell ref="A352:B352"/>
    <mergeCell ref="A367:B367"/>
    <mergeCell ref="A361:B361"/>
    <mergeCell ref="A368:H368"/>
    <mergeCell ref="A369:H369"/>
    <mergeCell ref="A370:H370"/>
    <mergeCell ref="A362:H362"/>
    <mergeCell ref="A363:B363"/>
    <mergeCell ref="A364:B364"/>
    <mergeCell ref="A365:B365"/>
    <mergeCell ref="A366:B366"/>
    <mergeCell ref="B451:H451"/>
    <mergeCell ref="A380:B380"/>
    <mergeCell ref="A381:B381"/>
    <mergeCell ref="A371:B371"/>
    <mergeCell ref="A372:B372"/>
    <mergeCell ref="A373:B373"/>
    <mergeCell ref="A374:B374"/>
    <mergeCell ref="A375:B375"/>
    <mergeCell ref="A376:H376"/>
    <mergeCell ref="A377:B377"/>
    <mergeCell ref="A378:B378"/>
    <mergeCell ref="A379:B379"/>
    <mergeCell ref="B448:H448"/>
    <mergeCell ref="B446:H446"/>
    <mergeCell ref="B442:H442"/>
    <mergeCell ref="B440:H440"/>
    <mergeCell ref="B441:H441"/>
    <mergeCell ref="B443:H443"/>
    <mergeCell ref="B444:H444"/>
    <mergeCell ref="A439:H439"/>
    <mergeCell ref="B445:H445"/>
    <mergeCell ref="B450:H450"/>
    <mergeCell ref="A383:H383"/>
    <mergeCell ref="B447:H447"/>
  </mergeCells>
  <dataValidations count="19">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224:E225" xr:uid="{00000000-0002-0000-0000-000003000000}">
      <formula1>"Attached Loft area,Attached Otla area,Attached Mezzanine area"</formula1>
    </dataValidation>
    <dataValidation type="list" allowBlank="1" showInputMessage="1" showErrorMessage="1" sqref="G460:H460" xr:uid="{00000000-0002-0000-0000-000004000000}">
      <formula1>"Gaurav Panchal, Kunal Kadam,Pranita Mhatre,Shruti Fule,Pooja Kawale,Neha Dhokale,Shruti Tathare, Hitakshi Mhatre, Sachin Sawant"</formula1>
    </dataValidation>
    <dataValidation type="list" allowBlank="1" showInputMessage="1" showErrorMessage="1" sqref="F192:H192" xr:uid="{00000000-0002-0000-0000-000005000000}">
      <formula1>"On Saleable Area,On Builtup Area,On Carpet Area,On Plot Area"</formula1>
    </dataValidation>
    <dataValidation type="list" allowBlank="1" showInputMessage="1" showErrorMessage="1" sqref="F203:H203" xr:uid="{00000000-0002-0000-0000-000006000000}">
      <formula1>OFFSET($S$192,1,MATCH($G20,$S$192:$W$192,0)-1,15,1)</formula1>
    </dataValidation>
    <dataValidation type="list" allowBlank="1" showInputMessage="1" showErrorMessage="1" sqref="B224:B225" xr:uid="{00000000-0002-0000-0000-000007000000}">
      <formula1>"Shop No. (Sale Plan),Sale / Rehab,Sale / Mhada"</formula1>
    </dataValidation>
    <dataValidation type="list" allowBlank="1" showInputMessage="1" showErrorMessage="1" sqref="B250:B251"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250:E251" xr:uid="{00000000-0002-0000-0000-00000B000000}">
      <formula1>"Fungible area,Balcony Area,Chajja Area,Cornice Area,AP Area,Encl Bal + WS Area"</formula1>
    </dataValidation>
    <dataValidation type="list" allowBlank="1" showInputMessage="1" showErrorMessage="1" sqref="H225 H251"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 type="whole" allowBlank="1" showInputMessage="1" showErrorMessage="1" sqref="C89" xr:uid="{00000000-0002-0000-0000-00000F000000}">
      <formula1>0</formula1>
      <formula2>H81</formula2>
    </dataValidation>
    <dataValidation type="list" allowBlank="1" showInputMessage="1" showErrorMessage="1" sqref="H224 H250" xr:uid="{00000000-0002-0000-0000-000010000000}">
      <formula1>"Saleable area Loading :,Builder Saleable Area"</formula1>
    </dataValidation>
    <dataValidation type="list" allowBlank="1" showInputMessage="1" showErrorMessage="1" sqref="D224:D225" xr:uid="{00000000-0002-0000-0000-000011000000}">
      <formula1>"Carpet area,RERA Carpet area"</formula1>
    </dataValidation>
    <dataValidation type="list" allowBlank="1" showInputMessage="1" showErrorMessage="1" sqref="D250:D251" xr:uid="{00000000-0002-0000-0000-000012000000}">
      <formula1>"Carpet + CB  area,RERA Carpet area"</formula1>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8" manualBreakCount="8">
    <brk id="79" max="16383" man="1"/>
    <brk id="135" max="16383" man="1"/>
    <brk id="177" max="16383" man="1"/>
    <brk id="438" max="16383" man="1"/>
    <brk id="464" max="16383" man="1"/>
    <brk id="506" max="16383" man="1"/>
    <brk id="548" max="16383" man="1"/>
    <brk id="590"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30" t="s">
        <v>105</v>
      </c>
      <c r="C3" s="230"/>
      <c r="D3" s="230"/>
      <c r="E3" s="230"/>
      <c r="F3" s="230"/>
      <c r="G3" s="230"/>
      <c r="H3" s="230"/>
    </row>
    <row r="4" spans="1:9" x14ac:dyDescent="0.25">
      <c r="A4" s="2"/>
      <c r="B4" s="3" t="s">
        <v>106</v>
      </c>
      <c r="C4" s="3" t="s">
        <v>107</v>
      </c>
      <c r="D4" s="3" t="s">
        <v>66</v>
      </c>
      <c r="E4" s="3" t="s">
        <v>108</v>
      </c>
      <c r="F4" s="3" t="s">
        <v>114</v>
      </c>
      <c r="G4" s="3" t="s">
        <v>115</v>
      </c>
      <c r="H4" s="3" t="s">
        <v>109</v>
      </c>
    </row>
    <row r="5" spans="1:9" ht="15" customHeight="1" x14ac:dyDescent="0.25">
      <c r="A5" s="2"/>
      <c r="B5" s="5" t="s">
        <v>110</v>
      </c>
      <c r="C5" s="6"/>
      <c r="D5" s="5"/>
      <c r="E5" s="5"/>
      <c r="F5" s="7">
        <f>E5*1.6</f>
        <v>0</v>
      </c>
      <c r="G5" s="7" t="e">
        <f>H5/F5</f>
        <v>#DIV/0!</v>
      </c>
      <c r="H5" s="8"/>
    </row>
    <row r="6" spans="1:9" x14ac:dyDescent="0.25">
      <c r="A6" s="2"/>
      <c r="B6" s="5" t="s">
        <v>110</v>
      </c>
      <c r="C6" s="9"/>
      <c r="D6" s="5"/>
      <c r="E6" s="5"/>
      <c r="F6" s="7">
        <f t="shared" ref="F6:F11" si="0">E6*1.6</f>
        <v>0</v>
      </c>
      <c r="G6" s="7" t="e">
        <f t="shared" ref="G6:G11" si="1">H6/F6</f>
        <v>#DIV/0!</v>
      </c>
      <c r="H6" s="8"/>
    </row>
    <row r="7" spans="1:9" ht="15" customHeight="1" x14ac:dyDescent="0.25">
      <c r="A7" s="2"/>
      <c r="B7" s="5" t="s">
        <v>110</v>
      </c>
      <c r="C7" s="6"/>
      <c r="D7" s="5"/>
      <c r="E7" s="5"/>
      <c r="F7" s="7">
        <f t="shared" si="0"/>
        <v>0</v>
      </c>
      <c r="G7" s="7" t="e">
        <f t="shared" si="1"/>
        <v>#DIV/0!</v>
      </c>
      <c r="H7" s="8"/>
    </row>
    <row r="8" spans="1:9" x14ac:dyDescent="0.25">
      <c r="A8" s="2"/>
      <c r="B8" s="5" t="s">
        <v>110</v>
      </c>
      <c r="C8" s="9"/>
      <c r="D8" s="5"/>
      <c r="E8" s="5"/>
      <c r="F8" s="7">
        <f t="shared" si="0"/>
        <v>0</v>
      </c>
      <c r="G8" s="7" t="e">
        <f t="shared" si="1"/>
        <v>#DIV/0!</v>
      </c>
      <c r="H8" s="8"/>
    </row>
    <row r="9" spans="1:9" ht="15" customHeight="1" x14ac:dyDescent="0.25">
      <c r="A9" s="2"/>
      <c r="B9" s="5" t="s">
        <v>110</v>
      </c>
      <c r="C9" s="9"/>
      <c r="D9" s="5"/>
      <c r="E9" s="5"/>
      <c r="F9" s="7">
        <f t="shared" si="0"/>
        <v>0</v>
      </c>
      <c r="G9" s="7" t="e">
        <f t="shared" si="1"/>
        <v>#DIV/0!</v>
      </c>
      <c r="H9" s="8"/>
    </row>
    <row r="10" spans="1:9" ht="15" customHeight="1" x14ac:dyDescent="0.25">
      <c r="A10" s="2"/>
      <c r="B10" s="5" t="s">
        <v>111</v>
      </c>
      <c r="C10" s="6"/>
      <c r="D10" s="5"/>
      <c r="E10" s="5"/>
      <c r="F10" s="7">
        <f t="shared" si="0"/>
        <v>0</v>
      </c>
      <c r="G10" s="7" t="e">
        <f t="shared" si="1"/>
        <v>#DIV/0!</v>
      </c>
      <c r="H10" s="8"/>
    </row>
    <row r="11" spans="1:9" ht="15" customHeight="1" x14ac:dyDescent="0.25">
      <c r="A11" s="2"/>
      <c r="B11" s="5" t="s">
        <v>111</v>
      </c>
      <c r="C11" s="6"/>
      <c r="D11" s="5"/>
      <c r="E11" s="5"/>
      <c r="F11" s="7">
        <f t="shared" si="0"/>
        <v>0</v>
      </c>
      <c r="G11" s="7" t="e">
        <f t="shared" si="1"/>
        <v>#DIV/0!</v>
      </c>
      <c r="H11" s="8"/>
    </row>
    <row r="12" spans="1:9" ht="15" customHeight="1" x14ac:dyDescent="0.25">
      <c r="A12" s="2"/>
      <c r="B12" s="10" t="s">
        <v>112</v>
      </c>
      <c r="C12" s="5"/>
      <c r="D12" s="5"/>
      <c r="E12" s="5"/>
      <c r="F12" s="5"/>
      <c r="G12" s="11" t="e">
        <f>AVERAGE(G5:G11)</f>
        <v>#DIV/0!</v>
      </c>
      <c r="H12" s="5"/>
    </row>
    <row r="13" spans="1:9" ht="15" customHeight="1" x14ac:dyDescent="0.25">
      <c r="B13" s="10" t="s">
        <v>113</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3"/>
      <c r="C4" s="53" t="s">
        <v>11</v>
      </c>
      <c r="D4" s="54" t="s">
        <v>175</v>
      </c>
      <c r="E4" s="54" t="s">
        <v>185</v>
      </c>
      <c r="F4" s="54" t="s">
        <v>168</v>
      </c>
      <c r="G4" s="54" t="s">
        <v>190</v>
      </c>
      <c r="H4" s="54" t="s">
        <v>208</v>
      </c>
      <c r="J4" t="s">
        <v>190</v>
      </c>
      <c r="K4" t="s">
        <v>206</v>
      </c>
    </row>
    <row r="5" spans="2:11" x14ac:dyDescent="0.25">
      <c r="B5" s="53"/>
      <c r="C5" s="53"/>
      <c r="D5" s="54" t="s">
        <v>176</v>
      </c>
      <c r="E5" s="54" t="s">
        <v>183</v>
      </c>
      <c r="F5" s="54" t="s">
        <v>205</v>
      </c>
      <c r="G5" s="54" t="s">
        <v>191</v>
      </c>
      <c r="H5" s="54" t="s">
        <v>209</v>
      </c>
    </row>
    <row r="6" spans="2:11" x14ac:dyDescent="0.25">
      <c r="B6" s="53"/>
      <c r="C6" s="53"/>
      <c r="D6" s="54" t="s">
        <v>177</v>
      </c>
      <c r="E6" s="54" t="s">
        <v>184</v>
      </c>
      <c r="F6" s="54" t="s">
        <v>206</v>
      </c>
      <c r="G6" s="54" t="s">
        <v>192</v>
      </c>
      <c r="H6" s="54" t="s">
        <v>222</v>
      </c>
    </row>
    <row r="7" spans="2:11" x14ac:dyDescent="0.25">
      <c r="B7" s="53"/>
      <c r="C7" s="53"/>
      <c r="D7" s="54" t="s">
        <v>178</v>
      </c>
      <c r="E7" s="54" t="s">
        <v>186</v>
      </c>
      <c r="F7" s="54" t="s">
        <v>207</v>
      </c>
      <c r="G7" s="54" t="s">
        <v>193</v>
      </c>
      <c r="H7" s="54" t="s">
        <v>210</v>
      </c>
    </row>
    <row r="8" spans="2:11" x14ac:dyDescent="0.25">
      <c r="B8" s="53"/>
      <c r="C8" s="53"/>
      <c r="D8" s="54" t="s">
        <v>179</v>
      </c>
      <c r="E8" s="54" t="s">
        <v>187</v>
      </c>
      <c r="F8" s="54"/>
      <c r="G8" s="54" t="s">
        <v>194</v>
      </c>
      <c r="H8" s="54" t="s">
        <v>211</v>
      </c>
    </row>
    <row r="9" spans="2:11" x14ac:dyDescent="0.25">
      <c r="B9" s="53"/>
      <c r="C9" s="53"/>
      <c r="D9" s="54" t="s">
        <v>180</v>
      </c>
      <c r="E9" s="54" t="s">
        <v>185</v>
      </c>
      <c r="F9" s="54"/>
      <c r="G9" s="54" t="s">
        <v>195</v>
      </c>
      <c r="H9" s="54" t="s">
        <v>212</v>
      </c>
    </row>
    <row r="10" spans="2:11" x14ac:dyDescent="0.25">
      <c r="B10" s="53"/>
      <c r="C10" s="53"/>
      <c r="D10" s="54" t="s">
        <v>181</v>
      </c>
      <c r="E10" s="54" t="s">
        <v>188</v>
      </c>
      <c r="F10" s="54"/>
      <c r="G10" s="54" t="s">
        <v>196</v>
      </c>
      <c r="H10" s="54" t="s">
        <v>213</v>
      </c>
    </row>
    <row r="11" spans="2:11" x14ac:dyDescent="0.25">
      <c r="B11" s="53"/>
      <c r="C11" s="53"/>
      <c r="D11" s="54" t="s">
        <v>182</v>
      </c>
      <c r="E11" s="54" t="s">
        <v>189</v>
      </c>
      <c r="F11" s="54"/>
      <c r="G11" s="54" t="s">
        <v>197</v>
      </c>
      <c r="H11" s="54" t="s">
        <v>214</v>
      </c>
    </row>
    <row r="12" spans="2:11" x14ac:dyDescent="0.25">
      <c r="B12" s="53"/>
      <c r="C12" s="53"/>
      <c r="D12" s="54"/>
      <c r="E12" s="54"/>
      <c r="F12" s="54"/>
      <c r="G12" s="54" t="s">
        <v>198</v>
      </c>
      <c r="H12" s="54" t="s">
        <v>215</v>
      </c>
    </row>
    <row r="13" spans="2:11" x14ac:dyDescent="0.25">
      <c r="B13" s="53"/>
      <c r="C13" s="53"/>
      <c r="D13" s="54"/>
      <c r="E13" s="54"/>
      <c r="F13" s="54"/>
      <c r="G13" s="54" t="s">
        <v>199</v>
      </c>
      <c r="H13" s="54" t="s">
        <v>216</v>
      </c>
    </row>
    <row r="14" spans="2:11" x14ac:dyDescent="0.25">
      <c r="B14" s="53"/>
      <c r="C14" s="53"/>
      <c r="D14" s="54"/>
      <c r="E14" s="54"/>
      <c r="F14" s="54"/>
      <c r="G14" s="54" t="s">
        <v>200</v>
      </c>
      <c r="H14" s="54" t="s">
        <v>217</v>
      </c>
    </row>
    <row r="15" spans="2:11" x14ac:dyDescent="0.25">
      <c r="B15" s="53"/>
      <c r="C15" s="53"/>
      <c r="D15" s="54"/>
      <c r="E15" s="54"/>
      <c r="F15" s="54"/>
      <c r="G15" s="54" t="s">
        <v>201</v>
      </c>
      <c r="H15" s="54" t="s">
        <v>218</v>
      </c>
    </row>
    <row r="16" spans="2:11" x14ac:dyDescent="0.25">
      <c r="B16" s="53"/>
      <c r="C16" s="53"/>
      <c r="D16" s="54"/>
      <c r="E16" s="54"/>
      <c r="F16" s="54"/>
      <c r="G16" s="54" t="s">
        <v>202</v>
      </c>
      <c r="H16" s="54" t="s">
        <v>219</v>
      </c>
    </row>
    <row r="17" spans="2:8" x14ac:dyDescent="0.25">
      <c r="B17" s="53"/>
      <c r="C17" s="53"/>
      <c r="D17" s="54"/>
      <c r="E17" s="54"/>
      <c r="F17" s="54"/>
      <c r="G17" s="54" t="s">
        <v>203</v>
      </c>
      <c r="H17" s="54" t="s">
        <v>220</v>
      </c>
    </row>
    <row r="18" spans="2:8" x14ac:dyDescent="0.25">
      <c r="B18" s="53"/>
      <c r="C18" s="53"/>
      <c r="D18" s="54"/>
      <c r="E18" s="54"/>
      <c r="F18" s="54"/>
      <c r="G18" s="54" t="s">
        <v>204</v>
      </c>
      <c r="H18" s="54" t="s">
        <v>221</v>
      </c>
    </row>
    <row r="24" spans="2:8" x14ac:dyDescent="0.25">
      <c r="C24" t="s">
        <v>165</v>
      </c>
    </row>
    <row r="25" spans="2:8" x14ac:dyDescent="0.25">
      <c r="C25" t="s">
        <v>223</v>
      </c>
    </row>
    <row r="26" spans="2:8" x14ac:dyDescent="0.25">
      <c r="C26" t="s">
        <v>224</v>
      </c>
    </row>
    <row r="27" spans="2:8" x14ac:dyDescent="0.25">
      <c r="C27" t="s">
        <v>225</v>
      </c>
    </row>
    <row r="28" spans="2:8" x14ac:dyDescent="0.25">
      <c r="C28" t="s">
        <v>226</v>
      </c>
    </row>
    <row r="29" spans="2:8" x14ac:dyDescent="0.25">
      <c r="C29" t="s">
        <v>227</v>
      </c>
    </row>
    <row r="30" spans="2:8" x14ac:dyDescent="0.25">
      <c r="C30" t="s">
        <v>165</v>
      </c>
    </row>
    <row r="33" spans="3:11" x14ac:dyDescent="0.25">
      <c r="J33">
        <v>1</v>
      </c>
      <c r="K33">
        <v>2</v>
      </c>
    </row>
    <row r="34" spans="3:11" x14ac:dyDescent="0.25">
      <c r="C34" s="55" t="s">
        <v>232</v>
      </c>
      <c r="D34" s="54" t="s">
        <v>230</v>
      </c>
      <c r="E34" s="54" t="s">
        <v>235</v>
      </c>
      <c r="F34" s="54" t="s">
        <v>233</v>
      </c>
      <c r="G34" s="54" t="s">
        <v>234</v>
      </c>
      <c r="H34" s="54" t="s">
        <v>236</v>
      </c>
      <c r="J34" t="s">
        <v>190</v>
      </c>
      <c r="K34" t="s">
        <v>206</v>
      </c>
    </row>
    <row r="35" spans="3:11" x14ac:dyDescent="0.25">
      <c r="C35" s="53" t="s">
        <v>231</v>
      </c>
      <c r="D35" s="54" t="s">
        <v>166</v>
      </c>
      <c r="E35" s="54" t="s">
        <v>240</v>
      </c>
      <c r="F35" s="54" t="s">
        <v>242</v>
      </c>
      <c r="G35" s="54" t="s">
        <v>244</v>
      </c>
      <c r="H35" s="54"/>
    </row>
    <row r="36" spans="3:11" x14ac:dyDescent="0.25">
      <c r="C36" s="53"/>
      <c r="D36" s="54" t="s">
        <v>237</v>
      </c>
      <c r="E36" s="54" t="s">
        <v>241</v>
      </c>
      <c r="F36" s="54" t="s">
        <v>243</v>
      </c>
      <c r="G36" s="54" t="s">
        <v>245</v>
      </c>
      <c r="H36" s="54"/>
    </row>
    <row r="37" spans="3:11" x14ac:dyDescent="0.25">
      <c r="C37" s="53"/>
      <c r="D37" s="54" t="s">
        <v>238</v>
      </c>
      <c r="E37" s="54"/>
      <c r="F37" s="54"/>
      <c r="G37" s="54" t="s">
        <v>246</v>
      </c>
      <c r="H37" s="54"/>
    </row>
    <row r="38" spans="3:11" x14ac:dyDescent="0.25">
      <c r="C38" s="53"/>
      <c r="D38" s="54" t="s">
        <v>239</v>
      </c>
      <c r="E38" s="54"/>
      <c r="F38" s="54"/>
      <c r="G38" s="54" t="s">
        <v>246</v>
      </c>
      <c r="H38" s="54"/>
    </row>
    <row r="39" spans="3:11" x14ac:dyDescent="0.25">
      <c r="C39" s="53"/>
      <c r="D39" s="54"/>
      <c r="E39" s="54"/>
      <c r="F39" s="54"/>
      <c r="G39" s="54" t="s">
        <v>247</v>
      </c>
      <c r="H39" s="54"/>
    </row>
    <row r="40" spans="3:11" x14ac:dyDescent="0.25">
      <c r="C40" s="53"/>
      <c r="D40" s="54"/>
      <c r="E40" s="54"/>
      <c r="F40" s="54"/>
      <c r="G40" s="54" t="s">
        <v>248</v>
      </c>
      <c r="H40" s="54"/>
    </row>
    <row r="41" spans="3:11" x14ac:dyDescent="0.25">
      <c r="C41" s="53"/>
      <c r="D41" s="54"/>
      <c r="E41" s="54"/>
      <c r="F41" s="54"/>
      <c r="G41" s="54"/>
      <c r="H41" s="54"/>
    </row>
    <row r="43" spans="3:11" x14ac:dyDescent="0.25">
      <c r="C43" t="s">
        <v>249</v>
      </c>
    </row>
    <row r="44" spans="3:11" x14ac:dyDescent="0.25">
      <c r="C44" t="s">
        <v>168</v>
      </c>
      <c r="D44" t="s">
        <v>250</v>
      </c>
    </row>
    <row r="45" spans="3:11" x14ac:dyDescent="0.25">
      <c r="D45" t="s">
        <v>251</v>
      </c>
    </row>
    <row r="46" spans="3:11" x14ac:dyDescent="0.25">
      <c r="D46" t="s">
        <v>252</v>
      </c>
    </row>
    <row r="47" spans="3:11" x14ac:dyDescent="0.25">
      <c r="D47" t="s">
        <v>253</v>
      </c>
    </row>
    <row r="48" spans="3:11" x14ac:dyDescent="0.25">
      <c r="D48" t="s">
        <v>254</v>
      </c>
    </row>
    <row r="49" spans="3:4" x14ac:dyDescent="0.25">
      <c r="C49" t="s">
        <v>175</v>
      </c>
      <c r="D49" t="s">
        <v>255</v>
      </c>
    </row>
    <row r="50" spans="3:4" x14ac:dyDescent="0.25">
      <c r="D50" t="s">
        <v>256</v>
      </c>
    </row>
    <row r="51" spans="3:4" x14ac:dyDescent="0.25">
      <c r="D51" t="s">
        <v>257</v>
      </c>
    </row>
    <row r="52" spans="3:4" x14ac:dyDescent="0.25">
      <c r="D52" t="s">
        <v>260</v>
      </c>
    </row>
    <row r="53" spans="3:4" x14ac:dyDescent="0.25">
      <c r="D53" t="s">
        <v>258</v>
      </c>
    </row>
    <row r="54" spans="3:4" x14ac:dyDescent="0.25">
      <c r="D54" t="s">
        <v>259</v>
      </c>
    </row>
    <row r="55" spans="3:4" x14ac:dyDescent="0.25">
      <c r="D55" t="s">
        <v>261</v>
      </c>
    </row>
    <row r="56" spans="3:4" x14ac:dyDescent="0.25">
      <c r="D56" t="s">
        <v>262</v>
      </c>
    </row>
    <row r="57" spans="3:4" x14ac:dyDescent="0.25">
      <c r="D57" t="s">
        <v>263</v>
      </c>
    </row>
    <row r="58" spans="3:4" x14ac:dyDescent="0.25">
      <c r="D58" t="s">
        <v>265</v>
      </c>
    </row>
    <row r="59" spans="3:4" x14ac:dyDescent="0.25">
      <c r="D59" t="s">
        <v>274</v>
      </c>
    </row>
    <row r="60" spans="3:4" x14ac:dyDescent="0.25">
      <c r="C60" t="s">
        <v>190</v>
      </c>
      <c r="D60" t="s">
        <v>266</v>
      </c>
    </row>
    <row r="61" spans="3:4" x14ac:dyDescent="0.25">
      <c r="D61" t="s">
        <v>264</v>
      </c>
    </row>
    <row r="62" spans="3:4" x14ac:dyDescent="0.25">
      <c r="D62" t="s">
        <v>254</v>
      </c>
    </row>
    <row r="63" spans="3:4" x14ac:dyDescent="0.25">
      <c r="D63" t="s">
        <v>267</v>
      </c>
    </row>
    <row r="64" spans="3:4" x14ac:dyDescent="0.25">
      <c r="D64" t="s">
        <v>268</v>
      </c>
    </row>
    <row r="65" spans="3:4" x14ac:dyDescent="0.25">
      <c r="D65" t="s">
        <v>269</v>
      </c>
    </row>
    <row r="66" spans="3:4" x14ac:dyDescent="0.25">
      <c r="D66" t="s">
        <v>270</v>
      </c>
    </row>
    <row r="67" spans="3:4" x14ac:dyDescent="0.25">
      <c r="C67" t="s">
        <v>185</v>
      </c>
      <c r="D67" t="s">
        <v>271</v>
      </c>
    </row>
    <row r="68" spans="3:4" x14ac:dyDescent="0.25">
      <c r="D68" t="s">
        <v>272</v>
      </c>
    </row>
    <row r="69" spans="3:4" x14ac:dyDescent="0.25">
      <c r="D69" t="s">
        <v>273</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26"/>
  <sheetViews>
    <sheetView topLeftCell="A6" workbookViewId="0">
      <selection activeCell="C14" sqref="C14"/>
    </sheetView>
  </sheetViews>
  <sheetFormatPr defaultRowHeight="15" x14ac:dyDescent="0.25"/>
  <cols>
    <col min="2" max="2" width="3" bestFit="1" customWidth="1"/>
    <col min="3" max="3" width="130" customWidth="1"/>
  </cols>
  <sheetData>
    <row r="2" spans="2:3" ht="15" customHeight="1" x14ac:dyDescent="0.25">
      <c r="B2" s="56">
        <v>1</v>
      </c>
      <c r="C2" s="58" t="s">
        <v>280</v>
      </c>
    </row>
    <row r="3" spans="2:3" x14ac:dyDescent="0.25">
      <c r="B3" s="56">
        <v>2</v>
      </c>
      <c r="C3" s="57" t="s">
        <v>281</v>
      </c>
    </row>
    <row r="4" spans="2:3" x14ac:dyDescent="0.25">
      <c r="B4" s="56">
        <v>3</v>
      </c>
      <c r="C4" s="56" t="s">
        <v>282</v>
      </c>
    </row>
    <row r="5" spans="2:3" ht="30" x14ac:dyDescent="0.25">
      <c r="B5" s="56">
        <v>4</v>
      </c>
      <c r="C5" s="57" t="s">
        <v>283</v>
      </c>
    </row>
    <row r="6" spans="2:3" x14ac:dyDescent="0.25">
      <c r="B6" s="56">
        <v>5</v>
      </c>
      <c r="C6" s="56" t="s">
        <v>284</v>
      </c>
    </row>
    <row r="7" spans="2:3" ht="30" x14ac:dyDescent="0.25">
      <c r="B7" s="56">
        <v>6</v>
      </c>
      <c r="C7" s="57" t="s">
        <v>285</v>
      </c>
    </row>
    <row r="8" spans="2:3" ht="90" x14ac:dyDescent="0.25">
      <c r="B8" s="56">
        <v>7</v>
      </c>
      <c r="C8" s="57" t="s">
        <v>286</v>
      </c>
    </row>
    <row r="9" spans="2:3" x14ac:dyDescent="0.25">
      <c r="B9" s="56">
        <v>8</v>
      </c>
      <c r="C9" s="56" t="s">
        <v>287</v>
      </c>
    </row>
    <row r="10" spans="2:3" x14ac:dyDescent="0.25">
      <c r="B10" s="56">
        <v>9</v>
      </c>
      <c r="C10" s="56" t="s">
        <v>288</v>
      </c>
    </row>
    <row r="11" spans="2:3" x14ac:dyDescent="0.25">
      <c r="B11" s="56">
        <v>10</v>
      </c>
      <c r="C11" s="56" t="s">
        <v>289</v>
      </c>
    </row>
    <row r="12" spans="2:3" x14ac:dyDescent="0.25">
      <c r="B12" s="56">
        <v>11</v>
      </c>
      <c r="C12" s="56" t="s">
        <v>290</v>
      </c>
    </row>
    <row r="13" spans="2:3" x14ac:dyDescent="0.25">
      <c r="B13" s="56">
        <v>12</v>
      </c>
      <c r="C13" s="56" t="s">
        <v>291</v>
      </c>
    </row>
    <row r="14" spans="2:3" x14ac:dyDescent="0.25">
      <c r="B14" s="56">
        <v>13</v>
      </c>
      <c r="C14" s="56" t="s">
        <v>292</v>
      </c>
    </row>
    <row r="15" spans="2:3" x14ac:dyDescent="0.25">
      <c r="B15" s="56">
        <v>14</v>
      </c>
      <c r="C15" s="56" t="s">
        <v>282</v>
      </c>
    </row>
    <row r="16" spans="2:3" x14ac:dyDescent="0.25">
      <c r="B16" s="56">
        <v>15</v>
      </c>
      <c r="C16" s="56" t="s">
        <v>294</v>
      </c>
    </row>
    <row r="17" spans="2:3" ht="31.5" customHeight="1" x14ac:dyDescent="0.25">
      <c r="B17" s="59">
        <v>16</v>
      </c>
      <c r="C17" s="61" t="s">
        <v>295</v>
      </c>
    </row>
    <row r="18" spans="2:3" x14ac:dyDescent="0.25">
      <c r="B18" s="60">
        <v>17</v>
      </c>
      <c r="C18" s="61" t="s">
        <v>296</v>
      </c>
    </row>
    <row r="19" spans="2:3" x14ac:dyDescent="0.25">
      <c r="B19" s="59">
        <v>18</v>
      </c>
      <c r="C19" s="56" t="s">
        <v>297</v>
      </c>
    </row>
    <row r="20" spans="2:3" x14ac:dyDescent="0.25">
      <c r="B20" s="60">
        <v>19</v>
      </c>
      <c r="C20" s="56"/>
    </row>
    <row r="21" spans="2:3" x14ac:dyDescent="0.25">
      <c r="B21" s="56">
        <v>20</v>
      </c>
      <c r="C21" s="56"/>
    </row>
    <row r="22" spans="2:3" x14ac:dyDescent="0.25">
      <c r="B22" s="56"/>
      <c r="C22" s="56"/>
    </row>
    <row r="23" spans="2:3" x14ac:dyDescent="0.25">
      <c r="B23" s="56"/>
      <c r="C23" s="56"/>
    </row>
    <row r="24" spans="2:3" x14ac:dyDescent="0.25">
      <c r="B24" s="56"/>
      <c r="C24" s="56"/>
    </row>
    <row r="25" spans="2:3" x14ac:dyDescent="0.25">
      <c r="B25" s="56"/>
      <c r="C25" s="56"/>
    </row>
    <row r="26" spans="2:3" x14ac:dyDescent="0.25">
      <c r="B26" s="56"/>
      <c r="C26" s="56"/>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2025-09-09T05:32:42Z</cp:lastPrinted>
  <dcterms:created xsi:type="dcterms:W3CDTF">2019-07-16T09:29:46Z</dcterms:created>
  <dcterms:modified xsi:type="dcterms:W3CDTF">2025-09-09T05:34:00Z</dcterms:modified>
</cp:coreProperties>
</file>