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35E53273-9528-432E-BBE4-42A2A3A926CE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Report!$A$1:$H$365</definedName>
  </definedNames>
  <calcPr calcId="191029"/>
</workbook>
</file>

<file path=xl/calcChain.xml><?xml version="1.0" encoding="utf-8"?>
<calcChain xmlns="http://schemas.openxmlformats.org/spreadsheetml/2006/main">
  <c r="C72" i="1" l="1"/>
  <c r="C73" i="1" s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40" i="1"/>
  <c r="B216" i="1"/>
  <c r="B215" i="1"/>
  <c r="D212" i="1"/>
  <c r="F212" i="1" s="1"/>
  <c r="D211" i="1"/>
  <c r="F211" i="1" s="1"/>
  <c r="J210" i="1" s="1"/>
  <c r="D210" i="1"/>
  <c r="F210" i="1" s="1"/>
  <c r="A210" i="1"/>
  <c r="A211" i="1" s="1"/>
  <c r="A212" i="1" s="1"/>
  <c r="G209" i="1"/>
  <c r="D209" i="1"/>
  <c r="F209" i="1" s="1"/>
  <c r="J209" i="1" s="1"/>
  <c r="D207" i="1"/>
  <c r="F207" i="1" s="1"/>
  <c r="D206" i="1"/>
  <c r="F206" i="1" s="1"/>
  <c r="J205" i="1" s="1"/>
  <c r="D205" i="1"/>
  <c r="F205" i="1" s="1"/>
  <c r="A205" i="1"/>
  <c r="A206" i="1" s="1"/>
  <c r="A207" i="1" s="1"/>
  <c r="G204" i="1"/>
  <c r="D204" i="1"/>
  <c r="F204" i="1" s="1"/>
  <c r="J204" i="1" s="1"/>
  <c r="D202" i="1"/>
  <c r="F202" i="1" s="1"/>
  <c r="D201" i="1"/>
  <c r="F201" i="1" s="1"/>
  <c r="J200" i="1" s="1"/>
  <c r="D200" i="1"/>
  <c r="F200" i="1" s="1"/>
  <c r="A200" i="1"/>
  <c r="A201" i="1" s="1"/>
  <c r="A202" i="1" s="1"/>
  <c r="G199" i="1"/>
  <c r="D199" i="1"/>
  <c r="F199" i="1" s="1"/>
  <c r="J199" i="1" s="1"/>
  <c r="D197" i="1"/>
  <c r="D196" i="1"/>
  <c r="F196" i="1" s="1"/>
  <c r="J195" i="1" s="1"/>
  <c r="D195" i="1"/>
  <c r="F195" i="1" s="1"/>
  <c r="A195" i="1"/>
  <c r="A196" i="1" s="1"/>
  <c r="G194" i="1"/>
  <c r="D194" i="1"/>
  <c r="F194" i="1" s="1"/>
  <c r="J194" i="1" s="1"/>
  <c r="J191" i="1"/>
  <c r="I191" i="1"/>
  <c r="J190" i="1"/>
  <c r="D190" i="1"/>
  <c r="F190" i="1" s="1"/>
  <c r="A190" i="1"/>
  <c r="K189" i="1"/>
  <c r="K190" i="1" s="1"/>
  <c r="J189" i="1"/>
  <c r="G189" i="1"/>
  <c r="D189" i="1"/>
  <c r="F189" i="1" s="1"/>
  <c r="J186" i="1"/>
  <c r="I186" i="1"/>
  <c r="J185" i="1"/>
  <c r="D185" i="1"/>
  <c r="A185" i="1"/>
  <c r="K184" i="1"/>
  <c r="J184" i="1"/>
  <c r="G184" i="1"/>
  <c r="D184" i="1"/>
  <c r="F184" i="1" s="1"/>
  <c r="D180" i="1"/>
  <c r="F180" i="1" s="1"/>
  <c r="D179" i="1"/>
  <c r="F179" i="1" s="1"/>
  <c r="D178" i="1"/>
  <c r="F178" i="1" s="1"/>
  <c r="D177" i="1"/>
  <c r="F177" i="1" s="1"/>
  <c r="J176" i="1" s="1"/>
  <c r="D176" i="1"/>
  <c r="F176" i="1" s="1"/>
  <c r="A176" i="1"/>
  <c r="A177" i="1" s="1"/>
  <c r="A178" i="1" s="1"/>
  <c r="A179" i="1" s="1"/>
  <c r="A180" i="1" s="1"/>
  <c r="G175" i="1"/>
  <c r="D175" i="1"/>
  <c r="F175" i="1" s="1"/>
  <c r="J175" i="1" s="1"/>
  <c r="D173" i="1"/>
  <c r="F173" i="1" s="1"/>
  <c r="D172" i="1"/>
  <c r="F172" i="1" s="1"/>
  <c r="D171" i="1"/>
  <c r="F171" i="1" s="1"/>
  <c r="D170" i="1"/>
  <c r="F170" i="1" s="1"/>
  <c r="J169" i="1" s="1"/>
  <c r="D169" i="1"/>
  <c r="F169" i="1" s="1"/>
  <c r="A169" i="1"/>
  <c r="A170" i="1" s="1"/>
  <c r="A171" i="1" s="1"/>
  <c r="A172" i="1" s="1"/>
  <c r="A173" i="1" s="1"/>
  <c r="G168" i="1"/>
  <c r="D168" i="1"/>
  <c r="F168" i="1" s="1"/>
  <c r="J168" i="1" s="1"/>
  <c r="D166" i="1"/>
  <c r="F166" i="1" s="1"/>
  <c r="D165" i="1"/>
  <c r="D164" i="1"/>
  <c r="F164" i="1" s="1"/>
  <c r="D163" i="1"/>
  <c r="F163" i="1" s="1"/>
  <c r="J162" i="1" s="1"/>
  <c r="D162" i="1"/>
  <c r="F162" i="1" s="1"/>
  <c r="A162" i="1"/>
  <c r="A163" i="1" s="1"/>
  <c r="A164" i="1" s="1"/>
  <c r="A165" i="1" s="1"/>
  <c r="A166" i="1" s="1"/>
  <c r="G161" i="1"/>
  <c r="D161" i="1"/>
  <c r="F161" i="1" s="1"/>
  <c r="J161" i="1" s="1"/>
  <c r="D159" i="1"/>
  <c r="F159" i="1" s="1"/>
  <c r="D158" i="1"/>
  <c r="F158" i="1" s="1"/>
  <c r="D157" i="1"/>
  <c r="F157" i="1" s="1"/>
  <c r="D156" i="1"/>
  <c r="F156" i="1" s="1"/>
  <c r="J155" i="1" s="1"/>
  <c r="D155" i="1"/>
  <c r="F155" i="1" s="1"/>
  <c r="A155" i="1"/>
  <c r="A156" i="1" s="1"/>
  <c r="A157" i="1" s="1"/>
  <c r="A158" i="1" s="1"/>
  <c r="A159" i="1" s="1"/>
  <c r="G154" i="1"/>
  <c r="D154" i="1"/>
  <c r="F154" i="1" s="1"/>
  <c r="J154" i="1" s="1"/>
  <c r="J150" i="1"/>
  <c r="I150" i="1"/>
  <c r="D149" i="1"/>
  <c r="F149" i="1" s="1"/>
  <c r="J148" i="1"/>
  <c r="D148" i="1"/>
  <c r="F148" i="1" s="1"/>
  <c r="A148" i="1"/>
  <c r="A149" i="1" s="1"/>
  <c r="A150" i="1" s="1"/>
  <c r="A151" i="1" s="1"/>
  <c r="A152" i="1" s="1"/>
  <c r="K147" i="1"/>
  <c r="J147" i="1"/>
  <c r="G147" i="1"/>
  <c r="D147" i="1"/>
  <c r="F147" i="1" s="1"/>
  <c r="J143" i="1"/>
  <c r="I143" i="1"/>
  <c r="D142" i="1"/>
  <c r="F142" i="1" s="1"/>
  <c r="J141" i="1"/>
  <c r="F141" i="1"/>
  <c r="D141" i="1"/>
  <c r="A141" i="1"/>
  <c r="A142" i="1" s="1"/>
  <c r="A143" i="1" s="1"/>
  <c r="A144" i="1" s="1"/>
  <c r="A145" i="1" s="1"/>
  <c r="K140" i="1"/>
  <c r="J140" i="1"/>
  <c r="G140" i="1"/>
  <c r="D140" i="1"/>
  <c r="F140" i="1" s="1"/>
  <c r="D132" i="1"/>
  <c r="F132" i="1" s="1"/>
  <c r="F131" i="1"/>
  <c r="D131" i="1"/>
  <c r="D130" i="1"/>
  <c r="F130" i="1" s="1"/>
  <c r="D129" i="1"/>
  <c r="F129" i="1" s="1"/>
  <c r="A129" i="1"/>
  <c r="A130" i="1" s="1"/>
  <c r="A131" i="1" s="1"/>
  <c r="A132" i="1" s="1"/>
  <c r="G128" i="1"/>
  <c r="D128" i="1"/>
  <c r="F128" i="1" s="1"/>
  <c r="D124" i="1"/>
  <c r="F124" i="1" s="1"/>
  <c r="D123" i="1"/>
  <c r="F123" i="1" s="1"/>
  <c r="D122" i="1"/>
  <c r="F122" i="1" s="1"/>
  <c r="D121" i="1"/>
  <c r="F121" i="1" s="1"/>
  <c r="I120" i="1"/>
  <c r="D120" i="1"/>
  <c r="D119" i="1"/>
  <c r="F119" i="1" s="1"/>
  <c r="J118" i="1"/>
  <c r="D118" i="1"/>
  <c r="F118" i="1" s="1"/>
  <c r="A118" i="1"/>
  <c r="A119" i="1" s="1"/>
  <c r="A120" i="1" s="1"/>
  <c r="A121" i="1" s="1"/>
  <c r="A122" i="1" s="1"/>
  <c r="A123" i="1" s="1"/>
  <c r="A124" i="1" s="1"/>
  <c r="I117" i="1"/>
  <c r="G117" i="1"/>
  <c r="D117" i="1"/>
  <c r="F117" i="1" s="1"/>
  <c r="F92" i="1"/>
  <c r="D78" i="1"/>
  <c r="J77" i="1"/>
  <c r="D77" i="1"/>
  <c r="J76" i="1"/>
  <c r="D76" i="1"/>
  <c r="J75" i="1"/>
  <c r="D75" i="1"/>
  <c r="J74" i="1"/>
  <c r="J71" i="1"/>
  <c r="J72" i="1" s="1"/>
  <c r="D71" i="1"/>
  <c r="J70" i="1"/>
  <c r="C69" i="1" s="1"/>
  <c r="D70" i="1"/>
  <c r="J69" i="1"/>
  <c r="J68" i="1"/>
  <c r="C65" i="1"/>
  <c r="D59" i="1"/>
  <c r="D54" i="1"/>
  <c r="G49" i="1"/>
  <c r="C49" i="1"/>
  <c r="E42" i="1"/>
  <c r="E43" i="1" s="1"/>
  <c r="E29" i="1"/>
  <c r="E26" i="1"/>
  <c r="E24" i="1"/>
  <c r="C14" i="1"/>
  <c r="E7" i="1"/>
  <c r="E3" i="1"/>
  <c r="K141" i="1" l="1"/>
  <c r="E106" i="1"/>
  <c r="E95" i="1"/>
  <c r="C105" i="1"/>
  <c r="C96" i="1"/>
  <c r="K185" i="1"/>
  <c r="C106" i="1"/>
  <c r="G96" i="1"/>
  <c r="E96" i="1"/>
  <c r="E97" i="1" s="1"/>
  <c r="E100" i="1"/>
  <c r="K148" i="1"/>
  <c r="C101" i="1"/>
  <c r="C95" i="1"/>
  <c r="G100" i="1"/>
  <c r="E101" i="1"/>
  <c r="D69" i="1"/>
  <c r="F120" i="1"/>
  <c r="G95" i="1" s="1"/>
  <c r="G97" i="1" s="1"/>
  <c r="F165" i="1"/>
  <c r="G105" i="1" s="1"/>
  <c r="F197" i="1"/>
  <c r="G106" i="1" s="1"/>
  <c r="J73" i="1"/>
  <c r="J78" i="1" s="1"/>
  <c r="E105" i="1"/>
  <c r="E107" i="1" s="1"/>
  <c r="F185" i="1"/>
  <c r="G101" i="1" s="1"/>
  <c r="C74" i="1"/>
  <c r="D74" i="1" s="1"/>
  <c r="C100" i="1"/>
  <c r="C102" i="1" s="1"/>
  <c r="D72" i="1"/>
  <c r="D73" i="1"/>
  <c r="C107" i="1" l="1"/>
  <c r="C97" i="1"/>
  <c r="C108" i="1" s="1"/>
  <c r="G107" i="1"/>
  <c r="E102" i="1"/>
  <c r="K98" i="1" s="1"/>
  <c r="J66" i="1"/>
  <c r="G102" i="1"/>
  <c r="G69" i="1"/>
  <c r="D63" i="1" s="1"/>
  <c r="D64" i="1" s="1"/>
  <c r="J65" i="1"/>
  <c r="J67" i="1" s="1"/>
  <c r="E69" i="1"/>
  <c r="I66" i="1"/>
  <c r="K97" i="1" l="1"/>
  <c r="E108" i="1"/>
  <c r="G108" i="1"/>
  <c r="F64" i="1"/>
  <c r="I67" i="1"/>
  <c r="I65" i="1" s="1"/>
  <c r="C67" i="1" s="1"/>
</calcChain>
</file>

<file path=xl/sharedStrings.xml><?xml version="1.0" encoding="utf-8"?>
<sst xmlns="http://schemas.openxmlformats.org/spreadsheetml/2006/main" count="464" uniqueCount="251">
  <si>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</si>
  <si>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</si>
  <si>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</si>
  <si>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</si>
  <si>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</si>
  <si>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</si>
  <si>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</si>
  <si>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D.D. Associates</t>
  </si>
  <si>
    <t>Name of the builder company</t>
  </si>
  <si>
    <t>Name of the Project</t>
  </si>
  <si>
    <t>Provided Contact Details ( Name &amp; Contact No.)</t>
  </si>
  <si>
    <t>Site Person - Contact Details ( Name &amp; Contact No.)</t>
  </si>
  <si>
    <t>NA</t>
  </si>
  <si>
    <t>Name / No of the Building</t>
  </si>
  <si>
    <t>Dosti Eden - Building No.1 (A &amp; B Wing)</t>
  </si>
  <si>
    <t>Docouments Provided</t>
  </si>
  <si>
    <t>Approved Plans, CC, Sale Plans</t>
  </si>
  <si>
    <t>RERA No.</t>
  </si>
  <si>
    <t>P51700049421</t>
  </si>
  <si>
    <t xml:space="preserve">Project location details       </t>
  </si>
  <si>
    <t>Survey No</t>
  </si>
  <si>
    <t>85, H.No.7</t>
  </si>
  <si>
    <t>Locality</t>
  </si>
  <si>
    <t>Brahmand</t>
  </si>
  <si>
    <t>Road</t>
  </si>
  <si>
    <t>Brahmand Road</t>
  </si>
  <si>
    <t>Locality/Village</t>
  </si>
  <si>
    <t>Kolshet</t>
  </si>
  <si>
    <t>City</t>
  </si>
  <si>
    <t>Thane</t>
  </si>
  <si>
    <t>District</t>
  </si>
  <si>
    <t>Taluka</t>
  </si>
  <si>
    <t>Pin Code</t>
  </si>
  <si>
    <t>Nearby Landmark</t>
  </si>
  <si>
    <t>Brahmand Police Station</t>
  </si>
  <si>
    <t xml:space="preserve">Distance from city centre: </t>
  </si>
  <si>
    <t>9.6KM from Thane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</si>
  <si>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</si>
  <si>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</si>
  <si>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</si>
  <si>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</si>
  <si>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</si>
  <si>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</si>
  <si>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</si>
  <si>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</si>
  <si>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</si>
  <si>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</si>
  <si>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</si>
  <si>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</si>
  <si>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</si>
  <si>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</si>
  <si>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</si>
  <si>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</si>
  <si>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</si>
  <si>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</si>
  <si>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</si>
  <si>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Internal Road</t>
  </si>
  <si>
    <t>West</t>
  </si>
  <si>
    <t>Open Plot</t>
  </si>
  <si>
    <t>North</t>
  </si>
  <si>
    <t>South</t>
  </si>
  <si>
    <t>Does the boundaries at site match, as mentioned in the Docoumentation: NA</t>
  </si>
  <si>
    <t>Latitude, Longitude</t>
  </si>
  <si>
    <t>19.241036,72.980097</t>
  </si>
  <si>
    <t>Location Link</t>
  </si>
  <si>
    <t>https://goo.gl/maps/dzzHeo6Fw8yfu8g27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</si>
  <si>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</si>
  <si>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</si>
  <si>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</si>
  <si>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</si>
  <si>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</si>
  <si>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</si>
  <si>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</si>
  <si>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02 Building</t>
  </si>
  <si>
    <t xml:space="preserve">Approval Detail : Plan approval </t>
  </si>
  <si>
    <t>Name of Municipal Corporation/Authority</t>
  </si>
  <si>
    <t>Thane Municipal Corporation (TMC)</t>
  </si>
  <si>
    <t xml:space="preserve">Layout Approval No     </t>
  </si>
  <si>
    <t>S05/0136/17/TMC/TD-DP/TPS/4331/23</t>
  </si>
  <si>
    <t>Dated</t>
  </si>
  <si>
    <t>17/03/2023.</t>
  </si>
  <si>
    <t xml:space="preserve">Approved Floor plan No.  </t>
  </si>
  <si>
    <t xml:space="preserve">Commencement-CC No
Valid Up to: </t>
  </si>
  <si>
    <t>S05/0136/17/TMCB/TDD/0121/[P/C]/
2024AutoDCR</t>
  </si>
  <si>
    <t>26/04/2024.</t>
  </si>
  <si>
    <t>Building No. 1(A &amp; B Wing) = 2B(pt) + Gr(pt)/Stilt(pt) + 1st to 2nd Podium Floor(Pt) + 3rd Floor/Podium Floor(Pt) + 4th Floor/Podium(Pt) + 5th to 20th Floor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</si>
  <si>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</si>
  <si>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</si>
  <si>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</si>
  <si>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</si>
  <si>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</si>
  <si>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Sale Flats - 172, Mhada Flats - 24 , Sale Shops - 13</t>
  </si>
  <si>
    <t>Approved no of Floors</t>
  </si>
  <si>
    <t>Proposed no of Floors</t>
  </si>
  <si>
    <t>Expected Completion</t>
  </si>
  <si>
    <t>As per RERA - 31/08/2027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</si>
  <si>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</si>
  <si>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</si>
  <si>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</si>
  <si>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Fitness center, Indoor games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</si>
  <si>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</si>
  <si>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</si>
  <si>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</si>
  <si>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</si>
  <si>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</si>
  <si>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</si>
  <si>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</si>
  <si>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</si>
  <si>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</si>
  <si>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</si>
  <si>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</si>
  <si>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</si>
  <si>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</si>
  <si>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</si>
  <si>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</si>
  <si>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</si>
  <si>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</si>
  <si>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</si>
  <si>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</si>
  <si>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</si>
  <si>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</si>
  <si>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</si>
  <si>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</si>
  <si>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</si>
  <si>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</si>
  <si>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</si>
  <si>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</si>
  <si>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</si>
  <si>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</si>
  <si>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</si>
  <si>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</si>
  <si>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</si>
  <si>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</si>
  <si>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</si>
  <si>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</si>
  <si>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</si>
  <si>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</si>
  <si>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</si>
  <si>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</si>
  <si>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</si>
  <si>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 xml:space="preserve">10000 to 11000 &amp; OC </t>
  </si>
  <si>
    <t>Sanket</t>
  </si>
  <si>
    <t>verbal</t>
  </si>
  <si>
    <t>Recommended rate of the Shop Per Sq. Ft.</t>
  </si>
  <si>
    <t>Don’t change rate already on higher side</t>
  </si>
  <si>
    <t>Recommended rate of the Office Per Sq. Ft.</t>
  </si>
  <si>
    <t>Floor Rise Rate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</si>
  <si>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</si>
  <si>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</si>
  <si>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</si>
  <si>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</si>
  <si>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</si>
  <si>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</si>
  <si>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</si>
  <si>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</si>
  <si>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</si>
  <si>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Commercial Area Details : Sale</t>
  </si>
  <si>
    <t>Building &amp; Wing</t>
  </si>
  <si>
    <t>No. of Units</t>
  </si>
  <si>
    <t>Total Carpet Area</t>
  </si>
  <si>
    <t>Total Saleable Area</t>
  </si>
  <si>
    <t>Building No. 1</t>
  </si>
  <si>
    <t>A Wing</t>
  </si>
  <si>
    <t>B Wing</t>
  </si>
  <si>
    <t>Total</t>
  </si>
  <si>
    <t>Residential Area Details : Sale</t>
  </si>
  <si>
    <t>Residential Area Details : Mhada</t>
  </si>
  <si>
    <t>Grand Total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</si>
  <si>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</si>
  <si>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</si>
  <si>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</si>
  <si>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</si>
  <si>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</si>
  <si>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</si>
  <si>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Loft area</t>
  </si>
  <si>
    <t>Saleable area Loading :</t>
  </si>
  <si>
    <t>Floor</t>
  </si>
  <si>
    <t>Wing A</t>
  </si>
  <si>
    <t>1st &amp; 2nd Basement Floor For Parking, Pump Room &amp; Fire Tank</t>
  </si>
  <si>
    <t>Ground Floor For Commercial, Society Office, Entrance Lobby &amp; Meter Room</t>
  </si>
  <si>
    <t>Sale</t>
  </si>
  <si>
    <t>Shop</t>
  </si>
  <si>
    <t>Wing B</t>
  </si>
  <si>
    <t>Ground Floor For Commercial, Drivers Room, Entrance Lobby &amp; Meter Room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</si>
  <si>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</si>
  <si>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Sale/
Rehab</t>
  </si>
  <si>
    <t>Attached Terrace area</t>
  </si>
  <si>
    <t>1st &amp; 2nd Podium Floor For Parking</t>
  </si>
  <si>
    <t>3rd Podium Floor For Residential &amp; Entrance Lobby</t>
  </si>
  <si>
    <t>3BHK</t>
  </si>
  <si>
    <t>2BHK</t>
  </si>
  <si>
    <t>-</t>
  </si>
  <si>
    <t>Double Heighted Entrance Lobby</t>
  </si>
  <si>
    <t>4th Podium Floor For Residential &amp; Entrance Lobby</t>
  </si>
  <si>
    <t xml:space="preserve">Fitness Center &amp; </t>
  </si>
  <si>
    <t>Indoor Games</t>
  </si>
  <si>
    <t>Society Office</t>
  </si>
  <si>
    <t>5th to 7th, 9th to 12th, 14th to 16th Floor</t>
  </si>
  <si>
    <t>Mhada</t>
  </si>
  <si>
    <t>8th &amp; 13th Floor</t>
  </si>
  <si>
    <t>1BHK</t>
  </si>
  <si>
    <t>17th, 19th to 22nd Floor</t>
  </si>
  <si>
    <t>18th &amp; 23rd Floor</t>
  </si>
  <si>
    <t>8th &amp; 13th Floor (Part Refuge Area)</t>
  </si>
  <si>
    <t>18th Floor (Part Refuge Area)</t>
  </si>
  <si>
    <t xml:space="preserve">Remarks:  </t>
  </si>
  <si>
    <t>*</t>
  </si>
  <si>
    <t>We considered Carpet area as per Approved Plan.</t>
  </si>
  <si>
    <t>We considered Gross carpet area = Net carpet + Balcony + D.B Area.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</si>
  <si>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</si>
  <si>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</si>
  <si>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</si>
  <si>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</si>
  <si>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We have taken CC from Rera site.</t>
  </si>
  <si>
    <t xml:space="preserve">We have updated revised approved floor plan (on 30/03/2023).
</t>
  </si>
  <si>
    <t xml:space="preserve">We have updated revised approved C.C from RERA (on 06/05/2024).
</t>
  </si>
  <si>
    <t xml:space="preserve">Proposed No. of Floors given as per Architect's letter found on RERA.
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</si>
  <si>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</si>
  <si>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</si>
  <si>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</si>
  <si>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</si>
  <si>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</si>
  <si>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</si>
  <si>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</si>
  <si>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</si>
  <si>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Ajay Songare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</si>
  <si>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</si>
  <si>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</si>
  <si>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</si>
  <si>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</si>
  <si>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</si>
  <si>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</si>
  <si>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</si>
  <si>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</si>
  <si>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</si>
  <si>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</si>
  <si>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</si>
  <si>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</si>
  <si>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</si>
  <si>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</si>
  <si>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</si>
  <si>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</si>
  <si>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</si>
  <si>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Dosti Desire Phase 2</t>
  </si>
  <si>
    <t>Mr.Shubham 9619081618</t>
  </si>
  <si>
    <t xml:space="preserve">Construction work goes beyond approved no. of floor. Please provide revised approved plans &amp; CC.
</t>
  </si>
  <si>
    <t xml:space="preserve">Building No. 1(A Wing) = 2B + Gr/St + 4P + 5th to 23rd Floor
Building No. 1(B Wing) = 2B + Gr/St + 4P + 5th to 23rd Floor </t>
  </si>
  <si>
    <t>Building No. 1(A &amp; B Wing) = 2B + Gr/St + 4P + 5th to 32nd Floor</t>
  </si>
  <si>
    <t>Ms Prajakta  (Sales) 02253805380</t>
  </si>
  <si>
    <t>Gaurav Panchal</t>
  </si>
  <si>
    <t xml:space="preserve">Construction work is same as last visit dtd. 05/06/2025 but work is in process at the time of Visit.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</si>
</sst>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_ "/>
    <numFmt numFmtId="168" formatCode="_ * #,##0_ ;_ * \-#,##0_ ;_ * &quot;-&quot;??_ ;_ @_ "/>
  </numFmts>
  <fonts count="25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187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5" fillId="0" borderId="0" xfId="8" applyFont="1"/>
    <xf numFmtId="0" fontId="7" fillId="0" borderId="17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7" fillId="0" borderId="18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1" fontId="10" fillId="0" borderId="1" xfId="8" applyNumberFormat="1" applyFont="1" applyBorder="1" applyAlignment="1" applyProtection="1">
      <alignment horizontal="center" vertical="top" wrapText="1"/>
      <protection locked="0"/>
    </xf>
    <xf numFmtId="167" fontId="10" fillId="0" borderId="1" xfId="8" applyNumberFormat="1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9" fontId="10" fillId="0" borderId="24" xfId="2" applyFont="1" applyFill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11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>
      <alignment horizontal="center" vertical="center"/>
    </xf>
    <xf numFmtId="0" fontId="18" fillId="2" borderId="28" xfId="0" applyFont="1" applyFill="1" applyBorder="1"/>
    <xf numFmtId="0" fontId="19" fillId="0" borderId="29" xfId="0" applyFont="1" applyBorder="1"/>
    <xf numFmtId="0" fontId="19" fillId="0" borderId="1" xfId="0" applyFont="1" applyBorder="1"/>
    <xf numFmtId="0" fontId="19" fillId="0" borderId="18" xfId="0" applyFont="1" applyBorder="1"/>
    <xf numFmtId="0" fontId="20" fillId="0" borderId="0" xfId="0" applyFont="1" applyProtection="1">
      <protection hidden="1"/>
    </xf>
    <xf numFmtId="0" fontId="10" fillId="0" borderId="22" xfId="8" applyFont="1" applyBorder="1"/>
    <xf numFmtId="0" fontId="20" fillId="0" borderId="22" xfId="0" applyFont="1" applyBorder="1" applyProtection="1">
      <protection hidden="1"/>
    </xf>
    <xf numFmtId="1" fontId="0" fillId="0" borderId="22" xfId="0" applyNumberFormat="1" applyBorder="1"/>
    <xf numFmtId="1" fontId="0" fillId="0" borderId="22" xfId="0" applyNumberFormat="1" applyBorder="1" applyAlignment="1">
      <alignment horizontal="right"/>
    </xf>
    <xf numFmtId="0" fontId="20" fillId="0" borderId="30" xfId="0" applyFont="1" applyBorder="1" applyProtection="1">
      <protection hidden="1"/>
    </xf>
    <xf numFmtId="1" fontId="0" fillId="0" borderId="27" xfId="0" applyNumberFormat="1" applyBorder="1"/>
    <xf numFmtId="0" fontId="10" fillId="2" borderId="0" xfId="8" applyFont="1" applyFill="1"/>
    <xf numFmtId="14" fontId="10" fillId="2" borderId="0" xfId="8" applyNumberFormat="1" applyFont="1" applyFill="1"/>
    <xf numFmtId="1" fontId="10" fillId="0" borderId="0" xfId="0" applyNumberFormat="1" applyFont="1" applyAlignment="1">
      <alignment horizontal="center" vertical="center"/>
    </xf>
    <xf numFmtId="1" fontId="10" fillId="0" borderId="0" xfId="8" applyNumberFormat="1" applyFont="1" applyAlignment="1">
      <alignment horizontal="center" vertical="center"/>
    </xf>
    <xf numFmtId="2" fontId="10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6" fillId="0" borderId="0" xfId="8" applyFont="1" applyProtection="1"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9" fontId="10" fillId="0" borderId="5" xfId="2" applyFont="1" applyFill="1" applyBorder="1" applyAlignment="1" applyProtection="1">
      <alignment horizontal="center" vertical="center" wrapText="1"/>
      <protection locked="0"/>
    </xf>
    <xf numFmtId="9" fontId="10" fillId="0" borderId="6" xfId="2" applyFont="1" applyFill="1" applyBorder="1" applyAlignment="1" applyProtection="1">
      <alignment horizontal="center" vertical="center" wrapText="1"/>
      <protection locked="0"/>
    </xf>
    <xf numFmtId="9" fontId="10" fillId="0" borderId="20" xfId="2" applyFont="1" applyFill="1" applyBorder="1" applyAlignment="1" applyProtection="1">
      <alignment horizontal="center" vertical="center" wrapText="1"/>
      <protection locked="0"/>
    </xf>
    <xf numFmtId="9" fontId="10" fillId="0" borderId="21" xfId="2" applyFont="1" applyFill="1" applyBorder="1" applyAlignment="1" applyProtection="1">
      <alignment horizontal="center" vertical="center" wrapText="1"/>
      <protection locked="0"/>
    </xf>
    <xf numFmtId="9" fontId="10" fillId="0" borderId="25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9" fontId="10" fillId="0" borderId="19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9" fillId="0" borderId="5" xfId="8" applyFont="1" applyBorder="1" applyAlignment="1" applyProtection="1">
      <alignment horizontal="left" vertical="top" wrapText="1"/>
      <protection locked="0"/>
    </xf>
    <xf numFmtId="0" fontId="9" fillId="0" borderId="6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horizontal="left" vertical="top" wrapText="1"/>
      <protection locked="0"/>
    </xf>
    <xf numFmtId="0" fontId="9" fillId="0" borderId="8" xfId="8" applyFont="1" applyBorder="1" applyAlignment="1" applyProtection="1">
      <alignment horizontal="left" vertical="top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1" fontId="9" fillId="0" borderId="20" xfId="8" applyNumberFormat="1" applyFont="1" applyBorder="1" applyAlignment="1" applyProtection="1">
      <alignment horizontal="center" vertical="center" wrapText="1"/>
      <protection locked="0"/>
    </xf>
    <xf numFmtId="1" fontId="9" fillId="0" borderId="21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8" xfId="8" applyNumberFormat="1" applyFont="1" applyBorder="1" applyAlignment="1" applyProtection="1">
      <alignment horizontal="center" vertical="center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0" fontId="21" fillId="0" borderId="1" xfId="8" applyFont="1" applyBorder="1" applyAlignment="1" applyProtection="1">
      <alignment horizontal="center" vertical="top" wrapText="1"/>
      <protection locked="0"/>
    </xf>
    <xf numFmtId="1" fontId="9" fillId="0" borderId="10" xfId="0" applyNumberFormat="1" applyFont="1" applyBorder="1" applyAlignment="1" applyProtection="1">
      <alignment horizontal="center" vertical="center" wrapText="1"/>
      <protection locked="0"/>
    </xf>
    <xf numFmtId="1" fontId="9" fillId="0" borderId="1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11" xfId="8" applyNumberFormat="1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vertical="top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0" fontId="10" fillId="0" borderId="0" xfId="8" applyFont="1" applyAlignment="1">
      <alignment horizontal="center" vertical="center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17" fillId="0" borderId="10" xfId="8" applyNumberFormat="1" applyFont="1" applyBorder="1" applyAlignment="1" applyProtection="1">
      <alignment horizontal="center" vertical="top" wrapText="1"/>
      <protection locked="0"/>
    </xf>
    <xf numFmtId="1" fontId="17" fillId="0" borderId="11" xfId="8" applyNumberFormat="1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168" fontId="7" fillId="0" borderId="1" xfId="1" applyNumberFormat="1" applyFont="1" applyFill="1" applyBorder="1" applyAlignment="1" applyProtection="1">
      <alignment horizontal="left" vertical="top"/>
      <protection locked="0"/>
    </xf>
    <xf numFmtId="0" fontId="10" fillId="0" borderId="17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0" fillId="0" borderId="23" xfId="8" applyFont="1" applyBorder="1" applyAlignment="1" applyProtection="1">
      <alignment horizontal="center" vertical="top" wrapText="1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0" fontId="12" fillId="0" borderId="11" xfId="8" applyFont="1" applyBorder="1" applyAlignment="1" applyProtection="1">
      <alignment horizontal="left" vertical="top"/>
      <protection locked="0"/>
    </xf>
    <xf numFmtId="0" fontId="12" fillId="0" borderId="11" xfId="8" applyFont="1" applyBorder="1" applyAlignment="1" applyProtection="1">
      <alignment horizontal="center" vertical="top"/>
      <protection locked="0"/>
    </xf>
    <xf numFmtId="0" fontId="10" fillId="0" borderId="18" xfId="8" applyFont="1" applyBorder="1" applyAlignment="1" applyProtection="1">
      <alignment horizontal="center" vertical="top" wrapText="1"/>
      <protection locked="0"/>
    </xf>
    <xf numFmtId="0" fontId="9" fillId="0" borderId="10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 wrapText="1"/>
      <protection locked="0"/>
    </xf>
    <xf numFmtId="0" fontId="12" fillId="0" borderId="12" xfId="8" applyFont="1" applyBorder="1" applyAlignment="1" applyProtection="1">
      <alignment horizontal="left" vertical="top" wrapText="1"/>
      <protection locked="0"/>
    </xf>
    <xf numFmtId="0" fontId="12" fillId="0" borderId="13" xfId="8" applyFont="1" applyBorder="1" applyAlignment="1" applyProtection="1">
      <alignment horizontal="left" vertical="top" wrapText="1"/>
      <protection locked="0"/>
    </xf>
    <xf numFmtId="0" fontId="12" fillId="0" borderId="14" xfId="8" applyFont="1" applyBorder="1" applyAlignment="1" applyProtection="1">
      <alignment horizontal="left" vertical="top" wrapText="1"/>
      <protection locked="0"/>
    </xf>
    <xf numFmtId="0" fontId="12" fillId="0" borderId="15" xfId="8" applyFont="1" applyBorder="1" applyAlignment="1" applyProtection="1">
      <alignment horizontal="left" vertical="top" wrapText="1"/>
      <protection locked="0"/>
    </xf>
    <xf numFmtId="0" fontId="12" fillId="0" borderId="16" xfId="8" applyFont="1" applyBorder="1" applyAlignment="1" applyProtection="1">
      <alignment horizontal="left" vertical="top" wrapText="1"/>
      <protection locked="0"/>
    </xf>
    <xf numFmtId="0" fontId="13" fillId="0" borderId="17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18" xfId="8" applyFont="1" applyBorder="1" applyAlignment="1" applyProtection="1">
      <alignment horizontal="left" vertical="top" wrapText="1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7" fillId="0" borderId="3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9" fillId="0" borderId="11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14" fontId="9" fillId="0" borderId="4" xfId="8" applyNumberFormat="1" applyFont="1" applyBorder="1" applyAlignment="1" applyProtection="1">
      <alignment horizontal="left" vertical="top" wrapText="1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14" fillId="0" borderId="1" xfId="3" applyFill="1" applyBorder="1" applyAlignment="1" applyProtection="1">
      <alignment horizontal="left" vertical="top" wrapText="1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9" fillId="0" borderId="2" xfId="8" applyFont="1" applyBorder="1" applyAlignment="1" applyProtection="1">
      <alignment horizontal="left" vertical="top"/>
      <protection locked="0"/>
    </xf>
    <xf numFmtId="0" fontId="9" fillId="0" borderId="3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3" fillId="0" borderId="1" xfId="10" applyFont="1" applyBorder="1" applyAlignment="1">
      <alignment horizontal="left"/>
    </xf>
    <xf numFmtId="1" fontId="12" fillId="0" borderId="10" xfId="0" applyNumberFormat="1" applyFont="1" applyBorder="1" applyAlignment="1" applyProtection="1">
      <alignment horizontal="center" vertical="center" wrapText="1"/>
      <protection locked="0"/>
    </xf>
    <xf numFmtId="1" fontId="16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1" fontId="12" fillId="0" borderId="31" xfId="0" applyNumberFormat="1" applyFont="1" applyBorder="1" applyAlignment="1" applyProtection="1">
      <alignment horizontal="center" vertical="center" wrapText="1"/>
      <protection locked="0"/>
    </xf>
    <xf numFmtId="1" fontId="12" fillId="0" borderId="32" xfId="0" applyNumberFormat="1" applyFont="1" applyBorder="1" applyAlignment="1" applyProtection="1">
      <alignment horizontal="center" vertical="center" wrapText="1"/>
      <protection locked="0"/>
    </xf>
    <xf numFmtId="1" fontId="16" fillId="0" borderId="32" xfId="0" applyNumberFormat="1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</cellXfs>
  <cellStyles count="11">
    <cellStyle name="Comma" xfId="1" builtinId="3"/>
    <cellStyle name="Comma 2" xfId="4" xr:uid="{00000000-0005-0000-0000-000001000000}"/>
    <cellStyle name="Excel Built-in Normal" xfId="5" xr:uid="{00000000-0005-0000-0000-000002000000}"/>
    <cellStyle name="Excel Built-in Normal 2" xfId="6" xr:uid="{00000000-0005-0000-0000-000003000000}"/>
    <cellStyle name="Hyperlink" xfId="3" builtinId="8"/>
    <cellStyle name="Normal" xfId="0" builtinId="0"/>
    <cellStyle name="Normal 2" xfId="7" xr:uid="{00000000-0005-0000-0000-000006000000}"/>
    <cellStyle name="Normal 3" xfId="8" xr:uid="{00000000-0005-0000-0000-000007000000}"/>
    <cellStyle name="Normal 3 3" xfId="9" xr:uid="{00000000-0005-0000-0000-000008000000}"/>
    <cellStyle name="Normal 4" xfId="10" xr:uid="{00000000-0005-0000-0000-000009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11450</xdr:colOff>
      <xdr:row>326</xdr:row>
      <xdr:rowOff>0</xdr:rowOff>
    </xdr:from>
    <xdr:to>
      <xdr:col>7</xdr:col>
      <xdr:colOff>93114</xdr:colOff>
      <xdr:row>342</xdr:row>
      <xdr:rowOff>53455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773430" y="67818000"/>
          <a:ext cx="5034280" cy="325374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343</xdr:row>
      <xdr:rowOff>39667</xdr:rowOff>
    </xdr:from>
    <xdr:to>
      <xdr:col>7</xdr:col>
      <xdr:colOff>93114</xdr:colOff>
      <xdr:row>359</xdr:row>
      <xdr:rowOff>93122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762000" y="71257795"/>
          <a:ext cx="5045710" cy="325374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80010</xdr:colOff>
      <xdr:row>282</xdr:row>
      <xdr:rowOff>16510</xdr:rowOff>
    </xdr:from>
    <xdr:to>
      <xdr:col>5</xdr:col>
      <xdr:colOff>474345</xdr:colOff>
      <xdr:row>301</xdr:row>
      <xdr:rowOff>74295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1642110" y="58633360"/>
          <a:ext cx="2985135" cy="38582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205740</xdr:colOff>
      <xdr:row>302</xdr:row>
      <xdr:rowOff>15875</xdr:rowOff>
    </xdr:from>
    <xdr:to>
      <xdr:col>7</xdr:col>
      <xdr:colOff>657860</xdr:colOff>
      <xdr:row>317</xdr:row>
      <xdr:rowOff>46990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205740" y="62633225"/>
          <a:ext cx="6167120" cy="303149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190500</xdr:colOff>
      <xdr:row>45</xdr:row>
      <xdr:rowOff>9525</xdr:rowOff>
    </xdr:from>
    <xdr:to>
      <xdr:col>15</xdr:col>
      <xdr:colOff>275512</xdr:colOff>
      <xdr:row>51</xdr:row>
      <xdr:rowOff>168889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34175" y="9848850"/>
          <a:ext cx="5704205" cy="2094865"/>
        </a:xfrm>
        <a:prstGeom prst="rect">
          <a:avLst/>
        </a:prstGeom>
      </xdr:spPr>
    </xdr:pic>
    <xdr:clientData/>
  </xdr:twoCellAnchor>
  <xdr:twoCellAnchor>
    <xdr:from>
      <xdr:col>8</xdr:col>
      <xdr:colOff>514350</xdr:colOff>
      <xdr:row>240</xdr:row>
      <xdr:rowOff>116205</xdr:rowOff>
    </xdr:from>
    <xdr:to>
      <xdr:col>15</xdr:col>
      <xdr:colOff>624120</xdr:colOff>
      <xdr:row>273</xdr:row>
      <xdr:rowOff>149386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6F9D6D81-65BA-3631-0C04-1D40B46A382D}"/>
            </a:ext>
          </a:extLst>
        </xdr:cNvPr>
        <xdr:cNvGrpSpPr/>
      </xdr:nvGrpSpPr>
      <xdr:grpSpPr>
        <a:xfrm>
          <a:off x="7058025" y="50303430"/>
          <a:ext cx="5729520" cy="6624481"/>
          <a:chOff x="294861" y="167639"/>
          <a:chExt cx="5881920" cy="6563521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7EEA432-D924-BDD5-A99F-92C00FAD3E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96781" y="421116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351FA7-9DFC-027B-980C-5990EF3F6F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4861" y="167640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35E05F0A-4724-1878-FF97-28677A2351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6830" y="4211160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68DBACFB-D0F5-05FB-5E78-5D79C85F53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96781" y="167639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BF73C60F-D58F-A867-79F9-1AE6F3D4EC0F}"/>
              </a:ext>
            </a:extLst>
          </xdr:cNvPr>
          <xdr:cNvSpPr txBox="1"/>
        </xdr:nvSpPr>
        <xdr:spPr>
          <a:xfrm>
            <a:off x="360458" y="416560"/>
            <a:ext cx="64152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B</a:t>
            </a:r>
            <a:endParaRPr lang="en-IN" sz="1200" b="1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6369D152-6802-D92A-2E32-2CC06A29CC39}"/>
              </a:ext>
            </a:extLst>
          </xdr:cNvPr>
          <xdr:cNvSpPr txBox="1"/>
        </xdr:nvSpPr>
        <xdr:spPr>
          <a:xfrm>
            <a:off x="2123218" y="990600"/>
            <a:ext cx="64793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A</a:t>
            </a:r>
            <a:endParaRPr lang="en-IN" sz="1200" b="1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DE4A6800-996A-A7EB-F174-E1B3E1BD1BA8}"/>
              </a:ext>
            </a:extLst>
          </xdr:cNvPr>
          <xdr:cNvSpPr txBox="1"/>
        </xdr:nvSpPr>
        <xdr:spPr>
          <a:xfrm>
            <a:off x="3692938" y="325120"/>
            <a:ext cx="64152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B</a:t>
            </a:r>
            <a:endParaRPr lang="en-IN" sz="1200" b="1"/>
          </a:p>
        </xdr:txBody>
      </xdr:sp>
    </xdr:grpSp>
    <xdr:clientData/>
  </xdr:twoCellAnchor>
  <xdr:twoCellAnchor>
    <xdr:from>
      <xdr:col>0</xdr:col>
      <xdr:colOff>304800</xdr:colOff>
      <xdr:row>240</xdr:row>
      <xdr:rowOff>104775</xdr:rowOff>
    </xdr:from>
    <xdr:to>
      <xdr:col>7</xdr:col>
      <xdr:colOff>695325</xdr:colOff>
      <xdr:row>274</xdr:row>
      <xdr:rowOff>114300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81CF7E40-D1A2-4ECE-AF23-A33FA5DF4B90}"/>
            </a:ext>
          </a:extLst>
        </xdr:cNvPr>
        <xdr:cNvGrpSpPr/>
      </xdr:nvGrpSpPr>
      <xdr:grpSpPr>
        <a:xfrm>
          <a:off x="304800" y="50292000"/>
          <a:ext cx="6105525" cy="6800850"/>
          <a:chOff x="304800" y="50444400"/>
          <a:chExt cx="6105525" cy="6800850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CB6F5BBC-FA72-4456-949D-1D80F4574E66}"/>
              </a:ext>
            </a:extLst>
          </xdr:cNvPr>
          <xdr:cNvGrpSpPr/>
        </xdr:nvGrpSpPr>
        <xdr:grpSpPr>
          <a:xfrm>
            <a:off x="304800" y="50444400"/>
            <a:ext cx="6105525" cy="6800850"/>
            <a:chOff x="731813" y="304800"/>
            <a:chExt cx="5607497" cy="6104401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0C6744E0-E9D5-4B1B-BEBE-F74B675116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31813" y="304800"/>
              <a:ext cx="2697187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FACCD78C-D183-485D-AC35-C00D05909AD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42123" y="304800"/>
              <a:ext cx="2697187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DEA67B7E-A547-4E36-A31A-CD1E11AD6F1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675829" y="4069201"/>
              <a:ext cx="175317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A8E5F777-ECAE-46F8-AFA5-8E6D890D28F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42123" y="4069201"/>
              <a:ext cx="1753172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735AB0FE-C69D-4B8F-80B8-0B9F71F3CD1E}"/>
              </a:ext>
            </a:extLst>
          </xdr:cNvPr>
          <xdr:cNvSpPr txBox="1"/>
        </xdr:nvSpPr>
        <xdr:spPr>
          <a:xfrm>
            <a:off x="685800" y="50665380"/>
            <a:ext cx="624900" cy="27957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B</a:t>
            </a:r>
            <a:endParaRPr lang="en-IN" sz="1200" b="1"/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3F33809-A852-4640-884F-EE44981671D2}"/>
              </a:ext>
            </a:extLst>
          </xdr:cNvPr>
          <xdr:cNvSpPr txBox="1"/>
        </xdr:nvSpPr>
        <xdr:spPr>
          <a:xfrm>
            <a:off x="2402887" y="51244751"/>
            <a:ext cx="631146" cy="27957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A</a:t>
            </a:r>
            <a:endParaRPr lang="en-IN" sz="1200" b="1"/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E989E306-FB24-45FE-8FDE-AA3B36F6DE19}"/>
              </a:ext>
            </a:extLst>
          </xdr:cNvPr>
          <xdr:cNvSpPr txBox="1"/>
        </xdr:nvSpPr>
        <xdr:spPr>
          <a:xfrm>
            <a:off x="4019549" y="50493930"/>
            <a:ext cx="771525" cy="27957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/>
              <a:t>Wing B</a:t>
            </a:r>
            <a:endParaRPr lang="en-IN" sz="12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zzHeo6Fw8yfu8g27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24"/>
  <sheetViews>
    <sheetView tabSelected="1" view="pageBreakPreview" topLeftCell="A84" zoomScaleNormal="100" zoomScaleSheetLayoutView="100" workbookViewId="0">
      <selection activeCell="I56" sqref="I56"/>
    </sheetView>
  </sheetViews>
  <sheetFormatPr defaultColWidth="9.140625" defaultRowHeight="15.75"/>
  <cols>
    <col min="1" max="1" width="11.42578125" style="19" customWidth="1"/>
    <col min="2" max="2" width="12" style="19" customWidth="1"/>
    <col min="3" max="3" width="12.7109375" style="19" customWidth="1"/>
    <col min="4" max="4" width="14.42578125" style="19" customWidth="1"/>
    <col min="5" max="7" width="11.7109375" style="19" customWidth="1"/>
    <col min="8" max="8" width="12.42578125" style="19" customWidth="1"/>
    <col min="9" max="9" width="17.42578125" style="20" customWidth="1"/>
    <col min="10" max="10" width="11.42578125" style="20" customWidth="1"/>
    <col min="11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>
      <c r="A1" s="176" t="s">
        <v>0</v>
      </c>
      <c r="B1" s="176"/>
      <c r="C1" s="176"/>
      <c r="D1" s="176"/>
      <c r="E1" s="176"/>
      <c r="F1" s="176"/>
      <c r="G1" s="176"/>
      <c r="H1" s="176"/>
    </row>
    <row r="2" spans="1:8" ht="16.5" customHeight="1">
      <c r="A2" s="111" t="s">
        <v>1</v>
      </c>
      <c r="B2" s="111"/>
      <c r="C2" s="111"/>
      <c r="D2" s="111"/>
      <c r="E2" s="111"/>
      <c r="F2" s="111"/>
      <c r="G2" s="111"/>
      <c r="H2" s="111"/>
    </row>
    <row r="3" spans="1:8">
      <c r="A3" s="72" t="s">
        <v>2</v>
      </c>
      <c r="B3" s="72"/>
      <c r="C3" s="72"/>
      <c r="D3" s="72"/>
      <c r="E3" s="72" t="str">
        <f ca="1">TEXT(TODAY(),"DD/MM/YYYY")</f>
        <v>11/09/2025</v>
      </c>
      <c r="F3" s="72"/>
      <c r="G3" s="72"/>
      <c r="H3" s="72"/>
    </row>
    <row r="4" spans="1:8">
      <c r="A4" s="72" t="s">
        <v>3</v>
      </c>
      <c r="B4" s="72"/>
      <c r="C4" s="72"/>
      <c r="D4" s="72"/>
      <c r="E4" s="72" t="s">
        <v>4</v>
      </c>
      <c r="F4" s="72"/>
      <c r="G4" s="72"/>
      <c r="H4" s="72"/>
    </row>
    <row r="5" spans="1:8">
      <c r="A5" s="72" t="s">
        <v>5</v>
      </c>
      <c r="B5" s="72"/>
      <c r="C5" s="72"/>
      <c r="D5" s="72"/>
      <c r="E5" s="177">
        <v>45909</v>
      </c>
      <c r="F5" s="72"/>
      <c r="G5" s="72"/>
      <c r="H5" s="72"/>
    </row>
    <row r="6" spans="1:8">
      <c r="A6" s="72" t="s">
        <v>6</v>
      </c>
      <c r="B6" s="72"/>
      <c r="C6" s="72"/>
      <c r="D6" s="72"/>
      <c r="E6" s="72" t="s">
        <v>7</v>
      </c>
      <c r="F6" s="72"/>
      <c r="G6" s="72"/>
      <c r="H6" s="72"/>
    </row>
    <row r="7" spans="1:8">
      <c r="A7" s="72" t="s">
        <v>8</v>
      </c>
      <c r="B7" s="72"/>
      <c r="C7" s="72"/>
      <c r="D7" s="72"/>
      <c r="E7" s="72" t="str">
        <f>E6</f>
        <v>D.D. Associates</v>
      </c>
      <c r="F7" s="72"/>
      <c r="G7" s="72"/>
      <c r="H7" s="72"/>
    </row>
    <row r="8" spans="1:8">
      <c r="A8" s="72" t="s">
        <v>9</v>
      </c>
      <c r="B8" s="72"/>
      <c r="C8" s="72"/>
      <c r="D8" s="72"/>
      <c r="E8" s="139" t="s">
        <v>243</v>
      </c>
      <c r="F8" s="139"/>
      <c r="G8" s="139"/>
      <c r="H8" s="139"/>
    </row>
    <row r="9" spans="1:8">
      <c r="A9" s="72" t="s">
        <v>10</v>
      </c>
      <c r="B9" s="72"/>
      <c r="C9" s="72"/>
      <c r="D9" s="72"/>
      <c r="E9" s="72" t="s">
        <v>244</v>
      </c>
      <c r="F9" s="72"/>
      <c r="G9" s="72"/>
      <c r="H9" s="72"/>
    </row>
    <row r="10" spans="1:8">
      <c r="A10" s="72" t="s">
        <v>11</v>
      </c>
      <c r="B10" s="72"/>
      <c r="C10" s="72"/>
      <c r="D10" s="72"/>
      <c r="E10" s="72" t="s">
        <v>248</v>
      </c>
      <c r="F10" s="72"/>
      <c r="G10" s="72"/>
      <c r="H10" s="72"/>
    </row>
    <row r="11" spans="1:8">
      <c r="A11" s="72" t="s">
        <v>13</v>
      </c>
      <c r="B11" s="72"/>
      <c r="C11" s="72"/>
      <c r="D11" s="72"/>
      <c r="E11" s="72" t="s">
        <v>14</v>
      </c>
      <c r="F11" s="72"/>
      <c r="G11" s="72"/>
      <c r="H11" s="72"/>
    </row>
    <row r="12" spans="1:8">
      <c r="A12" s="93" t="s">
        <v>15</v>
      </c>
      <c r="B12" s="93"/>
      <c r="C12" s="93"/>
      <c r="D12" s="93"/>
      <c r="E12" s="149" t="s">
        <v>16</v>
      </c>
      <c r="F12" s="149"/>
      <c r="G12" s="149"/>
      <c r="H12" s="149"/>
    </row>
    <row r="13" spans="1:8">
      <c r="A13" s="93" t="s">
        <v>17</v>
      </c>
      <c r="B13" s="93"/>
      <c r="C13" s="93"/>
      <c r="D13" s="93"/>
      <c r="E13" s="149" t="s">
        <v>18</v>
      </c>
      <c r="F13" s="72"/>
      <c r="G13" s="72"/>
      <c r="H13" s="72"/>
    </row>
    <row r="14" spans="1:8" ht="36" customHeight="1">
      <c r="A14" s="71" t="s">
        <v>19</v>
      </c>
      <c r="B14" s="71"/>
      <c r="C14" s="7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Dosti Desire Phase 2, Survey No.85, H.No.7, near Brahmand Police Station, Brahmand Road, Brahmand, Kolshet, Thane, Thane, Thane - 400607.</v>
      </c>
      <c r="D14" s="71"/>
      <c r="E14" s="71"/>
      <c r="F14" s="71"/>
      <c r="G14" s="71"/>
      <c r="H14" s="71"/>
    </row>
    <row r="15" spans="1:8">
      <c r="A15" s="149" t="s">
        <v>20</v>
      </c>
      <c r="B15" s="149"/>
      <c r="C15" s="149" t="s">
        <v>21</v>
      </c>
      <c r="D15" s="149"/>
      <c r="E15" s="149"/>
      <c r="F15" s="149"/>
      <c r="G15" s="149"/>
      <c r="H15" s="149"/>
    </row>
    <row r="16" spans="1:8" ht="15.75" customHeight="1">
      <c r="A16" s="149" t="s">
        <v>22</v>
      </c>
      <c r="B16" s="149"/>
      <c r="C16" s="149" t="s">
        <v>23</v>
      </c>
      <c r="D16" s="149"/>
      <c r="E16" s="149"/>
      <c r="F16" s="149"/>
      <c r="G16" s="149"/>
      <c r="H16" s="149"/>
    </row>
    <row r="17" spans="1:8" ht="15.75" customHeight="1">
      <c r="A17" s="71" t="s">
        <v>24</v>
      </c>
      <c r="B17" s="71"/>
      <c r="C17" s="72" t="s">
        <v>25</v>
      </c>
      <c r="D17" s="72"/>
      <c r="E17" s="149" t="s">
        <v>26</v>
      </c>
      <c r="F17" s="149"/>
      <c r="G17" s="149" t="s">
        <v>27</v>
      </c>
      <c r="H17" s="149"/>
    </row>
    <row r="18" spans="1:8">
      <c r="A18" s="93" t="s">
        <v>28</v>
      </c>
      <c r="B18" s="93"/>
      <c r="C18" s="149" t="s">
        <v>29</v>
      </c>
      <c r="D18" s="149"/>
      <c r="E18" s="149" t="s">
        <v>30</v>
      </c>
      <c r="F18" s="149"/>
      <c r="G18" s="175" t="s">
        <v>29</v>
      </c>
      <c r="H18" s="175"/>
    </row>
    <row r="19" spans="1:8">
      <c r="A19" s="93" t="s">
        <v>31</v>
      </c>
      <c r="B19" s="93"/>
      <c r="C19" s="149" t="s">
        <v>29</v>
      </c>
      <c r="D19" s="149"/>
      <c r="E19" s="149" t="s">
        <v>32</v>
      </c>
      <c r="F19" s="149"/>
      <c r="G19" s="149">
        <v>400607</v>
      </c>
      <c r="H19" s="149"/>
    </row>
    <row r="20" spans="1:8" ht="32.25" customHeight="1">
      <c r="A20" s="93" t="s">
        <v>33</v>
      </c>
      <c r="B20" s="93"/>
      <c r="C20" s="149" t="s">
        <v>34</v>
      </c>
      <c r="D20" s="149"/>
      <c r="E20" s="149" t="s">
        <v>35</v>
      </c>
      <c r="F20" s="149"/>
      <c r="G20" s="149" t="s">
        <v>36</v>
      </c>
      <c r="H20" s="149"/>
    </row>
    <row r="21" spans="1:8" ht="15" customHeight="1">
      <c r="A21" s="71" t="s">
        <v>37</v>
      </c>
      <c r="B21" s="71"/>
      <c r="C21" s="71"/>
      <c r="D21" s="71"/>
      <c r="E21" s="72" t="s">
        <v>38</v>
      </c>
      <c r="F21" s="72"/>
      <c r="G21" s="72"/>
      <c r="H21" s="72"/>
    </row>
    <row r="22" spans="1:8" ht="18.75" customHeight="1">
      <c r="A22" s="71"/>
      <c r="B22" s="71"/>
      <c r="C22" s="71"/>
      <c r="D22" s="71"/>
      <c r="E22" s="72"/>
      <c r="F22" s="72"/>
      <c r="G22" s="72"/>
      <c r="H22" s="72"/>
    </row>
    <row r="23" spans="1:8" ht="15" customHeight="1">
      <c r="A23" s="71" t="s">
        <v>39</v>
      </c>
      <c r="B23" s="71"/>
      <c r="C23" s="71"/>
      <c r="D23" s="71"/>
      <c r="E23" s="149" t="s">
        <v>40</v>
      </c>
      <c r="F23" s="149"/>
      <c r="G23" s="149"/>
      <c r="H23" s="149"/>
    </row>
    <row r="24" spans="1:8" ht="15" customHeight="1">
      <c r="A24" s="93" t="s">
        <v>41</v>
      </c>
      <c r="B24" s="93"/>
      <c r="C24" s="93"/>
      <c r="D24" s="93"/>
      <c r="E24" s="149" t="str">
        <f>IF(AND(G18="Mumbai"),"Upper Class","Middle Class")</f>
        <v>Middle Class</v>
      </c>
      <c r="F24" s="149"/>
      <c r="G24" s="149"/>
      <c r="H24" s="149"/>
    </row>
    <row r="25" spans="1:8">
      <c r="A25" s="93" t="s">
        <v>42</v>
      </c>
      <c r="B25" s="93"/>
      <c r="C25" s="93"/>
      <c r="D25" s="93"/>
      <c r="E25" s="149" t="s">
        <v>43</v>
      </c>
      <c r="F25" s="149"/>
      <c r="G25" s="149"/>
      <c r="H25" s="149"/>
    </row>
    <row r="26" spans="1:8" ht="15.75" customHeight="1">
      <c r="A26" s="93" t="s">
        <v>44</v>
      </c>
      <c r="B26" s="93"/>
      <c r="C26" s="93"/>
      <c r="D26" s="93"/>
      <c r="E26" s="149" t="str">
        <f>IF(AND(G18="Mumbai"),"Developed","Developing")</f>
        <v>Developing</v>
      </c>
      <c r="F26" s="149"/>
      <c r="G26" s="149"/>
      <c r="H26" s="149"/>
    </row>
    <row r="27" spans="1:8">
      <c r="A27" s="93" t="s">
        <v>45</v>
      </c>
      <c r="B27" s="93"/>
      <c r="C27" s="93"/>
      <c r="D27" s="93"/>
      <c r="E27" s="149" t="s">
        <v>46</v>
      </c>
      <c r="F27" s="149"/>
      <c r="G27" s="149"/>
      <c r="H27" s="149"/>
    </row>
    <row r="28" spans="1:8" ht="15.75" customHeight="1">
      <c r="A28" s="93" t="s">
        <v>47</v>
      </c>
      <c r="B28" s="93"/>
      <c r="C28" s="93"/>
      <c r="D28" s="93"/>
      <c r="E28" s="149" t="s">
        <v>48</v>
      </c>
      <c r="F28" s="149"/>
      <c r="G28" s="149"/>
      <c r="H28" s="149"/>
    </row>
    <row r="29" spans="1:8" ht="15" customHeight="1">
      <c r="A29" s="93" t="s">
        <v>49</v>
      </c>
      <c r="B29" s="93"/>
      <c r="C29" s="93"/>
      <c r="D29" s="93"/>
      <c r="E29" s="14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49"/>
      <c r="G29" s="149"/>
      <c r="H29" s="149"/>
    </row>
    <row r="30" spans="1:8" ht="15.75" customHeight="1">
      <c r="A30" s="93" t="s">
        <v>50</v>
      </c>
      <c r="B30" s="93"/>
      <c r="C30" s="93"/>
      <c r="D30" s="93"/>
      <c r="E30" s="149" t="s">
        <v>51</v>
      </c>
      <c r="F30" s="149"/>
      <c r="G30" s="149"/>
      <c r="H30" s="149"/>
    </row>
    <row r="31" spans="1:8" s="13" customFormat="1">
      <c r="A31" s="173" t="s">
        <v>52</v>
      </c>
      <c r="B31" s="173"/>
      <c r="C31" s="174" t="s">
        <v>53</v>
      </c>
      <c r="D31" s="174"/>
      <c r="E31" s="174"/>
      <c r="F31" s="174" t="s">
        <v>54</v>
      </c>
      <c r="G31" s="174"/>
      <c r="H31" s="174"/>
    </row>
    <row r="32" spans="1:8" s="13" customFormat="1">
      <c r="A32" s="169" t="s">
        <v>55</v>
      </c>
      <c r="B32" s="169" t="s">
        <v>12</v>
      </c>
      <c r="C32" s="170" t="s">
        <v>12</v>
      </c>
      <c r="D32" s="170"/>
      <c r="E32" s="170"/>
      <c r="F32" s="170" t="s">
        <v>56</v>
      </c>
      <c r="G32" s="170"/>
      <c r="H32" s="170"/>
    </row>
    <row r="33" spans="1:8">
      <c r="A33" s="169" t="s">
        <v>57</v>
      </c>
      <c r="B33" s="169" t="s">
        <v>12</v>
      </c>
      <c r="C33" s="170" t="s">
        <v>12</v>
      </c>
      <c r="D33" s="170"/>
      <c r="E33" s="170"/>
      <c r="F33" s="170" t="s">
        <v>58</v>
      </c>
      <c r="G33" s="170"/>
      <c r="H33" s="170"/>
    </row>
    <row r="34" spans="1:8" s="13" customFormat="1">
      <c r="A34" s="169" t="s">
        <v>59</v>
      </c>
      <c r="B34" s="169" t="s">
        <v>12</v>
      </c>
      <c r="C34" s="170" t="s">
        <v>12</v>
      </c>
      <c r="D34" s="170"/>
      <c r="E34" s="170"/>
      <c r="F34" s="170" t="s">
        <v>58</v>
      </c>
      <c r="G34" s="170"/>
      <c r="H34" s="170"/>
    </row>
    <row r="35" spans="1:8">
      <c r="A35" s="169" t="s">
        <v>60</v>
      </c>
      <c r="B35" s="169" t="s">
        <v>12</v>
      </c>
      <c r="C35" s="170" t="s">
        <v>12</v>
      </c>
      <c r="D35" s="170"/>
      <c r="E35" s="170"/>
      <c r="F35" s="170" t="s">
        <v>58</v>
      </c>
      <c r="G35" s="170"/>
      <c r="H35" s="170"/>
    </row>
    <row r="36" spans="1:8">
      <c r="A36" s="93" t="s">
        <v>61</v>
      </c>
      <c r="B36" s="93"/>
      <c r="C36" s="93"/>
      <c r="D36" s="93"/>
      <c r="E36" s="93"/>
      <c r="F36" s="93"/>
      <c r="G36" s="93"/>
      <c r="H36" s="93"/>
    </row>
    <row r="37" spans="1:8" ht="15.75" customHeight="1">
      <c r="A37" s="171" t="s">
        <v>62</v>
      </c>
      <c r="B37" s="172"/>
      <c r="C37" s="121" t="s">
        <v>63</v>
      </c>
      <c r="D37" s="121"/>
      <c r="E37" s="121"/>
      <c r="F37" s="121"/>
      <c r="G37" s="121"/>
      <c r="H37" s="121"/>
    </row>
    <row r="38" spans="1:8">
      <c r="A38" s="93" t="s">
        <v>64</v>
      </c>
      <c r="B38" s="93"/>
      <c r="C38" s="167" t="s">
        <v>65</v>
      </c>
      <c r="D38" s="149"/>
      <c r="E38" s="149"/>
      <c r="F38" s="149"/>
      <c r="G38" s="149"/>
      <c r="H38" s="149"/>
    </row>
    <row r="39" spans="1:8">
      <c r="A39" s="121" t="s">
        <v>66</v>
      </c>
      <c r="B39" s="121"/>
      <c r="C39" s="121"/>
      <c r="D39" s="121"/>
      <c r="E39" s="121"/>
      <c r="F39" s="121"/>
      <c r="G39" s="121"/>
      <c r="H39" s="121"/>
    </row>
    <row r="40" spans="1:8">
      <c r="A40" s="93" t="s">
        <v>67</v>
      </c>
      <c r="B40" s="93"/>
      <c r="C40" s="93"/>
      <c r="D40" s="93"/>
      <c r="E40" s="168">
        <v>5940</v>
      </c>
      <c r="F40" s="168"/>
      <c r="G40" s="168"/>
      <c r="H40" s="168"/>
    </row>
    <row r="41" spans="1:8">
      <c r="A41" s="93" t="s">
        <v>68</v>
      </c>
      <c r="B41" s="93"/>
      <c r="C41" s="93"/>
      <c r="D41" s="93"/>
      <c r="E41" s="162">
        <v>1.1000000000000001</v>
      </c>
      <c r="F41" s="162"/>
      <c r="G41" s="162"/>
      <c r="H41" s="162"/>
    </row>
    <row r="42" spans="1:8">
      <c r="A42" s="93" t="s">
        <v>69</v>
      </c>
      <c r="B42" s="93"/>
      <c r="C42" s="93"/>
      <c r="D42" s="93"/>
      <c r="E42" s="162">
        <f>E44/E40-E41</f>
        <v>2.1563552188552189</v>
      </c>
      <c r="F42" s="162"/>
      <c r="G42" s="162"/>
      <c r="H42" s="162"/>
    </row>
    <row r="43" spans="1:8">
      <c r="A43" s="93" t="s">
        <v>70</v>
      </c>
      <c r="B43" s="93"/>
      <c r="C43" s="93"/>
      <c r="D43" s="93"/>
      <c r="E43" s="162">
        <f>E41+E42</f>
        <v>3.2563552188552189</v>
      </c>
      <c r="F43" s="162"/>
      <c r="G43" s="162"/>
      <c r="H43" s="162"/>
    </row>
    <row r="44" spans="1:8">
      <c r="A44" s="93" t="s">
        <v>71</v>
      </c>
      <c r="B44" s="93"/>
      <c r="C44" s="93"/>
      <c r="D44" s="93"/>
      <c r="E44" s="163">
        <v>19342.75</v>
      </c>
      <c r="F44" s="163"/>
      <c r="G44" s="163"/>
      <c r="H44" s="163"/>
    </row>
    <row r="45" spans="1:8">
      <c r="A45" s="72" t="s">
        <v>72</v>
      </c>
      <c r="B45" s="72"/>
      <c r="C45" s="72"/>
      <c r="D45" s="72"/>
      <c r="E45" s="72" t="s">
        <v>73</v>
      </c>
      <c r="F45" s="72"/>
      <c r="G45" s="72"/>
      <c r="H45" s="72"/>
    </row>
    <row r="46" spans="1:8">
      <c r="A46" s="121" t="s">
        <v>74</v>
      </c>
      <c r="B46" s="121"/>
      <c r="C46" s="121"/>
      <c r="D46" s="121"/>
      <c r="E46" s="121"/>
      <c r="F46" s="121"/>
      <c r="G46" s="121"/>
      <c r="H46" s="121"/>
    </row>
    <row r="47" spans="1:8" ht="33.75" customHeight="1">
      <c r="A47" s="157" t="s">
        <v>75</v>
      </c>
      <c r="B47" s="158"/>
      <c r="C47" s="164" t="s">
        <v>76</v>
      </c>
      <c r="D47" s="165"/>
      <c r="E47" s="165"/>
      <c r="F47" s="165"/>
      <c r="G47" s="165"/>
      <c r="H47" s="166"/>
    </row>
    <row r="48" spans="1:8" ht="15.75" customHeight="1">
      <c r="A48" s="157" t="s">
        <v>77</v>
      </c>
      <c r="B48" s="158"/>
      <c r="C48" s="157" t="s">
        <v>78</v>
      </c>
      <c r="D48" s="159"/>
      <c r="E48" s="158"/>
      <c r="F48" s="22" t="s">
        <v>79</v>
      </c>
      <c r="G48" s="160" t="s">
        <v>80</v>
      </c>
      <c r="H48" s="158"/>
    </row>
    <row r="49" spans="1:14">
      <c r="A49" s="157" t="s">
        <v>81</v>
      </c>
      <c r="B49" s="158"/>
      <c r="C49" s="157" t="str">
        <f>C48</f>
        <v>S05/0136/17/TMC/TD-DP/TPS/4331/23</v>
      </c>
      <c r="D49" s="159"/>
      <c r="E49" s="158"/>
      <c r="F49" s="22" t="s">
        <v>79</v>
      </c>
      <c r="G49" s="160" t="str">
        <f>G48</f>
        <v>17/03/2023.</v>
      </c>
      <c r="H49" s="161"/>
    </row>
    <row r="50" spans="1:14" s="14" customFormat="1" ht="36.75" customHeight="1">
      <c r="A50" s="73" t="s">
        <v>82</v>
      </c>
      <c r="B50" s="74"/>
      <c r="C50" s="157" t="s">
        <v>83</v>
      </c>
      <c r="D50" s="159"/>
      <c r="E50" s="158"/>
      <c r="F50" s="22" t="s">
        <v>79</v>
      </c>
      <c r="G50" s="160" t="s">
        <v>84</v>
      </c>
      <c r="H50" s="161"/>
    </row>
    <row r="51" spans="1:14" s="14" customFormat="1" ht="34.5" customHeight="1">
      <c r="A51" s="75"/>
      <c r="B51" s="76"/>
      <c r="C51" s="157" t="s">
        <v>85</v>
      </c>
      <c r="D51" s="159"/>
      <c r="E51" s="159"/>
      <c r="F51" s="159"/>
      <c r="G51" s="159"/>
      <c r="H51" s="158"/>
    </row>
    <row r="52" spans="1:14">
      <c r="A52" s="150" t="s">
        <v>86</v>
      </c>
      <c r="B52" s="151"/>
      <c r="C52" s="150" t="s">
        <v>87</v>
      </c>
      <c r="D52" s="152"/>
      <c r="E52" s="151"/>
      <c r="F52" s="23" t="s">
        <v>79</v>
      </c>
      <c r="G52" s="153" t="s">
        <v>12</v>
      </c>
      <c r="H52" s="154"/>
    </row>
    <row r="53" spans="1:14">
      <c r="A53" s="92" t="s">
        <v>88</v>
      </c>
      <c r="B53" s="92"/>
      <c r="C53" s="92"/>
      <c r="D53" s="92"/>
      <c r="E53" s="92"/>
      <c r="F53" s="92"/>
      <c r="G53" s="92"/>
      <c r="H53" s="92"/>
    </row>
    <row r="54" spans="1:14">
      <c r="A54" s="71" t="s">
        <v>89</v>
      </c>
      <c r="B54" s="71"/>
      <c r="C54" s="71"/>
      <c r="D54" s="93">
        <f>E44</f>
        <v>19342.75</v>
      </c>
      <c r="E54" s="93"/>
      <c r="F54" s="93"/>
      <c r="G54" s="93"/>
      <c r="H54" s="93"/>
    </row>
    <row r="55" spans="1:14">
      <c r="A55" s="149" t="s">
        <v>90</v>
      </c>
      <c r="B55" s="72"/>
      <c r="C55" s="72"/>
      <c r="D55" s="72" t="s">
        <v>91</v>
      </c>
      <c r="E55" s="72"/>
      <c r="F55" s="72"/>
      <c r="G55" s="72"/>
      <c r="H55" s="72"/>
      <c r="I55" s="24"/>
    </row>
    <row r="56" spans="1:14" ht="33" customHeight="1">
      <c r="A56" s="142" t="s">
        <v>92</v>
      </c>
      <c r="B56" s="143"/>
      <c r="C56" s="155"/>
      <c r="D56" s="131" t="s">
        <v>246</v>
      </c>
      <c r="E56" s="156"/>
      <c r="F56" s="156"/>
      <c r="G56" s="156"/>
      <c r="H56" s="156"/>
    </row>
    <row r="57" spans="1:14">
      <c r="A57" s="142" t="s">
        <v>93</v>
      </c>
      <c r="B57" s="143"/>
      <c r="C57" s="143"/>
      <c r="D57" s="144" t="s">
        <v>247</v>
      </c>
      <c r="E57" s="145"/>
      <c r="F57" s="145"/>
      <c r="G57" s="145"/>
      <c r="H57" s="146"/>
    </row>
    <row r="58" spans="1:14" ht="15.75" customHeight="1">
      <c r="A58" s="93" t="s">
        <v>94</v>
      </c>
      <c r="B58" s="93"/>
      <c r="C58" s="93"/>
      <c r="D58" s="147" t="s">
        <v>95</v>
      </c>
      <c r="E58" s="147"/>
      <c r="F58" s="147"/>
      <c r="G58" s="147"/>
      <c r="H58" s="147"/>
      <c r="J58" s="25"/>
      <c r="K58" s="24"/>
      <c r="N58" s="24"/>
    </row>
    <row r="59" spans="1:14" ht="15.75" customHeight="1">
      <c r="A59" s="93" t="s">
        <v>96</v>
      </c>
      <c r="B59" s="93"/>
      <c r="C59" s="93"/>
      <c r="D59" s="148" t="str">
        <f>(IF(G52="NA","60 Years After Completion",IF(G52&lt;&gt;"NA",""&amp;60-ROUNDDOWN((E3-G52)/360,0)&amp;" Years"," ")))</f>
        <v>60 Years After Completion</v>
      </c>
      <c r="E59" s="148"/>
      <c r="F59" s="148"/>
      <c r="G59" s="148"/>
      <c r="H59" s="148"/>
      <c r="N59" s="24"/>
    </row>
    <row r="60" spans="1:14" ht="15.75" customHeight="1">
      <c r="A60" s="93" t="s">
        <v>97</v>
      </c>
      <c r="B60" s="93"/>
      <c r="C60" s="93"/>
      <c r="D60" s="71" t="s">
        <v>46</v>
      </c>
      <c r="E60" s="71"/>
      <c r="F60" s="71"/>
      <c r="G60" s="71"/>
      <c r="H60" s="71"/>
      <c r="J60" s="26"/>
      <c r="K60" s="26"/>
    </row>
    <row r="61" spans="1:14">
      <c r="A61" s="93" t="s">
        <v>98</v>
      </c>
      <c r="B61" s="93"/>
      <c r="C61" s="93"/>
      <c r="D61" s="149" t="s">
        <v>99</v>
      </c>
      <c r="E61" s="71"/>
      <c r="F61" s="71"/>
      <c r="G61" s="71"/>
      <c r="H61" s="71"/>
    </row>
    <row r="62" spans="1:14">
      <c r="A62" s="71" t="s">
        <v>100</v>
      </c>
      <c r="B62" s="71"/>
      <c r="C62" s="71"/>
      <c r="D62" s="71" t="s">
        <v>12</v>
      </c>
      <c r="E62" s="71"/>
      <c r="F62" s="71"/>
      <c r="G62" s="71"/>
      <c r="H62" s="71"/>
      <c r="I62" s="27"/>
      <c r="J62" s="27"/>
      <c r="K62" s="27"/>
      <c r="L62" s="27"/>
      <c r="M62" s="27"/>
      <c r="N62" s="27"/>
    </row>
    <row r="63" spans="1:14" ht="15.75" customHeight="1">
      <c r="A63" s="130" t="s">
        <v>101</v>
      </c>
      <c r="B63" s="130"/>
      <c r="C63" s="130"/>
      <c r="D63" s="131" t="str">
        <f>(IF(G69&gt;95%,"Nothing",IF(G69&gt;0%,"Cement, Aggregate, Steel, etc",IF(G69=0%,"Work not yet Started"))))</f>
        <v>Cement, Aggregate, Steel, etc</v>
      </c>
      <c r="E63" s="131"/>
      <c r="F63" s="131"/>
      <c r="G63" s="131"/>
      <c r="H63" s="131"/>
      <c r="J63" s="26"/>
    </row>
    <row r="64" spans="1:14" ht="33.75" customHeight="1">
      <c r="A64" s="132" t="s">
        <v>102</v>
      </c>
      <c r="B64" s="132"/>
      <c r="C64" s="132"/>
      <c r="D64" s="131" t="str">
        <f>(IF(D63="Nothing","Yes",IF(D63="Cement, Aggregate, Steel, etc","Under Construction",IF(D63="Work not yet Started","Work not yet Started"))))</f>
        <v>Under Construction</v>
      </c>
      <c r="E64" s="131"/>
      <c r="F64" s="131" t="str">
        <f>(IF(D63="Nothing","Yes",IF(D63="Cement, Aggregate, Steel, etc","Under Construction",IF(D63="Work not yet Started","Work not yet Started"))))</f>
        <v>Under Construction</v>
      </c>
      <c r="G64" s="131"/>
      <c r="H64" s="131"/>
    </row>
    <row r="65" spans="1:13" ht="15.75" customHeight="1">
      <c r="A65" s="133" t="s">
        <v>103</v>
      </c>
      <c r="B65" s="134"/>
      <c r="C65" s="135" t="str">
        <f>D57</f>
        <v>Building No. 1(A &amp; B Wing) = 2B + Gr/St + 4P + 5th to 32nd Floor</v>
      </c>
      <c r="D65" s="136"/>
      <c r="E65" s="136"/>
      <c r="F65" s="136"/>
      <c r="G65" s="136"/>
      <c r="H65" s="137"/>
      <c r="I65" s="42" t="str">
        <f>IF(D78=100%,"All work Completed. Possession granted to the Building.",IF(D77=100%,"All work Completed, Waiting for OC",I66&amp;""&amp;I67&amp;""&amp;J66&amp;""&amp;J65&amp;" "&amp;J67))</f>
        <v>Excavation, Plinth Completed, RCC upto 29 Slab, Brickwork upto 27 Floor, Internal Plaster upto 21.6 Floor, External Plaster upto 17.55 Floor Completed</v>
      </c>
      <c r="J65" s="43" t="str">
        <f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29 Slab, Brickwork upto 27 Floor, Internal Plaster upto 21.6 Floor, External Plaster upto 17.55 Floor</v>
      </c>
    </row>
    <row r="66" spans="1:13">
      <c r="A66" s="28" t="s">
        <v>104</v>
      </c>
      <c r="B66" s="21">
        <v>2</v>
      </c>
      <c r="C66" s="21" t="s">
        <v>105</v>
      </c>
      <c r="D66" s="21">
        <v>1</v>
      </c>
      <c r="E66" s="21" t="s">
        <v>106</v>
      </c>
      <c r="F66" s="21">
        <v>1</v>
      </c>
      <c r="G66" s="29" t="s">
        <v>107</v>
      </c>
      <c r="H66" s="30">
        <v>32</v>
      </c>
      <c r="I66" s="44" t="str">
        <f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45" t="str">
        <f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3" ht="37.15" customHeight="1">
      <c r="A67" s="138" t="s">
        <v>108</v>
      </c>
      <c r="B67" s="139"/>
      <c r="C67" s="140" t="str">
        <f>I65</f>
        <v>Excavation, Plinth Completed, RCC upto 29 Slab, Brickwork upto 27 Floor, Internal Plaster upto 21.6 Floor, External Plaster upto 17.55 Floor Completed</v>
      </c>
      <c r="D67" s="140"/>
      <c r="E67" s="140"/>
      <c r="F67" s="140"/>
      <c r="G67" s="140"/>
      <c r="H67" s="141"/>
      <c r="I67" s="44" t="str">
        <f>IF(I66&lt;&gt;""," Completed","")</f>
        <v xml:space="preserve"> Completed</v>
      </c>
      <c r="J67" s="45" t="str">
        <f>IF(J65&lt;&gt;"","Completed","")</f>
        <v>Completed</v>
      </c>
    </row>
    <row r="68" spans="1:13" ht="15.75" customHeight="1">
      <c r="A68" s="123" t="s">
        <v>109</v>
      </c>
      <c r="B68" s="124"/>
      <c r="C68" s="31" t="s">
        <v>110</v>
      </c>
      <c r="D68" s="31" t="s">
        <v>111</v>
      </c>
      <c r="E68" s="124" t="s">
        <v>112</v>
      </c>
      <c r="F68" s="124"/>
      <c r="G68" s="124" t="s">
        <v>113</v>
      </c>
      <c r="H68" s="129"/>
      <c r="I68" s="46" t="s">
        <v>114</v>
      </c>
      <c r="J68" s="47">
        <f>H66*25%</f>
        <v>8</v>
      </c>
    </row>
    <row r="69" spans="1:13">
      <c r="A69" s="123" t="s">
        <v>115</v>
      </c>
      <c r="B69" s="124"/>
      <c r="C69" s="31">
        <f>J70</f>
        <v>32</v>
      </c>
      <c r="D69" s="32">
        <f>((100/H66)*C69)/100</f>
        <v>1</v>
      </c>
      <c r="E69" s="62">
        <f>(((C70/H66*10)+(40/(D66+F66+H66)*C71)+(7.5/(H66)*C72)+(7.5/(H66)*C73)+(10/H66*C74)+(10/H66*C75)+(5/H66*C76)+(5/H66*C77)+(5/H66*C78))/100)</f>
        <v>0.60992647058823524</v>
      </c>
      <c r="F69" s="63"/>
      <c r="G69" s="62">
        <f>((((C69/H66)*20)+((C70/H66)*25)+(30/(H66+F66+D66)*C71)+(5/H66*C72)+(5/H66*C73)+(5/H66*C74)+(5/H66*C75)+(0/H66*C76)+(0/H66*C77)+(5/H66*C78))/100)</f>
        <v>0.80924172794117655</v>
      </c>
      <c r="H69" s="68"/>
      <c r="I69" s="46" t="s">
        <v>116</v>
      </c>
      <c r="J69" s="48">
        <f>H66*50%</f>
        <v>16</v>
      </c>
    </row>
    <row r="70" spans="1:13">
      <c r="A70" s="123" t="s">
        <v>117</v>
      </c>
      <c r="B70" s="124"/>
      <c r="C70" s="33">
        <v>32</v>
      </c>
      <c r="D70" s="32">
        <f>((100/H66)*C70)/100</f>
        <v>1</v>
      </c>
      <c r="E70" s="64"/>
      <c r="F70" s="65"/>
      <c r="G70" s="64"/>
      <c r="H70" s="69"/>
      <c r="I70" s="46" t="s">
        <v>118</v>
      </c>
      <c r="J70" s="48">
        <f>H66</f>
        <v>32</v>
      </c>
    </row>
    <row r="71" spans="1:13" ht="15.75" customHeight="1">
      <c r="A71" s="123" t="s">
        <v>119</v>
      </c>
      <c r="B71" s="124"/>
      <c r="C71" s="31">
        <v>29</v>
      </c>
      <c r="D71" s="32">
        <f>((100/(D66+F66+H66))*C71)/100</f>
        <v>0.85294117647058831</v>
      </c>
      <c r="E71" s="64"/>
      <c r="F71" s="65"/>
      <c r="G71" s="64"/>
      <c r="H71" s="69"/>
      <c r="I71" s="46" t="s">
        <v>120</v>
      </c>
      <c r="J71" s="49">
        <f>(IF(B66&gt;1,(H66/(B66+2)),H66/4))</f>
        <v>8</v>
      </c>
    </row>
    <row r="72" spans="1:13" ht="15.75" customHeight="1">
      <c r="A72" s="123" t="s">
        <v>121</v>
      </c>
      <c r="B72" s="124" t="s">
        <v>122</v>
      </c>
      <c r="C72" s="31">
        <f>C71-D66-F66</f>
        <v>27</v>
      </c>
      <c r="D72" s="32">
        <f>((100/H66)*C72)/100</f>
        <v>0.84375</v>
      </c>
      <c r="E72" s="64"/>
      <c r="F72" s="65"/>
      <c r="G72" s="64"/>
      <c r="H72" s="69"/>
      <c r="I72" s="46" t="s">
        <v>123</v>
      </c>
      <c r="J72" s="49">
        <f>(IF(B66&gt;1,(H66/(B66+2)+J71),H66/4+J71))</f>
        <v>16</v>
      </c>
    </row>
    <row r="73" spans="1:13" ht="15.75" customHeight="1">
      <c r="A73" s="123" t="s">
        <v>124</v>
      </c>
      <c r="B73" s="124" t="s">
        <v>122</v>
      </c>
      <c r="C73" s="34">
        <f>C72*0.8</f>
        <v>21.6</v>
      </c>
      <c r="D73" s="32">
        <f>((100/H66)*C73)/100</f>
        <v>0.67500000000000004</v>
      </c>
      <c r="E73" s="64"/>
      <c r="F73" s="65"/>
      <c r="G73" s="64"/>
      <c r="H73" s="69"/>
      <c r="I73" s="46" t="s">
        <v>125</v>
      </c>
      <c r="J73" s="49">
        <f>(IF(B66&gt;1,(H66/(B66+2)+J72),0))</f>
        <v>24</v>
      </c>
    </row>
    <row r="74" spans="1:13" ht="15" customHeight="1">
      <c r="A74" s="123" t="s">
        <v>126</v>
      </c>
      <c r="B74" s="124" t="s">
        <v>127</v>
      </c>
      <c r="C74" s="34">
        <f>C72*0.65</f>
        <v>17.55</v>
      </c>
      <c r="D74" s="32">
        <f>((100/(H66))*C74)/100</f>
        <v>0.54843750000000002</v>
      </c>
      <c r="E74" s="64"/>
      <c r="F74" s="65"/>
      <c r="G74" s="64"/>
      <c r="H74" s="69"/>
      <c r="I74" s="46" t="s">
        <v>128</v>
      </c>
      <c r="J74" s="49">
        <f>(IF(B66&gt;2,(H66/(B66+2)+J73),0))</f>
        <v>0</v>
      </c>
    </row>
    <row r="75" spans="1:13" ht="15.75" customHeight="1">
      <c r="A75" s="123" t="s">
        <v>129</v>
      </c>
      <c r="B75" s="124" t="s">
        <v>129</v>
      </c>
      <c r="C75" s="31">
        <v>0</v>
      </c>
      <c r="D75" s="32">
        <f>((100/H66)*C75)/100</f>
        <v>0</v>
      </c>
      <c r="E75" s="64"/>
      <c r="F75" s="65"/>
      <c r="G75" s="64"/>
      <c r="H75" s="69"/>
      <c r="I75" s="46" t="s">
        <v>130</v>
      </c>
      <c r="J75" s="50">
        <f>(IF(B66&gt;3,(H66/(B66+2)+J74),0))</f>
        <v>0</v>
      </c>
    </row>
    <row r="76" spans="1:13" ht="15.75" customHeight="1">
      <c r="A76" s="123" t="s">
        <v>131</v>
      </c>
      <c r="B76" s="124"/>
      <c r="C76" s="31">
        <v>0</v>
      </c>
      <c r="D76" s="32">
        <f>((100/H66)*C76)/100</f>
        <v>0</v>
      </c>
      <c r="E76" s="64"/>
      <c r="F76" s="65"/>
      <c r="G76" s="64"/>
      <c r="H76" s="69"/>
      <c r="I76" s="46" t="s">
        <v>132</v>
      </c>
      <c r="J76" s="49">
        <f>(IF(B66&gt;4,(H66/(B66+2)+J75),0))</f>
        <v>0</v>
      </c>
    </row>
    <row r="77" spans="1:13" ht="15.75" customHeight="1">
      <c r="A77" s="123" t="s">
        <v>133</v>
      </c>
      <c r="B77" s="124" t="s">
        <v>133</v>
      </c>
      <c r="C77" s="31">
        <v>0</v>
      </c>
      <c r="D77" s="32">
        <f>((100/(H66))*C77)/100</f>
        <v>0</v>
      </c>
      <c r="E77" s="64"/>
      <c r="F77" s="65"/>
      <c r="G77" s="64"/>
      <c r="H77" s="69"/>
      <c r="I77" s="46" t="s">
        <v>134</v>
      </c>
      <c r="J77" s="49">
        <f>(IF(B66=1,(H66/(B66+3)+J72),IF(B66=0,(H66/4+J72),IF(B66&gt;1,0))))</f>
        <v>0</v>
      </c>
    </row>
    <row r="78" spans="1:13">
      <c r="A78" s="125" t="s">
        <v>135</v>
      </c>
      <c r="B78" s="126"/>
      <c r="C78" s="35">
        <v>0</v>
      </c>
      <c r="D78" s="36">
        <f>((100/(H66))*C78)/100</f>
        <v>0</v>
      </c>
      <c r="E78" s="66"/>
      <c r="F78" s="67"/>
      <c r="G78" s="66"/>
      <c r="H78" s="70"/>
      <c r="I78" s="51" t="s">
        <v>136</v>
      </c>
      <c r="J78" s="52">
        <f>(IF(B66&gt;1.5,(H66/(B66+2)+J72+MAX(0,J73-J72)+MAX(0,J74-J73)+MAX(0,J75-J74)+MAX(0,J76-J75)+MAX(0,J77-J76)),IF(B66=1,(H66/(B66+3)+J77),IF(B66=0,H66/4+J77))))</f>
        <v>32</v>
      </c>
    </row>
    <row r="79" spans="1:13">
      <c r="A79" s="127" t="s">
        <v>137</v>
      </c>
      <c r="B79" s="127"/>
      <c r="C79" s="127"/>
      <c r="D79" s="127"/>
      <c r="E79" s="127"/>
      <c r="F79" s="128" t="s">
        <v>138</v>
      </c>
      <c r="G79" s="128"/>
      <c r="H79" s="128"/>
    </row>
    <row r="80" spans="1:13">
      <c r="A80" s="93" t="s">
        <v>139</v>
      </c>
      <c r="B80" s="93"/>
      <c r="C80" s="93"/>
      <c r="D80" s="93"/>
      <c r="E80" s="93"/>
      <c r="F80" s="122">
        <v>11000</v>
      </c>
      <c r="G80" s="122"/>
      <c r="H80" s="122"/>
      <c r="I80" s="53" t="s">
        <v>140</v>
      </c>
      <c r="J80" s="53"/>
      <c r="K80" s="53" t="s">
        <v>141</v>
      </c>
      <c r="L80" s="53" t="s">
        <v>142</v>
      </c>
      <c r="M80" s="54">
        <v>45077</v>
      </c>
    </row>
    <row r="81" spans="1:9">
      <c r="A81" s="93" t="s">
        <v>143</v>
      </c>
      <c r="B81" s="93"/>
      <c r="C81" s="93"/>
      <c r="D81" s="93"/>
      <c r="E81" s="93"/>
      <c r="F81" s="122">
        <v>18000</v>
      </c>
      <c r="G81" s="122"/>
      <c r="H81" s="122"/>
      <c r="I81" s="20" t="s">
        <v>144</v>
      </c>
    </row>
    <row r="82" spans="1:9" hidden="1">
      <c r="A82" s="93" t="s">
        <v>145</v>
      </c>
      <c r="B82" s="93"/>
      <c r="C82" s="93"/>
      <c r="D82" s="93"/>
      <c r="E82" s="93"/>
      <c r="F82" s="122"/>
      <c r="G82" s="122"/>
      <c r="H82" s="122"/>
    </row>
    <row r="83" spans="1:9" s="15" customFormat="1" hidden="1">
      <c r="A83" s="93" t="s">
        <v>146</v>
      </c>
      <c r="B83" s="93"/>
      <c r="C83" s="93"/>
      <c r="D83" s="93"/>
      <c r="E83" s="93"/>
      <c r="F83" s="122"/>
      <c r="G83" s="122"/>
      <c r="H83" s="122"/>
    </row>
    <row r="84" spans="1:9" s="15" customFormat="1">
      <c r="A84" s="93" t="s">
        <v>147</v>
      </c>
      <c r="B84" s="93"/>
      <c r="C84" s="93"/>
      <c r="D84" s="93"/>
      <c r="E84" s="93"/>
      <c r="F84" s="122">
        <v>700000</v>
      </c>
      <c r="G84" s="122"/>
      <c r="H84" s="122"/>
    </row>
    <row r="85" spans="1:9" s="15" customFormat="1" hidden="1">
      <c r="A85" s="93" t="s">
        <v>148</v>
      </c>
      <c r="B85" s="93"/>
      <c r="C85" s="93"/>
      <c r="D85" s="93"/>
      <c r="E85" s="93"/>
      <c r="F85" s="122"/>
      <c r="G85" s="122"/>
      <c r="H85" s="122"/>
    </row>
    <row r="86" spans="1:9" s="15" customFormat="1" hidden="1">
      <c r="A86" s="93" t="s">
        <v>149</v>
      </c>
      <c r="B86" s="93"/>
      <c r="C86" s="93"/>
      <c r="D86" s="93"/>
      <c r="E86" s="93"/>
      <c r="F86" s="122">
        <v>2</v>
      </c>
      <c r="G86" s="122"/>
      <c r="H86" s="122"/>
    </row>
    <row r="87" spans="1:9" s="15" customFormat="1" hidden="1">
      <c r="A87" s="93" t="s">
        <v>150</v>
      </c>
      <c r="B87" s="93"/>
      <c r="C87" s="93"/>
      <c r="D87" s="93"/>
      <c r="E87" s="93"/>
      <c r="F87" s="122"/>
      <c r="G87" s="122"/>
      <c r="H87" s="122"/>
    </row>
    <row r="88" spans="1:9" s="15" customFormat="1" hidden="1">
      <c r="A88" s="93" t="s">
        <v>151</v>
      </c>
      <c r="B88" s="93"/>
      <c r="C88" s="93"/>
      <c r="D88" s="93"/>
      <c r="E88" s="93"/>
      <c r="F88" s="122"/>
      <c r="G88" s="122"/>
      <c r="H88" s="122"/>
    </row>
    <row r="89" spans="1:9" s="15" customFormat="1" hidden="1">
      <c r="A89" s="93" t="s">
        <v>152</v>
      </c>
      <c r="B89" s="93"/>
      <c r="C89" s="93"/>
      <c r="D89" s="93"/>
      <c r="E89" s="93"/>
      <c r="F89" s="122"/>
      <c r="G89" s="122"/>
      <c r="H89" s="122"/>
    </row>
    <row r="90" spans="1:9" s="15" customFormat="1" hidden="1">
      <c r="A90" s="93" t="s">
        <v>153</v>
      </c>
      <c r="B90" s="93"/>
      <c r="C90" s="93"/>
      <c r="D90" s="93"/>
      <c r="E90" s="93"/>
      <c r="F90" s="122"/>
      <c r="G90" s="122"/>
      <c r="H90" s="122"/>
    </row>
    <row r="91" spans="1:9">
      <c r="A91" s="93" t="s">
        <v>154</v>
      </c>
      <c r="B91" s="93"/>
      <c r="C91" s="93"/>
      <c r="D91" s="93"/>
      <c r="E91" s="93"/>
      <c r="F91" s="122">
        <v>700000</v>
      </c>
      <c r="G91" s="122"/>
      <c r="H91" s="122"/>
    </row>
    <row r="92" spans="1:9" s="16" customFormat="1">
      <c r="A92" s="121" t="s">
        <v>155</v>
      </c>
      <c r="B92" s="121"/>
      <c r="C92" s="121"/>
      <c r="D92" s="121"/>
      <c r="E92" s="121"/>
      <c r="F92" s="122">
        <f>F80*0.8</f>
        <v>8800</v>
      </c>
      <c r="G92" s="122"/>
      <c r="H92" s="122"/>
    </row>
    <row r="93" spans="1:9" s="17" customFormat="1" ht="15.75" customHeight="1">
      <c r="A93" s="112" t="s">
        <v>156</v>
      </c>
      <c r="B93" s="112"/>
      <c r="C93" s="112"/>
      <c r="D93" s="112"/>
      <c r="E93" s="112"/>
      <c r="F93" s="112"/>
      <c r="G93" s="112"/>
      <c r="H93" s="112"/>
    </row>
    <row r="94" spans="1:9" s="17" customFormat="1" ht="15.75" customHeight="1">
      <c r="A94" s="115" t="s">
        <v>157</v>
      </c>
      <c r="B94" s="115"/>
      <c r="C94" s="114" t="s">
        <v>158</v>
      </c>
      <c r="D94" s="114"/>
      <c r="E94" s="116" t="s">
        <v>159</v>
      </c>
      <c r="F94" s="116"/>
      <c r="G94" s="115" t="s">
        <v>160</v>
      </c>
      <c r="H94" s="115"/>
    </row>
    <row r="95" spans="1:9" s="17" customFormat="1" ht="15.75" customHeight="1">
      <c r="A95" s="88" t="s">
        <v>161</v>
      </c>
      <c r="B95" s="37" t="s">
        <v>162</v>
      </c>
      <c r="C95" s="117">
        <f>COUNT(D117:D124)</f>
        <v>8</v>
      </c>
      <c r="D95" s="119"/>
      <c r="E95" s="118">
        <f>SUM(D117:D124)</f>
        <v>3216.8213999999998</v>
      </c>
      <c r="F95" s="120"/>
      <c r="G95" s="118">
        <f>SUM(F117:F124)</f>
        <v>5146.9142400000001</v>
      </c>
      <c r="H95" s="120"/>
    </row>
    <row r="96" spans="1:9" s="17" customFormat="1">
      <c r="A96" s="89"/>
      <c r="B96" s="37" t="s">
        <v>163</v>
      </c>
      <c r="C96" s="117">
        <f>COUNT(D128:D132)</f>
        <v>5</v>
      </c>
      <c r="D96" s="119"/>
      <c r="E96" s="118">
        <f>SUM(D128:D132)</f>
        <v>2307.0481199999999</v>
      </c>
      <c r="F96" s="120"/>
      <c r="G96" s="118">
        <f>SUM(F128:F132)</f>
        <v>3691.2769920000001</v>
      </c>
      <c r="H96" s="120"/>
    </row>
    <row r="97" spans="1:11" s="17" customFormat="1">
      <c r="A97" s="112" t="s">
        <v>164</v>
      </c>
      <c r="B97" s="112"/>
      <c r="C97" s="113">
        <f>SUM(C95:C96)</f>
        <v>13</v>
      </c>
      <c r="D97" s="114"/>
      <c r="E97" s="113">
        <f t="shared" ref="E97" si="0">SUM(E95:E96)</f>
        <v>5523.8695200000002</v>
      </c>
      <c r="F97" s="114"/>
      <c r="G97" s="113">
        <f t="shared" ref="G97" si="1">SUM(G95:G96)</f>
        <v>8838.191232000001</v>
      </c>
      <c r="H97" s="114"/>
      <c r="K97" s="55">
        <f>G97+G102+G107</f>
        <v>261052.27387199999</v>
      </c>
    </row>
    <row r="98" spans="1:11" s="17" customFormat="1">
      <c r="A98" s="112" t="s">
        <v>165</v>
      </c>
      <c r="B98" s="112"/>
      <c r="C98" s="112"/>
      <c r="D98" s="112"/>
      <c r="E98" s="112"/>
      <c r="F98" s="112"/>
      <c r="G98" s="112"/>
      <c r="H98" s="112"/>
      <c r="K98" s="55">
        <f>E97+E102+E107</f>
        <v>163157.67116999999</v>
      </c>
    </row>
    <row r="99" spans="1:11" s="17" customFormat="1" ht="15.75" customHeight="1">
      <c r="A99" s="115" t="s">
        <v>157</v>
      </c>
      <c r="B99" s="115"/>
      <c r="C99" s="114" t="s">
        <v>158</v>
      </c>
      <c r="D99" s="114"/>
      <c r="E99" s="116" t="s">
        <v>159</v>
      </c>
      <c r="F99" s="116"/>
      <c r="G99" s="115" t="s">
        <v>160</v>
      </c>
      <c r="H99" s="115"/>
    </row>
    <row r="100" spans="1:11" s="17" customFormat="1">
      <c r="A100" s="88" t="s">
        <v>161</v>
      </c>
      <c r="B100" s="37" t="s">
        <v>162</v>
      </c>
      <c r="C100" s="117">
        <f>COUNT(D140:D142)+COUNT(D147:D149)+COUNT(D154:D157,D159)*10+COUNT(D161:D164,D166)*2+COUNT(D168:D173)*5+COUNT(D175:D180)*2</f>
        <v>108</v>
      </c>
      <c r="D100" s="117"/>
      <c r="E100" s="118">
        <f>SUM(D140:D142)+SUM(D147:D149)+SUM(D154:D157,D159)*10+SUM(D161:D164,D166)*2+SUM(D168:D173)*5+SUM(D175:D180)*2</f>
        <v>86236.674029999995</v>
      </c>
      <c r="F100" s="118"/>
      <c r="G100" s="118">
        <f>SUM(F140:F142)+SUM(F147:F149)+SUM(F154:F157,F159)*10+SUM(F161:F164,F166)*2+SUM(F168:F173)*5+SUM(F175:F180)*2</f>
        <v>137978.67844799999</v>
      </c>
      <c r="H100" s="118"/>
    </row>
    <row r="101" spans="1:11" s="17" customFormat="1">
      <c r="A101" s="89"/>
      <c r="B101" s="37" t="s">
        <v>163</v>
      </c>
      <c r="C101" s="117">
        <f>COUNT(D184:D185)+COUNT(D189:D190)+COUNT(D194:D196)*10+COUNT(D199:D201)*2+COUNT(D204:D207)*5+COUNT(D209:D212)</f>
        <v>64</v>
      </c>
      <c r="D101" s="117"/>
      <c r="E101" s="118">
        <f>SUM(D184:D185)+SUM(D189:D190)+SUM(D194:D196)*10+SUM(D199:D201)*2+SUM(D204:D207)*5+SUM(D209:D212)</f>
        <v>56163.699540000001</v>
      </c>
      <c r="F101" s="118"/>
      <c r="G101" s="118">
        <f>SUM(F184:F185)+SUM(F189:F190)+SUM(F194:F196)*10+SUM(F199:F201)*2+SUM(F204:F207)*5+SUM(F209:F212)</f>
        <v>89861.919263999996</v>
      </c>
      <c r="H101" s="118"/>
    </row>
    <row r="102" spans="1:11" s="17" customFormat="1">
      <c r="A102" s="112" t="s">
        <v>164</v>
      </c>
      <c r="B102" s="112"/>
      <c r="C102" s="113">
        <f>SUM(C100:C101)</f>
        <v>172</v>
      </c>
      <c r="D102" s="114"/>
      <c r="E102" s="113">
        <f t="shared" ref="E102" si="2">SUM(E100:E101)</f>
        <v>142400.37357</v>
      </c>
      <c r="F102" s="114"/>
      <c r="G102" s="113">
        <f t="shared" ref="G102" si="3">SUM(G100:G101)</f>
        <v>227840.59771199999</v>
      </c>
      <c r="H102" s="114"/>
    </row>
    <row r="103" spans="1:11" s="17" customFormat="1">
      <c r="A103" s="112" t="s">
        <v>166</v>
      </c>
      <c r="B103" s="112"/>
      <c r="C103" s="112"/>
      <c r="D103" s="112"/>
      <c r="E103" s="112"/>
      <c r="F103" s="112"/>
      <c r="G103" s="112"/>
      <c r="H103" s="112"/>
    </row>
    <row r="104" spans="1:11" s="17" customFormat="1" ht="15.75" customHeight="1">
      <c r="A104" s="115" t="s">
        <v>157</v>
      </c>
      <c r="B104" s="115"/>
      <c r="C104" s="114" t="s">
        <v>158</v>
      </c>
      <c r="D104" s="114"/>
      <c r="E104" s="116" t="s">
        <v>159</v>
      </c>
      <c r="F104" s="116"/>
      <c r="G104" s="115" t="s">
        <v>160</v>
      </c>
      <c r="H104" s="115"/>
    </row>
    <row r="105" spans="1:11" s="17" customFormat="1">
      <c r="A105" s="88" t="s">
        <v>161</v>
      </c>
      <c r="B105" s="37" t="s">
        <v>162</v>
      </c>
      <c r="C105" s="117">
        <f>COUNT(D158)*10+COUNT(D165)*2</f>
        <v>12</v>
      </c>
      <c r="D105" s="117"/>
      <c r="E105" s="118">
        <f t="shared" ref="E105" si="4">SUM(D158)*10+SUM(D165)*2</f>
        <v>7609.6097999999993</v>
      </c>
      <c r="F105" s="118"/>
      <c r="G105" s="118">
        <f>SUM(F158)*10+SUM(F165)*2</f>
        <v>12175.375679999999</v>
      </c>
      <c r="H105" s="118"/>
    </row>
    <row r="106" spans="1:11" s="17" customFormat="1">
      <c r="A106" s="89"/>
      <c r="B106" s="37" t="s">
        <v>163</v>
      </c>
      <c r="C106" s="117">
        <f>COUNT(D197)*10+COUNT(D202)*2</f>
        <v>12</v>
      </c>
      <c r="D106" s="117"/>
      <c r="E106" s="118">
        <f>SUM(D197)*10+SUM(D202)*2</f>
        <v>7623.8182799999995</v>
      </c>
      <c r="F106" s="118"/>
      <c r="G106" s="118">
        <f>SUM(F197)*10+SUM(F202)*2</f>
        <v>12198.109247999999</v>
      </c>
      <c r="H106" s="118"/>
    </row>
    <row r="107" spans="1:11" s="17" customFormat="1" ht="16.5" thickBot="1">
      <c r="A107" s="179" t="s">
        <v>164</v>
      </c>
      <c r="B107" s="179"/>
      <c r="C107" s="180">
        <f>SUM(C105:C106)</f>
        <v>24</v>
      </c>
      <c r="D107" s="181"/>
      <c r="E107" s="180">
        <f t="shared" ref="E107" si="5">SUM(E105:E106)</f>
        <v>15233.428079999998</v>
      </c>
      <c r="F107" s="181"/>
      <c r="G107" s="180">
        <f t="shared" ref="G107" si="6">SUM(G105:G106)</f>
        <v>24373.484927999998</v>
      </c>
      <c r="H107" s="181"/>
    </row>
    <row r="108" spans="1:11" s="17" customFormat="1" ht="16.5" thickBot="1">
      <c r="A108" s="182" t="s">
        <v>167</v>
      </c>
      <c r="B108" s="183"/>
      <c r="C108" s="184">
        <f>C107+C102+C97</f>
        <v>209</v>
      </c>
      <c r="D108" s="185"/>
      <c r="E108" s="184">
        <f>E97+E102+E107</f>
        <v>163157.67116999999</v>
      </c>
      <c r="F108" s="185"/>
      <c r="G108" s="184">
        <f>G97+G102+G107</f>
        <v>261052.27387199999</v>
      </c>
      <c r="H108" s="186"/>
    </row>
    <row r="109" spans="1:11" s="16" customFormat="1">
      <c r="A109" s="128" t="s">
        <v>168</v>
      </c>
      <c r="B109" s="128"/>
      <c r="C109" s="128"/>
      <c r="D109" s="128"/>
      <c r="E109" s="128"/>
      <c r="F109" s="128"/>
      <c r="G109" s="128"/>
      <c r="H109" s="128"/>
    </row>
    <row r="110" spans="1:11">
      <c r="A110" s="111" t="s">
        <v>169</v>
      </c>
      <c r="B110" s="111"/>
      <c r="C110" s="111"/>
      <c r="D110" s="111"/>
      <c r="E110" s="111"/>
      <c r="F110" s="111"/>
      <c r="G110" s="111"/>
      <c r="H110" s="111"/>
    </row>
    <row r="111" spans="1:11" ht="47.25" customHeight="1">
      <c r="A111" s="90" t="s">
        <v>170</v>
      </c>
      <c r="B111" s="90" t="s">
        <v>171</v>
      </c>
      <c r="C111" s="90" t="s">
        <v>172</v>
      </c>
      <c r="D111" s="90" t="s">
        <v>173</v>
      </c>
      <c r="E111" s="109" t="s">
        <v>174</v>
      </c>
      <c r="F111" s="38" t="s">
        <v>175</v>
      </c>
      <c r="G111" s="83" t="s">
        <v>176</v>
      </c>
      <c r="H111" s="84"/>
    </row>
    <row r="112" spans="1:11" s="18" customFormat="1">
      <c r="A112" s="91"/>
      <c r="B112" s="91"/>
      <c r="C112" s="91"/>
      <c r="D112" s="91"/>
      <c r="E112" s="110"/>
      <c r="F112" s="39">
        <v>0.6</v>
      </c>
      <c r="G112" s="85"/>
      <c r="H112" s="86"/>
    </row>
    <row r="113" spans="1:14" s="18" customFormat="1">
      <c r="A113" s="102" t="s">
        <v>161</v>
      </c>
      <c r="B113" s="103"/>
      <c r="C113" s="103"/>
      <c r="D113" s="103"/>
      <c r="E113" s="103"/>
      <c r="F113" s="103"/>
      <c r="G113" s="103"/>
      <c r="H113" s="104"/>
      <c r="J113" s="56"/>
    </row>
    <row r="114" spans="1:14" s="18" customFormat="1">
      <c r="A114" s="102" t="s">
        <v>177</v>
      </c>
      <c r="B114" s="103"/>
      <c r="C114" s="103"/>
      <c r="D114" s="103"/>
      <c r="E114" s="103"/>
      <c r="F114" s="103"/>
      <c r="G114" s="103"/>
      <c r="H114" s="104"/>
      <c r="J114" s="56"/>
    </row>
    <row r="115" spans="1:14" s="18" customFormat="1">
      <c r="A115" s="102" t="s">
        <v>178</v>
      </c>
      <c r="B115" s="103"/>
      <c r="C115" s="103"/>
      <c r="D115" s="103"/>
      <c r="E115" s="103"/>
      <c r="F115" s="103"/>
      <c r="G115" s="103"/>
      <c r="H115" s="104"/>
      <c r="J115" s="56"/>
    </row>
    <row r="116" spans="1:14" s="18" customFormat="1">
      <c r="A116" s="102" t="s">
        <v>179</v>
      </c>
      <c r="B116" s="103"/>
      <c r="C116" s="103"/>
      <c r="D116" s="103"/>
      <c r="E116" s="103"/>
      <c r="F116" s="103"/>
      <c r="G116" s="103"/>
      <c r="H116" s="104"/>
      <c r="J116" s="56"/>
    </row>
    <row r="117" spans="1:14" s="18" customFormat="1" ht="15.75" customHeight="1">
      <c r="A117" s="40">
        <v>1</v>
      </c>
      <c r="B117" s="40" t="s">
        <v>180</v>
      </c>
      <c r="C117" s="40" t="s">
        <v>181</v>
      </c>
      <c r="D117" s="41">
        <f>(45.16)*(10.764)</f>
        <v>486.10223999999994</v>
      </c>
      <c r="E117" s="40">
        <v>0</v>
      </c>
      <c r="F117" s="40">
        <f>(D117+E117)*(($F$112)+1)</f>
        <v>777.76358399999992</v>
      </c>
      <c r="G117" s="77" t="str">
        <f>A116</f>
        <v>Ground Floor For Commercial, Society Office, Entrance Lobby &amp; Meter Room</v>
      </c>
      <c r="H117" s="78"/>
      <c r="I117" s="57">
        <f>3.1*4.65+1.8*1.5+1.2*1.35</f>
        <v>18.735000000000003</v>
      </c>
      <c r="L117" s="101"/>
      <c r="M117" s="101"/>
      <c r="N117" s="56"/>
    </row>
    <row r="118" spans="1:14" s="18" customFormat="1" ht="15.75" customHeight="1">
      <c r="A118" s="40">
        <f t="shared" ref="A118:A124" si="7">A117+1</f>
        <v>2</v>
      </c>
      <c r="B118" s="40" t="s">
        <v>180</v>
      </c>
      <c r="C118" s="40" t="s">
        <v>181</v>
      </c>
      <c r="D118" s="41">
        <f>(53.45)*(10.764)</f>
        <v>575.33579999999995</v>
      </c>
      <c r="E118" s="40">
        <v>0</v>
      </c>
      <c r="F118" s="40">
        <f t="shared" ref="F118:F123" si="8">(D118+E118)*(($F$112)+1)</f>
        <v>920.53728000000001</v>
      </c>
      <c r="G118" s="79"/>
      <c r="H118" s="80"/>
      <c r="I118" s="56"/>
      <c r="J118" s="41">
        <f>10.764</f>
        <v>10.763999999999999</v>
      </c>
      <c r="L118" s="101"/>
      <c r="M118" s="101"/>
      <c r="N118" s="56"/>
    </row>
    <row r="119" spans="1:14" s="18" customFormat="1" ht="15.75" customHeight="1">
      <c r="A119" s="40">
        <f t="shared" si="7"/>
        <v>3</v>
      </c>
      <c r="B119" s="40" t="s">
        <v>180</v>
      </c>
      <c r="C119" s="40" t="s">
        <v>181</v>
      </c>
      <c r="D119" s="41">
        <f>(21.86)*(10.764)</f>
        <v>235.30103999999997</v>
      </c>
      <c r="E119" s="40">
        <v>0</v>
      </c>
      <c r="F119" s="40">
        <f t="shared" si="8"/>
        <v>376.48166399999997</v>
      </c>
      <c r="G119" s="79"/>
      <c r="H119" s="80"/>
      <c r="I119" s="56"/>
      <c r="L119" s="101"/>
      <c r="M119" s="101"/>
      <c r="N119" s="56"/>
    </row>
    <row r="120" spans="1:14" s="18" customFormat="1" ht="15.75" customHeight="1">
      <c r="A120" s="40">
        <f t="shared" si="7"/>
        <v>4</v>
      </c>
      <c r="B120" s="40" t="s">
        <v>180</v>
      </c>
      <c r="C120" s="40" t="s">
        <v>181</v>
      </c>
      <c r="D120" s="41">
        <f>(44.75)*(10.764)</f>
        <v>481.68899999999996</v>
      </c>
      <c r="E120" s="40">
        <v>0</v>
      </c>
      <c r="F120" s="40">
        <f t="shared" si="8"/>
        <v>770.70240000000001</v>
      </c>
      <c r="G120" s="79"/>
      <c r="H120" s="80"/>
      <c r="I120" s="57">
        <f>4.35*4.83+2.85*2.5+1.35*1.35</f>
        <v>29.957999999999998</v>
      </c>
      <c r="L120" s="101"/>
      <c r="M120" s="101"/>
      <c r="N120" s="56"/>
    </row>
    <row r="121" spans="1:14" s="18" customFormat="1" ht="15.75" customHeight="1">
      <c r="A121" s="40">
        <f t="shared" si="7"/>
        <v>5</v>
      </c>
      <c r="B121" s="40" t="s">
        <v>180</v>
      </c>
      <c r="C121" s="40" t="s">
        <v>181</v>
      </c>
      <c r="D121" s="41">
        <f>(30.28)*(10.764)</f>
        <v>325.93392</v>
      </c>
      <c r="E121" s="40">
        <v>0</v>
      </c>
      <c r="F121" s="40">
        <f t="shared" si="8"/>
        <v>521.49427200000002</v>
      </c>
      <c r="G121" s="79"/>
      <c r="H121" s="80"/>
      <c r="I121" s="56"/>
      <c r="L121" s="101"/>
      <c r="M121" s="101"/>
      <c r="N121" s="56"/>
    </row>
    <row r="122" spans="1:14" s="18" customFormat="1" ht="15.75" customHeight="1">
      <c r="A122" s="40">
        <f t="shared" si="7"/>
        <v>6</v>
      </c>
      <c r="B122" s="40" t="s">
        <v>180</v>
      </c>
      <c r="C122" s="40" t="s">
        <v>181</v>
      </c>
      <c r="D122" s="41">
        <f>(31.37)*(10.764)</f>
        <v>337.66667999999999</v>
      </c>
      <c r="E122" s="40">
        <v>0</v>
      </c>
      <c r="F122" s="40">
        <f t="shared" si="8"/>
        <v>540.26668800000004</v>
      </c>
      <c r="G122" s="79"/>
      <c r="H122" s="80"/>
      <c r="I122" s="56"/>
      <c r="L122" s="101"/>
      <c r="M122" s="101"/>
      <c r="N122" s="56"/>
    </row>
    <row r="123" spans="1:14" s="18" customFormat="1" ht="15.75" customHeight="1">
      <c r="A123" s="40">
        <f t="shared" si="7"/>
        <v>7</v>
      </c>
      <c r="B123" s="40" t="s">
        <v>180</v>
      </c>
      <c r="C123" s="40" t="s">
        <v>181</v>
      </c>
      <c r="D123" s="41">
        <f>(46.71)*(10.764)</f>
        <v>502.78643999999997</v>
      </c>
      <c r="E123" s="40">
        <v>0</v>
      </c>
      <c r="F123" s="40">
        <f t="shared" si="8"/>
        <v>804.458304</v>
      </c>
      <c r="G123" s="79"/>
      <c r="H123" s="80"/>
      <c r="I123" s="56"/>
      <c r="L123" s="101"/>
      <c r="M123" s="101"/>
      <c r="N123" s="56"/>
    </row>
    <row r="124" spans="1:14" s="18" customFormat="1" ht="15.75" customHeight="1">
      <c r="A124" s="40">
        <f t="shared" si="7"/>
        <v>8</v>
      </c>
      <c r="B124" s="40" t="s">
        <v>180</v>
      </c>
      <c r="C124" s="40" t="s">
        <v>181</v>
      </c>
      <c r="D124" s="41">
        <f>(25.27)*(10.764)</f>
        <v>272.00628</v>
      </c>
      <c r="E124" s="40">
        <v>0</v>
      </c>
      <c r="F124" s="40">
        <f t="shared" ref="F124" si="9">(D124+E124)*(($F$112)+1)</f>
        <v>435.21004800000003</v>
      </c>
      <c r="G124" s="81"/>
      <c r="H124" s="82"/>
      <c r="I124" s="56"/>
      <c r="L124" s="101"/>
      <c r="M124" s="101"/>
      <c r="N124" s="56"/>
    </row>
    <row r="125" spans="1:14" s="18" customFormat="1">
      <c r="A125" s="102" t="s">
        <v>182</v>
      </c>
      <c r="B125" s="103"/>
      <c r="C125" s="103"/>
      <c r="D125" s="103"/>
      <c r="E125" s="103"/>
      <c r="F125" s="103"/>
      <c r="G125" s="103"/>
      <c r="H125" s="104"/>
      <c r="J125" s="56"/>
    </row>
    <row r="126" spans="1:14" s="18" customFormat="1">
      <c r="A126" s="102" t="s">
        <v>178</v>
      </c>
      <c r="B126" s="103"/>
      <c r="C126" s="103"/>
      <c r="D126" s="103"/>
      <c r="E126" s="103"/>
      <c r="F126" s="103"/>
      <c r="G126" s="103"/>
      <c r="H126" s="104"/>
      <c r="J126" s="56"/>
    </row>
    <row r="127" spans="1:14" s="18" customFormat="1">
      <c r="A127" s="102" t="s">
        <v>183</v>
      </c>
      <c r="B127" s="103"/>
      <c r="C127" s="103"/>
      <c r="D127" s="103"/>
      <c r="E127" s="103"/>
      <c r="F127" s="103"/>
      <c r="G127" s="103"/>
      <c r="H127" s="104"/>
      <c r="J127" s="56"/>
    </row>
    <row r="128" spans="1:14" s="18" customFormat="1" ht="15.75" customHeight="1">
      <c r="A128" s="40">
        <v>9</v>
      </c>
      <c r="B128" s="40" t="s">
        <v>180</v>
      </c>
      <c r="C128" s="40" t="s">
        <v>181</v>
      </c>
      <c r="D128" s="41">
        <f>(23.36)*(10.764)</f>
        <v>251.44703999999999</v>
      </c>
      <c r="E128" s="40">
        <v>0</v>
      </c>
      <c r="F128" s="40">
        <f>(D128+E128)*(($F$112)+1)</f>
        <v>402.31526400000001</v>
      </c>
      <c r="G128" s="77" t="str">
        <f>A127</f>
        <v>Ground Floor For Commercial, Drivers Room, Entrance Lobby &amp; Meter Room</v>
      </c>
      <c r="H128" s="78"/>
      <c r="I128" s="57"/>
      <c r="L128" s="101"/>
      <c r="M128" s="101"/>
      <c r="N128" s="56"/>
    </row>
    <row r="129" spans="1:14" s="18" customFormat="1" ht="15.75" customHeight="1">
      <c r="A129" s="40">
        <f t="shared" ref="A129:A132" si="10">A128+1</f>
        <v>10</v>
      </c>
      <c r="B129" s="40" t="s">
        <v>180</v>
      </c>
      <c r="C129" s="40" t="s">
        <v>181</v>
      </c>
      <c r="D129" s="41">
        <f>(47.71)*(10.764)</f>
        <v>513.55043999999998</v>
      </c>
      <c r="E129" s="40">
        <v>0</v>
      </c>
      <c r="F129" s="40">
        <f t="shared" ref="F129:F132" si="11">(D129+E129)*(($F$112)+1)</f>
        <v>821.68070399999999</v>
      </c>
      <c r="G129" s="79"/>
      <c r="H129" s="80"/>
      <c r="I129" s="56"/>
      <c r="L129" s="101"/>
      <c r="M129" s="101"/>
      <c r="N129" s="56"/>
    </row>
    <row r="130" spans="1:14" s="18" customFormat="1" ht="15.75" customHeight="1">
      <c r="A130" s="40">
        <f t="shared" si="10"/>
        <v>11</v>
      </c>
      <c r="B130" s="40" t="s">
        <v>180</v>
      </c>
      <c r="C130" s="40" t="s">
        <v>181</v>
      </c>
      <c r="D130" s="41">
        <f>(30.55)*(10.764)</f>
        <v>328.84019999999998</v>
      </c>
      <c r="E130" s="40">
        <v>0</v>
      </c>
      <c r="F130" s="40">
        <f t="shared" si="11"/>
        <v>526.14431999999999</v>
      </c>
      <c r="G130" s="79"/>
      <c r="H130" s="80"/>
      <c r="I130" s="56"/>
      <c r="L130" s="101"/>
      <c r="M130" s="101"/>
      <c r="N130" s="56"/>
    </row>
    <row r="131" spans="1:14" s="18" customFormat="1" ht="15.75" customHeight="1">
      <c r="A131" s="40">
        <f t="shared" si="10"/>
        <v>12</v>
      </c>
      <c r="B131" s="40" t="s">
        <v>180</v>
      </c>
      <c r="C131" s="40" t="s">
        <v>181</v>
      </c>
      <c r="D131" s="41">
        <f>(59.86)*(10.764)</f>
        <v>644.33303999999998</v>
      </c>
      <c r="E131" s="40">
        <v>0</v>
      </c>
      <c r="F131" s="40">
        <f t="shared" si="11"/>
        <v>1030.9328640000001</v>
      </c>
      <c r="G131" s="79"/>
      <c r="H131" s="80"/>
      <c r="I131" s="57"/>
      <c r="L131" s="101"/>
      <c r="M131" s="101"/>
      <c r="N131" s="56"/>
    </row>
    <row r="132" spans="1:14" s="18" customFormat="1" ht="15.75" customHeight="1">
      <c r="A132" s="40">
        <f t="shared" si="10"/>
        <v>13</v>
      </c>
      <c r="B132" s="40" t="s">
        <v>180</v>
      </c>
      <c r="C132" s="40" t="s">
        <v>181</v>
      </c>
      <c r="D132" s="41">
        <f>(52.85)*(10.764)</f>
        <v>568.87739999999997</v>
      </c>
      <c r="E132" s="40">
        <v>0</v>
      </c>
      <c r="F132" s="40">
        <f t="shared" si="11"/>
        <v>910.20384000000001</v>
      </c>
      <c r="G132" s="79"/>
      <c r="H132" s="80"/>
      <c r="I132" s="56"/>
      <c r="L132" s="101"/>
      <c r="M132" s="101"/>
      <c r="N132" s="56"/>
    </row>
    <row r="133" spans="1:14" s="18" customFormat="1">
      <c r="A133" s="106"/>
      <c r="B133" s="107"/>
      <c r="C133" s="107"/>
      <c r="D133" s="107"/>
      <c r="E133" s="107"/>
      <c r="F133" s="107"/>
      <c r="G133" s="107"/>
      <c r="H133" s="108"/>
      <c r="I133" s="56"/>
      <c r="N133" s="56"/>
    </row>
    <row r="134" spans="1:14" ht="47.25" customHeight="1">
      <c r="A134" s="83" t="s">
        <v>184</v>
      </c>
      <c r="B134" s="83" t="s">
        <v>185</v>
      </c>
      <c r="C134" s="90" t="s">
        <v>172</v>
      </c>
      <c r="D134" s="90" t="s">
        <v>173</v>
      </c>
      <c r="E134" s="109" t="s">
        <v>186</v>
      </c>
      <c r="F134" s="38" t="s">
        <v>175</v>
      </c>
      <c r="G134" s="83" t="s">
        <v>176</v>
      </c>
      <c r="H134" s="84"/>
      <c r="I134" s="56"/>
    </row>
    <row r="135" spans="1:14" s="18" customFormat="1">
      <c r="A135" s="85"/>
      <c r="B135" s="85"/>
      <c r="C135" s="91"/>
      <c r="D135" s="91"/>
      <c r="E135" s="110"/>
      <c r="F135" s="39">
        <v>0.6</v>
      </c>
      <c r="G135" s="85"/>
      <c r="H135" s="86"/>
      <c r="I135" s="56"/>
    </row>
    <row r="136" spans="1:14" s="18" customFormat="1">
      <c r="A136" s="102" t="s">
        <v>161</v>
      </c>
      <c r="B136" s="103"/>
      <c r="C136" s="103"/>
      <c r="D136" s="103"/>
      <c r="E136" s="103"/>
      <c r="F136" s="103"/>
      <c r="G136" s="103"/>
      <c r="H136" s="104"/>
      <c r="J136" s="56"/>
    </row>
    <row r="137" spans="1:14" s="18" customFormat="1">
      <c r="A137" s="102" t="s">
        <v>177</v>
      </c>
      <c r="B137" s="103"/>
      <c r="C137" s="103"/>
      <c r="D137" s="103"/>
      <c r="E137" s="103"/>
      <c r="F137" s="103"/>
      <c r="G137" s="103"/>
      <c r="H137" s="104"/>
      <c r="J137" s="56"/>
    </row>
    <row r="138" spans="1:14" s="18" customFormat="1">
      <c r="A138" s="102" t="s">
        <v>187</v>
      </c>
      <c r="B138" s="103"/>
      <c r="C138" s="103"/>
      <c r="D138" s="103"/>
      <c r="E138" s="103"/>
      <c r="F138" s="103"/>
      <c r="G138" s="103"/>
      <c r="H138" s="104"/>
      <c r="J138" s="56"/>
    </row>
    <row r="139" spans="1:14" s="18" customFormat="1">
      <c r="A139" s="102" t="s">
        <v>188</v>
      </c>
      <c r="B139" s="103"/>
      <c r="C139" s="103"/>
      <c r="D139" s="103"/>
      <c r="E139" s="103"/>
      <c r="F139" s="103"/>
      <c r="G139" s="103"/>
      <c r="H139" s="104"/>
      <c r="J139" s="56"/>
    </row>
    <row r="140" spans="1:14" s="18" customFormat="1" ht="15.75" customHeight="1">
      <c r="A140" s="40">
        <v>1</v>
      </c>
      <c r="B140" s="40" t="s">
        <v>180</v>
      </c>
      <c r="C140" s="40" t="s">
        <v>189</v>
      </c>
      <c r="D140" s="41">
        <f>(88.26+0.75*(3.05+2.8))*(10.764)</f>
        <v>997.25769000000003</v>
      </c>
      <c r="E140" s="40">
        <v>0</v>
      </c>
      <c r="F140" s="40">
        <f>D140*(($F$135)+1)+(IF(E140&lt;101,E140,IF(E140&lt;201,E140/2,IF(E140&lt;=301,E140/3,E140/4))))</f>
        <v>1595.6123040000002</v>
      </c>
      <c r="G140" s="77" t="str">
        <f>A139</f>
        <v>3rd Podium Floor For Residential &amp; Entrance Lobby</v>
      </c>
      <c r="H140" s="78"/>
      <c r="I140" s="56"/>
      <c r="J140" s="18">
        <f>1.45*1.59+3*5.58+1.35*3+2.8*3.99+3.05*4.32+3.75*2.9+2.85*2.35+1.15*1.8+1.38*2.51+1.35*2.51+1.5*2.35+1.05*1.5+1.05*1.38+1.05*1.38+1.8*3</f>
        <v>87.336300000000008</v>
      </c>
      <c r="K140" s="18">
        <f>(88.26+5.29+2.93)*10.764</f>
        <v>1038.5107200000002</v>
      </c>
      <c r="L140" s="101"/>
      <c r="M140" s="101"/>
      <c r="N140" s="56"/>
    </row>
    <row r="141" spans="1:14" s="18" customFormat="1" ht="15.75" customHeight="1">
      <c r="A141" s="40">
        <f t="shared" ref="A141:A145" si="12">A140+1</f>
        <v>2</v>
      </c>
      <c r="B141" s="40" t="s">
        <v>180</v>
      </c>
      <c r="C141" s="40" t="s">
        <v>190</v>
      </c>
      <c r="D141" s="41">
        <f>(61.87+0.75*(3.05+2.66+2.18))*(10.764)</f>
        <v>729.66464999999994</v>
      </c>
      <c r="E141" s="40">
        <v>0</v>
      </c>
      <c r="F141" s="40">
        <f>D141*(($F$135)+1)+(IF(E141&lt;101,E141,IF(E141&lt;201,E141/2,IF(E141&lt;=301,E141/3,E141/4))))</f>
        <v>1167.46344</v>
      </c>
      <c r="G141" s="79"/>
      <c r="H141" s="80"/>
      <c r="I141" s="56"/>
      <c r="J141" s="18">
        <f>3.15*5.87+2.18*2.75+2.65*2.75+3.05*3.76+2.03*1.27+1.22*2.18+1.25*3.19+1.18*0.75+0.91*2.65+0.91*1.22+1.2*3.15</f>
        <v>60.652899999999995</v>
      </c>
      <c r="K141" s="56">
        <f>K140-D140</f>
        <v>41.253030000000194</v>
      </c>
      <c r="L141" s="101"/>
      <c r="M141" s="101"/>
      <c r="N141" s="56"/>
    </row>
    <row r="142" spans="1:14" s="18" customFormat="1" ht="15.75" customHeight="1">
      <c r="A142" s="40">
        <f t="shared" si="12"/>
        <v>3</v>
      </c>
      <c r="B142" s="40" t="s">
        <v>180</v>
      </c>
      <c r="C142" s="40" t="s">
        <v>190</v>
      </c>
      <c r="D142" s="41">
        <f>(61.87+0.75*(3.05+2.66+2.18))*(10.764)</f>
        <v>729.66464999999994</v>
      </c>
      <c r="E142" s="40">
        <v>0</v>
      </c>
      <c r="F142" s="40">
        <f>D142*(($F$135)+1)+(IF(E142&lt;101,E142,IF(E142&lt;201,E142/2,IF(E142&lt;=301,E142/3,E142/4))))</f>
        <v>1167.46344</v>
      </c>
      <c r="G142" s="79"/>
      <c r="H142" s="80"/>
      <c r="I142" s="56"/>
      <c r="L142" s="101"/>
      <c r="M142" s="101"/>
      <c r="N142" s="56"/>
    </row>
    <row r="143" spans="1:14" s="18" customFormat="1" ht="15.75" customHeight="1">
      <c r="A143" s="40">
        <f t="shared" si="12"/>
        <v>4</v>
      </c>
      <c r="B143" s="40" t="s">
        <v>191</v>
      </c>
      <c r="C143" s="40" t="s">
        <v>191</v>
      </c>
      <c r="D143" s="106" t="s">
        <v>192</v>
      </c>
      <c r="E143" s="107"/>
      <c r="F143" s="108"/>
      <c r="G143" s="79"/>
      <c r="H143" s="80"/>
      <c r="I143" s="56">
        <f>3.05*5.2+2.9*3.35+3.05*3.65+2.98*2.15+1.23*1.75+1.35*2.15+2.15*1.35+1*2.9</f>
        <v>53.972000000000001</v>
      </c>
      <c r="J143" s="18">
        <f>1*3.05+1*1.5</f>
        <v>4.55</v>
      </c>
      <c r="L143" s="101"/>
      <c r="M143" s="101"/>
      <c r="N143" s="56"/>
    </row>
    <row r="144" spans="1:14" s="18" customFormat="1" ht="15.75" customHeight="1">
      <c r="A144" s="40">
        <f t="shared" si="12"/>
        <v>5</v>
      </c>
      <c r="B144" s="40" t="s">
        <v>191</v>
      </c>
      <c r="C144" s="40" t="s">
        <v>191</v>
      </c>
      <c r="D144" s="106" t="s">
        <v>192</v>
      </c>
      <c r="E144" s="107"/>
      <c r="F144" s="108"/>
      <c r="G144" s="79"/>
      <c r="H144" s="80"/>
      <c r="I144" s="56"/>
      <c r="L144" s="101"/>
      <c r="M144" s="101"/>
      <c r="N144" s="56"/>
    </row>
    <row r="145" spans="1:14" s="18" customFormat="1" ht="15.75" customHeight="1">
      <c r="A145" s="40">
        <f t="shared" si="12"/>
        <v>6</v>
      </c>
      <c r="B145" s="40" t="s">
        <v>191</v>
      </c>
      <c r="C145" s="40" t="s">
        <v>191</v>
      </c>
      <c r="D145" s="106" t="s">
        <v>192</v>
      </c>
      <c r="E145" s="107"/>
      <c r="F145" s="108"/>
      <c r="G145" s="81"/>
      <c r="H145" s="82"/>
      <c r="I145" s="56"/>
      <c r="L145" s="101"/>
      <c r="M145" s="101"/>
      <c r="N145" s="56"/>
    </row>
    <row r="146" spans="1:14" s="18" customFormat="1">
      <c r="A146" s="102" t="s">
        <v>193</v>
      </c>
      <c r="B146" s="103"/>
      <c r="C146" s="103"/>
      <c r="D146" s="103"/>
      <c r="E146" s="103"/>
      <c r="F146" s="103"/>
      <c r="G146" s="103"/>
      <c r="H146" s="104"/>
      <c r="J146" s="56"/>
    </row>
    <row r="147" spans="1:14" s="18" customFormat="1" ht="15.75" customHeight="1">
      <c r="A147" s="40">
        <v>1</v>
      </c>
      <c r="B147" s="40" t="s">
        <v>180</v>
      </c>
      <c r="C147" s="40" t="s">
        <v>189</v>
      </c>
      <c r="D147" s="41">
        <f>(88.26+0.75*(3.05+2.8))*(10.764)</f>
        <v>997.25769000000003</v>
      </c>
      <c r="E147" s="40">
        <v>0</v>
      </c>
      <c r="F147" s="40">
        <f>D147*(($F$135)+1)+(IF(E147&lt;101,E147,IF(E147&lt;201,E147/2,IF(E147&lt;=301,E147/3,E147/4))))</f>
        <v>1595.6123040000002</v>
      </c>
      <c r="G147" s="77" t="str">
        <f>A146</f>
        <v>4th Podium Floor For Residential &amp; Entrance Lobby</v>
      </c>
      <c r="H147" s="78"/>
      <c r="I147" s="56"/>
      <c r="J147" s="18">
        <f>1.45*1.59+3*5.58+1.35*3+2.8*3.99+3.05*4.32+3.75*2.9+2.85*2.35+1.15*1.8+1.38*2.51+1.35*2.51+1.5*2.35+1.05*1.5+1.05*1.38+1.05*1.38+1.8*3</f>
        <v>87.336300000000008</v>
      </c>
      <c r="K147" s="18">
        <f>(88.26+5.29+2.93)*10.764</f>
        <v>1038.5107200000002</v>
      </c>
      <c r="L147" s="101"/>
      <c r="M147" s="101"/>
      <c r="N147" s="56"/>
    </row>
    <row r="148" spans="1:14" s="18" customFormat="1" ht="15.75" customHeight="1">
      <c r="A148" s="40">
        <f t="shared" ref="A148:A152" si="13">A147+1</f>
        <v>2</v>
      </c>
      <c r="B148" s="40" t="s">
        <v>180</v>
      </c>
      <c r="C148" s="40" t="s">
        <v>190</v>
      </c>
      <c r="D148" s="41">
        <f>(61.87+0.75*(3.05+2.66+2.18))*(10.764)</f>
        <v>729.66464999999994</v>
      </c>
      <c r="E148" s="40">
        <v>0</v>
      </c>
      <c r="F148" s="40">
        <f>D148*(($F$135)+1)+(IF(E148&lt;101,E148,IF(E148&lt;201,E148/2,IF(E148&lt;=301,E148/3,E148/4))))</f>
        <v>1167.46344</v>
      </c>
      <c r="G148" s="79"/>
      <c r="H148" s="80"/>
      <c r="I148" s="56"/>
      <c r="J148" s="18">
        <f>3.15*5.87+2.18*2.75+2.65*2.75+3.05*3.76+2.03*1.27+1.22*2.18+1.25*3.19+1.18*0.75+0.91*2.65+0.91*1.22+1.2*3.15</f>
        <v>60.652899999999995</v>
      </c>
      <c r="K148" s="56">
        <f>K147-D147</f>
        <v>41.253030000000194</v>
      </c>
      <c r="L148" s="101"/>
      <c r="M148" s="101"/>
      <c r="N148" s="56"/>
    </row>
    <row r="149" spans="1:14" s="18" customFormat="1" ht="15.75" customHeight="1">
      <c r="A149" s="40">
        <f t="shared" si="13"/>
        <v>3</v>
      </c>
      <c r="B149" s="40" t="s">
        <v>180</v>
      </c>
      <c r="C149" s="40" t="s">
        <v>190</v>
      </c>
      <c r="D149" s="41">
        <f>(61.87+0.75*(3.05+2.66+2.18))*(10.764)</f>
        <v>729.66464999999994</v>
      </c>
      <c r="E149" s="40">
        <v>0</v>
      </c>
      <c r="F149" s="40">
        <f>D149*(($F$135)+1)+(IF(E149&lt;101,E149,IF(E149&lt;201,E149/2,IF(E149&lt;=301,E149/3,E149/4))))</f>
        <v>1167.46344</v>
      </c>
      <c r="G149" s="79"/>
      <c r="H149" s="80"/>
      <c r="I149" s="56"/>
      <c r="L149" s="101"/>
      <c r="M149" s="101"/>
      <c r="N149" s="56"/>
    </row>
    <row r="150" spans="1:14" s="18" customFormat="1" ht="15.75" customHeight="1">
      <c r="A150" s="40">
        <f t="shared" si="13"/>
        <v>4</v>
      </c>
      <c r="B150" s="40" t="s">
        <v>191</v>
      </c>
      <c r="C150" s="40" t="s">
        <v>191</v>
      </c>
      <c r="D150" s="106" t="s">
        <v>194</v>
      </c>
      <c r="E150" s="107"/>
      <c r="F150" s="108"/>
      <c r="G150" s="79"/>
      <c r="H150" s="80"/>
      <c r="I150" s="56">
        <f>3.05*5.2+2.9*3.35+3.05*3.65+2.98*2.15+1.23*1.75+1.35*2.15+2.15*1.35+1*2.9</f>
        <v>53.972000000000001</v>
      </c>
      <c r="J150" s="18">
        <f>1*3.05+1*1.5</f>
        <v>4.55</v>
      </c>
      <c r="L150" s="101"/>
      <c r="M150" s="101"/>
      <c r="N150" s="56"/>
    </row>
    <row r="151" spans="1:14" s="18" customFormat="1" ht="15.75" customHeight="1">
      <c r="A151" s="40">
        <f t="shared" si="13"/>
        <v>5</v>
      </c>
      <c r="B151" s="40" t="s">
        <v>191</v>
      </c>
      <c r="C151" s="40" t="s">
        <v>191</v>
      </c>
      <c r="D151" s="106" t="s">
        <v>195</v>
      </c>
      <c r="E151" s="107"/>
      <c r="F151" s="108"/>
      <c r="G151" s="79"/>
      <c r="H151" s="80"/>
      <c r="I151" s="56"/>
      <c r="L151" s="101"/>
      <c r="M151" s="101"/>
      <c r="N151" s="56"/>
    </row>
    <row r="152" spans="1:14" s="18" customFormat="1" ht="15.75" customHeight="1">
      <c r="A152" s="40">
        <f t="shared" si="13"/>
        <v>6</v>
      </c>
      <c r="B152" s="40" t="s">
        <v>191</v>
      </c>
      <c r="C152" s="40" t="s">
        <v>191</v>
      </c>
      <c r="D152" s="106" t="s">
        <v>196</v>
      </c>
      <c r="E152" s="107"/>
      <c r="F152" s="108"/>
      <c r="G152" s="81"/>
      <c r="H152" s="82"/>
      <c r="I152" s="56"/>
      <c r="L152" s="101"/>
      <c r="M152" s="101"/>
      <c r="N152" s="56"/>
    </row>
    <row r="153" spans="1:14" s="18" customFormat="1">
      <c r="A153" s="102" t="s">
        <v>197</v>
      </c>
      <c r="B153" s="103"/>
      <c r="C153" s="103"/>
      <c r="D153" s="103"/>
      <c r="E153" s="103"/>
      <c r="F153" s="103"/>
      <c r="G153" s="103"/>
      <c r="H153" s="104"/>
      <c r="I153" s="56"/>
    </row>
    <row r="154" spans="1:14" s="18" customFormat="1" ht="15.75" customHeight="1">
      <c r="A154" s="40">
        <v>1</v>
      </c>
      <c r="B154" s="40" t="s">
        <v>180</v>
      </c>
      <c r="C154" s="40" t="s">
        <v>189</v>
      </c>
      <c r="D154" s="41">
        <f>(88.26+0.75*(3.05+2.8))*(10.764)</f>
        <v>997.25769000000003</v>
      </c>
      <c r="E154" s="40">
        <v>0</v>
      </c>
      <c r="F154" s="40">
        <f t="shared" ref="F154:F159" si="14">D154*(($F$135)+1)+(IF(E154&lt;101,E154,IF(E154&lt;201,E154/2,IF(E154&lt;=301,E154/3,E154/4))))</f>
        <v>1595.6123040000002</v>
      </c>
      <c r="G154" s="77" t="str">
        <f>A153</f>
        <v>5th to 7th, 9th to 12th, 14th to 16th Floor</v>
      </c>
      <c r="H154" s="78"/>
      <c r="I154" s="56"/>
      <c r="J154" s="18">
        <f>11500000/F154</f>
        <v>7207.2645536581413</v>
      </c>
    </row>
    <row r="155" spans="1:14" s="18" customFormat="1" ht="15.75" customHeight="1">
      <c r="A155" s="40">
        <f>A154+1</f>
        <v>2</v>
      </c>
      <c r="B155" s="40" t="s">
        <v>180</v>
      </c>
      <c r="C155" s="40" t="s">
        <v>190</v>
      </c>
      <c r="D155" s="41">
        <f>(61.87+0.75*(3.05+2.66+2.18))*(10.764)</f>
        <v>729.66464999999994</v>
      </c>
      <c r="E155" s="40">
        <v>0</v>
      </c>
      <c r="F155" s="40">
        <f t="shared" si="14"/>
        <v>1167.46344</v>
      </c>
      <c r="G155" s="79"/>
      <c r="H155" s="80"/>
      <c r="I155" s="56"/>
      <c r="J155" s="18">
        <f>100000000/F156</f>
        <v>85655.787216771438</v>
      </c>
    </row>
    <row r="156" spans="1:14" s="18" customFormat="1" ht="15.75" customHeight="1">
      <c r="A156" s="40">
        <f t="shared" ref="A156:A159" si="15">A155+1</f>
        <v>3</v>
      </c>
      <c r="B156" s="40" t="s">
        <v>180</v>
      </c>
      <c r="C156" s="40" t="s">
        <v>190</v>
      </c>
      <c r="D156" s="41">
        <f>(61.87+0.75*(3.05+2.66+2.18))*(10.764)</f>
        <v>729.66464999999994</v>
      </c>
      <c r="E156" s="40">
        <v>0</v>
      </c>
      <c r="F156" s="40">
        <f t="shared" si="14"/>
        <v>1167.46344</v>
      </c>
      <c r="G156" s="79"/>
      <c r="H156" s="80"/>
      <c r="I156" s="56"/>
    </row>
    <row r="157" spans="1:14" s="18" customFormat="1" ht="15.75" customHeight="1">
      <c r="A157" s="40">
        <f t="shared" si="15"/>
        <v>4</v>
      </c>
      <c r="B157" s="40" t="s">
        <v>180</v>
      </c>
      <c r="C157" s="40" t="s">
        <v>190</v>
      </c>
      <c r="D157" s="41">
        <f>(57.07+0.75*(3.05+2.75+2.28))*(10.764)</f>
        <v>679.53131999999994</v>
      </c>
      <c r="E157" s="40">
        <v>0</v>
      </c>
      <c r="F157" s="40">
        <f t="shared" si="14"/>
        <v>1087.2501119999999</v>
      </c>
      <c r="G157" s="79"/>
      <c r="H157" s="80"/>
      <c r="I157" s="56"/>
    </row>
    <row r="158" spans="1:14" s="18" customFormat="1" ht="15.75" customHeight="1">
      <c r="A158" s="40">
        <f t="shared" si="15"/>
        <v>5</v>
      </c>
      <c r="B158" s="40" t="s">
        <v>198</v>
      </c>
      <c r="C158" s="40" t="s">
        <v>190</v>
      </c>
      <c r="D158" s="41">
        <f>(50.49+0.75*(3.15+2.28+2.75+3.05))*(10.764)</f>
        <v>634.13414999999998</v>
      </c>
      <c r="E158" s="40">
        <v>0</v>
      </c>
      <c r="F158" s="40">
        <f t="shared" si="14"/>
        <v>1014.61464</v>
      </c>
      <c r="G158" s="79"/>
      <c r="H158" s="80"/>
      <c r="I158" s="56"/>
    </row>
    <row r="159" spans="1:14" s="18" customFormat="1" ht="15.75" customHeight="1">
      <c r="A159" s="40">
        <f t="shared" si="15"/>
        <v>6</v>
      </c>
      <c r="B159" s="40" t="s">
        <v>180</v>
      </c>
      <c r="C159" s="40" t="s">
        <v>189</v>
      </c>
      <c r="D159" s="41">
        <f>(82.52+0.75*(3.05+3.15))*(10.764)</f>
        <v>938.29787999999996</v>
      </c>
      <c r="E159" s="40">
        <v>0</v>
      </c>
      <c r="F159" s="40">
        <f t="shared" si="14"/>
        <v>1501.2766080000001</v>
      </c>
      <c r="G159" s="81"/>
      <c r="H159" s="82"/>
      <c r="I159" s="56"/>
    </row>
    <row r="160" spans="1:14" s="18" customFormat="1">
      <c r="A160" s="102" t="s">
        <v>199</v>
      </c>
      <c r="B160" s="103"/>
      <c r="C160" s="103"/>
      <c r="D160" s="103"/>
      <c r="E160" s="103"/>
      <c r="F160" s="103"/>
      <c r="G160" s="103"/>
      <c r="H160" s="104"/>
      <c r="I160" s="56"/>
    </row>
    <row r="161" spans="1:10" s="18" customFormat="1" ht="15.75" customHeight="1">
      <c r="A161" s="40">
        <v>1</v>
      </c>
      <c r="B161" s="40" t="s">
        <v>180</v>
      </c>
      <c r="C161" s="40" t="s">
        <v>189</v>
      </c>
      <c r="D161" s="41">
        <f>(88.26+0.75*(3.05+2.8))*(10.764)</f>
        <v>997.25769000000003</v>
      </c>
      <c r="E161" s="40">
        <v>0</v>
      </c>
      <c r="F161" s="40">
        <f t="shared" ref="F161:F166" si="16">D161*(($F$135)+1)+(IF(E161&lt;101,E161,IF(E161&lt;201,E161/2,IF(E161&lt;=301,E161/3,E161/4))))</f>
        <v>1595.6123040000002</v>
      </c>
      <c r="G161" s="77" t="str">
        <f>A160</f>
        <v>8th &amp; 13th Floor</v>
      </c>
      <c r="H161" s="78"/>
      <c r="I161" s="56"/>
      <c r="J161" s="18">
        <f>11500000/F161</f>
        <v>7207.2645536581413</v>
      </c>
    </row>
    <row r="162" spans="1:10" s="18" customFormat="1" ht="15.75" customHeight="1">
      <c r="A162" s="40">
        <f>A161+1</f>
        <v>2</v>
      </c>
      <c r="B162" s="40" t="s">
        <v>180</v>
      </c>
      <c r="C162" s="40" t="s">
        <v>200</v>
      </c>
      <c r="D162" s="41">
        <f>(44.34+0.75*(2.28+2.75))*(10.764)</f>
        <v>517.88295000000005</v>
      </c>
      <c r="E162" s="40">
        <v>0</v>
      </c>
      <c r="F162" s="40">
        <f t="shared" si="16"/>
        <v>828.61272000000008</v>
      </c>
      <c r="G162" s="79"/>
      <c r="H162" s="80"/>
      <c r="I162" s="56"/>
      <c r="J162" s="18">
        <f>100000000/F163</f>
        <v>85655.787216771438</v>
      </c>
    </row>
    <row r="163" spans="1:10" s="18" customFormat="1" ht="15.75" customHeight="1">
      <c r="A163" s="40">
        <f t="shared" ref="A163:A166" si="17">A162+1</f>
        <v>3</v>
      </c>
      <c r="B163" s="40" t="s">
        <v>180</v>
      </c>
      <c r="C163" s="40" t="s">
        <v>190</v>
      </c>
      <c r="D163" s="41">
        <f>(61.87+0.75*(3.05+2.66+2.18))*(10.764)</f>
        <v>729.66464999999994</v>
      </c>
      <c r="E163" s="40">
        <v>0</v>
      </c>
      <c r="F163" s="40">
        <f t="shared" si="16"/>
        <v>1167.46344</v>
      </c>
      <c r="G163" s="79"/>
      <c r="H163" s="80"/>
      <c r="I163" s="56"/>
    </row>
    <row r="164" spans="1:10" s="18" customFormat="1" ht="15.75" customHeight="1">
      <c r="A164" s="40">
        <f t="shared" si="17"/>
        <v>4</v>
      </c>
      <c r="B164" s="40" t="s">
        <v>180</v>
      </c>
      <c r="C164" s="40" t="s">
        <v>190</v>
      </c>
      <c r="D164" s="41">
        <f>(57.07+0.75*(3.05+2.75+2.28))*(10.764)</f>
        <v>679.53131999999994</v>
      </c>
      <c r="E164" s="40">
        <v>0</v>
      </c>
      <c r="F164" s="40">
        <f t="shared" si="16"/>
        <v>1087.2501119999999</v>
      </c>
      <c r="G164" s="79"/>
      <c r="H164" s="80"/>
      <c r="I164" s="56"/>
    </row>
    <row r="165" spans="1:10" s="18" customFormat="1" ht="15.75" customHeight="1">
      <c r="A165" s="40">
        <f t="shared" si="17"/>
        <v>5</v>
      </c>
      <c r="B165" s="40" t="s">
        <v>198</v>
      </c>
      <c r="C165" s="40" t="s">
        <v>190</v>
      </c>
      <c r="D165" s="41">
        <f>(50.49+0.75*(3.15+2.28+2.75+3.05))*(10.764)</f>
        <v>634.13414999999998</v>
      </c>
      <c r="E165" s="40">
        <v>0</v>
      </c>
      <c r="F165" s="40">
        <f t="shared" si="16"/>
        <v>1014.61464</v>
      </c>
      <c r="G165" s="79"/>
      <c r="H165" s="80"/>
      <c r="I165" s="56"/>
    </row>
    <row r="166" spans="1:10" s="18" customFormat="1" ht="15.75" customHeight="1">
      <c r="A166" s="40">
        <f t="shared" si="17"/>
        <v>6</v>
      </c>
      <c r="B166" s="40" t="s">
        <v>180</v>
      </c>
      <c r="C166" s="40" t="s">
        <v>189</v>
      </c>
      <c r="D166" s="41">
        <f>(82.52+0.75*(3.05+3.15))*(10.764)</f>
        <v>938.29787999999996</v>
      </c>
      <c r="E166" s="40">
        <v>0</v>
      </c>
      <c r="F166" s="40">
        <f t="shared" si="16"/>
        <v>1501.2766080000001</v>
      </c>
      <c r="G166" s="81"/>
      <c r="H166" s="82"/>
      <c r="I166" s="56"/>
    </row>
    <row r="167" spans="1:10" s="18" customFormat="1">
      <c r="A167" s="102" t="s">
        <v>201</v>
      </c>
      <c r="B167" s="103"/>
      <c r="C167" s="103"/>
      <c r="D167" s="103"/>
      <c r="E167" s="103"/>
      <c r="F167" s="103"/>
      <c r="G167" s="103"/>
      <c r="H167" s="104"/>
      <c r="I167" s="56"/>
    </row>
    <row r="168" spans="1:10" s="18" customFormat="1" ht="15.75" customHeight="1">
      <c r="A168" s="40">
        <v>1</v>
      </c>
      <c r="B168" s="40" t="s">
        <v>180</v>
      </c>
      <c r="C168" s="40" t="s">
        <v>189</v>
      </c>
      <c r="D168" s="41">
        <f>(88.26+0.75*(3.05+2.8))*(10.764)</f>
        <v>997.25769000000003</v>
      </c>
      <c r="E168" s="40">
        <v>0</v>
      </c>
      <c r="F168" s="40">
        <f t="shared" ref="F168:F173" si="18">D168*(($F$135)+1)+(IF(E168&lt;101,E168,IF(E168&lt;201,E168/2,IF(E168&lt;=301,E168/3,E168/4))))</f>
        <v>1595.6123040000002</v>
      </c>
      <c r="G168" s="77" t="str">
        <f>A167</f>
        <v>17th, 19th to 22nd Floor</v>
      </c>
      <c r="H168" s="78"/>
      <c r="I168" s="56"/>
      <c r="J168" s="18">
        <f>11500000/F168</f>
        <v>7207.2645536581413</v>
      </c>
    </row>
    <row r="169" spans="1:10" s="18" customFormat="1" ht="15.75" customHeight="1">
      <c r="A169" s="40">
        <f>A168+1</f>
        <v>2</v>
      </c>
      <c r="B169" s="40" t="s">
        <v>180</v>
      </c>
      <c r="C169" s="40" t="s">
        <v>190</v>
      </c>
      <c r="D169" s="41">
        <f>(61.87+0.75*(3.05+2.66+2.18))*(10.764)</f>
        <v>729.66464999999994</v>
      </c>
      <c r="E169" s="40">
        <v>0</v>
      </c>
      <c r="F169" s="40">
        <f t="shared" si="18"/>
        <v>1167.46344</v>
      </c>
      <c r="G169" s="79"/>
      <c r="H169" s="80"/>
      <c r="I169" s="56"/>
      <c r="J169" s="18">
        <f>100000000/F170</f>
        <v>85655.787216771438</v>
      </c>
    </row>
    <row r="170" spans="1:10" s="18" customFormat="1" ht="15.75" customHeight="1">
      <c r="A170" s="40">
        <f t="shared" ref="A170:A173" si="19">A169+1</f>
        <v>3</v>
      </c>
      <c r="B170" s="40" t="s">
        <v>180</v>
      </c>
      <c r="C170" s="40" t="s">
        <v>190</v>
      </c>
      <c r="D170" s="41">
        <f>(61.87+0.75*(3.05+2.66+2.18))*(10.764)</f>
        <v>729.66464999999994</v>
      </c>
      <c r="E170" s="40">
        <v>0</v>
      </c>
      <c r="F170" s="40">
        <f t="shared" si="18"/>
        <v>1167.46344</v>
      </c>
      <c r="G170" s="79"/>
      <c r="H170" s="80"/>
      <c r="I170" s="56"/>
    </row>
    <row r="171" spans="1:10" s="18" customFormat="1" ht="15.75" customHeight="1">
      <c r="A171" s="40">
        <f t="shared" si="19"/>
        <v>4</v>
      </c>
      <c r="B171" s="40" t="s">
        <v>180</v>
      </c>
      <c r="C171" s="40" t="s">
        <v>190</v>
      </c>
      <c r="D171" s="41">
        <f>(57.07+0.75*(3.05+2.75+2.28))*(10.764)</f>
        <v>679.53131999999994</v>
      </c>
      <c r="E171" s="40">
        <v>0</v>
      </c>
      <c r="F171" s="40">
        <f t="shared" si="18"/>
        <v>1087.2501119999999</v>
      </c>
      <c r="G171" s="79"/>
      <c r="H171" s="80"/>
      <c r="I171" s="56"/>
    </row>
    <row r="172" spans="1:10" s="18" customFormat="1" ht="15.75" customHeight="1">
      <c r="A172" s="40">
        <f t="shared" si="19"/>
        <v>5</v>
      </c>
      <c r="B172" s="40" t="s">
        <v>180</v>
      </c>
      <c r="C172" s="40" t="s">
        <v>190</v>
      </c>
      <c r="D172" s="41">
        <f>(57.07+0.75*(3.05+2.75+2.28))*(10.764)</f>
        <v>679.53131999999994</v>
      </c>
      <c r="E172" s="40">
        <v>0</v>
      </c>
      <c r="F172" s="40">
        <f t="shared" si="18"/>
        <v>1087.2501119999999</v>
      </c>
      <c r="G172" s="79"/>
      <c r="H172" s="80"/>
      <c r="I172" s="56"/>
    </row>
    <row r="173" spans="1:10" s="18" customFormat="1" ht="15.75" customHeight="1">
      <c r="A173" s="40">
        <f t="shared" si="19"/>
        <v>6</v>
      </c>
      <c r="B173" s="40" t="s">
        <v>180</v>
      </c>
      <c r="C173" s="40" t="s">
        <v>189</v>
      </c>
      <c r="D173" s="41">
        <f>(82.52+0.75*(3.05+3.15))*(10.764)</f>
        <v>938.29787999999996</v>
      </c>
      <c r="E173" s="40">
        <v>0</v>
      </c>
      <c r="F173" s="40">
        <f t="shared" si="18"/>
        <v>1501.2766080000001</v>
      </c>
      <c r="G173" s="81"/>
      <c r="H173" s="82"/>
      <c r="I173" s="56"/>
    </row>
    <row r="174" spans="1:10" s="18" customFormat="1">
      <c r="A174" s="102" t="s">
        <v>202</v>
      </c>
      <c r="B174" s="103"/>
      <c r="C174" s="103"/>
      <c r="D174" s="103"/>
      <c r="E174" s="103"/>
      <c r="F174" s="103"/>
      <c r="G174" s="103"/>
      <c r="H174" s="104"/>
      <c r="I174" s="56"/>
    </row>
    <row r="175" spans="1:10" s="18" customFormat="1" ht="15.75" customHeight="1">
      <c r="A175" s="40">
        <v>1</v>
      </c>
      <c r="B175" s="40" t="s">
        <v>180</v>
      </c>
      <c r="C175" s="40" t="s">
        <v>189</v>
      </c>
      <c r="D175" s="41">
        <f>(88.26+0.75*(3.05+2.8))*(10.764)</f>
        <v>997.25769000000003</v>
      </c>
      <c r="E175" s="40">
        <v>0</v>
      </c>
      <c r="F175" s="40">
        <f t="shared" ref="F175:F180" si="20">D175*(($F$135)+1)+(IF(E175&lt;101,E175,IF(E175&lt;201,E175/2,IF(E175&lt;=301,E175/3,E175/4))))</f>
        <v>1595.6123040000002</v>
      </c>
      <c r="G175" s="77" t="str">
        <f>A174</f>
        <v>18th &amp; 23rd Floor</v>
      </c>
      <c r="H175" s="78"/>
      <c r="I175" s="56"/>
      <c r="J175" s="18">
        <f>11500000/F175</f>
        <v>7207.2645536581413</v>
      </c>
    </row>
    <row r="176" spans="1:10" s="18" customFormat="1" ht="15.75" customHeight="1">
      <c r="A176" s="40">
        <f>A175+1</f>
        <v>2</v>
      </c>
      <c r="B176" s="40" t="s">
        <v>180</v>
      </c>
      <c r="C176" s="40" t="s">
        <v>200</v>
      </c>
      <c r="D176" s="41">
        <f>(44.34+0.75*(2.28+2.75))*(10.764)</f>
        <v>517.88295000000005</v>
      </c>
      <c r="E176" s="40">
        <v>0</v>
      </c>
      <c r="F176" s="40">
        <f t="shared" si="20"/>
        <v>828.61272000000008</v>
      </c>
      <c r="G176" s="79"/>
      <c r="H176" s="80"/>
      <c r="I176" s="56"/>
      <c r="J176" s="18">
        <f>100000000/F177</f>
        <v>85655.787216771438</v>
      </c>
    </row>
    <row r="177" spans="1:14" s="18" customFormat="1" ht="15.75" customHeight="1">
      <c r="A177" s="40">
        <f t="shared" ref="A177:A180" si="21">A176+1</f>
        <v>3</v>
      </c>
      <c r="B177" s="40" t="s">
        <v>180</v>
      </c>
      <c r="C177" s="40" t="s">
        <v>190</v>
      </c>
      <c r="D177" s="41">
        <f>(61.87+0.75*(3.05+2.66+2.18))*(10.764)</f>
        <v>729.66464999999994</v>
      </c>
      <c r="E177" s="40">
        <v>0</v>
      </c>
      <c r="F177" s="40">
        <f t="shared" si="20"/>
        <v>1167.46344</v>
      </c>
      <c r="G177" s="79"/>
      <c r="H177" s="80"/>
      <c r="I177" s="56"/>
    </row>
    <row r="178" spans="1:14" s="18" customFormat="1" ht="15.75" customHeight="1">
      <c r="A178" s="40">
        <f t="shared" si="21"/>
        <v>4</v>
      </c>
      <c r="B178" s="40" t="s">
        <v>180</v>
      </c>
      <c r="C178" s="40" t="s">
        <v>190</v>
      </c>
      <c r="D178" s="41">
        <f>(57.07+0.75*(3.05+2.75+2.28))*(10.764)</f>
        <v>679.53131999999994</v>
      </c>
      <c r="E178" s="40">
        <v>0</v>
      </c>
      <c r="F178" s="40">
        <f t="shared" si="20"/>
        <v>1087.2501119999999</v>
      </c>
      <c r="G178" s="79"/>
      <c r="H178" s="80"/>
      <c r="I178" s="56"/>
    </row>
    <row r="179" spans="1:14" s="18" customFormat="1" ht="15.75" customHeight="1">
      <c r="A179" s="40">
        <f t="shared" si="21"/>
        <v>5</v>
      </c>
      <c r="B179" s="40" t="s">
        <v>180</v>
      </c>
      <c r="C179" s="40" t="s">
        <v>190</v>
      </c>
      <c r="D179" s="41">
        <f>(57.07+0.75*(3.05+2.75+2.28))*(10.764)</f>
        <v>679.53131999999994</v>
      </c>
      <c r="E179" s="40">
        <v>0</v>
      </c>
      <c r="F179" s="40">
        <f t="shared" si="20"/>
        <v>1087.2501119999999</v>
      </c>
      <c r="G179" s="79"/>
      <c r="H179" s="80"/>
      <c r="I179" s="56"/>
    </row>
    <row r="180" spans="1:14" s="18" customFormat="1" ht="15.75" customHeight="1">
      <c r="A180" s="40">
        <f t="shared" si="21"/>
        <v>6</v>
      </c>
      <c r="B180" s="40" t="s">
        <v>180</v>
      </c>
      <c r="C180" s="40" t="s">
        <v>189</v>
      </c>
      <c r="D180" s="41">
        <f>(82.52+0.75*(3.05+3.15))*(10.764)</f>
        <v>938.29787999999996</v>
      </c>
      <c r="E180" s="40">
        <v>0</v>
      </c>
      <c r="F180" s="40">
        <f t="shared" si="20"/>
        <v>1501.2766080000001</v>
      </c>
      <c r="G180" s="81"/>
      <c r="H180" s="82"/>
      <c r="I180" s="56"/>
    </row>
    <row r="181" spans="1:14" s="18" customFormat="1" ht="15.75" customHeight="1">
      <c r="A181" s="102" t="s">
        <v>182</v>
      </c>
      <c r="B181" s="103"/>
      <c r="C181" s="103"/>
      <c r="D181" s="103"/>
      <c r="E181" s="103"/>
      <c r="F181" s="103"/>
      <c r="G181" s="103"/>
      <c r="H181" s="104"/>
      <c r="I181" s="56"/>
    </row>
    <row r="182" spans="1:14" s="18" customFormat="1">
      <c r="A182" s="102" t="s">
        <v>187</v>
      </c>
      <c r="B182" s="103"/>
      <c r="C182" s="103"/>
      <c r="D182" s="103"/>
      <c r="E182" s="103"/>
      <c r="F182" s="103"/>
      <c r="G182" s="103"/>
      <c r="H182" s="104"/>
      <c r="J182" s="56"/>
    </row>
    <row r="183" spans="1:14" s="18" customFormat="1">
      <c r="A183" s="102" t="s">
        <v>188</v>
      </c>
      <c r="B183" s="103"/>
      <c r="C183" s="103"/>
      <c r="D183" s="103"/>
      <c r="E183" s="103"/>
      <c r="F183" s="103"/>
      <c r="G183" s="103"/>
      <c r="H183" s="104"/>
      <c r="J183" s="56"/>
    </row>
    <row r="184" spans="1:14" s="18" customFormat="1" ht="15.75" customHeight="1">
      <c r="A184" s="40">
        <v>1</v>
      </c>
      <c r="B184" s="40" t="s">
        <v>180</v>
      </c>
      <c r="C184" s="40" t="s">
        <v>190</v>
      </c>
      <c r="D184" s="41">
        <f>(61.87+0.75*(3.05+2.66+2.18))*(10.764)</f>
        <v>729.66464999999994</v>
      </c>
      <c r="E184" s="40">
        <v>0</v>
      </c>
      <c r="F184" s="40">
        <f>D184*(($F$135)+1)+(IF(E184&lt;101,E184,IF(E184&lt;201,E184/2,IF(E184&lt;=301,E184/3,E184/4))))</f>
        <v>1167.46344</v>
      </c>
      <c r="G184" s="77" t="str">
        <f>A183</f>
        <v>3rd Podium Floor For Residential &amp; Entrance Lobby</v>
      </c>
      <c r="H184" s="78"/>
      <c r="I184" s="56"/>
      <c r="J184" s="18">
        <f>1.45*1.59+3*5.58+1.35*3+2.8*3.99+3.05*4.32+3.75*2.9+2.85*2.35+1.15*1.8+1.38*2.51+1.35*2.51+1.5*2.35+1.05*1.5+1.05*1.38+1.05*1.38+1.8*3</f>
        <v>87.336300000000008</v>
      </c>
      <c r="K184" s="18">
        <f>(88.26+5.29+2.93)*10.764</f>
        <v>1038.5107200000002</v>
      </c>
      <c r="L184" s="101"/>
      <c r="M184" s="101"/>
      <c r="N184" s="56"/>
    </row>
    <row r="185" spans="1:14" s="18" customFormat="1" ht="15.75" customHeight="1">
      <c r="A185" s="40">
        <f t="shared" ref="A185" si="22">A184+1</f>
        <v>2</v>
      </c>
      <c r="B185" s="40" t="s">
        <v>180</v>
      </c>
      <c r="C185" s="40" t="s">
        <v>189</v>
      </c>
      <c r="D185" s="41">
        <f>(91.28+0.75*(3.1+3.05))*(10.764)</f>
        <v>1032.18687</v>
      </c>
      <c r="E185" s="40">
        <v>0</v>
      </c>
      <c r="F185" s="40">
        <f>D185*(($F$135)+1)+(IF(E185&lt;101,E185,IF(E185&lt;201,E185/2,IF(E185&lt;=301,E185/3,E185/4))))</f>
        <v>1651.498992</v>
      </c>
      <c r="G185" s="79"/>
      <c r="H185" s="80"/>
      <c r="I185" s="56"/>
      <c r="J185" s="18">
        <f>3.15*5.87+2.18*2.75+2.65*2.75+3.05*3.76+2.03*1.27+1.22*2.18+1.25*3.19+1.18*0.75+0.91*2.65+0.91*1.22+1.2*3.15</f>
        <v>60.652899999999995</v>
      </c>
      <c r="K185" s="56">
        <f>K184-D184</f>
        <v>308.84607000000028</v>
      </c>
      <c r="L185" s="101"/>
      <c r="M185" s="101"/>
      <c r="N185" s="56"/>
    </row>
    <row r="186" spans="1:14" s="18" customFormat="1" ht="15.75" customHeight="1">
      <c r="A186" s="40">
        <v>3</v>
      </c>
      <c r="B186" s="40" t="s">
        <v>191</v>
      </c>
      <c r="C186" s="40" t="s">
        <v>191</v>
      </c>
      <c r="D186" s="106" t="s">
        <v>192</v>
      </c>
      <c r="E186" s="107"/>
      <c r="F186" s="108"/>
      <c r="G186" s="79"/>
      <c r="H186" s="80"/>
      <c r="I186" s="56">
        <f>3.05*5.2+2.9*3.35+3.05*3.65+2.98*2.15+1.23*1.75+1.35*2.15+2.15*1.35+1*2.9</f>
        <v>53.972000000000001</v>
      </c>
      <c r="J186" s="18">
        <f>1*3.05+1*1.5</f>
        <v>4.55</v>
      </c>
      <c r="L186" s="101"/>
      <c r="M186" s="101"/>
      <c r="N186" s="56"/>
    </row>
    <row r="187" spans="1:14" s="18" customFormat="1" ht="15.75" customHeight="1">
      <c r="A187" s="40">
        <v>4</v>
      </c>
      <c r="B187" s="40" t="s">
        <v>191</v>
      </c>
      <c r="C187" s="40" t="s">
        <v>191</v>
      </c>
      <c r="D187" s="106" t="s">
        <v>192</v>
      </c>
      <c r="E187" s="107"/>
      <c r="F187" s="108"/>
      <c r="G187" s="81"/>
      <c r="H187" s="82"/>
      <c r="I187" s="56"/>
      <c r="L187" s="101"/>
      <c r="M187" s="101"/>
      <c r="N187" s="56"/>
    </row>
    <row r="188" spans="1:14" s="18" customFormat="1">
      <c r="A188" s="102" t="s">
        <v>193</v>
      </c>
      <c r="B188" s="103"/>
      <c r="C188" s="103"/>
      <c r="D188" s="103"/>
      <c r="E188" s="103"/>
      <c r="F188" s="103"/>
      <c r="G188" s="103"/>
      <c r="H188" s="104"/>
      <c r="J188" s="56"/>
    </row>
    <row r="189" spans="1:14" s="18" customFormat="1" ht="15.75" customHeight="1">
      <c r="A189" s="40">
        <v>1</v>
      </c>
      <c r="B189" s="40" t="s">
        <v>180</v>
      </c>
      <c r="C189" s="40" t="s">
        <v>190</v>
      </c>
      <c r="D189" s="41">
        <f>(61.87+0.75*(3.05+2.66+2.18))*(10.764)</f>
        <v>729.66464999999994</v>
      </c>
      <c r="E189" s="40">
        <v>0</v>
      </c>
      <c r="F189" s="40">
        <f>D189*(($F$135)+1)+(IF(E189&lt;101,E189,IF(E189&lt;201,E189/2,IF(E189&lt;=301,E189/3,E189/4))))</f>
        <v>1167.46344</v>
      </c>
      <c r="G189" s="77" t="str">
        <f>A188</f>
        <v>4th Podium Floor For Residential &amp; Entrance Lobby</v>
      </c>
      <c r="H189" s="78"/>
      <c r="I189" s="56"/>
      <c r="J189" s="18">
        <f>1.45*1.59+3*5.58+1.35*3+2.8*3.99+3.05*4.32+3.75*2.9+2.85*2.35+1.15*1.8+1.38*2.51+1.35*2.51+1.5*2.35+1.05*1.5+1.05*1.38+1.05*1.38+1.8*3</f>
        <v>87.336300000000008</v>
      </c>
      <c r="K189" s="18">
        <f>(88.26+5.29+2.93)*10.764</f>
        <v>1038.5107200000002</v>
      </c>
      <c r="L189" s="101"/>
      <c r="M189" s="101"/>
      <c r="N189" s="56"/>
    </row>
    <row r="190" spans="1:14" s="18" customFormat="1" ht="15.75" customHeight="1">
      <c r="A190" s="40">
        <f t="shared" ref="A190" si="23">A189+1</f>
        <v>2</v>
      </c>
      <c r="B190" s="40" t="s">
        <v>180</v>
      </c>
      <c r="C190" s="40" t="s">
        <v>189</v>
      </c>
      <c r="D190" s="41">
        <f>(91.28+0.75*(3.1+3.05))*(10.764)</f>
        <v>1032.18687</v>
      </c>
      <c r="E190" s="40">
        <v>0</v>
      </c>
      <c r="F190" s="40">
        <f>D190*(($F$135)+1)+(IF(E190&lt;101,E190,IF(E190&lt;201,E190/2,IF(E190&lt;=301,E190/3,E190/4))))</f>
        <v>1651.498992</v>
      </c>
      <c r="G190" s="79"/>
      <c r="H190" s="80"/>
      <c r="I190" s="56"/>
      <c r="J190" s="18">
        <f>3.15*5.87+2.18*2.75+2.65*2.75+3.05*3.76+2.03*1.27+1.22*2.18+1.25*3.19+1.18*0.75+0.91*2.65+0.91*1.22+1.2*3.15</f>
        <v>60.652899999999995</v>
      </c>
      <c r="K190" s="56">
        <f>K189-D189</f>
        <v>308.84607000000028</v>
      </c>
      <c r="L190" s="101"/>
      <c r="M190" s="101"/>
      <c r="N190" s="56"/>
    </row>
    <row r="191" spans="1:14" s="18" customFormat="1" ht="15.75" customHeight="1">
      <c r="A191" s="40">
        <v>3</v>
      </c>
      <c r="B191" s="40" t="s">
        <v>191</v>
      </c>
      <c r="C191" s="40" t="s">
        <v>191</v>
      </c>
      <c r="D191" s="106" t="s">
        <v>194</v>
      </c>
      <c r="E191" s="107"/>
      <c r="F191" s="108"/>
      <c r="G191" s="79"/>
      <c r="H191" s="80"/>
      <c r="I191" s="56">
        <f>3.05*5.2+2.9*3.35+3.05*3.65+2.98*2.15+1.23*1.75+1.35*2.15+2.15*1.35+1*2.9</f>
        <v>53.972000000000001</v>
      </c>
      <c r="J191" s="18">
        <f>1*3.05+1*1.5</f>
        <v>4.55</v>
      </c>
      <c r="L191" s="101"/>
      <c r="M191" s="101"/>
      <c r="N191" s="56"/>
    </row>
    <row r="192" spans="1:14" s="18" customFormat="1" ht="15.75" customHeight="1">
      <c r="A192" s="40">
        <v>4</v>
      </c>
      <c r="B192" s="40" t="s">
        <v>191</v>
      </c>
      <c r="C192" s="40" t="s">
        <v>191</v>
      </c>
      <c r="D192" s="106" t="s">
        <v>196</v>
      </c>
      <c r="E192" s="107"/>
      <c r="F192" s="108"/>
      <c r="G192" s="81"/>
      <c r="H192" s="82"/>
      <c r="I192" s="56"/>
      <c r="L192" s="101"/>
      <c r="M192" s="101"/>
      <c r="N192" s="56"/>
    </row>
    <row r="193" spans="1:10" s="18" customFormat="1">
      <c r="A193" s="102" t="s">
        <v>197</v>
      </c>
      <c r="B193" s="103"/>
      <c r="C193" s="103"/>
      <c r="D193" s="103"/>
      <c r="E193" s="103"/>
      <c r="F193" s="103"/>
      <c r="G193" s="103"/>
      <c r="H193" s="104"/>
      <c r="I193" s="56"/>
    </row>
    <row r="194" spans="1:10" s="18" customFormat="1" ht="15.75" customHeight="1">
      <c r="A194" s="40">
        <v>1</v>
      </c>
      <c r="B194" s="40" t="s">
        <v>180</v>
      </c>
      <c r="C194" s="40" t="s">
        <v>190</v>
      </c>
      <c r="D194" s="41">
        <f>(61.87+0.75*(3.05+2.66+2.18))*(10.764)</f>
        <v>729.66464999999994</v>
      </c>
      <c r="E194" s="40">
        <v>0</v>
      </c>
      <c r="F194" s="40">
        <f t="shared" ref="F194:F197" si="24">D194*(($F$135)+1)+(IF(E194&lt;101,E194,IF(E194&lt;201,E194/2,IF(E194&lt;=301,E194/3,E194/4))))</f>
        <v>1167.46344</v>
      </c>
      <c r="G194" s="77" t="str">
        <f>A193</f>
        <v>5th to 7th, 9th to 12th, 14th to 16th Floor</v>
      </c>
      <c r="H194" s="78"/>
      <c r="I194" s="56"/>
      <c r="J194" s="18">
        <f>11500000/F194</f>
        <v>9850.415529928714</v>
      </c>
    </row>
    <row r="195" spans="1:10" s="18" customFormat="1" ht="15.75" customHeight="1">
      <c r="A195" s="40">
        <f>A194+1</f>
        <v>2</v>
      </c>
      <c r="B195" s="40" t="s">
        <v>180</v>
      </c>
      <c r="C195" s="40" t="s">
        <v>189</v>
      </c>
      <c r="D195" s="41">
        <f>(91.28+0.75*(3.1+3.05))*(10.764)</f>
        <v>1032.18687</v>
      </c>
      <c r="E195" s="40">
        <v>0</v>
      </c>
      <c r="F195" s="40">
        <f t="shared" si="24"/>
        <v>1651.498992</v>
      </c>
      <c r="G195" s="79"/>
      <c r="H195" s="80"/>
      <c r="I195" s="56"/>
      <c r="J195" s="18">
        <f>100000000/F196</f>
        <v>64666.351219032113</v>
      </c>
    </row>
    <row r="196" spans="1:10" s="18" customFormat="1" ht="15.75" customHeight="1">
      <c r="A196" s="40">
        <f t="shared" ref="A196" si="25">A195+1</f>
        <v>3</v>
      </c>
      <c r="B196" s="40" t="s">
        <v>180</v>
      </c>
      <c r="C196" s="40" t="s">
        <v>189</v>
      </c>
      <c r="D196" s="41">
        <f>(85.14+0.75*(3.15+3.05))*(10.764)</f>
        <v>966.49955999999997</v>
      </c>
      <c r="E196" s="40">
        <v>0</v>
      </c>
      <c r="F196" s="40">
        <f t="shared" si="24"/>
        <v>1546.399296</v>
      </c>
      <c r="G196" s="79"/>
      <c r="H196" s="80"/>
      <c r="I196" s="56"/>
    </row>
    <row r="197" spans="1:10" s="18" customFormat="1" ht="15.75" customHeight="1">
      <c r="A197" s="40">
        <v>4</v>
      </c>
      <c r="B197" s="40" t="s">
        <v>198</v>
      </c>
      <c r="C197" s="40" t="s">
        <v>190</v>
      </c>
      <c r="D197" s="41">
        <f>(50.6+0.75*(3.15+2.28+2.75+3.05))*(10.764)</f>
        <v>635.31818999999996</v>
      </c>
      <c r="E197" s="40">
        <v>0</v>
      </c>
      <c r="F197" s="40">
        <f t="shared" si="24"/>
        <v>1016.509104</v>
      </c>
      <c r="G197" s="79"/>
      <c r="H197" s="80"/>
      <c r="I197" s="56"/>
    </row>
    <row r="198" spans="1:10" s="18" customFormat="1">
      <c r="A198" s="102" t="s">
        <v>203</v>
      </c>
      <c r="B198" s="103"/>
      <c r="C198" s="103"/>
      <c r="D198" s="103"/>
      <c r="E198" s="103"/>
      <c r="F198" s="103"/>
      <c r="G198" s="103"/>
      <c r="H198" s="104"/>
      <c r="I198" s="56"/>
    </row>
    <row r="199" spans="1:10" s="18" customFormat="1" ht="15.75" customHeight="1">
      <c r="A199" s="40">
        <v>1</v>
      </c>
      <c r="B199" s="40" t="s">
        <v>180</v>
      </c>
      <c r="C199" s="40" t="s">
        <v>190</v>
      </c>
      <c r="D199" s="41">
        <f>(61.87+0.75*(3.05+2.66+2.18))*(10.764)</f>
        <v>729.66464999999994</v>
      </c>
      <c r="E199" s="40">
        <v>0</v>
      </c>
      <c r="F199" s="40">
        <f t="shared" ref="F199:F202" si="26">D199*(($F$135)+1)+(IF(E199&lt;101,E199,IF(E199&lt;201,E199/2,IF(E199&lt;=301,E199/3,E199/4))))</f>
        <v>1167.46344</v>
      </c>
      <c r="G199" s="77" t="str">
        <f>A198</f>
        <v>8th &amp; 13th Floor (Part Refuge Area)</v>
      </c>
      <c r="H199" s="78"/>
      <c r="I199" s="56"/>
      <c r="J199" s="18">
        <f>11500000/F199</f>
        <v>9850.415529928714</v>
      </c>
    </row>
    <row r="200" spans="1:10" s="18" customFormat="1" ht="15.75" customHeight="1">
      <c r="A200" s="40">
        <f>A199+1</f>
        <v>2</v>
      </c>
      <c r="B200" s="40" t="s">
        <v>180</v>
      </c>
      <c r="C200" s="40" t="s">
        <v>189</v>
      </c>
      <c r="D200" s="41">
        <f>(91.28+0.75*(3.1+3.05))*(10.764)</f>
        <v>1032.18687</v>
      </c>
      <c r="E200" s="40">
        <v>0</v>
      </c>
      <c r="F200" s="40">
        <f t="shared" si="26"/>
        <v>1651.498992</v>
      </c>
      <c r="G200" s="79"/>
      <c r="H200" s="80"/>
      <c r="I200" s="56"/>
      <c r="J200" s="18">
        <f>100000000/F201</f>
        <v>75722.37449083064</v>
      </c>
    </row>
    <row r="201" spans="1:10" s="18" customFormat="1" ht="15.75" customHeight="1">
      <c r="A201" s="40">
        <f t="shared" ref="A201:A202" si="27">A200+1</f>
        <v>3</v>
      </c>
      <c r="B201" s="40" t="s">
        <v>180</v>
      </c>
      <c r="C201" s="40" t="s">
        <v>190</v>
      </c>
      <c r="D201" s="41">
        <f>(72.03+0.75*(3.15+3.05))*(10.764)</f>
        <v>825.38351999999998</v>
      </c>
      <c r="E201" s="40">
        <v>0</v>
      </c>
      <c r="F201" s="40">
        <f t="shared" si="26"/>
        <v>1320.6136320000001</v>
      </c>
      <c r="G201" s="79"/>
      <c r="H201" s="80"/>
      <c r="I201" s="56"/>
    </row>
    <row r="202" spans="1:10" s="18" customFormat="1" ht="15.75" customHeight="1">
      <c r="A202" s="40">
        <f t="shared" si="27"/>
        <v>4</v>
      </c>
      <c r="B202" s="40" t="s">
        <v>198</v>
      </c>
      <c r="C202" s="40" t="s">
        <v>190</v>
      </c>
      <c r="D202" s="41">
        <f>(50.6+0.75*(3.15+2.28+2.75+3.05))*(10.764)</f>
        <v>635.31818999999996</v>
      </c>
      <c r="E202" s="40">
        <v>0</v>
      </c>
      <c r="F202" s="40">
        <f t="shared" si="26"/>
        <v>1016.509104</v>
      </c>
      <c r="G202" s="79"/>
      <c r="H202" s="80"/>
      <c r="I202" s="56"/>
    </row>
    <row r="203" spans="1:10" s="18" customFormat="1">
      <c r="A203" s="102" t="s">
        <v>201</v>
      </c>
      <c r="B203" s="103"/>
      <c r="C203" s="103"/>
      <c r="D203" s="103"/>
      <c r="E203" s="103"/>
      <c r="F203" s="103"/>
      <c r="G203" s="103"/>
      <c r="H203" s="104"/>
      <c r="I203" s="56"/>
    </row>
    <row r="204" spans="1:10" s="18" customFormat="1" ht="15.75" customHeight="1">
      <c r="A204" s="40">
        <v>1</v>
      </c>
      <c r="B204" s="40" t="s">
        <v>180</v>
      </c>
      <c r="C204" s="40" t="s">
        <v>190</v>
      </c>
      <c r="D204" s="41">
        <f>(61.87+0.75*(3.05+2.66+2.18))*(10.764)</f>
        <v>729.66464999999994</v>
      </c>
      <c r="E204" s="40">
        <v>0</v>
      </c>
      <c r="F204" s="40">
        <f t="shared" ref="F204:F207" si="28">D204*(($F$135)+1)+(IF(E204&lt;101,E204,IF(E204&lt;201,E204/2,IF(E204&lt;=301,E204/3,E204/4))))</f>
        <v>1167.46344</v>
      </c>
      <c r="G204" s="77" t="str">
        <f>A203</f>
        <v>17th, 19th to 22nd Floor</v>
      </c>
      <c r="H204" s="78"/>
      <c r="I204" s="56"/>
      <c r="J204" s="18">
        <f>11500000/F204</f>
        <v>9850.415529928714</v>
      </c>
    </row>
    <row r="205" spans="1:10" s="18" customFormat="1" ht="15.75" customHeight="1">
      <c r="A205" s="40">
        <f>A204+1</f>
        <v>2</v>
      </c>
      <c r="B205" s="40" t="s">
        <v>180</v>
      </c>
      <c r="C205" s="40" t="s">
        <v>189</v>
      </c>
      <c r="D205" s="41">
        <f>(91.28+0.75*(3.1+3.05))*(10.764)</f>
        <v>1032.18687</v>
      </c>
      <c r="E205" s="40">
        <v>0</v>
      </c>
      <c r="F205" s="40">
        <f t="shared" si="28"/>
        <v>1651.498992</v>
      </c>
      <c r="G205" s="79"/>
      <c r="H205" s="80"/>
      <c r="I205" s="56"/>
      <c r="J205" s="18">
        <f>100000000/F206</f>
        <v>64666.351219032113</v>
      </c>
    </row>
    <row r="206" spans="1:10" s="18" customFormat="1" ht="15.75" customHeight="1">
      <c r="A206" s="40">
        <f t="shared" ref="A206:A207" si="29">A205+1</f>
        <v>3</v>
      </c>
      <c r="B206" s="40" t="s">
        <v>180</v>
      </c>
      <c r="C206" s="40" t="s">
        <v>189</v>
      </c>
      <c r="D206" s="41">
        <f>(85.14+0.75*(3.15+3.05))*(10.764)</f>
        <v>966.49955999999997</v>
      </c>
      <c r="E206" s="40">
        <v>0</v>
      </c>
      <c r="F206" s="40">
        <f t="shared" si="28"/>
        <v>1546.399296</v>
      </c>
      <c r="G206" s="79"/>
      <c r="H206" s="80"/>
      <c r="I206" s="56"/>
    </row>
    <row r="207" spans="1:10" s="18" customFormat="1" ht="15.75" customHeight="1">
      <c r="A207" s="40">
        <f t="shared" si="29"/>
        <v>4</v>
      </c>
      <c r="B207" s="40" t="s">
        <v>180</v>
      </c>
      <c r="C207" s="40" t="s">
        <v>190</v>
      </c>
      <c r="D207" s="41">
        <f>(50.6+0.75*(3.15+2.28+2.75+3.05))*(10.764)</f>
        <v>635.31818999999996</v>
      </c>
      <c r="E207" s="40">
        <v>0</v>
      </c>
      <c r="F207" s="40">
        <f t="shared" si="28"/>
        <v>1016.509104</v>
      </c>
      <c r="G207" s="79"/>
      <c r="H207" s="80"/>
      <c r="I207" s="56"/>
    </row>
    <row r="208" spans="1:10" s="18" customFormat="1">
      <c r="A208" s="102" t="s">
        <v>204</v>
      </c>
      <c r="B208" s="103"/>
      <c r="C208" s="103"/>
      <c r="D208" s="103"/>
      <c r="E208" s="103"/>
      <c r="F208" s="103"/>
      <c r="G208" s="103"/>
      <c r="H208" s="104"/>
      <c r="I208" s="56"/>
    </row>
    <row r="209" spans="1:10" s="18" customFormat="1" ht="15.75" customHeight="1">
      <c r="A209" s="40">
        <v>1</v>
      </c>
      <c r="B209" s="40" t="s">
        <v>180</v>
      </c>
      <c r="C209" s="40" t="s">
        <v>190</v>
      </c>
      <c r="D209" s="41">
        <f>(61.87+0.75*(3.05+2.66+2.18))*(10.764)</f>
        <v>729.66464999999994</v>
      </c>
      <c r="E209" s="40">
        <v>0</v>
      </c>
      <c r="F209" s="40">
        <f t="shared" ref="F209:F212" si="30">D209*(($F$135)+1)+(IF(E209&lt;101,E209,IF(E209&lt;201,E209/2,IF(E209&lt;=301,E209/3,E209/4))))</f>
        <v>1167.46344</v>
      </c>
      <c r="G209" s="77" t="str">
        <f>A208</f>
        <v>18th Floor (Part Refuge Area)</v>
      </c>
      <c r="H209" s="78"/>
      <c r="I209" s="56"/>
      <c r="J209" s="18">
        <f>11500000/F209</f>
        <v>9850.415529928714</v>
      </c>
    </row>
    <row r="210" spans="1:10" s="18" customFormat="1" ht="15.75" customHeight="1">
      <c r="A210" s="40">
        <f>A209+1</f>
        <v>2</v>
      </c>
      <c r="B210" s="40" t="s">
        <v>180</v>
      </c>
      <c r="C210" s="40" t="s">
        <v>189</v>
      </c>
      <c r="D210" s="41">
        <f>(91.28+0.75*(3.1+3.05))*(10.764)</f>
        <v>1032.18687</v>
      </c>
      <c r="E210" s="40">
        <v>0</v>
      </c>
      <c r="F210" s="40">
        <f t="shared" si="30"/>
        <v>1651.498992</v>
      </c>
      <c r="G210" s="79"/>
      <c r="H210" s="80"/>
      <c r="I210" s="56"/>
      <c r="J210" s="18">
        <f>100000000/F211</f>
        <v>64666.351219032113</v>
      </c>
    </row>
    <row r="211" spans="1:10" s="18" customFormat="1" ht="15.75" customHeight="1">
      <c r="A211" s="40">
        <f t="shared" ref="A211:A212" si="31">A210+1</f>
        <v>3</v>
      </c>
      <c r="B211" s="40" t="s">
        <v>180</v>
      </c>
      <c r="C211" s="40" t="s">
        <v>189</v>
      </c>
      <c r="D211" s="41">
        <f>(85.14+0.75*(3.15+3.05))*(10.764)</f>
        <v>966.49955999999997</v>
      </c>
      <c r="E211" s="40">
        <v>0</v>
      </c>
      <c r="F211" s="40">
        <f t="shared" si="30"/>
        <v>1546.399296</v>
      </c>
      <c r="G211" s="79"/>
      <c r="H211" s="80"/>
      <c r="I211" s="56"/>
    </row>
    <row r="212" spans="1:10" s="18" customFormat="1" ht="15.75" customHeight="1">
      <c r="A212" s="40">
        <f t="shared" si="31"/>
        <v>4</v>
      </c>
      <c r="B212" s="40" t="s">
        <v>180</v>
      </c>
      <c r="C212" s="40" t="s">
        <v>190</v>
      </c>
      <c r="D212" s="41">
        <f>(50.6+0.75*(3.15+2.28+2.75+3.05))*(10.764)</f>
        <v>635.31818999999996</v>
      </c>
      <c r="E212" s="40">
        <v>0</v>
      </c>
      <c r="F212" s="40">
        <f t="shared" si="30"/>
        <v>1016.509104</v>
      </c>
      <c r="G212" s="79"/>
      <c r="H212" s="80"/>
      <c r="I212" s="56"/>
    </row>
    <row r="213" spans="1:10" s="17" customFormat="1">
      <c r="A213" s="105" t="s">
        <v>205</v>
      </c>
      <c r="B213" s="105"/>
      <c r="C213" s="105"/>
      <c r="D213" s="105"/>
      <c r="E213" s="105"/>
      <c r="F213" s="105"/>
      <c r="G213" s="105"/>
      <c r="H213" s="105"/>
    </row>
    <row r="214" spans="1:10" s="17" customFormat="1" ht="32.25" customHeight="1">
      <c r="A214" s="37" t="s">
        <v>206</v>
      </c>
      <c r="B214" s="95" t="s">
        <v>250</v>
      </c>
      <c r="C214" s="96"/>
      <c r="D214" s="96"/>
      <c r="E214" s="96"/>
      <c r="F214" s="96"/>
      <c r="G214" s="96"/>
      <c r="H214" s="97"/>
    </row>
    <row r="215" spans="1:10" s="17" customFormat="1">
      <c r="A215" s="37" t="s">
        <v>206</v>
      </c>
      <c r="B215" s="95" t="str">
        <f>(IF(F134="Saleable area Loading :","We have considered Saleable area of Flats as per our Calculation.","We considered Saleable area of Flat as per Builder area Sheet."))</f>
        <v>We have considered Saleable area of Flats as per our Calculation.</v>
      </c>
      <c r="C215" s="96"/>
      <c r="D215" s="96"/>
      <c r="E215" s="96"/>
      <c r="F215" s="96"/>
      <c r="G215" s="96"/>
      <c r="H215" s="97"/>
    </row>
    <row r="216" spans="1:10" s="17" customFormat="1">
      <c r="A216" s="37" t="s">
        <v>206</v>
      </c>
      <c r="B216" s="95" t="str">
        <f>(IF(F111="Saleable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16" s="96"/>
      <c r="D216" s="96"/>
      <c r="E216" s="96"/>
      <c r="F216" s="96"/>
      <c r="G216" s="96"/>
      <c r="H216" s="97"/>
    </row>
    <row r="217" spans="1:10" s="17" customFormat="1">
      <c r="A217" s="37" t="s">
        <v>206</v>
      </c>
      <c r="B217" s="98" t="s">
        <v>207</v>
      </c>
      <c r="C217" s="99"/>
      <c r="D217" s="99"/>
      <c r="E217" s="99"/>
      <c r="F217" s="99"/>
      <c r="G217" s="99"/>
      <c r="H217" s="100"/>
    </row>
    <row r="218" spans="1:10" s="17" customFormat="1">
      <c r="A218" s="37" t="s">
        <v>206</v>
      </c>
      <c r="B218" s="98" t="s">
        <v>208</v>
      </c>
      <c r="C218" s="99"/>
      <c r="D218" s="99"/>
      <c r="E218" s="99"/>
      <c r="F218" s="99"/>
      <c r="G218" s="99"/>
      <c r="H218" s="100"/>
    </row>
    <row r="219" spans="1:10" s="17" customFormat="1">
      <c r="A219" s="37" t="s">
        <v>206</v>
      </c>
      <c r="B219" s="98" t="s">
        <v>209</v>
      </c>
      <c r="C219" s="99"/>
      <c r="D219" s="99"/>
      <c r="E219" s="99"/>
      <c r="F219" s="99"/>
      <c r="G219" s="99"/>
      <c r="H219" s="100"/>
    </row>
    <row r="220" spans="1:10" s="17" customFormat="1">
      <c r="A220" s="37" t="s">
        <v>206</v>
      </c>
      <c r="B220" s="98" t="s">
        <v>210</v>
      </c>
      <c r="C220" s="99"/>
      <c r="D220" s="99"/>
      <c r="E220" s="99"/>
      <c r="F220" s="99"/>
      <c r="G220" s="99"/>
      <c r="H220" s="100"/>
    </row>
    <row r="221" spans="1:10" s="17" customFormat="1" ht="34.5" customHeight="1">
      <c r="A221" s="37" t="s">
        <v>206</v>
      </c>
      <c r="B221" s="98" t="s">
        <v>211</v>
      </c>
      <c r="C221" s="99"/>
      <c r="D221" s="99"/>
      <c r="E221" s="99"/>
      <c r="F221" s="99"/>
      <c r="G221" s="99"/>
      <c r="H221" s="100"/>
    </row>
    <row r="222" spans="1:10" s="17" customFormat="1">
      <c r="A222" s="37" t="s">
        <v>206</v>
      </c>
      <c r="B222" s="98" t="s">
        <v>212</v>
      </c>
      <c r="C222" s="99"/>
      <c r="D222" s="99"/>
      <c r="E222" s="99"/>
      <c r="F222" s="99"/>
      <c r="G222" s="99"/>
      <c r="H222" s="100"/>
    </row>
    <row r="223" spans="1:10" s="17" customFormat="1" hidden="1">
      <c r="A223" s="37" t="s">
        <v>206</v>
      </c>
      <c r="B223" s="98" t="s">
        <v>213</v>
      </c>
      <c r="C223" s="99"/>
      <c r="D223" s="99"/>
      <c r="E223" s="99"/>
      <c r="F223" s="99"/>
      <c r="G223" s="99"/>
      <c r="H223" s="100"/>
    </row>
    <row r="224" spans="1:10" s="17" customFormat="1">
      <c r="A224" s="37" t="s">
        <v>206</v>
      </c>
      <c r="B224" s="98" t="s">
        <v>214</v>
      </c>
      <c r="C224" s="99"/>
      <c r="D224" s="99"/>
      <c r="E224" s="99"/>
      <c r="F224" s="99"/>
      <c r="G224" s="99"/>
      <c r="H224" s="100"/>
    </row>
    <row r="225" spans="1:8" s="17" customFormat="1">
      <c r="A225" s="37" t="s">
        <v>206</v>
      </c>
      <c r="B225" s="98" t="s">
        <v>215</v>
      </c>
      <c r="C225" s="99"/>
      <c r="D225" s="99"/>
      <c r="E225" s="99"/>
      <c r="F225" s="99"/>
      <c r="G225" s="99"/>
      <c r="H225" s="100"/>
    </row>
    <row r="226" spans="1:8" s="17" customFormat="1">
      <c r="A226" s="37" t="s">
        <v>206</v>
      </c>
      <c r="B226" s="98" t="s">
        <v>216</v>
      </c>
      <c r="C226" s="99"/>
      <c r="D226" s="99"/>
      <c r="E226" s="99"/>
      <c r="F226" s="99"/>
      <c r="G226" s="99"/>
      <c r="H226" s="100"/>
    </row>
    <row r="227" spans="1:8" s="17" customFormat="1" ht="32.25" customHeight="1">
      <c r="A227" s="37" t="s">
        <v>206</v>
      </c>
      <c r="B227" s="98" t="s">
        <v>245</v>
      </c>
      <c r="C227" s="99"/>
      <c r="D227" s="99"/>
      <c r="E227" s="99"/>
      <c r="F227" s="99"/>
      <c r="G227" s="99"/>
      <c r="H227" s="100"/>
    </row>
    <row r="228" spans="1:8">
      <c r="A228" s="92" t="s">
        <v>217</v>
      </c>
      <c r="B228" s="92"/>
      <c r="C228" s="92"/>
      <c r="D228" s="92"/>
      <c r="E228" s="92"/>
      <c r="F228" s="92"/>
      <c r="G228" s="92"/>
      <c r="H228" s="92"/>
    </row>
    <row r="229" spans="1:8">
      <c r="A229" s="93" t="s">
        <v>218</v>
      </c>
      <c r="B229" s="93"/>
      <c r="C229" s="93"/>
      <c r="D229" s="93"/>
      <c r="E229" s="93"/>
      <c r="F229" s="93"/>
      <c r="G229" s="93"/>
      <c r="H229" s="93"/>
    </row>
    <row r="230" spans="1:8" ht="15.75" customHeight="1">
      <c r="A230" s="94" t="s">
        <v>219</v>
      </c>
      <c r="B230" s="94"/>
      <c r="C230" s="94"/>
      <c r="D230" s="94"/>
      <c r="E230" s="94"/>
      <c r="F230" s="94"/>
      <c r="G230" s="94"/>
      <c r="H230" s="94"/>
    </row>
    <row r="231" spans="1:8">
      <c r="A231" s="93" t="s">
        <v>220</v>
      </c>
      <c r="B231" s="93"/>
      <c r="C231" s="93"/>
      <c r="D231" s="93"/>
      <c r="E231" s="93"/>
      <c r="F231" s="93"/>
      <c r="G231" s="93"/>
      <c r="H231" s="93"/>
    </row>
    <row r="232" spans="1:8">
      <c r="A232" s="93" t="s">
        <v>221</v>
      </c>
      <c r="B232" s="93"/>
      <c r="C232" s="93"/>
      <c r="D232" s="93"/>
      <c r="E232" s="93"/>
      <c r="F232" s="93"/>
      <c r="G232" s="93"/>
      <c r="H232" s="93"/>
    </row>
    <row r="233" spans="1:8">
      <c r="A233" s="93" t="s">
        <v>222</v>
      </c>
      <c r="B233" s="93"/>
      <c r="C233" s="93"/>
      <c r="D233" s="93"/>
      <c r="E233" s="93"/>
      <c r="F233" s="93"/>
      <c r="G233" s="93"/>
      <c r="H233" s="93"/>
    </row>
    <row r="234" spans="1:8" ht="31.9" customHeight="1">
      <c r="A234" s="71" t="s">
        <v>223</v>
      </c>
      <c r="B234" s="71"/>
      <c r="C234" s="71"/>
      <c r="D234" s="71"/>
      <c r="E234" s="71"/>
      <c r="F234" s="71"/>
      <c r="G234" s="71"/>
      <c r="H234" s="71"/>
    </row>
    <row r="235" spans="1:8">
      <c r="A235" s="87" t="s">
        <v>224</v>
      </c>
      <c r="B235" s="87"/>
      <c r="C235" s="87" t="s">
        <v>225</v>
      </c>
      <c r="D235" s="87"/>
      <c r="E235" s="87" t="s">
        <v>226</v>
      </c>
      <c r="F235" s="87"/>
      <c r="G235" s="87" t="s">
        <v>249</v>
      </c>
      <c r="H235" s="87"/>
    </row>
    <row r="236" spans="1:8">
      <c r="A236" s="61" t="s">
        <v>227</v>
      </c>
      <c r="B236" s="61"/>
      <c r="C236" s="61"/>
      <c r="D236" s="61"/>
      <c r="E236" s="61"/>
      <c r="F236" s="61"/>
      <c r="G236" s="61"/>
      <c r="H236" s="61"/>
    </row>
    <row r="237" spans="1:8">
      <c r="A237" s="61"/>
      <c r="B237" s="61"/>
      <c r="C237" s="61"/>
      <c r="D237" s="61"/>
      <c r="E237" s="61"/>
      <c r="F237" s="61"/>
      <c r="G237" s="61"/>
      <c r="H237" s="61"/>
    </row>
    <row r="238" spans="1:8">
      <c r="A238" s="61"/>
      <c r="B238" s="61"/>
      <c r="C238" s="61"/>
      <c r="D238" s="61"/>
      <c r="E238" s="61"/>
      <c r="F238" s="61"/>
      <c r="G238" s="61"/>
      <c r="H238" s="61"/>
    </row>
    <row r="239" spans="1:8">
      <c r="A239" s="61"/>
      <c r="B239" s="61"/>
      <c r="C239" s="61"/>
      <c r="D239" s="61"/>
      <c r="E239" s="61"/>
      <c r="F239" s="61"/>
      <c r="G239" s="61"/>
      <c r="H239" s="61"/>
    </row>
    <row r="240" spans="1:8">
      <c r="A240" s="58" t="s">
        <v>228</v>
      </c>
      <c r="B240" s="59"/>
      <c r="C240" s="59"/>
      <c r="D240" s="58" t="str">
        <f>E8</f>
        <v>Dosti Desire Phase 2</v>
      </c>
      <c r="F240" s="59"/>
      <c r="G240" s="59"/>
      <c r="H240" s="59"/>
    </row>
    <row r="241" spans="1:8">
      <c r="A241" s="59"/>
      <c r="B241" s="59"/>
      <c r="C241" s="59"/>
      <c r="D241" s="59"/>
      <c r="E241" s="59"/>
      <c r="F241" s="59"/>
      <c r="G241" s="59"/>
      <c r="H241" s="59"/>
    </row>
    <row r="242" spans="1:8">
      <c r="A242" s="59"/>
      <c r="B242" s="59"/>
      <c r="C242" s="59"/>
      <c r="D242" s="59"/>
      <c r="E242" s="59"/>
      <c r="F242" s="59"/>
      <c r="G242" s="59"/>
      <c r="H242" s="59"/>
    </row>
    <row r="243" spans="1:8" ht="15" customHeight="1"/>
    <row r="282" spans="1:1">
      <c r="A282" s="60" t="s">
        <v>229</v>
      </c>
    </row>
    <row r="324" spans="1:1">
      <c r="A324" s="60" t="s">
        <v>230</v>
      </c>
    </row>
  </sheetData>
  <mergeCells count="358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36:H36"/>
    <mergeCell ref="A37:B37"/>
    <mergeCell ref="C37:H37"/>
    <mergeCell ref="A38:B38"/>
    <mergeCell ref="C38:H38"/>
    <mergeCell ref="A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H46"/>
    <mergeCell ref="A47:B47"/>
    <mergeCell ref="C47:H47"/>
    <mergeCell ref="A48:B48"/>
    <mergeCell ref="C48:E48"/>
    <mergeCell ref="G48:H48"/>
    <mergeCell ref="A49:B49"/>
    <mergeCell ref="C49:E49"/>
    <mergeCell ref="G49:H49"/>
    <mergeCell ref="C50:E50"/>
    <mergeCell ref="G50:H50"/>
    <mergeCell ref="C51:H51"/>
    <mergeCell ref="A52:B52"/>
    <mergeCell ref="C52:E52"/>
    <mergeCell ref="G52:H52"/>
    <mergeCell ref="A53:H53"/>
    <mergeCell ref="A54:C54"/>
    <mergeCell ref="D54:H54"/>
    <mergeCell ref="A55:C55"/>
    <mergeCell ref="D55:H55"/>
    <mergeCell ref="A56:C56"/>
    <mergeCell ref="D56:H56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62:C62"/>
    <mergeCell ref="D62:H62"/>
    <mergeCell ref="A63:C63"/>
    <mergeCell ref="D63:H63"/>
    <mergeCell ref="A64:C64"/>
    <mergeCell ref="D64:H64"/>
    <mergeCell ref="A65:B65"/>
    <mergeCell ref="C65:H65"/>
    <mergeCell ref="A67:B67"/>
    <mergeCell ref="C67:H67"/>
    <mergeCell ref="A68:B68"/>
    <mergeCell ref="E68:F68"/>
    <mergeCell ref="G68:H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E79"/>
    <mergeCell ref="F79:H79"/>
    <mergeCell ref="A80:E80"/>
    <mergeCell ref="F80:H80"/>
    <mergeCell ref="A81:E81"/>
    <mergeCell ref="F81:H81"/>
    <mergeCell ref="A82:E82"/>
    <mergeCell ref="F82:H82"/>
    <mergeCell ref="A83:E83"/>
    <mergeCell ref="F83:H83"/>
    <mergeCell ref="A84:E84"/>
    <mergeCell ref="F84:H84"/>
    <mergeCell ref="A85:E85"/>
    <mergeCell ref="F85:H85"/>
    <mergeCell ref="A86:E86"/>
    <mergeCell ref="F86:H86"/>
    <mergeCell ref="A87:E87"/>
    <mergeCell ref="F87:H87"/>
    <mergeCell ref="A88:E88"/>
    <mergeCell ref="F88:H88"/>
    <mergeCell ref="A89:E89"/>
    <mergeCell ref="F89:H89"/>
    <mergeCell ref="A90:E90"/>
    <mergeCell ref="F90:H90"/>
    <mergeCell ref="A91:E91"/>
    <mergeCell ref="F91:H91"/>
    <mergeCell ref="A92:E92"/>
    <mergeCell ref="F92:H92"/>
    <mergeCell ref="A93:H93"/>
    <mergeCell ref="A94:B94"/>
    <mergeCell ref="C94:D94"/>
    <mergeCell ref="E94:F94"/>
    <mergeCell ref="G94:H94"/>
    <mergeCell ref="C95:D95"/>
    <mergeCell ref="E95:F95"/>
    <mergeCell ref="G95:H95"/>
    <mergeCell ref="C96:D96"/>
    <mergeCell ref="E96:F96"/>
    <mergeCell ref="G96:H96"/>
    <mergeCell ref="A97:B97"/>
    <mergeCell ref="C97:D97"/>
    <mergeCell ref="E97:F97"/>
    <mergeCell ref="G97:H97"/>
    <mergeCell ref="A98:H98"/>
    <mergeCell ref="A99:B99"/>
    <mergeCell ref="C99:D99"/>
    <mergeCell ref="E99:F99"/>
    <mergeCell ref="G99:H99"/>
    <mergeCell ref="C100:D100"/>
    <mergeCell ref="E100:F100"/>
    <mergeCell ref="G100:H100"/>
    <mergeCell ref="C101:D101"/>
    <mergeCell ref="E101:F101"/>
    <mergeCell ref="G101:H101"/>
    <mergeCell ref="A102:B102"/>
    <mergeCell ref="C102:D102"/>
    <mergeCell ref="E102:F102"/>
    <mergeCell ref="G102:H102"/>
    <mergeCell ref="A103:H103"/>
    <mergeCell ref="A104:B104"/>
    <mergeCell ref="C104:D104"/>
    <mergeCell ref="E104:F104"/>
    <mergeCell ref="G104:H104"/>
    <mergeCell ref="C105:D105"/>
    <mergeCell ref="E105:F105"/>
    <mergeCell ref="G105:H105"/>
    <mergeCell ref="C106:D106"/>
    <mergeCell ref="E106:F106"/>
    <mergeCell ref="G106:H106"/>
    <mergeCell ref="A107:B107"/>
    <mergeCell ref="C107:D107"/>
    <mergeCell ref="E107:F107"/>
    <mergeCell ref="G107:H107"/>
    <mergeCell ref="A108:B108"/>
    <mergeCell ref="C108:D108"/>
    <mergeCell ref="E108:F108"/>
    <mergeCell ref="G108:H108"/>
    <mergeCell ref="A109:H109"/>
    <mergeCell ref="A110:H110"/>
    <mergeCell ref="A113:H113"/>
    <mergeCell ref="A114:H114"/>
    <mergeCell ref="A115:H115"/>
    <mergeCell ref="A116:H116"/>
    <mergeCell ref="L117:M117"/>
    <mergeCell ref="L118:M118"/>
    <mergeCell ref="L119:M119"/>
    <mergeCell ref="L120:M120"/>
    <mergeCell ref="B111:B112"/>
    <mergeCell ref="C111:C112"/>
    <mergeCell ref="D111:D112"/>
    <mergeCell ref="E111:E112"/>
    <mergeCell ref="L121:M121"/>
    <mergeCell ref="L122:M122"/>
    <mergeCell ref="L123:M123"/>
    <mergeCell ref="L124:M124"/>
    <mergeCell ref="A125:H125"/>
    <mergeCell ref="A126:H126"/>
    <mergeCell ref="A127:H127"/>
    <mergeCell ref="L128:M128"/>
    <mergeCell ref="L129:M129"/>
    <mergeCell ref="G117:H124"/>
    <mergeCell ref="L130:M130"/>
    <mergeCell ref="L131:M131"/>
    <mergeCell ref="L132:M132"/>
    <mergeCell ref="A133:H133"/>
    <mergeCell ref="A136:H136"/>
    <mergeCell ref="A137:H137"/>
    <mergeCell ref="A138:H138"/>
    <mergeCell ref="A139:H139"/>
    <mergeCell ref="L140:M140"/>
    <mergeCell ref="G134:H135"/>
    <mergeCell ref="A134:A135"/>
    <mergeCell ref="B134:B135"/>
    <mergeCell ref="C134:C135"/>
    <mergeCell ref="D134:D135"/>
    <mergeCell ref="E134:E135"/>
    <mergeCell ref="L141:M141"/>
    <mergeCell ref="L142:M142"/>
    <mergeCell ref="D143:F143"/>
    <mergeCell ref="L143:M143"/>
    <mergeCell ref="D144:F144"/>
    <mergeCell ref="L144:M144"/>
    <mergeCell ref="D145:F145"/>
    <mergeCell ref="L145:M145"/>
    <mergeCell ref="A146:H146"/>
    <mergeCell ref="G140:H145"/>
    <mergeCell ref="L147:M147"/>
    <mergeCell ref="L148:M148"/>
    <mergeCell ref="L149:M149"/>
    <mergeCell ref="D150:F150"/>
    <mergeCell ref="L150:M150"/>
    <mergeCell ref="D151:F151"/>
    <mergeCell ref="L151:M151"/>
    <mergeCell ref="D152:F152"/>
    <mergeCell ref="L152:M152"/>
    <mergeCell ref="G147:H152"/>
    <mergeCell ref="L186:M186"/>
    <mergeCell ref="D187:F187"/>
    <mergeCell ref="L187:M187"/>
    <mergeCell ref="A188:H188"/>
    <mergeCell ref="L189:M189"/>
    <mergeCell ref="L190:M190"/>
    <mergeCell ref="D191:F191"/>
    <mergeCell ref="L191:M191"/>
    <mergeCell ref="A153:H153"/>
    <mergeCell ref="A160:H160"/>
    <mergeCell ref="A167:H167"/>
    <mergeCell ref="A174:H174"/>
    <mergeCell ref="A181:H181"/>
    <mergeCell ref="A182:H182"/>
    <mergeCell ref="A183:H183"/>
    <mergeCell ref="L184:M184"/>
    <mergeCell ref="L185:M185"/>
    <mergeCell ref="G168:H173"/>
    <mergeCell ref="D186:F186"/>
    <mergeCell ref="L192:M192"/>
    <mergeCell ref="A193:H193"/>
    <mergeCell ref="A198:H198"/>
    <mergeCell ref="A203:H203"/>
    <mergeCell ref="A208:H208"/>
    <mergeCell ref="A213:H213"/>
    <mergeCell ref="B214:H214"/>
    <mergeCell ref="B215:H215"/>
    <mergeCell ref="G189:H192"/>
    <mergeCell ref="G209:H212"/>
    <mergeCell ref="D192:F192"/>
    <mergeCell ref="A228:H228"/>
    <mergeCell ref="A229:H229"/>
    <mergeCell ref="A230:H230"/>
    <mergeCell ref="A231:H231"/>
    <mergeCell ref="A232:H232"/>
    <mergeCell ref="A233:H233"/>
    <mergeCell ref="B216:H216"/>
    <mergeCell ref="B217:H217"/>
    <mergeCell ref="B218:H218"/>
    <mergeCell ref="B219:H219"/>
    <mergeCell ref="B220:H220"/>
    <mergeCell ref="B221:H221"/>
    <mergeCell ref="B222:H222"/>
    <mergeCell ref="B223:H223"/>
    <mergeCell ref="B224:H224"/>
    <mergeCell ref="B225:H225"/>
    <mergeCell ref="B226:H226"/>
    <mergeCell ref="B227:H227"/>
    <mergeCell ref="A236:H239"/>
    <mergeCell ref="E69:F78"/>
    <mergeCell ref="G69:H78"/>
    <mergeCell ref="A21:D22"/>
    <mergeCell ref="E21:H22"/>
    <mergeCell ref="A50:B51"/>
    <mergeCell ref="G128:H132"/>
    <mergeCell ref="G184:H187"/>
    <mergeCell ref="G154:H159"/>
    <mergeCell ref="G161:H166"/>
    <mergeCell ref="G175:H180"/>
    <mergeCell ref="G111:H112"/>
    <mergeCell ref="G194:H197"/>
    <mergeCell ref="G199:H202"/>
    <mergeCell ref="G204:H207"/>
    <mergeCell ref="A234:H234"/>
    <mergeCell ref="A235:B235"/>
    <mergeCell ref="C235:D235"/>
    <mergeCell ref="E235:F235"/>
    <mergeCell ref="G235:H235"/>
    <mergeCell ref="A95:A96"/>
    <mergeCell ref="A100:A101"/>
    <mergeCell ref="A105:A106"/>
    <mergeCell ref="A111:A112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38" max="16383" man="1"/>
    <brk id="64" max="16383" man="1"/>
    <brk id="108" max="7" man="1"/>
    <brk id="145" max="7" man="1"/>
    <brk id="239" max="16383" man="1"/>
    <brk id="281" max="16383" man="1"/>
    <brk id="32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78" t="s">
        <v>231</v>
      </c>
      <c r="C3" s="178"/>
      <c r="D3" s="178"/>
      <c r="E3" s="178"/>
      <c r="F3" s="178"/>
      <c r="G3" s="178"/>
      <c r="H3" s="178"/>
    </row>
    <row r="4" spans="1:9">
      <c r="A4" s="2"/>
      <c r="B4" s="3" t="s">
        <v>232</v>
      </c>
      <c r="C4" s="3" t="s">
        <v>233</v>
      </c>
      <c r="D4" s="3" t="s">
        <v>234</v>
      </c>
      <c r="E4" s="3" t="s">
        <v>235</v>
      </c>
      <c r="F4" s="3" t="s">
        <v>236</v>
      </c>
      <c r="G4" s="3" t="s">
        <v>237</v>
      </c>
      <c r="H4" s="3" t="s">
        <v>238</v>
      </c>
    </row>
    <row r="5" spans="1:9" ht="15" customHeight="1">
      <c r="A5" s="2"/>
      <c r="B5" s="4" t="s">
        <v>239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239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239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239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239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240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240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241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242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2025-09-11T06:28:25Z</cp:lastPrinted>
  <dcterms:created xsi:type="dcterms:W3CDTF">2019-07-16T09:29:00Z</dcterms:created>
  <dcterms:modified xsi:type="dcterms:W3CDTF">2025-09-11T06:31:03Z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79D94FACEFAE40369E998D0686A3D0CE_12</vt:lpwstr>
  </property>
  <property fmtid="{D5CDD505-2E9C-101B-9397-08002B2CF9AE}" pid="3" name="KSOProductBuildVer">
    <vt:lpwstr>1033-12.2.0.17562</vt:lpwstr>
  </property>
</Properties>
</file>