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D:\Gaurav\Sep 25\DUMP\"/>
    </mc:Choice>
  </mc:AlternateContent>
  <xr:revisionPtr revIDLastSave="0" documentId="13_ncr:1_{483C2097-BD29-47D5-B2A2-07670C3B4488}" xr6:coauthVersionLast="36" xr6:coauthVersionMax="47" xr10:uidLastSave="{00000000-0000-0000-0000-000000000000}"/>
  <bookViews>
    <workbookView xWindow="0" yWindow="0" windowWidth="20490" windowHeight="6825" xr2:uid="{00000000-000D-0000-FFFF-FFFF00000000}"/>
  </bookViews>
  <sheets>
    <sheet name="Report" sheetId="1" r:id="rId1"/>
    <sheet name="Note" sheetId="4" r:id="rId2"/>
    <sheet name="Valuation" sheetId="5" r:id="rId3"/>
    <sheet name="Flat detail" sheetId="3" r:id="rId4"/>
  </sheets>
  <definedNames>
    <definedName name="_xlnm.Print_Area" localSheetId="0">Report!$A$1:$H$413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9" i="1" l="1"/>
  <c r="D149" i="1"/>
  <c r="C149" i="1"/>
  <c r="L115" i="1" l="1"/>
  <c r="C117" i="1" l="1"/>
  <c r="C119" i="1" s="1"/>
  <c r="D242" i="1" l="1"/>
  <c r="D241" i="1"/>
  <c r="D238" i="1"/>
  <c r="F238" i="1" s="1"/>
  <c r="D237" i="1"/>
  <c r="F237" i="1" s="1"/>
  <c r="D236" i="1"/>
  <c r="D234" i="1"/>
  <c r="D233" i="1"/>
  <c r="D232" i="1"/>
  <c r="D231" i="1"/>
  <c r="D230" i="1"/>
  <c r="D229" i="1"/>
  <c r="D228" i="1"/>
  <c r="N269" i="1" l="1"/>
  <c r="N273" i="1"/>
  <c r="J121" i="1" l="1"/>
  <c r="J120" i="1"/>
  <c r="J119" i="1"/>
  <c r="J118" i="1"/>
  <c r="D275" i="1"/>
  <c r="F275" i="1" s="1"/>
  <c r="N275" i="1" s="1"/>
  <c r="D274" i="1"/>
  <c r="F274" i="1" s="1"/>
  <c r="N274" i="1" s="1"/>
  <c r="D272" i="1"/>
  <c r="F272" i="1" s="1"/>
  <c r="N272" i="1" s="1"/>
  <c r="L271" i="1"/>
  <c r="J271" i="1"/>
  <c r="I271" i="1"/>
  <c r="D271" i="1"/>
  <c r="F271" i="1" s="1"/>
  <c r="N271" i="1" s="1"/>
  <c r="L270" i="1"/>
  <c r="J270" i="1"/>
  <c r="I270" i="1"/>
  <c r="G270" i="1"/>
  <c r="D270" i="1"/>
  <c r="F270" i="1" s="1"/>
  <c r="N270" i="1" s="1"/>
  <c r="D268" i="1"/>
  <c r="F268" i="1" s="1"/>
  <c r="N268" i="1" s="1"/>
  <c r="D267" i="1"/>
  <c r="F267" i="1" s="1"/>
  <c r="N267" i="1" s="1"/>
  <c r="D266" i="1"/>
  <c r="D265" i="1"/>
  <c r="F265" i="1" s="1"/>
  <c r="N265" i="1" s="1"/>
  <c r="D264" i="1"/>
  <c r="F264" i="1" s="1"/>
  <c r="N264" i="1" s="1"/>
  <c r="D263" i="1"/>
  <c r="F263" i="1" s="1"/>
  <c r="N263" i="1" s="1"/>
  <c r="L264" i="1"/>
  <c r="J264" i="1"/>
  <c r="I264" i="1"/>
  <c r="L263" i="1"/>
  <c r="J263" i="1"/>
  <c r="I263" i="1"/>
  <c r="G263" i="1"/>
  <c r="H111" i="1"/>
  <c r="K270" i="1" l="1"/>
  <c r="M270" i="1" s="1"/>
  <c r="K264" i="1"/>
  <c r="C147" i="1"/>
  <c r="D147" i="1"/>
  <c r="M264" i="1"/>
  <c r="K271" i="1"/>
  <c r="M271" i="1" s="1"/>
  <c r="F266" i="1"/>
  <c r="N266" i="1" s="1"/>
  <c r="F147" i="1"/>
  <c r="K263" i="1"/>
  <c r="M263" i="1" s="1"/>
  <c r="J115" i="1"/>
  <c r="C114" i="1" s="1"/>
  <c r="G114" i="1" s="1"/>
  <c r="D123" i="1"/>
  <c r="D119" i="1"/>
  <c r="D115" i="1"/>
  <c r="J114" i="1"/>
  <c r="J116" i="1"/>
  <c r="J117" i="1" s="1"/>
  <c r="J122" i="1" s="1"/>
  <c r="J123" i="1" s="1"/>
  <c r="D122" i="1"/>
  <c r="D118" i="1"/>
  <c r="E114" i="1"/>
  <c r="D121" i="1"/>
  <c r="D117" i="1"/>
  <c r="D120" i="1"/>
  <c r="D116" i="1"/>
  <c r="J113" i="1"/>
  <c r="E3" i="1"/>
  <c r="D114" i="1" l="1"/>
  <c r="I110" i="1" s="1"/>
  <c r="C112" i="1" s="1"/>
  <c r="C146" i="1"/>
  <c r="D146" i="1"/>
  <c r="F255" i="1"/>
  <c r="F254" i="1"/>
  <c r="F249" i="1"/>
  <c r="I249" i="1" s="1"/>
  <c r="F248" i="1"/>
  <c r="I248" i="1" s="1"/>
  <c r="F251" i="1"/>
  <c r="I251" i="1" s="1"/>
  <c r="F250" i="1"/>
  <c r="I250" i="1" s="1"/>
  <c r="F257" i="1"/>
  <c r="G254" i="1"/>
  <c r="G248" i="1"/>
  <c r="F146" i="1" l="1"/>
  <c r="J107" i="1"/>
  <c r="J106" i="1"/>
  <c r="J105" i="1"/>
  <c r="J104" i="1"/>
  <c r="H97" i="1"/>
  <c r="D108" i="1" l="1"/>
  <c r="D102" i="1"/>
  <c r="J101" i="1"/>
  <c r="J100" i="1"/>
  <c r="J102" i="1"/>
  <c r="D107" i="1"/>
  <c r="D106" i="1"/>
  <c r="D105" i="1"/>
  <c r="J99" i="1"/>
  <c r="D109" i="1"/>
  <c r="D104" i="1"/>
  <c r="D103" i="1"/>
  <c r="J93" i="1"/>
  <c r="J92" i="1"/>
  <c r="J91" i="1"/>
  <c r="J90" i="1"/>
  <c r="J79" i="1"/>
  <c r="J78" i="1"/>
  <c r="J77" i="1"/>
  <c r="J76" i="1"/>
  <c r="H68" i="1"/>
  <c r="H83" i="1"/>
  <c r="J103" i="1" l="1"/>
  <c r="J108" i="1" s="1"/>
  <c r="J109" i="1" s="1"/>
  <c r="D101" i="1"/>
  <c r="C100" i="1"/>
  <c r="J87" i="1"/>
  <c r="C86" i="1" s="1"/>
  <c r="D86" i="1" s="1"/>
  <c r="J85" i="1"/>
  <c r="D88" i="1"/>
  <c r="D95" i="1"/>
  <c r="D93" i="1"/>
  <c r="D91" i="1"/>
  <c r="D89" i="1"/>
  <c r="D94" i="1"/>
  <c r="D92" i="1"/>
  <c r="D90" i="1"/>
  <c r="J86" i="1"/>
  <c r="J88" i="1"/>
  <c r="J89" i="1" s="1"/>
  <c r="J94" i="1" s="1"/>
  <c r="J95" i="1" s="1"/>
  <c r="C87" i="1" s="1"/>
  <c r="J74" i="1"/>
  <c r="J75" i="1" s="1"/>
  <c r="J80" i="1" s="1"/>
  <c r="J81" i="1" s="1"/>
  <c r="C73" i="1" s="1"/>
  <c r="D80" i="1"/>
  <c r="D78" i="1"/>
  <c r="D76" i="1"/>
  <c r="D74" i="1"/>
  <c r="J72" i="1"/>
  <c r="D81" i="1"/>
  <c r="D79" i="1"/>
  <c r="D77" i="1"/>
  <c r="D75" i="1"/>
  <c r="J73" i="1"/>
  <c r="C72" i="1" s="1"/>
  <c r="J71" i="1"/>
  <c r="E100" i="1" l="1"/>
  <c r="G100" i="1"/>
  <c r="D100" i="1"/>
  <c r="E86" i="1"/>
  <c r="I82" i="1" s="1"/>
  <c r="C84" i="1" s="1"/>
  <c r="D87" i="1"/>
  <c r="G86" i="1"/>
  <c r="E72" i="1"/>
  <c r="D73" i="1"/>
  <c r="G72" i="1"/>
  <c r="D72" i="1"/>
  <c r="D159" i="1"/>
  <c r="F159" i="1" s="1"/>
  <c r="D158" i="1"/>
  <c r="F158" i="1" s="1"/>
  <c r="D157" i="1"/>
  <c r="F157" i="1" s="1"/>
  <c r="D156" i="1"/>
  <c r="D164" i="1"/>
  <c r="F164" i="1" s="1"/>
  <c r="D163" i="1"/>
  <c r="F163" i="1" s="1"/>
  <c r="D162" i="1"/>
  <c r="F162" i="1" s="1"/>
  <c r="D161" i="1"/>
  <c r="F161" i="1" s="1"/>
  <c r="D177" i="1"/>
  <c r="F177" i="1" s="1"/>
  <c r="D176" i="1"/>
  <c r="F176" i="1" s="1"/>
  <c r="D175" i="1"/>
  <c r="F175" i="1" s="1"/>
  <c r="D174" i="1"/>
  <c r="F174" i="1" s="1"/>
  <c r="D170" i="1"/>
  <c r="F170" i="1" s="1"/>
  <c r="D168" i="1"/>
  <c r="F168" i="1" s="1"/>
  <c r="I168" i="1" s="1"/>
  <c r="D169" i="1"/>
  <c r="F169" i="1" s="1"/>
  <c r="D167" i="1"/>
  <c r="F167" i="1" s="1"/>
  <c r="D166" i="1"/>
  <c r="F166" i="1" s="1"/>
  <c r="G173" i="1"/>
  <c r="G166" i="1"/>
  <c r="I96" i="1" l="1"/>
  <c r="C98" i="1" s="1"/>
  <c r="I67" i="1"/>
  <c r="C69" i="1" s="1"/>
  <c r="F156" i="1"/>
  <c r="F143" i="1" s="1"/>
  <c r="C143" i="1"/>
  <c r="D143" i="1"/>
  <c r="G191" i="1"/>
  <c r="D215" i="1" l="1"/>
  <c r="D213" i="1"/>
  <c r="D212" i="1"/>
  <c r="F8" i="5" l="1"/>
  <c r="G8" i="5" s="1"/>
  <c r="F6" i="5"/>
  <c r="G6" i="5" s="1"/>
  <c r="F5" i="5"/>
  <c r="G5" i="5" s="1"/>
  <c r="G7" i="5"/>
  <c r="G9" i="5" l="1"/>
  <c r="G228" i="1"/>
  <c r="G236" i="1"/>
  <c r="F242" i="1"/>
  <c r="F241" i="1"/>
  <c r="F240" i="1"/>
  <c r="F239" i="1"/>
  <c r="F236" i="1"/>
  <c r="F234" i="1"/>
  <c r="I234" i="1" s="1"/>
  <c r="F233" i="1"/>
  <c r="I233" i="1" s="1"/>
  <c r="F232" i="1"/>
  <c r="I232" i="1" s="1"/>
  <c r="F231" i="1"/>
  <c r="I231" i="1" s="1"/>
  <c r="F230" i="1"/>
  <c r="I230" i="1" s="1"/>
  <c r="F229" i="1"/>
  <c r="I229" i="1" s="1"/>
  <c r="F228" i="1"/>
  <c r="I228" i="1" s="1"/>
  <c r="G220" i="1"/>
  <c r="D226" i="1"/>
  <c r="F226" i="1" s="1"/>
  <c r="D225" i="1"/>
  <c r="F225" i="1" s="1"/>
  <c r="D224" i="1"/>
  <c r="F224" i="1" s="1"/>
  <c r="G212" i="1"/>
  <c r="D218" i="1"/>
  <c r="F218" i="1" s="1"/>
  <c r="D216" i="1"/>
  <c r="D217" i="1"/>
  <c r="F217" i="1" s="1"/>
  <c r="F213" i="1"/>
  <c r="F215" i="1"/>
  <c r="F212" i="1"/>
  <c r="D214" i="1"/>
  <c r="F214" i="1" s="1"/>
  <c r="C145" i="1" l="1"/>
  <c r="D145" i="1"/>
  <c r="C140" i="1"/>
  <c r="F216" i="1"/>
  <c r="F145" i="1" s="1"/>
  <c r="F140" i="1"/>
  <c r="D140" i="1"/>
  <c r="D208" i="1"/>
  <c r="F208" i="1" s="1"/>
  <c r="D207" i="1"/>
  <c r="F207" i="1" s="1"/>
  <c r="D206" i="1"/>
  <c r="F206" i="1" s="1"/>
  <c r="D205" i="1"/>
  <c r="F205" i="1" s="1"/>
  <c r="D202" i="1"/>
  <c r="F202" i="1" s="1"/>
  <c r="G201" i="1"/>
  <c r="D201" i="1"/>
  <c r="F201" i="1" s="1"/>
  <c r="D198" i="1"/>
  <c r="F198" i="1" s="1"/>
  <c r="D197" i="1"/>
  <c r="F197" i="1" s="1"/>
  <c r="D196" i="1"/>
  <c r="F196" i="1" s="1"/>
  <c r="D195" i="1"/>
  <c r="F195" i="1" s="1"/>
  <c r="D192" i="1"/>
  <c r="F192" i="1" s="1"/>
  <c r="D194" i="1"/>
  <c r="F194" i="1" s="1"/>
  <c r="D193" i="1"/>
  <c r="F193" i="1" s="1"/>
  <c r="I193" i="1" s="1"/>
  <c r="D191" i="1"/>
  <c r="F191" i="1" s="1"/>
  <c r="D189" i="1"/>
  <c r="F189" i="1" s="1"/>
  <c r="D188" i="1"/>
  <c r="F188" i="1" s="1"/>
  <c r="D187" i="1"/>
  <c r="F187" i="1" s="1"/>
  <c r="D186" i="1"/>
  <c r="F186" i="1" s="1"/>
  <c r="D184" i="1"/>
  <c r="F184" i="1" s="1"/>
  <c r="D183" i="1"/>
  <c r="F183" i="1" s="1"/>
  <c r="D182" i="1"/>
  <c r="F182" i="1" s="1"/>
  <c r="D181" i="1"/>
  <c r="C144" i="1" l="1"/>
  <c r="C148" i="1" s="1"/>
  <c r="F181" i="1"/>
  <c r="F144" i="1" s="1"/>
  <c r="F148" i="1" s="1"/>
  <c r="D144" i="1"/>
  <c r="D148" i="1" s="1"/>
  <c r="C13" i="1" l="1"/>
  <c r="E7" i="1" l="1"/>
  <c r="E39" i="1" l="1"/>
  <c r="D290" i="1" l="1"/>
  <c r="F137" i="1"/>
  <c r="E40" i="1"/>
  <c r="D58"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<sst xmlns="http://schemas.openxmlformats.org/spreadsheetml/2006/main" count="651" uniqueCount="314">
  <si>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</si>
  <si>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</si>
  <si>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</si>
  <si>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</si>
  <si>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</si>
  <si>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</si>
  <si>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</si>
  <si>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</si>
  <si>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</si>
  <si>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</si>
  <si>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</si>
  <si>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</si>
  <si>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</si>
  <si>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</si>
  <si>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</si>
  <si>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</si>
  <si>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</si>
  <si>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</si>
  <si>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</si>
  <si>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</si>
  <si>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</si>
  <si>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</si>
  <si>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</si>
  <si>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</si>
  <si>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</si>
  <si>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</si>
  <si>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</si>
  <si>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</si>
  <si>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</si>
  <si>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</si>
  <si>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</si>
  <si>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</si>
  <si>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</si>
  <si>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</si>
  <si>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</si>
  <si>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</si>
  <si>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</si>
  <si>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</si>
  <si>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</si>
  <si>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</si>
  <si>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</si>
  <si>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</si>
  <si>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</si>
  <si>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</si>
  <si>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</si>
  <si>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</si>
  <si>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</si>
  <si>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</si>
  <si>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</si>
  <si>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</si>
  <si>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</si>
  <si>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</si>
  <si>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</si>
  <si>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</si>
  <si>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</si>
  <si>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</si>
  <si>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</si>
  <si>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</si>
  <si>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</si>
  <si>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</si>
  <si>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</si>
  <si>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</si>
  <si>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</si>
  <si>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</si>
  <si>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</si>
  <si>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</si>
  <si>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</si>
  <si>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</si>
  <si>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</si>
  <si>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</si>
  <si>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</si>
  <si>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</si>
  <si>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</si>
  <si>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</si>
  <si>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</si>
  <si>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</si>
  <si>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</si>
  <si>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</si>
  <si>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</si>
  <si>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</si>
  <si>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</si>
  <si>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</si>
  <si>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</si>
  <si>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</si>
  <si>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</si>
  <si>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</si>
  <si>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</si>
  <si>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</si>
  <si>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</si>
  <si>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</si>
  <si>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</si>
  <si>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</si>
  <si>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</si>
  <si>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</si>
  <si>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</si>
  <si>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</si>
  <si>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</si>
  <si>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</si>
  <si>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</si>
  <si>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</si>
  <si>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</si>
  <si>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</si>
  <si>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</si>
  <si>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</si>
  <si>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</si>
  <si>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</si>
  <si>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</si>
  <si>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</si>
  <si>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</si>
  <si>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</si>
  <si>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</si>
  <si>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</si>
  <si>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</si>
  <si>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</si>
  <si>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</si>
  <si>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</si>
  <si>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</si>
  <si>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</si>
  <si>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</si>
  <si>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</si>
  <si>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</si>
  <si>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</si>
  <si>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</si>
  <si>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</si>
  <si>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</si>
  <si>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</si>
  <si>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</si>
  <si>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</si>
  <si>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</si>
  <si>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</si>
  <si>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</si>
  <si>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Restrictive Covenants in regard to Land Use</t>
  </si>
  <si>
    <t>Boundries</t>
  </si>
  <si>
    <t>Society Formation Charges</t>
  </si>
  <si>
    <t>Excavation in process</t>
  </si>
  <si>
    <t>Excavation Completed</t>
  </si>
  <si>
    <t>Footing in Process</t>
  </si>
  <si>
    <t>Footing Completed</t>
  </si>
  <si>
    <t>Plinth in process</t>
  </si>
  <si>
    <t>Plinth completed</t>
  </si>
  <si>
    <t>All work Completed. OC Received.</t>
  </si>
  <si>
    <t>Axis Sanpada</t>
  </si>
  <si>
    <t xml:space="preserve">M/s.Dosti Enterprises </t>
  </si>
  <si>
    <t>Dosti Pine</t>
  </si>
  <si>
    <t>022-22198500</t>
  </si>
  <si>
    <t>Name as per RERA &amp; No.</t>
  </si>
  <si>
    <t>Dosti West County ­ Phase 4­ Dosti Pine P51700025834</t>
  </si>
  <si>
    <t>5/2, 5/3 To 78 And Others</t>
  </si>
  <si>
    <t>Balkum</t>
  </si>
  <si>
    <t>Thane</t>
  </si>
  <si>
    <t xml:space="preserve"> 6.5Km from Thane Railway Station</t>
  </si>
  <si>
    <t>Old Agra Road</t>
  </si>
  <si>
    <t>Dosti Codename Landmark</t>
  </si>
  <si>
    <t>Middle Class</t>
  </si>
  <si>
    <t>Developing</t>
  </si>
  <si>
    <t>Open Plot</t>
  </si>
  <si>
    <t>TMC/TDD/3442/20</t>
  </si>
  <si>
    <t>08/01/2020.</t>
  </si>
  <si>
    <t>31/07/2020.</t>
  </si>
  <si>
    <t>NA
Approved upto : G + 7th Floor</t>
  </si>
  <si>
    <t>Cement, Aggregate, Steel, etc</t>
  </si>
  <si>
    <t>Building No.18</t>
  </si>
  <si>
    <t>Lower Ground Floor For Parking</t>
  </si>
  <si>
    <t>Ground Floor For Parking &amp; Residential</t>
  </si>
  <si>
    <t>01</t>
  </si>
  <si>
    <t>02</t>
  </si>
  <si>
    <t>03</t>
  </si>
  <si>
    <t>04</t>
  </si>
  <si>
    <t>2BHK</t>
  </si>
  <si>
    <t xml:space="preserve">Ground Floor </t>
  </si>
  <si>
    <t>1st Podium Floor For Parking &amp; Residential</t>
  </si>
  <si>
    <t>1st To 6th, 8th To 10th, 12th To 15th, 17th To 20th, 22nd To 25th, 27th To 30th Floor</t>
  </si>
  <si>
    <t>1st Podium Floor</t>
  </si>
  <si>
    <t>7th, 11th, 16th, 21st &amp; 26th Floor</t>
  </si>
  <si>
    <t>Refuge Area</t>
  </si>
  <si>
    <t>Building No.19</t>
  </si>
  <si>
    <t>Lower Ground Floor For Parking &amp; Amenities</t>
  </si>
  <si>
    <t>Ground Floor For Parking, Residential &amp; Commercial</t>
  </si>
  <si>
    <t>S1</t>
  </si>
  <si>
    <t>S2</t>
  </si>
  <si>
    <t>S3</t>
  </si>
  <si>
    <t>S4</t>
  </si>
  <si>
    <t>Shop (Meznine Floor)</t>
  </si>
  <si>
    <t>P1</t>
  </si>
  <si>
    <t>P2</t>
  </si>
  <si>
    <t>P3</t>
  </si>
  <si>
    <t>Terrace Area</t>
  </si>
  <si>
    <t>Fire Check Floor Between 21st &amp; 22nd Floor</t>
  </si>
  <si>
    <t>Wheather the construction is as per approved Building plan : Under Construction</t>
  </si>
  <si>
    <t>Survey No</t>
  </si>
  <si>
    <t>Approved Plans, CC</t>
  </si>
  <si>
    <t>Market Research Data</t>
  </si>
  <si>
    <t>Source</t>
  </si>
  <si>
    <t>Distance from proposed property</t>
  </si>
  <si>
    <t>Net Carpet</t>
  </si>
  <si>
    <t>Saleable Area</t>
  </si>
  <si>
    <t>Rate on Saleable</t>
  </si>
  <si>
    <t>Market Value</t>
  </si>
  <si>
    <t>Magic Brick</t>
  </si>
  <si>
    <t>99 Acres</t>
  </si>
  <si>
    <t>Average</t>
  </si>
  <si>
    <t xml:space="preserve">Valuation Adopted </t>
  </si>
  <si>
    <t>Reported By:</t>
  </si>
  <si>
    <t xml:space="preserve">S05/0006/08/TMC/TDD/3443/20
</t>
  </si>
  <si>
    <t>P4</t>
  </si>
  <si>
    <t>101…3001</t>
  </si>
  <si>
    <t>102…3002</t>
  </si>
  <si>
    <t>103…3003</t>
  </si>
  <si>
    <t>104…3004</t>
  </si>
  <si>
    <t>105…3005</t>
  </si>
  <si>
    <t>106…3006</t>
  </si>
  <si>
    <t>107…3007</t>
  </si>
  <si>
    <t>108…3008</t>
  </si>
  <si>
    <t>701…2601</t>
  </si>
  <si>
    <t>702…2602</t>
  </si>
  <si>
    <t>703…2603</t>
  </si>
  <si>
    <t>704…2604</t>
  </si>
  <si>
    <t>705…2605</t>
  </si>
  <si>
    <t>706…2606</t>
  </si>
  <si>
    <t>707…2607</t>
  </si>
  <si>
    <t>708…2608</t>
  </si>
  <si>
    <t>-</t>
  </si>
  <si>
    <t>Building No.18 (B Wing)</t>
  </si>
  <si>
    <t>Building No.19 (A Wing)</t>
  </si>
  <si>
    <t>Water Charges</t>
  </si>
  <si>
    <t>MSEDCL</t>
  </si>
  <si>
    <t>Corpus Fund - for Club County</t>
  </si>
  <si>
    <t>Clubhouse Membership</t>
  </si>
  <si>
    <t>09/02/2021..</t>
  </si>
  <si>
    <t>Asmi</t>
  </si>
  <si>
    <t>Jhoti Sanpada</t>
  </si>
  <si>
    <t>Building No.17</t>
  </si>
  <si>
    <t>Valid Up to: Building No.17, 18, 19 = LG + Gr + Podium + 1st To 30th Floor</t>
  </si>
  <si>
    <t>Building No.17 (C Wing)</t>
  </si>
  <si>
    <r>
      <t xml:space="preserve">Flat No.
</t>
    </r>
    <r>
      <rPr>
        <b/>
        <sz val="11"/>
        <color rgb="FF000000"/>
        <rFont val="Times New Roman"/>
        <family val="1"/>
      </rPr>
      <t>(Approved Plan)</t>
    </r>
  </si>
  <si>
    <t>Flat No.
(Sale Plan)</t>
  </si>
  <si>
    <t>Construction details:</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</si>
  <si>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</si>
  <si>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</si>
  <si>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</si>
  <si>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</si>
  <si>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</si>
  <si>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</si>
  <si>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</si>
  <si>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</si>
  <si>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</si>
  <si>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</si>
  <si>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</si>
  <si>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</si>
  <si>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</si>
  <si>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</si>
  <si>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</si>
  <si>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</si>
  <si>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</si>
  <si>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Building No.17(C Wing) = LG + Gr + Podium + 1st To 30th Floor</t>
  </si>
  <si>
    <t>Building No.7 (D Wing) = LG + Gr + Podium + 1st To 30th Floor</t>
  </si>
  <si>
    <t>Building No.7 (D Wing)</t>
  </si>
  <si>
    <t>Ground Floor For Parking</t>
  </si>
  <si>
    <t>1st Podium Floor For Parking</t>
  </si>
  <si>
    <t>Building No.7</t>
  </si>
  <si>
    <t xml:space="preserve">S05/0006/08/TMC/TDD/3590/21
</t>
  </si>
  <si>
    <t>30/04/2021.</t>
  </si>
  <si>
    <t>Valid Up to: Building No.7 = LG + Gr + Podium + 1st To 30th Floor</t>
  </si>
  <si>
    <t>Building No.7, 17, 18, 19 = LG + Gr + Podium + 1st To 30th Floor</t>
  </si>
  <si>
    <t>Location Link</t>
  </si>
  <si>
    <t>https://goo.gl/maps/ryLXAbroWjYTWia46</t>
  </si>
  <si>
    <t>10000 to 10700 &amp; OC by smith on 28/09/2023</t>
  </si>
  <si>
    <t>Ajay Songare</t>
  </si>
  <si>
    <t>As Per Builder
A Wing
B Wing
C Wing
D Wing
E Wing</t>
  </si>
  <si>
    <t>As Per Approved Plan
Building No.19
Building No.18
Building No.17
Building No.7
Building No.8</t>
  </si>
  <si>
    <t>S05/0006/08/TMC/TD-DP/TPS/4472/23</t>
  </si>
  <si>
    <t>S05/0006/08/TMC/TDD/4472/23</t>
  </si>
  <si>
    <t>LG + UG + Podium(Pt)/(Fitness Center)(Pt) + 1st To 5th Floor</t>
  </si>
  <si>
    <t>Building No. 8 = LG + UG + P + 1st To 30th Floor</t>
  </si>
  <si>
    <t>As per RERA - 30/12/2027.</t>
  </si>
  <si>
    <t>Building No.7, 17, 18, 19 = LG + Gr + Podium + 1st To 30th Floor
Building No. 8 = LG + UG + P + 1st To 30th Floor</t>
  </si>
  <si>
    <t>Building No.8 (E Wing)</t>
  </si>
  <si>
    <t>Basement Floor For Parking</t>
  </si>
  <si>
    <t>Upper Ground Floor For Entrance Lobby, Society Office, Electric Meter Room, Driver Room, Panel Room, Parking</t>
  </si>
  <si>
    <t>1st Podium Floor For Entrance Lobby &amp; Amenities</t>
  </si>
  <si>
    <t>3BHK</t>
  </si>
  <si>
    <t>6th, 11th, 16th, 21st &amp; 26th Floor (Part Refuge Area)</t>
  </si>
  <si>
    <t>Building No.8</t>
  </si>
  <si>
    <t>Flats - 887, Shops - 04</t>
  </si>
  <si>
    <t>Layout :</t>
  </si>
  <si>
    <t>19.2257806, 72.9919865</t>
  </si>
  <si>
    <t>Latitude, Longitude :</t>
  </si>
  <si>
    <t>Office No. 1031, Wing J, Akshar Business Park, Plot No. 03 Sector 25, Near APMC Market, Vashi, 
Navi Mumbai, Maharashtra 400703 TEL: 022-46090378/79/80
E mail : vsjcapf@gmail.com. Web site : www.vsjadon.com</t>
  </si>
  <si>
    <t>Total Approved Proposed Builtup area of the project (Sq.Mt)</t>
  </si>
  <si>
    <t>05 Buildings</t>
  </si>
  <si>
    <t>1st To 5th, 7th To 10th, 12th To 15th, 17th To 20th, 22nd To 25th, 27th To 30th Floor For Residential</t>
  </si>
  <si>
    <t>Building No. 8 (Wing E) = LG + UG + P + 1st To 30th Floor</t>
  </si>
  <si>
    <t xml:space="preserve">50/-  </t>
  </si>
  <si>
    <t>Floor rise Per Sq. Ft. ( on Saleable area) from 1st Floor</t>
  </si>
  <si>
    <t>10700 to 11300</t>
  </si>
  <si>
    <t>Sanjay</t>
  </si>
  <si>
    <t>1.5BHK</t>
  </si>
  <si>
    <t>7th, 11th, 16th, 21st &amp; 26th Floor (Part Refuge Area)</t>
  </si>
  <si>
    <t>S05/0006/08/TMC/TD-DP/TPS/3872/22</t>
  </si>
  <si>
    <t>Approved Floor plan No.
Building No.19(A Wing) = 1st to 30th Floor</t>
  </si>
  <si>
    <t>Commencement Certificate No.
Valid Up to: 
Building No. 8 (Wing E)</t>
  </si>
  <si>
    <t>Approved Floor plan No. 
Building No.19(A Wing) = LG + Gr + Podium Floor
Building No.18(B Wing)
Building No.17(C Wing) 
Building No.7 (D Wing)</t>
  </si>
  <si>
    <t>Approved Floor plan No.
Building No. 8 (E Wing)</t>
  </si>
  <si>
    <t>800000/-</t>
  </si>
  <si>
    <t>7L to 8L</t>
  </si>
  <si>
    <t>smith</t>
  </si>
  <si>
    <t>Rates revised by viraj  on 23/04/2025</t>
  </si>
  <si>
    <t>S05/0006/08/TMC/TDD/65</t>
  </si>
  <si>
    <t xml:space="preserve">Commencement Certificate No.
Valid Up to: </t>
  </si>
  <si>
    <t xml:space="preserve">
Plot A1 = Building No.8 = 6th to 30th Floor</t>
  </si>
  <si>
    <t xml:space="preserve">1. Wing A, to D = All work completed. Please provide OC.
    Wing E = Construction work is in process at the time of Visit. Internal photographs not allowed.
2. We considered  Saleable area  as per our calculation.
3. We considered Carpet area as per Approved Plan.
4. We considered Gross carpet area = Net carpet + Balcony + C.B Area.
5. We have considered rate by verifying it from market inquire.
6. Car parking is subjected to authentic documentation.
7. On Site, we meet Mr.Rohit (9167700051).
8. We have received approved plans of only Building No.19 (A Wing) &amp; Building No.18 (B Wing)
9. We have update Building No.17 (C Wing) (on 13/02/2021)
10. We have update revised flat numbering of Building No.17 (C Wing) as per builder letter. (on 18/06/2021)
11. We have updated approved plan &amp; CC of  Building No.7 (D Wing) (on 13/08/2021)
12.We have updated approved plan &amp; CC of  Building No.8 (E Wing) (on 20/11/2023)
13.Recommended Rates/Other Charges of the Property have been revised on 24/01/2024 &amp; 23/04/2025.
14. We have update approved 1st to 30th floors of Building No.19(A Wing) on 13/02/2024.
15. We have updated latest CC for Bldg No.8 (Wing E).
</t>
  </si>
  <si>
    <t>Building No.19(A Wing) = LG + Gr + Podium + 1st To 30th Floor
Building No.18(B Wing) = LG + Gr + Podium + 1st To 30th Floor
Building No.17(C Wing) = LG + Gr + Podium + 1st To 30th Floor
Building No.7 (D Wing) = LG + Gr + Podium + 1st To 30th Floor</t>
  </si>
  <si>
    <t>Grand Total</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</si>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</sst>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sz val="11"/>
      <color rgb="FFFF0000"/>
      <name val="Calibri"/>
      <family val="2"/>
    </font>
    <font>
      <b/>
      <sz val="11"/>
      <color rgb="FF000000"/>
      <name val="Times New Roman"/>
      <family val="1"/>
    </font>
    <font>
      <u/>
      <sz val="11"/>
      <color theme="10"/>
      <name val="Calibri"/>
      <family val="2"/>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2" fillId="0" borderId="0" applyNumberFormat="0" applyFill="0" applyBorder="0" applyAlignment="0" applyProtection="0"/>
  </cellStyleXfs>
  <cellXfs count="285">
    <xf numFmtId="0" fontId="0" fillId="0" borderId="0" xfId="0"/>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2" fillId="0" borderId="4" xfId="1" applyFont="1" applyBorder="1" applyAlignment="1" applyProtection="1">
      <alignment horizontal="center" vertical="top"/>
      <protection locked="0"/>
    </xf>
    <xf numFmtId="1" fontId="8" fillId="0" borderId="4"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0" fontId="17" fillId="0" borderId="0" xfId="0" applyFont="1" applyProtection="1">
      <protection hidden="1"/>
    </xf>
    <xf numFmtId="1" fontId="6" fillId="0" borderId="4" xfId="1" applyNumberFormat="1" applyFont="1" applyBorder="1" applyAlignment="1" applyProtection="1">
      <alignment horizontal="center" vertical="center" wrapText="1"/>
      <protection locked="0"/>
    </xf>
    <xf numFmtId="14" fontId="0" fillId="0" borderId="0" xfId="0" applyNumberFormat="1"/>
    <xf numFmtId="0" fontId="5" fillId="0" borderId="0" xfId="4"/>
    <xf numFmtId="0" fontId="1" fillId="0" borderId="0" xfId="5"/>
    <xf numFmtId="0" fontId="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9" fillId="0" borderId="4" xfId="5" applyFont="1" applyBorder="1" applyAlignment="1">
      <alignment horizontal="center" vertical="center"/>
    </xf>
    <xf numFmtId="1" fontId="19" fillId="0" borderId="4" xfId="5" applyNumberFormat="1" applyFont="1" applyBorder="1" applyAlignment="1">
      <alignment horizontal="center" vertical="center"/>
    </xf>
    <xf numFmtId="0" fontId="5" fillId="0" borderId="4" xfId="4" applyBorder="1" applyAlignment="1">
      <alignment horizontal="center" vertical="center"/>
    </xf>
    <xf numFmtId="0" fontId="20" fillId="0" borderId="0" xfId="4" applyFont="1"/>
    <xf numFmtId="0" fontId="12" fillId="0" borderId="1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7" fillId="0" borderId="25" xfId="1" applyFont="1" applyBorder="1" applyProtection="1">
      <protection hidden="1"/>
    </xf>
    <xf numFmtId="0" fontId="7" fillId="0" borderId="0" xfId="1" applyFont="1" applyProtection="1">
      <protection hidden="1"/>
    </xf>
    <xf numFmtId="0" fontId="17" fillId="0" borderId="28" xfId="0" applyFont="1" applyBorder="1" applyProtection="1">
      <protection hidden="1"/>
    </xf>
    <xf numFmtId="1" fontId="6" fillId="0" borderId="1" xfId="1" quotePrefix="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6" fillId="0" borderId="4" xfId="1" applyFont="1" applyBorder="1" applyAlignment="1" applyProtection="1">
      <alignment horizontal="left" vertical="top"/>
      <protection locked="0"/>
    </xf>
    <xf numFmtId="1" fontId="8" fillId="0" borderId="1" xfId="1" applyNumberFormat="1" applyFont="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0" fontId="7" fillId="0" borderId="26" xfId="1" applyFont="1" applyBorder="1" applyProtection="1">
      <protection hidden="1"/>
    </xf>
    <xf numFmtId="0" fontId="7" fillId="0" borderId="22" xfId="1" applyFont="1" applyBorder="1" applyProtection="1">
      <protection hidden="1"/>
    </xf>
    <xf numFmtId="0" fontId="7" fillId="0" borderId="22" xfId="1" applyFont="1" applyBorder="1"/>
    <xf numFmtId="0" fontId="12" fillId="0" borderId="4" xfId="1" applyFont="1" applyBorder="1" applyAlignment="1" applyProtection="1">
      <alignment horizontal="center" wrapText="1"/>
      <protection locked="0"/>
    </xf>
    <xf numFmtId="9" fontId="12" fillId="0" borderId="4" xfId="1" applyNumberFormat="1" applyFont="1" applyBorder="1" applyAlignment="1" applyProtection="1">
      <alignment horizontal="center" vertical="center" wrapText="1"/>
      <protection hidden="1"/>
    </xf>
    <xf numFmtId="0" fontId="17" fillId="0" borderId="22" xfId="0" applyFont="1" applyBorder="1" applyProtection="1">
      <protection hidden="1"/>
    </xf>
    <xf numFmtId="9" fontId="17" fillId="0" borderId="0" xfId="0" applyNumberFormat="1" applyFont="1" applyProtection="1">
      <protection hidden="1"/>
    </xf>
    <xf numFmtId="1" fontId="12" fillId="0" borderId="4" xfId="1" applyNumberFormat="1" applyFont="1" applyBorder="1" applyAlignment="1" applyProtection="1">
      <alignment horizontal="center" wrapText="1"/>
      <protection locked="0"/>
    </xf>
    <xf numFmtId="1" fontId="0" fillId="0" borderId="22" xfId="0" applyNumberFormat="1" applyBorder="1"/>
    <xf numFmtId="1" fontId="0" fillId="0" borderId="22" xfId="0" applyNumberFormat="1" applyBorder="1" applyAlignment="1">
      <alignment horizontal="right"/>
    </xf>
    <xf numFmtId="0" fontId="12" fillId="0" borderId="20" xfId="1" applyFont="1" applyBorder="1" applyAlignment="1" applyProtection="1">
      <alignment horizontal="center" wrapText="1"/>
      <protection locked="0"/>
    </xf>
    <xf numFmtId="9" fontId="12" fillId="0" borderId="20" xfId="1" applyNumberFormat="1" applyFont="1" applyBorder="1" applyAlignment="1" applyProtection="1">
      <alignment horizontal="center" vertical="center" wrapText="1"/>
      <protection hidden="1"/>
    </xf>
    <xf numFmtId="1" fontId="0" fillId="0" borderId="2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10" fillId="0" borderId="4" xfId="0" applyFont="1" applyBorder="1" applyAlignment="1" applyProtection="1">
      <alignment horizontal="center" vertical="center"/>
      <protection locked="0"/>
    </xf>
    <xf numFmtId="1" fontId="10" fillId="0" borderId="4"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 fontId="8" fillId="0" borderId="5"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7" fillId="0" borderId="0" xfId="1" applyNumberFormat="1" applyFont="1" applyAlignment="1">
      <alignment horizontal="center" vertical="center"/>
    </xf>
    <xf numFmtId="0" fontId="7" fillId="0" borderId="0" xfId="0" applyFont="1"/>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7" fillId="0" borderId="4" xfId="1" applyNumberFormat="1" applyFont="1" applyBorder="1" applyAlignment="1">
      <alignment horizontal="center" vertical="center"/>
    </xf>
    <xf numFmtId="0" fontId="6" fillId="3" borderId="4" xfId="1" applyFont="1" applyFill="1" applyBorder="1" applyAlignment="1" applyProtection="1">
      <alignment horizontal="left" vertical="top"/>
      <protection locked="0"/>
    </xf>
    <xf numFmtId="0" fontId="7" fillId="3" borderId="0" xfId="1" applyFont="1" applyFill="1"/>
    <xf numFmtId="0" fontId="12" fillId="3" borderId="4" xfId="1" applyFont="1" applyFill="1" applyBorder="1" applyAlignment="1" applyProtection="1">
      <alignment vertical="top"/>
      <protection locked="0"/>
    </xf>
    <xf numFmtId="0" fontId="12" fillId="3" borderId="0" xfId="1" applyFont="1" applyFill="1"/>
    <xf numFmtId="14" fontId="7" fillId="0" borderId="0" xfId="1" applyNumberFormat="1" applyFont="1"/>
    <xf numFmtId="0" fontId="6" fillId="4" borderId="4" xfId="1" applyFont="1" applyFill="1" applyBorder="1" applyAlignment="1" applyProtection="1">
      <alignment horizontal="left" vertical="top"/>
      <protection locked="0"/>
    </xf>
    <xf numFmtId="1" fontId="7" fillId="0" borderId="0" xfId="1" applyNumberFormat="1" applyFont="1"/>
    <xf numFmtId="0" fontId="12" fillId="0" borderId="4" xfId="1" applyFont="1" applyBorder="1" applyAlignment="1" applyProtection="1">
      <alignment vertical="top"/>
      <protection locked="0"/>
    </xf>
    <xf numFmtId="0" fontId="12" fillId="0" borderId="13" xfId="1" applyFont="1" applyBorder="1" applyAlignment="1" applyProtection="1">
      <alignment horizontal="center" wrapText="1"/>
      <protection locked="0"/>
    </xf>
    <xf numFmtId="9" fontId="12" fillId="0" borderId="13" xfId="1" applyNumberFormat="1" applyFont="1" applyBorder="1" applyAlignment="1" applyProtection="1">
      <alignment horizontal="center" vertical="center" wrapText="1"/>
      <protection hidden="1"/>
    </xf>
    <xf numFmtId="1" fontId="8"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wrapText="1"/>
      <protection locked="0"/>
    </xf>
    <xf numFmtId="1" fontId="6" fillId="0" borderId="1" xfId="1" quotePrefix="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3" xfId="1" quotePrefix="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2"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2"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top" wrapText="1"/>
      <protection locked="0"/>
    </xf>
    <xf numFmtId="0" fontId="13" fillId="0" borderId="18"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2" fillId="0" borderId="18"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3" fontId="12"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9" fontId="12" fillId="0" borderId="4" xfId="1" applyNumberFormat="1" applyFont="1" applyBorder="1" applyAlignment="1" applyProtection="1">
      <alignment horizontal="center" vertical="center" wrapText="1"/>
      <protection hidden="1"/>
    </xf>
    <xf numFmtId="9" fontId="12" fillId="0" borderId="13" xfId="1" applyNumberFormat="1" applyFont="1" applyBorder="1" applyAlignment="1" applyProtection="1">
      <alignment horizontal="center" vertical="center" wrapText="1"/>
      <protection hidden="1"/>
    </xf>
    <xf numFmtId="9" fontId="12" fillId="0" borderId="19" xfId="1" applyNumberFormat="1" applyFont="1" applyBorder="1" applyAlignment="1" applyProtection="1">
      <alignment horizontal="center" vertical="center" wrapText="1"/>
      <protection hidden="1"/>
    </xf>
    <xf numFmtId="9" fontId="12" fillId="0" borderId="31" xfId="1" applyNumberFormat="1" applyFont="1" applyBorder="1" applyAlignment="1" applyProtection="1">
      <alignment horizontal="center" vertical="center" wrapText="1"/>
      <protection hidden="1"/>
    </xf>
    <xf numFmtId="0" fontId="13" fillId="0" borderId="15"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0" xfId="1" applyFont="1" applyBorder="1" applyAlignment="1" applyProtection="1">
      <alignment horizontal="center" vertical="top" wrapText="1"/>
      <protection locked="0"/>
    </xf>
    <xf numFmtId="0" fontId="12" fillId="0" borderId="13" xfId="1" applyFont="1" applyBorder="1" applyAlignment="1" applyProtection="1">
      <alignment horizontal="center" vertical="top" wrapText="1"/>
      <protection locked="0"/>
    </xf>
    <xf numFmtId="9" fontId="12" fillId="0" borderId="20" xfId="1" applyNumberFormat="1" applyFont="1" applyBorder="1" applyAlignment="1" applyProtection="1">
      <alignment horizontal="center" vertical="center" wrapText="1"/>
      <protection hidden="1"/>
    </xf>
    <xf numFmtId="9" fontId="12" fillId="0" borderId="21" xfId="1" applyNumberFormat="1" applyFont="1" applyBorder="1" applyAlignment="1" applyProtection="1">
      <alignment horizontal="center" vertical="center" wrapText="1"/>
      <protection hidden="1"/>
    </xf>
    <xf numFmtId="0" fontId="12" fillId="0" borderId="27"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4" xfId="1" applyFont="1" applyBorder="1" applyAlignment="1" applyProtection="1">
      <alignment horizontal="left" vertical="top"/>
      <protection locked="0"/>
    </xf>
    <xf numFmtId="0" fontId="6" fillId="0" borderId="4" xfId="1" applyFont="1" applyBorder="1" applyAlignment="1" applyProtection="1">
      <alignment horizontal="left" vertical="top" wrapText="1"/>
      <protection locked="0"/>
    </xf>
    <xf numFmtId="1" fontId="8" fillId="0" borderId="4" xfId="0" applyNumberFormat="1" applyFont="1" applyBorder="1" applyAlignment="1" applyProtection="1">
      <alignment horizontal="left" vertical="top" wrapText="1"/>
      <protection locked="0"/>
    </xf>
    <xf numFmtId="0" fontId="13" fillId="0" borderId="4"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6" fillId="0" borderId="2" xfId="1" applyFont="1" applyBorder="1" applyAlignment="1" applyProtection="1">
      <alignment vertical="top"/>
      <protection locked="0"/>
    </xf>
    <xf numFmtId="0" fontId="6" fillId="0" borderId="3"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0" fontId="12" fillId="0" borderId="4"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14" fontId="12" fillId="0" borderId="2" xfId="1" applyNumberFormat="1" applyFont="1" applyBorder="1" applyAlignment="1" applyProtection="1">
      <alignment horizontal="left" vertical="top"/>
      <protection locked="0"/>
    </xf>
    <xf numFmtId="14" fontId="12" fillId="0" borderId="3"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1" fillId="0" borderId="2"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2" xfId="1" applyNumberFormat="1" applyFont="1" applyBorder="1" applyAlignment="1" applyProtection="1">
      <alignment horizontal="left" vertical="top"/>
      <protection locked="0"/>
    </xf>
    <xf numFmtId="14" fontId="6" fillId="0" borderId="3"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8" fillId="0" borderId="2" xfId="1" applyFont="1" applyBorder="1" applyAlignment="1" applyProtection="1">
      <alignment horizontal="left" vertical="top"/>
      <protection locked="0"/>
    </xf>
    <xf numFmtId="0" fontId="8" fillId="0" borderId="3"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left"/>
      <protection locked="0"/>
    </xf>
    <xf numFmtId="1" fontId="8" fillId="0" borderId="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65" fontId="12" fillId="0" borderId="1" xfId="1" applyNumberFormat="1" applyFont="1" applyBorder="1" applyAlignment="1" applyProtection="1">
      <alignment horizontal="left" vertical="top"/>
      <protection locked="0"/>
    </xf>
    <xf numFmtId="165" fontId="12" fillId="0" borderId="2" xfId="1" applyNumberFormat="1" applyFont="1" applyBorder="1" applyAlignment="1" applyProtection="1">
      <alignment horizontal="left" vertical="top"/>
      <protection locked="0"/>
    </xf>
    <xf numFmtId="165" fontId="12" fillId="0" borderId="3"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wrapText="1"/>
      <protection locked="0"/>
    </xf>
    <xf numFmtId="2" fontId="12" fillId="0" borderId="2" xfId="1" applyNumberFormat="1" applyFont="1" applyBorder="1" applyAlignment="1" applyProtection="1">
      <alignment horizontal="left" vertical="top" wrapText="1"/>
      <protection locked="0"/>
    </xf>
    <xf numFmtId="2" fontId="12" fillId="0" borderId="3"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8" fillId="0" borderId="1" xfId="1" applyFont="1" applyBorder="1" applyAlignment="1" applyProtection="1">
      <alignment vertical="top"/>
      <protection locked="0"/>
    </xf>
    <xf numFmtId="0" fontId="8" fillId="0" borderId="2" xfId="1" applyFont="1" applyBorder="1" applyAlignment="1" applyProtection="1">
      <alignment vertical="top"/>
      <protection locked="0"/>
    </xf>
    <xf numFmtId="0" fontId="8" fillId="0" borderId="3" xfId="1" applyFont="1" applyBorder="1" applyAlignment="1" applyProtection="1">
      <alignment vertical="top"/>
      <protection locked="0"/>
    </xf>
    <xf numFmtId="0" fontId="13"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14" fontId="12" fillId="0" borderId="5" xfId="1" applyNumberFormat="1" applyFont="1" applyBorder="1" applyAlignment="1" applyProtection="1">
      <alignment horizontal="left" vertical="top"/>
      <protection locked="0"/>
    </xf>
    <xf numFmtId="14" fontId="12" fillId="0" borderId="7" xfId="1" applyNumberFormat="1" applyFont="1" applyBorder="1" applyAlignment="1" applyProtection="1">
      <alignment horizontal="left" vertical="top"/>
      <protection locked="0"/>
    </xf>
    <xf numFmtId="14" fontId="12" fillId="0" borderId="8" xfId="1" applyNumberFormat="1" applyFont="1" applyBorder="1" applyAlignment="1" applyProtection="1">
      <alignment horizontal="left" vertical="top"/>
      <protection locked="0"/>
    </xf>
    <xf numFmtId="14" fontId="12" fillId="0" borderId="10" xfId="1" applyNumberFormat="1" applyFont="1" applyBorder="1" applyAlignment="1" applyProtection="1">
      <alignment horizontal="left" vertical="top"/>
      <protection locked="0"/>
    </xf>
    <xf numFmtId="0" fontId="12" fillId="0" borderId="13"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13" fillId="0" borderId="3" xfId="1" applyFont="1" applyBorder="1" applyAlignment="1" applyProtection="1">
      <alignment horizontal="center"/>
      <protection locked="0"/>
    </xf>
    <xf numFmtId="0" fontId="8" fillId="0" borderId="4" xfId="1" applyFont="1" applyBorder="1" applyAlignment="1" applyProtection="1">
      <alignment horizontal="center" vertical="top"/>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1" fontId="6" fillId="0" borderId="6"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4" xfId="1" applyFont="1" applyBorder="1" applyAlignment="1" applyProtection="1">
      <alignment horizontal="left" vertical="top"/>
      <protection locked="0"/>
    </xf>
    <xf numFmtId="0" fontId="12" fillId="0" borderId="19"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4" xfId="1" applyFont="1" applyBorder="1" applyAlignment="1" applyProtection="1">
      <alignment horizontal="center" vertical="top"/>
      <protection locked="0"/>
    </xf>
    <xf numFmtId="0" fontId="6" fillId="3" borderId="1" xfId="1" applyFont="1" applyFill="1" applyBorder="1" applyAlignment="1" applyProtection="1">
      <alignment horizontal="left" vertical="top" wrapText="1"/>
      <protection locked="0"/>
    </xf>
    <xf numFmtId="0" fontId="6" fillId="3" borderId="3" xfId="1" applyFont="1" applyFill="1" applyBorder="1" applyAlignment="1" applyProtection="1">
      <alignment horizontal="left" vertical="top"/>
      <protection locked="0"/>
    </xf>
    <xf numFmtId="0" fontId="6" fillId="3" borderId="2" xfId="1" applyFont="1" applyFill="1" applyBorder="1" applyAlignment="1" applyProtection="1">
      <alignment horizontal="left" vertical="top" wrapText="1"/>
      <protection locked="0"/>
    </xf>
    <xf numFmtId="0" fontId="6" fillId="3" borderId="3" xfId="1" applyFont="1" applyFill="1" applyBorder="1" applyAlignment="1" applyProtection="1">
      <alignment horizontal="left" vertical="top" wrapText="1"/>
      <protection locked="0"/>
    </xf>
    <xf numFmtId="14" fontId="6" fillId="3" borderId="1" xfId="1" applyNumberFormat="1" applyFont="1" applyFill="1" applyBorder="1" applyAlignment="1" applyProtection="1">
      <alignment horizontal="left" vertical="top" wrapText="1"/>
      <protection locked="0"/>
    </xf>
    <xf numFmtId="0" fontId="12" fillId="3" borderId="5" xfId="1" applyFont="1" applyFill="1" applyBorder="1" applyAlignment="1" applyProtection="1">
      <alignment horizontal="left" vertical="top" wrapText="1"/>
      <protection locked="0"/>
    </xf>
    <xf numFmtId="0" fontId="12" fillId="3" borderId="7" xfId="1" applyFont="1" applyFill="1" applyBorder="1" applyAlignment="1" applyProtection="1">
      <alignment horizontal="left" vertical="top" wrapText="1"/>
      <protection locked="0"/>
    </xf>
    <xf numFmtId="0" fontId="12" fillId="3" borderId="8" xfId="1" applyFont="1" applyFill="1" applyBorder="1" applyAlignment="1" applyProtection="1">
      <alignment horizontal="left" vertical="top" wrapText="1"/>
      <protection locked="0"/>
    </xf>
    <xf numFmtId="0" fontId="12" fillId="3" borderId="10" xfId="1" applyFont="1" applyFill="1" applyBorder="1" applyAlignment="1" applyProtection="1">
      <alignment horizontal="left" vertical="top" wrapText="1"/>
      <protection locked="0"/>
    </xf>
    <xf numFmtId="0" fontId="12" fillId="3" borderId="1" xfId="1" applyFont="1" applyFill="1" applyBorder="1" applyAlignment="1" applyProtection="1">
      <alignment horizontal="left" vertical="top" wrapText="1"/>
      <protection locked="0"/>
    </xf>
    <xf numFmtId="0" fontId="12" fillId="3" borderId="2" xfId="1" applyFont="1" applyFill="1" applyBorder="1" applyAlignment="1" applyProtection="1">
      <alignment horizontal="left" vertical="top"/>
      <protection locked="0"/>
    </xf>
    <xf numFmtId="0" fontId="12" fillId="3" borderId="3" xfId="1" applyFont="1" applyFill="1" applyBorder="1" applyAlignment="1" applyProtection="1">
      <alignment horizontal="left" vertical="top"/>
      <protection locked="0"/>
    </xf>
    <xf numFmtId="0" fontId="12" fillId="3" borderId="9" xfId="1" applyFont="1" applyFill="1" applyBorder="1" applyAlignment="1" applyProtection="1">
      <alignment horizontal="left" vertical="top" wrapText="1"/>
      <protection locked="0"/>
    </xf>
    <xf numFmtId="14" fontId="12" fillId="3" borderId="1" xfId="1" applyNumberFormat="1" applyFont="1" applyFill="1" applyBorder="1" applyAlignment="1" applyProtection="1">
      <alignment horizontal="left" vertical="top"/>
      <protection locked="0"/>
    </xf>
    <xf numFmtId="14" fontId="12" fillId="3" borderId="3" xfId="1" applyNumberFormat="1" applyFont="1" applyFill="1" applyBorder="1" applyAlignment="1" applyProtection="1">
      <alignment horizontal="left" vertical="top"/>
      <protection locked="0"/>
    </xf>
    <xf numFmtId="0" fontId="7" fillId="0" borderId="1" xfId="1" applyFont="1" applyBorder="1" applyAlignment="1" applyProtection="1">
      <alignment horizontal="left"/>
      <protection locked="0"/>
    </xf>
    <xf numFmtId="0" fontId="7" fillId="0" borderId="2" xfId="1" applyFont="1" applyBorder="1" applyAlignment="1" applyProtection="1">
      <alignment horizontal="left"/>
      <protection locked="0"/>
    </xf>
    <xf numFmtId="0" fontId="7" fillId="0" borderId="3" xfId="1" applyFont="1" applyBorder="1" applyAlignment="1" applyProtection="1">
      <alignment horizontal="left"/>
      <protection locked="0"/>
    </xf>
    <xf numFmtId="0" fontId="22" fillId="0" borderId="1" xfId="7" applyBorder="1" applyAlignment="1" applyProtection="1">
      <alignment horizontal="left"/>
      <protection locked="0"/>
    </xf>
    <xf numFmtId="2" fontId="12" fillId="0" borderId="1" xfId="1" applyNumberFormat="1" applyFont="1" applyBorder="1" applyAlignment="1" applyProtection="1">
      <alignment horizontal="left" vertical="top"/>
      <protection locked="0"/>
    </xf>
    <xf numFmtId="2" fontId="12" fillId="0" borderId="2" xfId="1" applyNumberFormat="1" applyFont="1" applyBorder="1" applyAlignment="1" applyProtection="1">
      <alignment horizontal="left" vertical="top"/>
      <protection locked="0"/>
    </xf>
    <xf numFmtId="2" fontId="12" fillId="0" borderId="3" xfId="1" applyNumberFormat="1" applyFont="1" applyBorder="1" applyAlignment="1" applyProtection="1">
      <alignment horizontal="left" vertical="top"/>
      <protection locked="0"/>
    </xf>
    <xf numFmtId="0" fontId="12" fillId="0" borderId="9" xfId="1"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protection locked="0"/>
    </xf>
    <xf numFmtId="0" fontId="6" fillId="4" borderId="2"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14" fontId="6" fillId="4" borderId="1" xfId="1" applyNumberFormat="1" applyFont="1" applyFill="1" applyBorder="1" applyAlignment="1" applyProtection="1">
      <alignment horizontal="left" vertical="top" wrapText="1"/>
      <protection locked="0"/>
    </xf>
    <xf numFmtId="1" fontId="12" fillId="0" borderId="1" xfId="0" applyNumberFormat="1" applyFont="1" applyBorder="1" applyAlignment="1" applyProtection="1">
      <alignment horizontal="center" vertical="top" wrapText="1"/>
      <protection locked="0"/>
    </xf>
    <xf numFmtId="1" fontId="12" fillId="0" borderId="3" xfId="0" applyNumberFormat="1" applyFont="1" applyBorder="1" applyAlignment="1" applyProtection="1">
      <alignment horizontal="center" vertical="top" wrapText="1"/>
      <protection locked="0"/>
    </xf>
    <xf numFmtId="1" fontId="12" fillId="0" borderId="2" xfId="0" applyNumberFormat="1" applyFont="1" applyBorder="1" applyAlignment="1" applyProtection="1">
      <alignment horizontal="center" vertical="top" wrapText="1"/>
      <protection locked="0"/>
    </xf>
    <xf numFmtId="0" fontId="9" fillId="0" borderId="4" xfId="5" applyFont="1" applyBorder="1" applyAlignment="1">
      <alignment horizontal="left"/>
    </xf>
    <xf numFmtId="0" fontId="0" fillId="2" borderId="4" xfId="0" applyFill="1" applyBorder="1" applyAlignment="1">
      <alignment horizontal="center" wrapText="1"/>
    </xf>
    <xf numFmtId="0" fontId="9" fillId="0" borderId="4" xfId="0" applyFont="1" applyBorder="1" applyAlignment="1">
      <alignment horizontal="center"/>
    </xf>
    <xf numFmtId="0" fontId="12" fillId="0" borderId="13" xfId="1" applyFont="1" applyBorder="1" applyAlignment="1" applyProtection="1">
      <alignment horizontal="left" vertical="top" wrapText="1"/>
      <protection locked="0"/>
    </xf>
    <xf numFmtId="0" fontId="12" fillId="0" borderId="32" xfId="1" applyFont="1" applyBorder="1" applyAlignment="1" applyProtection="1">
      <alignment horizontal="center" vertical="top" wrapText="1"/>
      <protection locked="0"/>
    </xf>
    <xf numFmtId="0" fontId="12" fillId="0" borderId="14" xfId="1" applyFont="1" applyBorder="1" applyAlignment="1" applyProtection="1">
      <alignment horizontal="center" vertical="top" wrapText="1"/>
      <protection locked="0"/>
    </xf>
    <xf numFmtId="0" fontId="12" fillId="0" borderId="14" xfId="1" applyFont="1" applyBorder="1" applyAlignment="1" applyProtection="1">
      <alignment horizontal="center" vertical="top" wrapText="1"/>
      <protection locked="0"/>
    </xf>
    <xf numFmtId="0" fontId="12" fillId="0" borderId="33" xfId="1" applyFont="1" applyBorder="1" applyAlignment="1" applyProtection="1">
      <alignment horizontal="center" vertical="top" wrapText="1"/>
      <protection locked="0"/>
    </xf>
    <xf numFmtId="0" fontId="13" fillId="0" borderId="34"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3" fillId="0" borderId="36" xfId="1" applyFont="1" applyBorder="1" applyAlignment="1" applyProtection="1">
      <alignment horizontal="left" vertical="top" wrapText="1"/>
      <protection locked="0"/>
    </xf>
    <xf numFmtId="0" fontId="13" fillId="0" borderId="37" xfId="1" applyFont="1" applyBorder="1" applyAlignment="1" applyProtection="1">
      <alignment horizontal="center" vertical="center"/>
      <protection locked="0"/>
    </xf>
    <xf numFmtId="0" fontId="13" fillId="0" borderId="38" xfId="1" applyFont="1" applyBorder="1" applyAlignment="1" applyProtection="1">
      <alignment horizontal="center" vertical="center"/>
      <protection locked="0"/>
    </xf>
    <xf numFmtId="9" fontId="13" fillId="0" borderId="20" xfId="1" applyNumberFormat="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9" fontId="13" fillId="0" borderId="38" xfId="1" applyNumberFormat="1" applyFont="1" applyBorder="1" applyAlignment="1" applyProtection="1">
      <alignment horizontal="center" vertical="center"/>
      <protection locked="0"/>
    </xf>
    <xf numFmtId="0" fontId="13" fillId="0" borderId="39" xfId="1" applyFont="1" applyBorder="1" applyAlignment="1" applyProtection="1">
      <alignment horizontal="center" vertical="center"/>
      <protection locked="0"/>
    </xf>
    <xf numFmtId="1" fontId="8" fillId="0" borderId="5"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horizontal="center" vertical="center" wrapText="1"/>
      <protection locked="0"/>
    </xf>
    <xf numFmtId="1" fontId="10" fillId="0" borderId="13" xfId="0" applyNumberFormat="1" applyFont="1" applyBorder="1" applyAlignment="1" applyProtection="1">
      <alignment horizontal="center" vertical="center"/>
      <protection locked="0"/>
    </xf>
    <xf numFmtId="1" fontId="10" fillId="0" borderId="5" xfId="0" applyNumberFormat="1" applyFont="1" applyBorder="1" applyAlignment="1" applyProtection="1">
      <alignment horizontal="center" vertical="top" wrapText="1"/>
      <protection locked="0"/>
    </xf>
    <xf numFmtId="1" fontId="10" fillId="0" borderId="7" xfId="0" applyNumberFormat="1" applyFont="1" applyBorder="1" applyAlignment="1" applyProtection="1">
      <alignment horizontal="center" vertical="top" wrapText="1"/>
      <protection locked="0"/>
    </xf>
    <xf numFmtId="1" fontId="8" fillId="0" borderId="5" xfId="0" applyNumberFormat="1" applyFont="1" applyBorder="1" applyAlignment="1" applyProtection="1">
      <alignment horizontal="center" vertical="top" wrapText="1"/>
      <protection locked="0"/>
    </xf>
    <xf numFmtId="1" fontId="8" fillId="0" borderId="6"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horizontal="center" vertical="top" wrapText="1"/>
      <protection locked="0"/>
    </xf>
    <xf numFmtId="0" fontId="8" fillId="0" borderId="8" xfId="1" applyFont="1" applyBorder="1" applyAlignment="1" applyProtection="1">
      <alignment horizontal="center" vertical="top"/>
      <protection locked="0"/>
    </xf>
    <xf numFmtId="0" fontId="8" fillId="0" borderId="9" xfId="1" applyFont="1" applyBorder="1" applyAlignment="1" applyProtection="1">
      <alignment horizontal="center" vertical="top"/>
      <protection locked="0"/>
    </xf>
    <xf numFmtId="0" fontId="8" fillId="0" borderId="10" xfId="1" applyFont="1" applyBorder="1" applyAlignment="1" applyProtection="1">
      <alignment horizontal="center" vertical="top"/>
      <protection locked="0"/>
    </xf>
    <xf numFmtId="1" fontId="8" fillId="0" borderId="40" xfId="0" applyNumberFormat="1" applyFont="1" applyBorder="1" applyAlignment="1" applyProtection="1">
      <alignment horizontal="center" vertical="center" wrapText="1"/>
      <protection locked="0"/>
    </xf>
    <xf numFmtId="1" fontId="8" fillId="0" borderId="41" xfId="0" applyNumberFormat="1" applyFont="1" applyBorder="1" applyAlignment="1" applyProtection="1">
      <alignment horizontal="center" vertical="center" wrapText="1"/>
      <protection locked="0"/>
    </xf>
    <xf numFmtId="1" fontId="10" fillId="0" borderId="41" xfId="0" applyNumberFormat="1" applyFont="1" applyBorder="1" applyAlignment="1" applyProtection="1">
      <alignment horizontal="center" vertical="center"/>
      <protection locked="0"/>
    </xf>
    <xf numFmtId="1" fontId="10" fillId="0" borderId="42" xfId="0" applyNumberFormat="1" applyFont="1" applyBorder="1" applyAlignment="1" applyProtection="1">
      <alignment horizontal="center" vertical="center"/>
      <protection locked="0"/>
    </xf>
    <xf numFmtId="1" fontId="10" fillId="0" borderId="43" xfId="0" applyNumberFormat="1" applyFont="1" applyBorder="1" applyAlignment="1" applyProtection="1">
      <alignment horizontal="center" vertical="center"/>
      <protection locked="0"/>
    </xf>
    <xf numFmtId="1" fontId="8" fillId="0" borderId="41" xfId="0" applyNumberFormat="1" applyFont="1" applyBorder="1" applyAlignment="1" applyProtection="1">
      <alignment horizontal="center" vertical="top" wrapText="1"/>
      <protection locked="0"/>
    </xf>
    <xf numFmtId="1" fontId="8" fillId="0" borderId="44" xfId="0" applyNumberFormat="1" applyFont="1" applyBorder="1" applyAlignment="1" applyProtection="1">
      <alignment horizontal="center" vertical="top" wrapText="1"/>
      <protection locked="0"/>
    </xf>
  </cellXfs>
  <cellStyles count="8">
    <cellStyle name="Comma 2" xfId="6" xr:uid="{00000000-0005-0000-0000-000000000000}"/>
    <cellStyle name="Excel Built-in Normal" xfId="2" xr:uid="{00000000-0005-0000-0000-000001000000}"/>
    <cellStyle name="Excel Built-in Normal 2" xfId="4" xr:uid="{00000000-0005-0000-0000-000002000000}"/>
    <cellStyle name="Hyperlink" xfId="7"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jpg"/><Relationship Id="rId1" Type="http://schemas.openxmlformats.org/officeDocument/2006/relationships/image" Target="../media/image23.jpg"/></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541619</xdr:colOff>
      <xdr:row>374</xdr:row>
      <xdr:rowOff>2615</xdr:rowOff>
    </xdr:from>
    <xdr:to>
      <xdr:col>7</xdr:col>
      <xdr:colOff>936459</xdr:colOff>
      <xdr:row>392</xdr:row>
      <xdr:rowOff>52590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41619" y="81765215"/>
          <a:ext cx="6306690" cy="3593275"/>
        </a:xfrm>
        <a:prstGeom prst="rect">
          <a:avLst/>
        </a:prstGeom>
        <a:ln>
          <a:solidFill>
            <a:schemeClr val="tx1"/>
          </a:solidFill>
        </a:ln>
      </xdr:spPr>
    </xdr:pic>
    <xdr:clientData/>
  </xdr:twoCellAnchor>
  <xdr:twoCellAnchor editAs="oneCell">
    <xdr:from>
      <xdr:col>8</xdr:col>
      <xdr:colOff>348698</xdr:colOff>
      <xdr:row>286</xdr:row>
      <xdr:rowOff>91110</xdr:rowOff>
    </xdr:from>
    <xdr:to>
      <xdr:col>16</xdr:col>
      <xdr:colOff>493292</xdr:colOff>
      <xdr:row>309</xdr:row>
      <xdr:rowOff>41679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746448" y="64537260"/>
          <a:ext cx="6399344" cy="4471769"/>
        </a:xfrm>
        <a:prstGeom prst="rect">
          <a:avLst/>
        </a:prstGeom>
      </xdr:spPr>
    </xdr:pic>
    <xdr:clientData/>
  </xdr:twoCellAnchor>
  <xdr:twoCellAnchor editAs="oneCell">
    <xdr:from>
      <xdr:col>8</xdr:col>
      <xdr:colOff>262023</xdr:colOff>
      <xdr:row>41</xdr:row>
      <xdr:rowOff>20436</xdr:rowOff>
    </xdr:from>
    <xdr:to>
      <xdr:col>17</xdr:col>
      <xdr:colOff>369166</xdr:colOff>
      <xdr:row>57</xdr:row>
      <xdr:rowOff>46412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539123" y="9766416"/>
          <a:ext cx="6881323" cy="6015296"/>
        </a:xfrm>
        <a:prstGeom prst="rect">
          <a:avLst/>
        </a:prstGeom>
      </xdr:spPr>
    </xdr:pic>
    <xdr:clientData/>
  </xdr:twoCellAnchor>
  <xdr:twoCellAnchor editAs="oneCell">
    <xdr:from>
      <xdr:col>1</xdr:col>
      <xdr:colOff>371475</xdr:colOff>
      <xdr:row>333</xdr:row>
      <xdr:rowOff>0</xdr:rowOff>
    </xdr:from>
    <xdr:to>
      <xdr:col>7</xdr:col>
      <xdr:colOff>315739</xdr:colOff>
      <xdr:row>360</xdr:row>
      <xdr:rowOff>568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152525" y="72856725"/>
          <a:ext cx="4802014" cy="5400000"/>
        </a:xfrm>
        <a:prstGeom prst="rect">
          <a:avLst/>
        </a:prstGeom>
        <a:ln>
          <a:solidFill>
            <a:schemeClr val="tx1"/>
          </a:solidFill>
        </a:ln>
      </xdr:spPr>
    </xdr:pic>
    <xdr:clientData/>
  </xdr:twoCellAnchor>
  <xdr:twoCellAnchor>
    <xdr:from>
      <xdr:col>2</xdr:col>
      <xdr:colOff>781050</xdr:colOff>
      <xdr:row>342</xdr:row>
      <xdr:rowOff>133350</xdr:rowOff>
    </xdr:from>
    <xdr:to>
      <xdr:col>3</xdr:col>
      <xdr:colOff>561975</xdr:colOff>
      <xdr:row>345</xdr:row>
      <xdr:rowOff>0</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2371725" y="74790300"/>
          <a:ext cx="628650" cy="46672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590550</xdr:colOff>
      <xdr:row>342</xdr:row>
      <xdr:rowOff>133350</xdr:rowOff>
    </xdr:from>
    <xdr:to>
      <xdr:col>4</xdr:col>
      <xdr:colOff>361950</xdr:colOff>
      <xdr:row>345</xdr:row>
      <xdr:rowOff>0</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3028950" y="74790300"/>
          <a:ext cx="628650" cy="46672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371475</xdr:colOff>
      <xdr:row>342</xdr:row>
      <xdr:rowOff>133350</xdr:rowOff>
    </xdr:from>
    <xdr:to>
      <xdr:col>5</xdr:col>
      <xdr:colOff>47625</xdr:colOff>
      <xdr:row>345</xdr:row>
      <xdr:rowOff>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3667125" y="74790300"/>
          <a:ext cx="457200" cy="46672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438150</xdr:colOff>
      <xdr:row>345</xdr:row>
      <xdr:rowOff>9525</xdr:rowOff>
    </xdr:from>
    <xdr:to>
      <xdr:col>5</xdr:col>
      <xdr:colOff>47626</xdr:colOff>
      <xdr:row>348</xdr:row>
      <xdr:rowOff>57150</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3733800" y="75266550"/>
          <a:ext cx="390526" cy="647700"/>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438150</xdr:colOff>
      <xdr:row>348</xdr:row>
      <xdr:rowOff>66675</xdr:rowOff>
    </xdr:from>
    <xdr:to>
      <xdr:col>5</xdr:col>
      <xdr:colOff>47626</xdr:colOff>
      <xdr:row>349</xdr:row>
      <xdr:rowOff>133350</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733800" y="75923775"/>
          <a:ext cx="390526" cy="266700"/>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457200</xdr:colOff>
      <xdr:row>341</xdr:row>
      <xdr:rowOff>19050</xdr:rowOff>
    </xdr:from>
    <xdr:to>
      <xdr:col>6</xdr:col>
      <xdr:colOff>485775</xdr:colOff>
      <xdr:row>345</xdr:row>
      <xdr:rowOff>152400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752850" y="74475975"/>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17</a:t>
          </a:r>
        </a:p>
      </xdr:txBody>
    </xdr:sp>
    <xdr:clientData/>
  </xdr:twoCellAnchor>
  <xdr:twoCellAnchor>
    <xdr:from>
      <xdr:col>5</xdr:col>
      <xdr:colOff>28575</xdr:colOff>
      <xdr:row>345</xdr:row>
      <xdr:rowOff>123825</xdr:rowOff>
    </xdr:from>
    <xdr:to>
      <xdr:col>7</xdr:col>
      <xdr:colOff>57150</xdr:colOff>
      <xdr:row>350</xdr:row>
      <xdr:rowOff>57150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4105275" y="7538085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7</a:t>
          </a:r>
        </a:p>
      </xdr:txBody>
    </xdr:sp>
    <xdr:clientData/>
  </xdr:twoCellAnchor>
  <xdr:twoCellAnchor>
    <xdr:from>
      <xdr:col>4</xdr:col>
      <xdr:colOff>771525</xdr:colOff>
      <xdr:row>348</xdr:row>
      <xdr:rowOff>28575</xdr:rowOff>
    </xdr:from>
    <xdr:to>
      <xdr:col>7</xdr:col>
      <xdr:colOff>19050</xdr:colOff>
      <xdr:row>352</xdr:row>
      <xdr:rowOff>161925</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4067175" y="75885675"/>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8</a:t>
          </a:r>
        </a:p>
      </xdr:txBody>
    </xdr:sp>
    <xdr:clientData/>
  </xdr:twoCellAnchor>
  <xdr:twoCellAnchor>
    <xdr:from>
      <xdr:col>3</xdr:col>
      <xdr:colOff>47625</xdr:colOff>
      <xdr:row>341</xdr:row>
      <xdr:rowOff>57150</xdr:rowOff>
    </xdr:from>
    <xdr:to>
      <xdr:col>5</xdr:col>
      <xdr:colOff>0</xdr:colOff>
      <xdr:row>345</xdr:row>
      <xdr:rowOff>190500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2486025" y="74514075"/>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19</a:t>
          </a:r>
        </a:p>
      </xdr:txBody>
    </xdr:sp>
    <xdr:clientData/>
  </xdr:twoCellAnchor>
  <xdr:twoCellAnchor>
    <xdr:from>
      <xdr:col>3</xdr:col>
      <xdr:colOff>723900</xdr:colOff>
      <xdr:row>341</xdr:row>
      <xdr:rowOff>28575</xdr:rowOff>
    </xdr:from>
    <xdr:to>
      <xdr:col>5</xdr:col>
      <xdr:colOff>676275</xdr:colOff>
      <xdr:row>345</xdr:row>
      <xdr:rowOff>161925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3162300" y="7448550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18</a:t>
          </a:r>
        </a:p>
      </xdr:txBody>
    </xdr:sp>
    <xdr:clientData/>
  </xdr:twoCellAnchor>
  <xdr:twoCellAnchor>
    <xdr:from>
      <xdr:col>9</xdr:col>
      <xdr:colOff>47625</xdr:colOff>
      <xdr:row>312</xdr:row>
      <xdr:rowOff>0</xdr:rowOff>
    </xdr:from>
    <xdr:to>
      <xdr:col>11</xdr:col>
      <xdr:colOff>371475</xdr:colOff>
      <xdr:row>316</xdr:row>
      <xdr:rowOff>133350</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8467725" y="6726555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17</a:t>
          </a:r>
        </a:p>
      </xdr:txBody>
    </xdr:sp>
    <xdr:clientData/>
  </xdr:twoCellAnchor>
  <xdr:twoCellAnchor>
    <xdr:from>
      <xdr:col>8</xdr:col>
      <xdr:colOff>409575</xdr:colOff>
      <xdr:row>309</xdr:row>
      <xdr:rowOff>85725</xdr:rowOff>
    </xdr:from>
    <xdr:to>
      <xdr:col>9</xdr:col>
      <xdr:colOff>638175</xdr:colOff>
      <xdr:row>314</xdr:row>
      <xdr:rowOff>19050</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7467600" y="6675120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19</a:t>
          </a:r>
        </a:p>
      </xdr:txBody>
    </xdr:sp>
    <xdr:clientData/>
  </xdr:twoCellAnchor>
  <xdr:twoCellAnchor>
    <xdr:from>
      <xdr:col>8</xdr:col>
      <xdr:colOff>952500</xdr:colOff>
      <xdr:row>311</xdr:row>
      <xdr:rowOff>9525</xdr:rowOff>
    </xdr:from>
    <xdr:to>
      <xdr:col>10</xdr:col>
      <xdr:colOff>523875</xdr:colOff>
      <xdr:row>315</xdr:row>
      <xdr:rowOff>142875</xdr:rowOff>
    </xdr:to>
    <xdr:sp macro="" textlink="">
      <xdr:nvSpPr>
        <xdr:cNvPr id="33" name="Rectangle 32">
          <a:extLst>
            <a:ext uri="{FF2B5EF4-FFF2-40B4-BE49-F238E27FC236}">
              <a16:creationId xmlns:a16="http://schemas.microsoft.com/office/drawing/2014/main" id="{00000000-0008-0000-0000-000021000000}"/>
            </a:ext>
          </a:extLst>
        </xdr:cNvPr>
        <xdr:cNvSpPr/>
      </xdr:nvSpPr>
      <xdr:spPr>
        <a:xfrm>
          <a:off x="8010525" y="6707505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18</a:t>
          </a:r>
        </a:p>
      </xdr:txBody>
    </xdr:sp>
    <xdr:clientData/>
  </xdr:twoCellAnchor>
  <xdr:twoCellAnchor>
    <xdr:from>
      <xdr:col>10</xdr:col>
      <xdr:colOff>352425</xdr:colOff>
      <xdr:row>318</xdr:row>
      <xdr:rowOff>161925</xdr:rowOff>
    </xdr:from>
    <xdr:to>
      <xdr:col>13</xdr:col>
      <xdr:colOff>114300</xdr:colOff>
      <xdr:row>323</xdr:row>
      <xdr:rowOff>95250</xdr:rowOff>
    </xdr:to>
    <xdr:sp macro="" textlink="">
      <xdr:nvSpPr>
        <xdr:cNvPr id="34" name="Rectangle 33">
          <a:extLst>
            <a:ext uri="{FF2B5EF4-FFF2-40B4-BE49-F238E27FC236}">
              <a16:creationId xmlns:a16="http://schemas.microsoft.com/office/drawing/2014/main" id="{00000000-0008-0000-0000-000022000000}"/>
            </a:ext>
          </a:extLst>
        </xdr:cNvPr>
        <xdr:cNvSpPr/>
      </xdr:nvSpPr>
      <xdr:spPr>
        <a:xfrm>
          <a:off x="9429750" y="68627625"/>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8</a:t>
          </a:r>
        </a:p>
      </xdr:txBody>
    </xdr:sp>
    <xdr:clientData/>
  </xdr:twoCellAnchor>
  <xdr:twoCellAnchor>
    <xdr:from>
      <xdr:col>14</xdr:col>
      <xdr:colOff>485775</xdr:colOff>
      <xdr:row>314</xdr:row>
      <xdr:rowOff>57150</xdr:rowOff>
    </xdr:from>
    <xdr:to>
      <xdr:col>17</xdr:col>
      <xdr:colOff>247650</xdr:colOff>
      <xdr:row>318</xdr:row>
      <xdr:rowOff>190500</xdr:rowOff>
    </xdr:to>
    <xdr:sp macro="" textlink="">
      <xdr:nvSpPr>
        <xdr:cNvPr id="35" name="Rectangle 34">
          <a:extLst>
            <a:ext uri="{FF2B5EF4-FFF2-40B4-BE49-F238E27FC236}">
              <a16:creationId xmlns:a16="http://schemas.microsoft.com/office/drawing/2014/main" id="{00000000-0008-0000-0000-000023000000}"/>
            </a:ext>
          </a:extLst>
        </xdr:cNvPr>
        <xdr:cNvSpPr/>
      </xdr:nvSpPr>
      <xdr:spPr>
        <a:xfrm>
          <a:off x="12001500" y="67722750"/>
          <a:ext cx="1590675" cy="933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8</a:t>
          </a:r>
        </a:p>
      </xdr:txBody>
    </xdr:sp>
    <xdr:clientData/>
  </xdr:twoCellAnchor>
  <xdr:twoCellAnchor>
    <xdr:from>
      <xdr:col>14</xdr:col>
      <xdr:colOff>295275</xdr:colOff>
      <xdr:row>315</xdr:row>
      <xdr:rowOff>142875</xdr:rowOff>
    </xdr:from>
    <xdr:to>
      <xdr:col>15</xdr:col>
      <xdr:colOff>38100</xdr:colOff>
      <xdr:row>318</xdr:row>
      <xdr:rowOff>85725</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H="1">
          <a:off x="11811000" y="68008500"/>
          <a:ext cx="352425" cy="542925"/>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209550</xdr:colOff>
      <xdr:row>1</xdr:row>
      <xdr:rowOff>47625</xdr:rowOff>
    </xdr:from>
    <xdr:to>
      <xdr:col>13</xdr:col>
      <xdr:colOff>132211</xdr:colOff>
      <xdr:row>10</xdr:row>
      <xdr:rowOff>70125</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267575" y="638175"/>
          <a:ext cx="4056511" cy="2880000"/>
        </a:xfrm>
        <a:prstGeom prst="rect">
          <a:avLst/>
        </a:prstGeom>
        <a:ln>
          <a:solidFill>
            <a:schemeClr val="tx1"/>
          </a:solidFill>
        </a:ln>
      </xdr:spPr>
    </xdr:pic>
    <xdr:clientData/>
  </xdr:twoCellAnchor>
  <xdr:twoCellAnchor editAs="oneCell">
    <xdr:from>
      <xdr:col>0</xdr:col>
      <xdr:colOff>765175</xdr:colOff>
      <xdr:row>393</xdr:row>
      <xdr:rowOff>0</xdr:rowOff>
    </xdr:from>
    <xdr:to>
      <xdr:col>7</xdr:col>
      <xdr:colOff>669231</xdr:colOff>
      <xdr:row>411</xdr:row>
      <xdr:rowOff>793</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65175" y="85502750"/>
          <a:ext cx="5815906" cy="3544093"/>
        </a:xfrm>
        <a:prstGeom prst="rect">
          <a:avLst/>
        </a:prstGeom>
        <a:ln>
          <a:solidFill>
            <a:schemeClr val="tx1"/>
          </a:solidFill>
        </a:ln>
      </xdr:spPr>
    </xdr:pic>
    <xdr:clientData/>
  </xdr:twoCellAnchor>
  <xdr:twoCellAnchor>
    <xdr:from>
      <xdr:col>8</xdr:col>
      <xdr:colOff>899160</xdr:colOff>
      <xdr:row>291</xdr:row>
      <xdr:rowOff>45720</xdr:rowOff>
    </xdr:from>
    <xdr:to>
      <xdr:col>17</xdr:col>
      <xdr:colOff>344231</xdr:colOff>
      <xdr:row>319</xdr:row>
      <xdr:rowOff>80490</xdr:rowOff>
    </xdr:to>
    <xdr:grpSp>
      <xdr:nvGrpSpPr>
        <xdr:cNvPr id="42" name="Group 41">
          <a:extLst>
            <a:ext uri="{FF2B5EF4-FFF2-40B4-BE49-F238E27FC236}">
              <a16:creationId xmlns:a16="http://schemas.microsoft.com/office/drawing/2014/main" id="{00000000-0008-0000-0000-00002A000000}"/>
            </a:ext>
          </a:extLst>
        </xdr:cNvPr>
        <xdr:cNvGrpSpPr/>
      </xdr:nvGrpSpPr>
      <xdr:grpSpPr>
        <a:xfrm>
          <a:off x="7957185" y="61253370"/>
          <a:ext cx="6055421" cy="5625945"/>
          <a:chOff x="340211" y="363376"/>
          <a:chExt cx="6181151" cy="5574510"/>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363612" y="363376"/>
            <a:ext cx="2157750" cy="288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40211" y="363376"/>
            <a:ext cx="3836445" cy="288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14848" y="3417886"/>
            <a:ext cx="1888031" cy="252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789835" y="3417886"/>
            <a:ext cx="3356889" cy="2520000"/>
          </a:xfrm>
          <a:prstGeom prst="rect">
            <a:avLst/>
          </a:prstGeom>
          <a:ln>
            <a:solidFill>
              <a:schemeClr val="tx1"/>
            </a:solidFill>
          </a:ln>
        </xdr:spPr>
      </xdr:pic>
      <xdr:sp macro="" textlink="">
        <xdr:nvSpPr>
          <xdr:cNvPr id="49" name="TextBox 8">
            <a:extLst>
              <a:ext uri="{FF2B5EF4-FFF2-40B4-BE49-F238E27FC236}">
                <a16:creationId xmlns:a16="http://schemas.microsoft.com/office/drawing/2014/main" id="{00000000-0008-0000-0000-000031000000}"/>
              </a:ext>
            </a:extLst>
          </xdr:cNvPr>
          <xdr:cNvSpPr txBox="1"/>
        </xdr:nvSpPr>
        <xdr:spPr>
          <a:xfrm>
            <a:off x="2602879" y="523396"/>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sp macro="" textlink="">
        <xdr:nvSpPr>
          <xdr:cNvPr id="50" name="TextBox 9">
            <a:extLst>
              <a:ext uri="{FF2B5EF4-FFF2-40B4-BE49-F238E27FC236}">
                <a16:creationId xmlns:a16="http://schemas.microsoft.com/office/drawing/2014/main" id="{00000000-0008-0000-0000-000032000000}"/>
              </a:ext>
            </a:extLst>
          </xdr:cNvPr>
          <xdr:cNvSpPr txBox="1"/>
        </xdr:nvSpPr>
        <xdr:spPr>
          <a:xfrm>
            <a:off x="5506595" y="400580"/>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grpSp>
    <xdr:clientData/>
  </xdr:twoCellAnchor>
  <xdr:twoCellAnchor>
    <xdr:from>
      <xdr:col>8</xdr:col>
      <xdr:colOff>308162</xdr:colOff>
      <xdr:row>290</xdr:row>
      <xdr:rowOff>189940</xdr:rowOff>
    </xdr:from>
    <xdr:to>
      <xdr:col>16</xdr:col>
      <xdr:colOff>152991</xdr:colOff>
      <xdr:row>329</xdr:row>
      <xdr:rowOff>138110</xdr:rowOff>
    </xdr:to>
    <xdr:grpSp>
      <xdr:nvGrpSpPr>
        <xdr:cNvPr id="15" name="Group 14">
          <a:extLst>
            <a:ext uri="{FF2B5EF4-FFF2-40B4-BE49-F238E27FC236}">
              <a16:creationId xmlns:a16="http://schemas.microsoft.com/office/drawing/2014/main" id="{9D8A9276-7A72-A85D-1CD1-AC0D8EDE51C2}"/>
            </a:ext>
          </a:extLst>
        </xdr:cNvPr>
        <xdr:cNvGrpSpPr/>
      </xdr:nvGrpSpPr>
      <xdr:grpSpPr>
        <a:xfrm>
          <a:off x="7366187" y="61197565"/>
          <a:ext cx="5836054" cy="7739620"/>
          <a:chOff x="600845" y="186518"/>
          <a:chExt cx="6024313" cy="7633724"/>
        </a:xfrm>
      </xdr:grpSpPr>
      <xdr:grpSp>
        <xdr:nvGrpSpPr>
          <xdr:cNvPr id="17" name="Group 16">
            <a:extLst>
              <a:ext uri="{FF2B5EF4-FFF2-40B4-BE49-F238E27FC236}">
                <a16:creationId xmlns:a16="http://schemas.microsoft.com/office/drawing/2014/main" id="{51D1EC01-E5AC-8973-620C-55EB81866822}"/>
              </a:ext>
            </a:extLst>
          </xdr:cNvPr>
          <xdr:cNvGrpSpPr/>
        </xdr:nvGrpSpPr>
        <xdr:grpSpPr>
          <a:xfrm>
            <a:off x="1252499" y="5660242"/>
            <a:ext cx="4721004" cy="2160000"/>
            <a:chOff x="1634434" y="5660242"/>
            <a:chExt cx="4721004" cy="2160000"/>
          </a:xfrm>
        </xdr:grpSpPr>
        <xdr:pic>
          <xdr:nvPicPr>
            <xdr:cNvPr id="31" name="Picture 30">
              <a:extLst>
                <a:ext uri="{FF2B5EF4-FFF2-40B4-BE49-F238E27FC236}">
                  <a16:creationId xmlns:a16="http://schemas.microsoft.com/office/drawing/2014/main" id="{56A44310-1874-C217-9C58-1D10712944F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737126" y="5660242"/>
              <a:ext cx="1618312"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06069C29-7FD4-E2A6-DB3C-F80220111CC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34434" y="5660242"/>
              <a:ext cx="2877333" cy="216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233D1D49-2ABE-BD77-76B2-074DB68585DD}"/>
              </a:ext>
            </a:extLst>
          </xdr:cNvPr>
          <xdr:cNvGrpSpPr/>
        </xdr:nvGrpSpPr>
        <xdr:grpSpPr>
          <a:xfrm>
            <a:off x="600845" y="186518"/>
            <a:ext cx="6024313" cy="5220000"/>
            <a:chOff x="600845" y="186518"/>
            <a:chExt cx="6024313" cy="5220000"/>
          </a:xfrm>
        </xdr:grpSpPr>
        <xdr:pic>
          <xdr:nvPicPr>
            <xdr:cNvPr id="25" name="Picture 24">
              <a:extLst>
                <a:ext uri="{FF2B5EF4-FFF2-40B4-BE49-F238E27FC236}">
                  <a16:creationId xmlns:a16="http://schemas.microsoft.com/office/drawing/2014/main" id="{F1C1B83C-B9FD-1D38-C2A6-00076024557B}"/>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600845" y="186518"/>
              <a:ext cx="3910922" cy="5220000"/>
            </a:xfrm>
            <a:prstGeom prst="rect">
              <a:avLst/>
            </a:prstGeom>
            <a:ln>
              <a:solidFill>
                <a:schemeClr val="tx1"/>
              </a:solidFill>
            </a:ln>
          </xdr:spPr>
        </xdr:pic>
        <xdr:pic>
          <xdr:nvPicPr>
            <xdr:cNvPr id="26" name="Picture 25">
              <a:extLst>
                <a:ext uri="{FF2B5EF4-FFF2-40B4-BE49-F238E27FC236}">
                  <a16:creationId xmlns:a16="http://schemas.microsoft.com/office/drawing/2014/main" id="{11B2D120-C4AD-484C-5D1B-D8AE9D23027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737126" y="2886518"/>
              <a:ext cx="1888032" cy="2520000"/>
            </a:xfrm>
            <a:prstGeom prst="rect">
              <a:avLst/>
            </a:prstGeom>
            <a:ln>
              <a:solidFill>
                <a:schemeClr val="tx1"/>
              </a:solidFill>
            </a:ln>
          </xdr:spPr>
        </xdr:pic>
      </xdr:grpSp>
      <xdr:pic>
        <xdr:nvPicPr>
          <xdr:cNvPr id="24" name="Picture 23">
            <a:extLst>
              <a:ext uri="{FF2B5EF4-FFF2-40B4-BE49-F238E27FC236}">
                <a16:creationId xmlns:a16="http://schemas.microsoft.com/office/drawing/2014/main" id="{082EB2FF-5AB8-1D54-1389-267329B0FDD9}"/>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737127" y="186518"/>
            <a:ext cx="1888031" cy="2520000"/>
          </a:xfrm>
          <a:prstGeom prst="rect">
            <a:avLst/>
          </a:prstGeom>
          <a:ln>
            <a:solidFill>
              <a:schemeClr val="tx1"/>
            </a:solidFill>
          </a:ln>
        </xdr:spPr>
      </xdr:pic>
    </xdr:grpSp>
    <xdr:clientData/>
  </xdr:twoCellAnchor>
  <xdr:oneCellAnchor>
    <xdr:from>
      <xdr:col>6</xdr:col>
      <xdr:colOff>699248</xdr:colOff>
      <xdr:row>291</xdr:row>
      <xdr:rowOff>44824</xdr:rowOff>
    </xdr:from>
    <xdr:ext cx="272254" cy="311496"/>
    <xdr:sp macro="" textlink="">
      <xdr:nvSpPr>
        <xdr:cNvPr id="39" name="TextBox 38">
          <a:extLst>
            <a:ext uri="{FF2B5EF4-FFF2-40B4-BE49-F238E27FC236}">
              <a16:creationId xmlns:a16="http://schemas.microsoft.com/office/drawing/2014/main" id="{D84FE843-C4E8-5345-E5B1-0D1FBD3D4328}"/>
            </a:ext>
          </a:extLst>
        </xdr:cNvPr>
        <xdr:cNvSpPr txBox="1"/>
      </xdr:nvSpPr>
      <xdr:spPr>
        <a:xfrm>
          <a:off x="5719483" y="64976189"/>
          <a:ext cx="27225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E</a:t>
          </a:r>
        </a:p>
      </xdr:txBody>
    </xdr:sp>
    <xdr:clientData/>
  </xdr:oneCellAnchor>
  <xdr:twoCellAnchor>
    <xdr:from>
      <xdr:col>0</xdr:col>
      <xdr:colOff>285750</xdr:colOff>
      <xdr:row>290</xdr:row>
      <xdr:rowOff>123824</xdr:rowOff>
    </xdr:from>
    <xdr:to>
      <xdr:col>7</xdr:col>
      <xdr:colOff>828675</xdr:colOff>
      <xdr:row>328</xdr:row>
      <xdr:rowOff>171450</xdr:rowOff>
    </xdr:to>
    <xdr:grpSp>
      <xdr:nvGrpSpPr>
        <xdr:cNvPr id="40" name="Group 39">
          <a:extLst>
            <a:ext uri="{FF2B5EF4-FFF2-40B4-BE49-F238E27FC236}">
              <a16:creationId xmlns:a16="http://schemas.microsoft.com/office/drawing/2014/main" id="{2C52EA68-31F5-40F2-8993-BBD360AD350E}"/>
            </a:ext>
          </a:extLst>
        </xdr:cNvPr>
        <xdr:cNvGrpSpPr/>
      </xdr:nvGrpSpPr>
      <xdr:grpSpPr>
        <a:xfrm>
          <a:off x="285750" y="61131449"/>
          <a:ext cx="6181725" cy="7639051"/>
          <a:chOff x="566537" y="429874"/>
          <a:chExt cx="5724925" cy="7322690"/>
        </a:xfrm>
      </xdr:grpSpPr>
      <xdr:grpSp>
        <xdr:nvGrpSpPr>
          <xdr:cNvPr id="41" name="Group 40">
            <a:extLst>
              <a:ext uri="{FF2B5EF4-FFF2-40B4-BE49-F238E27FC236}">
                <a16:creationId xmlns:a16="http://schemas.microsoft.com/office/drawing/2014/main" id="{2CB2DF3D-F044-4B96-BDB0-CE5462289D90}"/>
              </a:ext>
            </a:extLst>
          </xdr:cNvPr>
          <xdr:cNvGrpSpPr/>
        </xdr:nvGrpSpPr>
        <xdr:grpSpPr>
          <a:xfrm>
            <a:off x="566537" y="466164"/>
            <a:ext cx="5724925" cy="7286400"/>
            <a:chOff x="200795" y="304800"/>
            <a:chExt cx="5724925" cy="7286400"/>
          </a:xfrm>
        </xdr:grpSpPr>
        <xdr:pic>
          <xdr:nvPicPr>
            <xdr:cNvPr id="51" name="Picture 50">
              <a:extLst>
                <a:ext uri="{FF2B5EF4-FFF2-40B4-BE49-F238E27FC236}">
                  <a16:creationId xmlns:a16="http://schemas.microsoft.com/office/drawing/2014/main" id="{261C5D96-21C4-4549-8C20-2F1DF23860C8}"/>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00795" y="304800"/>
              <a:ext cx="3600000" cy="5263200"/>
            </a:xfrm>
            <a:prstGeom prst="rect">
              <a:avLst/>
            </a:prstGeom>
            <a:ln>
              <a:solidFill>
                <a:schemeClr val="tx1"/>
              </a:solidFill>
            </a:ln>
          </xdr:spPr>
        </xdr:pic>
        <xdr:pic>
          <xdr:nvPicPr>
            <xdr:cNvPr id="52" name="Picture 51">
              <a:extLst>
                <a:ext uri="{FF2B5EF4-FFF2-40B4-BE49-F238E27FC236}">
                  <a16:creationId xmlns:a16="http://schemas.microsoft.com/office/drawing/2014/main" id="{9BCD584A-EA36-443B-8AA1-27F25FD23D59}"/>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037689" y="304800"/>
              <a:ext cx="1888030" cy="2520000"/>
            </a:xfrm>
            <a:prstGeom prst="rect">
              <a:avLst/>
            </a:prstGeom>
            <a:ln>
              <a:solidFill>
                <a:schemeClr val="tx1"/>
              </a:solidFill>
            </a:ln>
          </xdr:spPr>
        </xdr:pic>
        <xdr:pic>
          <xdr:nvPicPr>
            <xdr:cNvPr id="53" name="Picture 52">
              <a:extLst>
                <a:ext uri="{FF2B5EF4-FFF2-40B4-BE49-F238E27FC236}">
                  <a16:creationId xmlns:a16="http://schemas.microsoft.com/office/drawing/2014/main" id="{85065702-03F4-458C-AC95-A81A412244A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037689" y="3048000"/>
              <a:ext cx="1888031" cy="2520000"/>
            </a:xfrm>
            <a:prstGeom prst="rect">
              <a:avLst/>
            </a:prstGeom>
            <a:ln>
              <a:solidFill>
                <a:schemeClr val="tx1"/>
              </a:solidFill>
            </a:ln>
          </xdr:spPr>
        </xdr:pic>
        <xdr:pic>
          <xdr:nvPicPr>
            <xdr:cNvPr id="54" name="Picture 53">
              <a:extLst>
                <a:ext uri="{FF2B5EF4-FFF2-40B4-BE49-F238E27FC236}">
                  <a16:creationId xmlns:a16="http://schemas.microsoft.com/office/drawing/2014/main" id="{7353EAFA-73F1-40A6-BC10-CDD1BC551CA2}"/>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258630" y="5791200"/>
              <a:ext cx="2397778"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CC3F304B-8834-44C2-BAAB-A25F37104A2E}"/>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812538" y="5791200"/>
              <a:ext cx="1348594" cy="1800000"/>
            </a:xfrm>
            <a:prstGeom prst="rect">
              <a:avLst/>
            </a:prstGeom>
            <a:ln>
              <a:solidFill>
                <a:schemeClr val="tx1"/>
              </a:solidFill>
            </a:ln>
          </xdr:spPr>
        </xdr:pic>
      </xdr:grpSp>
      <xdr:sp macro="" textlink="">
        <xdr:nvSpPr>
          <xdr:cNvPr id="44" name="TextBox 41">
            <a:extLst>
              <a:ext uri="{FF2B5EF4-FFF2-40B4-BE49-F238E27FC236}">
                <a16:creationId xmlns:a16="http://schemas.microsoft.com/office/drawing/2014/main" id="{75BBDE41-3A5F-44FA-BC73-008E8927E631}"/>
              </a:ext>
            </a:extLst>
          </xdr:cNvPr>
          <xdr:cNvSpPr txBox="1"/>
        </xdr:nvSpPr>
        <xdr:spPr>
          <a:xfrm>
            <a:off x="5229998" y="429874"/>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E</a:t>
            </a:r>
            <a:endParaRPr lang="en-IN" b="1"/>
          </a:p>
        </xdr:txBody>
      </xdr:sp>
      <xdr:sp macro="" textlink="">
        <xdr:nvSpPr>
          <xdr:cNvPr id="45" name="TextBox 44">
            <a:extLst>
              <a:ext uri="{FF2B5EF4-FFF2-40B4-BE49-F238E27FC236}">
                <a16:creationId xmlns:a16="http://schemas.microsoft.com/office/drawing/2014/main" id="{41465437-6716-4252-BF18-DAE9E89522AD}"/>
              </a:ext>
            </a:extLst>
          </xdr:cNvPr>
          <xdr:cNvSpPr txBox="1"/>
        </xdr:nvSpPr>
        <xdr:spPr>
          <a:xfrm>
            <a:off x="684838" y="767974"/>
            <a:ext cx="1472839"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Dosti Pine </a:t>
            </a:r>
          </a:p>
          <a:p>
            <a:r>
              <a:rPr lang="en-US" b="1"/>
              <a:t>(Wing A to D)</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259984</xdr:colOff>
      <xdr:row>0</xdr:row>
      <xdr:rowOff>175260</xdr:rowOff>
    </xdr:from>
    <xdr:to>
      <xdr:col>11</xdr:col>
      <xdr:colOff>181984</xdr:colOff>
      <xdr:row>22</xdr:row>
      <xdr:rowOff>111900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6644" y="175260"/>
          <a:ext cx="2970000" cy="3960000"/>
        </a:xfrm>
        <a:prstGeom prst="rect">
          <a:avLst/>
        </a:prstGeom>
      </xdr:spPr>
    </xdr:pic>
    <xdr:clientData/>
  </xdr:twoCellAnchor>
  <xdr:twoCellAnchor editAs="oneCell">
    <xdr:from>
      <xdr:col>1</xdr:col>
      <xdr:colOff>213360</xdr:colOff>
      <xdr:row>0</xdr:row>
      <xdr:rowOff>180400</xdr:rowOff>
    </xdr:from>
    <xdr:to>
      <xdr:col>6</xdr:col>
      <xdr:colOff>135360</xdr:colOff>
      <xdr:row>22</xdr:row>
      <xdr:rowOff>117040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2020" y="180400"/>
          <a:ext cx="2970000" cy="3960000"/>
        </a:xfrm>
        <a:prstGeom prst="rect">
          <a:avLst/>
        </a:prstGeom>
      </xdr:spPr>
    </xdr:pic>
    <xdr:clientData/>
  </xdr:twoCellAnchor>
  <xdr:twoCellAnchor editAs="oneCell">
    <xdr:from>
      <xdr:col>4</xdr:col>
      <xdr:colOff>1</xdr:colOff>
      <xdr:row>24</xdr:row>
      <xdr:rowOff>0</xdr:rowOff>
    </xdr:from>
    <xdr:to>
      <xdr:col>14</xdr:col>
      <xdr:colOff>307126</xdr:colOff>
      <xdr:row>42</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514601" y="4572000"/>
          <a:ext cx="6403125"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857207</xdr:colOff>
      <xdr:row>34</xdr:row>
      <xdr:rowOff>98520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19288" r="18155" b="9385"/>
        <a:stretch/>
      </xdr:blipFill>
      <xdr:spPr>
        <a:xfrm>
          <a:off x="594360" y="2651760"/>
          <a:ext cx="8812487" cy="4320000"/>
        </a:xfrm>
        <a:prstGeom prst="rect">
          <a:avLst/>
        </a:prstGeom>
        <a:ln>
          <a:solidFill>
            <a:schemeClr val="tx1"/>
          </a:solidFill>
        </a:ln>
      </xdr:spPr>
    </xdr:pic>
    <xdr:clientData/>
  </xdr:twoCellAnchor>
  <xdr:twoCellAnchor editAs="oneCell">
    <xdr:from>
      <xdr:col>1</xdr:col>
      <xdr:colOff>0</xdr:colOff>
      <xdr:row>35</xdr:row>
      <xdr:rowOff>31581</xdr:rowOff>
    </xdr:from>
    <xdr:to>
      <xdr:col>7</xdr:col>
      <xdr:colOff>769276</xdr:colOff>
      <xdr:row>58</xdr:row>
      <xdr:rowOff>145341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t="18900" r="17354" b="8350"/>
        <a:stretch/>
      </xdr:blipFill>
      <xdr:spPr>
        <a:xfrm>
          <a:off x="594360" y="7087701"/>
          <a:ext cx="8724556" cy="4320000"/>
        </a:xfrm>
        <a:prstGeom prst="rect">
          <a:avLst/>
        </a:prstGeom>
        <a:ln>
          <a:solidFill>
            <a:schemeClr val="tx1"/>
          </a:solidFill>
        </a:ln>
      </xdr:spPr>
    </xdr:pic>
    <xdr:clientData/>
  </xdr:twoCellAnchor>
  <xdr:twoCellAnchor editAs="oneCell">
    <xdr:from>
      <xdr:col>1</xdr:col>
      <xdr:colOff>0</xdr:colOff>
      <xdr:row>60</xdr:row>
      <xdr:rowOff>0</xdr:rowOff>
    </xdr:from>
    <xdr:to>
      <xdr:col>6</xdr:col>
      <xdr:colOff>457895</xdr:colOff>
      <xdr:row>83</xdr:row>
      <xdr:rowOff>113760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594360" y="11628120"/>
          <a:ext cx="7041575" cy="4320000"/>
        </a:xfrm>
        <a:prstGeom prst="rect">
          <a:avLst/>
        </a:prstGeom>
        <a:ln>
          <a:solidFill>
            <a:schemeClr val="tx1"/>
          </a:solidFill>
        </a:ln>
      </xdr:spPr>
    </xdr:pic>
    <xdr:clientData/>
  </xdr:twoCellAnchor>
  <xdr:twoCellAnchor editAs="oneCell">
    <xdr:from>
      <xdr:col>1</xdr:col>
      <xdr:colOff>0</xdr:colOff>
      <xdr:row>84</xdr:row>
      <xdr:rowOff>57601</xdr:rowOff>
    </xdr:from>
    <xdr:to>
      <xdr:col>6</xdr:col>
      <xdr:colOff>1142273</xdr:colOff>
      <xdr:row>107</xdr:row>
      <xdr:rowOff>171361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594360" y="16074841"/>
          <a:ext cx="7725953"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yLXAbroWjYTWia4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3"/>
  <sheetViews>
    <sheetView tabSelected="1" view="pageBreakPreview" zoomScaleNormal="100" zoomScaleSheetLayoutView="100" zoomScalePageLayoutView="70" workbookViewId="0">
      <selection activeCell="I284" sqref="I284"/>
    </sheetView>
  </sheetViews>
  <sheetFormatPr defaultColWidth="9.28515625" defaultRowHeight="15.75" x14ac:dyDescent="0.25"/>
  <cols>
    <col min="1" max="1" width="11.7109375" style="62" customWidth="1"/>
    <col min="2" max="2" width="12.28515625" style="62" customWidth="1"/>
    <col min="3" max="4" width="12.7109375" style="62" customWidth="1"/>
    <col min="5" max="7" width="11.7109375" style="62" customWidth="1"/>
    <col min="8" max="8" width="21.28515625" style="62" customWidth="1"/>
    <col min="9" max="9" width="20.42578125" style="33" customWidth="1"/>
    <col min="10" max="10" width="9.7109375" style="33" bestFit="1" customWidth="1"/>
    <col min="11" max="12" width="11.28515625" style="33" bestFit="1" customWidth="1"/>
    <col min="13" max="252" width="9.28515625" style="33"/>
    <col min="253" max="253" width="8.7109375" style="33" customWidth="1"/>
    <col min="254" max="254" width="9.7109375" style="33" customWidth="1"/>
    <col min="255" max="255" width="14.42578125" style="33" customWidth="1"/>
    <col min="256" max="256" width="7.28515625" style="33" customWidth="1"/>
    <col min="257" max="257" width="5.5703125" style="33" customWidth="1"/>
    <col min="258" max="258" width="9" style="33" customWidth="1"/>
    <col min="259" max="260" width="9.7109375" style="33" customWidth="1"/>
    <col min="261" max="261" width="11.28515625" style="33" customWidth="1"/>
    <col min="262" max="262" width="2.7109375" style="33" customWidth="1"/>
    <col min="263" max="263" width="3.5703125" style="33" customWidth="1"/>
    <col min="264" max="508" width="9.28515625" style="33"/>
    <col min="509" max="509" width="8.7109375" style="33" customWidth="1"/>
    <col min="510" max="510" width="9.7109375" style="33" customWidth="1"/>
    <col min="511" max="511" width="14.42578125" style="33" customWidth="1"/>
    <col min="512" max="512" width="7.28515625" style="33" customWidth="1"/>
    <col min="513" max="513" width="5.5703125" style="33" customWidth="1"/>
    <col min="514" max="514" width="9" style="33" customWidth="1"/>
    <col min="515" max="516" width="9.7109375" style="33" customWidth="1"/>
    <col min="517" max="517" width="11.28515625" style="33" customWidth="1"/>
    <col min="518" max="518" width="2.7109375" style="33" customWidth="1"/>
    <col min="519" max="519" width="3.5703125" style="33" customWidth="1"/>
    <col min="520" max="764" width="9.28515625" style="33"/>
    <col min="765" max="765" width="8.7109375" style="33" customWidth="1"/>
    <col min="766" max="766" width="9.7109375" style="33" customWidth="1"/>
    <col min="767" max="767" width="14.42578125" style="33" customWidth="1"/>
    <col min="768" max="768" width="7.28515625" style="33" customWidth="1"/>
    <col min="769" max="769" width="5.5703125" style="33" customWidth="1"/>
    <col min="770" max="770" width="9" style="33" customWidth="1"/>
    <col min="771" max="772" width="9.7109375" style="33" customWidth="1"/>
    <col min="773" max="773" width="11.28515625" style="33" customWidth="1"/>
    <col min="774" max="774" width="2.7109375" style="33" customWidth="1"/>
    <col min="775" max="775" width="3.5703125" style="33" customWidth="1"/>
    <col min="776" max="1020" width="9.28515625" style="33"/>
    <col min="1021" max="1021" width="8.7109375" style="33" customWidth="1"/>
    <col min="1022" max="1022" width="9.7109375" style="33" customWidth="1"/>
    <col min="1023" max="1023" width="14.42578125" style="33" customWidth="1"/>
    <col min="1024" max="1024" width="7.28515625" style="33" customWidth="1"/>
    <col min="1025" max="1025" width="5.5703125" style="33" customWidth="1"/>
    <col min="1026" max="1026" width="9" style="33" customWidth="1"/>
    <col min="1027" max="1028" width="9.7109375" style="33" customWidth="1"/>
    <col min="1029" max="1029" width="11.28515625" style="33" customWidth="1"/>
    <col min="1030" max="1030" width="2.7109375" style="33" customWidth="1"/>
    <col min="1031" max="1031" width="3.5703125" style="33" customWidth="1"/>
    <col min="1032" max="1276" width="9.28515625" style="33"/>
    <col min="1277" max="1277" width="8.7109375" style="33" customWidth="1"/>
    <col min="1278" max="1278" width="9.7109375" style="33" customWidth="1"/>
    <col min="1279" max="1279" width="14.42578125" style="33" customWidth="1"/>
    <col min="1280" max="1280" width="7.28515625" style="33" customWidth="1"/>
    <col min="1281" max="1281" width="5.5703125" style="33" customWidth="1"/>
    <col min="1282" max="1282" width="9" style="33" customWidth="1"/>
    <col min="1283" max="1284" width="9.7109375" style="33" customWidth="1"/>
    <col min="1285" max="1285" width="11.28515625" style="33" customWidth="1"/>
    <col min="1286" max="1286" width="2.7109375" style="33" customWidth="1"/>
    <col min="1287" max="1287" width="3.5703125" style="33" customWidth="1"/>
    <col min="1288" max="1532" width="9.28515625" style="33"/>
    <col min="1533" max="1533" width="8.7109375" style="33" customWidth="1"/>
    <col min="1534" max="1534" width="9.7109375" style="33" customWidth="1"/>
    <col min="1535" max="1535" width="14.42578125" style="33" customWidth="1"/>
    <col min="1536" max="1536" width="7.28515625" style="33" customWidth="1"/>
    <col min="1537" max="1537" width="5.5703125" style="33" customWidth="1"/>
    <col min="1538" max="1538" width="9" style="33" customWidth="1"/>
    <col min="1539" max="1540" width="9.7109375" style="33" customWidth="1"/>
    <col min="1541" max="1541" width="11.28515625" style="33" customWidth="1"/>
    <col min="1542" max="1542" width="2.7109375" style="33" customWidth="1"/>
    <col min="1543" max="1543" width="3.5703125" style="33" customWidth="1"/>
    <col min="1544" max="1788" width="9.28515625" style="33"/>
    <col min="1789" max="1789" width="8.7109375" style="33" customWidth="1"/>
    <col min="1790" max="1790" width="9.7109375" style="33" customWidth="1"/>
    <col min="1791" max="1791" width="14.42578125" style="33" customWidth="1"/>
    <col min="1792" max="1792" width="7.28515625" style="33" customWidth="1"/>
    <col min="1793" max="1793" width="5.5703125" style="33" customWidth="1"/>
    <col min="1794" max="1794" width="9" style="33" customWidth="1"/>
    <col min="1795" max="1796" width="9.7109375" style="33" customWidth="1"/>
    <col min="1797" max="1797" width="11.28515625" style="33" customWidth="1"/>
    <col min="1798" max="1798" width="2.7109375" style="33" customWidth="1"/>
    <col min="1799" max="1799" width="3.5703125" style="33" customWidth="1"/>
    <col min="1800" max="2044" width="9.28515625" style="33"/>
    <col min="2045" max="2045" width="8.7109375" style="33" customWidth="1"/>
    <col min="2046" max="2046" width="9.7109375" style="33" customWidth="1"/>
    <col min="2047" max="2047" width="14.42578125" style="33" customWidth="1"/>
    <col min="2048" max="2048" width="7.28515625" style="33" customWidth="1"/>
    <col min="2049" max="2049" width="5.5703125" style="33" customWidth="1"/>
    <col min="2050" max="2050" width="9" style="33" customWidth="1"/>
    <col min="2051" max="2052" width="9.7109375" style="33" customWidth="1"/>
    <col min="2053" max="2053" width="11.28515625" style="33" customWidth="1"/>
    <col min="2054" max="2054" width="2.7109375" style="33" customWidth="1"/>
    <col min="2055" max="2055" width="3.5703125" style="33" customWidth="1"/>
    <col min="2056" max="2300" width="9.28515625" style="33"/>
    <col min="2301" max="2301" width="8.7109375" style="33" customWidth="1"/>
    <col min="2302" max="2302" width="9.7109375" style="33" customWidth="1"/>
    <col min="2303" max="2303" width="14.42578125" style="33" customWidth="1"/>
    <col min="2304" max="2304" width="7.28515625" style="33" customWidth="1"/>
    <col min="2305" max="2305" width="5.5703125" style="33" customWidth="1"/>
    <col min="2306" max="2306" width="9" style="33" customWidth="1"/>
    <col min="2307" max="2308" width="9.7109375" style="33" customWidth="1"/>
    <col min="2309" max="2309" width="11.28515625" style="33" customWidth="1"/>
    <col min="2310" max="2310" width="2.7109375" style="33" customWidth="1"/>
    <col min="2311" max="2311" width="3.5703125" style="33" customWidth="1"/>
    <col min="2312" max="2556" width="9.28515625" style="33"/>
    <col min="2557" max="2557" width="8.7109375" style="33" customWidth="1"/>
    <col min="2558" max="2558" width="9.7109375" style="33" customWidth="1"/>
    <col min="2559" max="2559" width="14.42578125" style="33" customWidth="1"/>
    <col min="2560" max="2560" width="7.28515625" style="33" customWidth="1"/>
    <col min="2561" max="2561" width="5.5703125" style="33" customWidth="1"/>
    <col min="2562" max="2562" width="9" style="33" customWidth="1"/>
    <col min="2563" max="2564" width="9.7109375" style="33" customWidth="1"/>
    <col min="2565" max="2565" width="11.28515625" style="33" customWidth="1"/>
    <col min="2566" max="2566" width="2.7109375" style="33" customWidth="1"/>
    <col min="2567" max="2567" width="3.5703125" style="33" customWidth="1"/>
    <col min="2568" max="2812" width="9.28515625" style="33"/>
    <col min="2813" max="2813" width="8.7109375" style="33" customWidth="1"/>
    <col min="2814" max="2814" width="9.7109375" style="33" customWidth="1"/>
    <col min="2815" max="2815" width="14.42578125" style="33" customWidth="1"/>
    <col min="2816" max="2816" width="7.28515625" style="33" customWidth="1"/>
    <col min="2817" max="2817" width="5.5703125" style="33" customWidth="1"/>
    <col min="2818" max="2818" width="9" style="33" customWidth="1"/>
    <col min="2819" max="2820" width="9.7109375" style="33" customWidth="1"/>
    <col min="2821" max="2821" width="11.28515625" style="33" customWidth="1"/>
    <col min="2822" max="2822" width="2.7109375" style="33" customWidth="1"/>
    <col min="2823" max="2823" width="3.5703125" style="33" customWidth="1"/>
    <col min="2824" max="3068" width="9.28515625" style="33"/>
    <col min="3069" max="3069" width="8.7109375" style="33" customWidth="1"/>
    <col min="3070" max="3070" width="9.7109375" style="33" customWidth="1"/>
    <col min="3071" max="3071" width="14.42578125" style="33" customWidth="1"/>
    <col min="3072" max="3072" width="7.28515625" style="33" customWidth="1"/>
    <col min="3073" max="3073" width="5.5703125" style="33" customWidth="1"/>
    <col min="3074" max="3074" width="9" style="33" customWidth="1"/>
    <col min="3075" max="3076" width="9.7109375" style="33" customWidth="1"/>
    <col min="3077" max="3077" width="11.28515625" style="33" customWidth="1"/>
    <col min="3078" max="3078" width="2.7109375" style="33" customWidth="1"/>
    <col min="3079" max="3079" width="3.5703125" style="33" customWidth="1"/>
    <col min="3080" max="3324" width="9.28515625" style="33"/>
    <col min="3325" max="3325" width="8.7109375" style="33" customWidth="1"/>
    <col min="3326" max="3326" width="9.7109375" style="33" customWidth="1"/>
    <col min="3327" max="3327" width="14.42578125" style="33" customWidth="1"/>
    <col min="3328" max="3328" width="7.28515625" style="33" customWidth="1"/>
    <col min="3329" max="3329" width="5.5703125" style="33" customWidth="1"/>
    <col min="3330" max="3330" width="9" style="33" customWidth="1"/>
    <col min="3331" max="3332" width="9.7109375" style="33" customWidth="1"/>
    <col min="3333" max="3333" width="11.28515625" style="33" customWidth="1"/>
    <col min="3334" max="3334" width="2.7109375" style="33" customWidth="1"/>
    <col min="3335" max="3335" width="3.5703125" style="33" customWidth="1"/>
    <col min="3336" max="3580" width="9.28515625" style="33"/>
    <col min="3581" max="3581" width="8.7109375" style="33" customWidth="1"/>
    <col min="3582" max="3582" width="9.7109375" style="33" customWidth="1"/>
    <col min="3583" max="3583" width="14.42578125" style="33" customWidth="1"/>
    <col min="3584" max="3584" width="7.28515625" style="33" customWidth="1"/>
    <col min="3585" max="3585" width="5.5703125" style="33" customWidth="1"/>
    <col min="3586" max="3586" width="9" style="33" customWidth="1"/>
    <col min="3587" max="3588" width="9.7109375" style="33" customWidth="1"/>
    <col min="3589" max="3589" width="11.28515625" style="33" customWidth="1"/>
    <col min="3590" max="3590" width="2.7109375" style="33" customWidth="1"/>
    <col min="3591" max="3591" width="3.5703125" style="33" customWidth="1"/>
    <col min="3592" max="3836" width="9.28515625" style="33"/>
    <col min="3837" max="3837" width="8.7109375" style="33" customWidth="1"/>
    <col min="3838" max="3838" width="9.7109375" style="33" customWidth="1"/>
    <col min="3839" max="3839" width="14.42578125" style="33" customWidth="1"/>
    <col min="3840" max="3840" width="7.28515625" style="33" customWidth="1"/>
    <col min="3841" max="3841" width="5.5703125" style="33" customWidth="1"/>
    <col min="3842" max="3842" width="9" style="33" customWidth="1"/>
    <col min="3843" max="3844" width="9.7109375" style="33" customWidth="1"/>
    <col min="3845" max="3845" width="11.28515625" style="33" customWidth="1"/>
    <col min="3846" max="3846" width="2.7109375" style="33" customWidth="1"/>
    <col min="3847" max="3847" width="3.5703125" style="33" customWidth="1"/>
    <col min="3848" max="4092" width="9.28515625" style="33"/>
    <col min="4093" max="4093" width="8.7109375" style="33" customWidth="1"/>
    <col min="4094" max="4094" width="9.7109375" style="33" customWidth="1"/>
    <col min="4095" max="4095" width="14.42578125" style="33" customWidth="1"/>
    <col min="4096" max="4096" width="7.28515625" style="33" customWidth="1"/>
    <col min="4097" max="4097" width="5.5703125" style="33" customWidth="1"/>
    <col min="4098" max="4098" width="9" style="33" customWidth="1"/>
    <col min="4099" max="4100" width="9.7109375" style="33" customWidth="1"/>
    <col min="4101" max="4101" width="11.28515625" style="33" customWidth="1"/>
    <col min="4102" max="4102" width="2.7109375" style="33" customWidth="1"/>
    <col min="4103" max="4103" width="3.5703125" style="33" customWidth="1"/>
    <col min="4104" max="4348" width="9.28515625" style="33"/>
    <col min="4349" max="4349" width="8.7109375" style="33" customWidth="1"/>
    <col min="4350" max="4350" width="9.7109375" style="33" customWidth="1"/>
    <col min="4351" max="4351" width="14.42578125" style="33" customWidth="1"/>
    <col min="4352" max="4352" width="7.28515625" style="33" customWidth="1"/>
    <col min="4353" max="4353" width="5.5703125" style="33" customWidth="1"/>
    <col min="4354" max="4354" width="9" style="33" customWidth="1"/>
    <col min="4355" max="4356" width="9.7109375" style="33" customWidth="1"/>
    <col min="4357" max="4357" width="11.28515625" style="33" customWidth="1"/>
    <col min="4358" max="4358" width="2.7109375" style="33" customWidth="1"/>
    <col min="4359" max="4359" width="3.5703125" style="33" customWidth="1"/>
    <col min="4360" max="4604" width="9.28515625" style="33"/>
    <col min="4605" max="4605" width="8.7109375" style="33" customWidth="1"/>
    <col min="4606" max="4606" width="9.7109375" style="33" customWidth="1"/>
    <col min="4607" max="4607" width="14.42578125" style="33" customWidth="1"/>
    <col min="4608" max="4608" width="7.28515625" style="33" customWidth="1"/>
    <col min="4609" max="4609" width="5.5703125" style="33" customWidth="1"/>
    <col min="4610" max="4610" width="9" style="33" customWidth="1"/>
    <col min="4611" max="4612" width="9.7109375" style="33" customWidth="1"/>
    <col min="4613" max="4613" width="11.28515625" style="33" customWidth="1"/>
    <col min="4614" max="4614" width="2.7109375" style="33" customWidth="1"/>
    <col min="4615" max="4615" width="3.5703125" style="33" customWidth="1"/>
    <col min="4616" max="4860" width="9.28515625" style="33"/>
    <col min="4861" max="4861" width="8.7109375" style="33" customWidth="1"/>
    <col min="4862" max="4862" width="9.7109375" style="33" customWidth="1"/>
    <col min="4863" max="4863" width="14.42578125" style="33" customWidth="1"/>
    <col min="4864" max="4864" width="7.28515625" style="33" customWidth="1"/>
    <col min="4865" max="4865" width="5.5703125" style="33" customWidth="1"/>
    <col min="4866" max="4866" width="9" style="33" customWidth="1"/>
    <col min="4867" max="4868" width="9.7109375" style="33" customWidth="1"/>
    <col min="4869" max="4869" width="11.28515625" style="33" customWidth="1"/>
    <col min="4870" max="4870" width="2.7109375" style="33" customWidth="1"/>
    <col min="4871" max="4871" width="3.5703125" style="33" customWidth="1"/>
    <col min="4872" max="5116" width="9.28515625" style="33"/>
    <col min="5117" max="5117" width="8.7109375" style="33" customWidth="1"/>
    <col min="5118" max="5118" width="9.7109375" style="33" customWidth="1"/>
    <col min="5119" max="5119" width="14.42578125" style="33" customWidth="1"/>
    <col min="5120" max="5120" width="7.28515625" style="33" customWidth="1"/>
    <col min="5121" max="5121" width="5.5703125" style="33" customWidth="1"/>
    <col min="5122" max="5122" width="9" style="33" customWidth="1"/>
    <col min="5123" max="5124" width="9.7109375" style="33" customWidth="1"/>
    <col min="5125" max="5125" width="11.28515625" style="33" customWidth="1"/>
    <col min="5126" max="5126" width="2.7109375" style="33" customWidth="1"/>
    <col min="5127" max="5127" width="3.5703125" style="33" customWidth="1"/>
    <col min="5128" max="5372" width="9.28515625" style="33"/>
    <col min="5373" max="5373" width="8.7109375" style="33" customWidth="1"/>
    <col min="5374" max="5374" width="9.7109375" style="33" customWidth="1"/>
    <col min="5375" max="5375" width="14.42578125" style="33" customWidth="1"/>
    <col min="5376" max="5376" width="7.28515625" style="33" customWidth="1"/>
    <col min="5377" max="5377" width="5.5703125" style="33" customWidth="1"/>
    <col min="5378" max="5378" width="9" style="33" customWidth="1"/>
    <col min="5379" max="5380" width="9.7109375" style="33" customWidth="1"/>
    <col min="5381" max="5381" width="11.28515625" style="33" customWidth="1"/>
    <col min="5382" max="5382" width="2.7109375" style="33" customWidth="1"/>
    <col min="5383" max="5383" width="3.5703125" style="33" customWidth="1"/>
    <col min="5384" max="5628" width="9.28515625" style="33"/>
    <col min="5629" max="5629" width="8.7109375" style="33" customWidth="1"/>
    <col min="5630" max="5630" width="9.7109375" style="33" customWidth="1"/>
    <col min="5631" max="5631" width="14.42578125" style="33" customWidth="1"/>
    <col min="5632" max="5632" width="7.28515625" style="33" customWidth="1"/>
    <col min="5633" max="5633" width="5.5703125" style="33" customWidth="1"/>
    <col min="5634" max="5634" width="9" style="33" customWidth="1"/>
    <col min="5635" max="5636" width="9.7109375" style="33" customWidth="1"/>
    <col min="5637" max="5637" width="11.28515625" style="33" customWidth="1"/>
    <col min="5638" max="5638" width="2.7109375" style="33" customWidth="1"/>
    <col min="5639" max="5639" width="3.5703125" style="33" customWidth="1"/>
    <col min="5640" max="5884" width="9.28515625" style="33"/>
    <col min="5885" max="5885" width="8.7109375" style="33" customWidth="1"/>
    <col min="5886" max="5886" width="9.7109375" style="33" customWidth="1"/>
    <col min="5887" max="5887" width="14.42578125" style="33" customWidth="1"/>
    <col min="5888" max="5888" width="7.28515625" style="33" customWidth="1"/>
    <col min="5889" max="5889" width="5.5703125" style="33" customWidth="1"/>
    <col min="5890" max="5890" width="9" style="33" customWidth="1"/>
    <col min="5891" max="5892" width="9.7109375" style="33" customWidth="1"/>
    <col min="5893" max="5893" width="11.28515625" style="33" customWidth="1"/>
    <col min="5894" max="5894" width="2.7109375" style="33" customWidth="1"/>
    <col min="5895" max="5895" width="3.5703125" style="33" customWidth="1"/>
    <col min="5896" max="6140" width="9.28515625" style="33"/>
    <col min="6141" max="6141" width="8.7109375" style="33" customWidth="1"/>
    <col min="6142" max="6142" width="9.7109375" style="33" customWidth="1"/>
    <col min="6143" max="6143" width="14.42578125" style="33" customWidth="1"/>
    <col min="6144" max="6144" width="7.28515625" style="33" customWidth="1"/>
    <col min="6145" max="6145" width="5.5703125" style="33" customWidth="1"/>
    <col min="6146" max="6146" width="9" style="33" customWidth="1"/>
    <col min="6147" max="6148" width="9.7109375" style="33" customWidth="1"/>
    <col min="6149" max="6149" width="11.28515625" style="33" customWidth="1"/>
    <col min="6150" max="6150" width="2.7109375" style="33" customWidth="1"/>
    <col min="6151" max="6151" width="3.5703125" style="33" customWidth="1"/>
    <col min="6152" max="6396" width="9.28515625" style="33"/>
    <col min="6397" max="6397" width="8.7109375" style="33" customWidth="1"/>
    <col min="6398" max="6398" width="9.7109375" style="33" customWidth="1"/>
    <col min="6399" max="6399" width="14.42578125" style="33" customWidth="1"/>
    <col min="6400" max="6400" width="7.28515625" style="33" customWidth="1"/>
    <col min="6401" max="6401" width="5.5703125" style="33" customWidth="1"/>
    <col min="6402" max="6402" width="9" style="33" customWidth="1"/>
    <col min="6403" max="6404" width="9.7109375" style="33" customWidth="1"/>
    <col min="6405" max="6405" width="11.28515625" style="33" customWidth="1"/>
    <col min="6406" max="6406" width="2.7109375" style="33" customWidth="1"/>
    <col min="6407" max="6407" width="3.5703125" style="33" customWidth="1"/>
    <col min="6408" max="6652" width="9.28515625" style="33"/>
    <col min="6653" max="6653" width="8.7109375" style="33" customWidth="1"/>
    <col min="6654" max="6654" width="9.7109375" style="33" customWidth="1"/>
    <col min="6655" max="6655" width="14.42578125" style="33" customWidth="1"/>
    <col min="6656" max="6656" width="7.28515625" style="33" customWidth="1"/>
    <col min="6657" max="6657" width="5.5703125" style="33" customWidth="1"/>
    <col min="6658" max="6658" width="9" style="33" customWidth="1"/>
    <col min="6659" max="6660" width="9.7109375" style="33" customWidth="1"/>
    <col min="6661" max="6661" width="11.28515625" style="33" customWidth="1"/>
    <col min="6662" max="6662" width="2.7109375" style="33" customWidth="1"/>
    <col min="6663" max="6663" width="3.5703125" style="33" customWidth="1"/>
    <col min="6664" max="6908" width="9.28515625" style="33"/>
    <col min="6909" max="6909" width="8.7109375" style="33" customWidth="1"/>
    <col min="6910" max="6910" width="9.7109375" style="33" customWidth="1"/>
    <col min="6911" max="6911" width="14.42578125" style="33" customWidth="1"/>
    <col min="6912" max="6912" width="7.28515625" style="33" customWidth="1"/>
    <col min="6913" max="6913" width="5.5703125" style="33" customWidth="1"/>
    <col min="6914" max="6914" width="9" style="33" customWidth="1"/>
    <col min="6915" max="6916" width="9.7109375" style="33" customWidth="1"/>
    <col min="6917" max="6917" width="11.28515625" style="33" customWidth="1"/>
    <col min="6918" max="6918" width="2.7109375" style="33" customWidth="1"/>
    <col min="6919" max="6919" width="3.5703125" style="33" customWidth="1"/>
    <col min="6920" max="7164" width="9.28515625" style="33"/>
    <col min="7165" max="7165" width="8.7109375" style="33" customWidth="1"/>
    <col min="7166" max="7166" width="9.7109375" style="33" customWidth="1"/>
    <col min="7167" max="7167" width="14.42578125" style="33" customWidth="1"/>
    <col min="7168" max="7168" width="7.28515625" style="33" customWidth="1"/>
    <col min="7169" max="7169" width="5.5703125" style="33" customWidth="1"/>
    <col min="7170" max="7170" width="9" style="33" customWidth="1"/>
    <col min="7171" max="7172" width="9.7109375" style="33" customWidth="1"/>
    <col min="7173" max="7173" width="11.28515625" style="33" customWidth="1"/>
    <col min="7174" max="7174" width="2.7109375" style="33" customWidth="1"/>
    <col min="7175" max="7175" width="3.5703125" style="33" customWidth="1"/>
    <col min="7176" max="7420" width="9.28515625" style="33"/>
    <col min="7421" max="7421" width="8.7109375" style="33" customWidth="1"/>
    <col min="7422" max="7422" width="9.7109375" style="33" customWidth="1"/>
    <col min="7423" max="7423" width="14.42578125" style="33" customWidth="1"/>
    <col min="7424" max="7424" width="7.28515625" style="33" customWidth="1"/>
    <col min="7425" max="7425" width="5.5703125" style="33" customWidth="1"/>
    <col min="7426" max="7426" width="9" style="33" customWidth="1"/>
    <col min="7427" max="7428" width="9.7109375" style="33" customWidth="1"/>
    <col min="7429" max="7429" width="11.28515625" style="33" customWidth="1"/>
    <col min="7430" max="7430" width="2.7109375" style="33" customWidth="1"/>
    <col min="7431" max="7431" width="3.5703125" style="33" customWidth="1"/>
    <col min="7432" max="7676" width="9.28515625" style="33"/>
    <col min="7677" max="7677" width="8.7109375" style="33" customWidth="1"/>
    <col min="7678" max="7678" width="9.7109375" style="33" customWidth="1"/>
    <col min="7679" max="7679" width="14.42578125" style="33" customWidth="1"/>
    <col min="7680" max="7680" width="7.28515625" style="33" customWidth="1"/>
    <col min="7681" max="7681" width="5.5703125" style="33" customWidth="1"/>
    <col min="7682" max="7682" width="9" style="33" customWidth="1"/>
    <col min="7683" max="7684" width="9.7109375" style="33" customWidth="1"/>
    <col min="7685" max="7685" width="11.28515625" style="33" customWidth="1"/>
    <col min="7686" max="7686" width="2.7109375" style="33" customWidth="1"/>
    <col min="7687" max="7687" width="3.5703125" style="33" customWidth="1"/>
    <col min="7688" max="7932" width="9.28515625" style="33"/>
    <col min="7933" max="7933" width="8.7109375" style="33" customWidth="1"/>
    <col min="7934" max="7934" width="9.7109375" style="33" customWidth="1"/>
    <col min="7935" max="7935" width="14.42578125" style="33" customWidth="1"/>
    <col min="7936" max="7936" width="7.28515625" style="33" customWidth="1"/>
    <col min="7937" max="7937" width="5.5703125" style="33" customWidth="1"/>
    <col min="7938" max="7938" width="9" style="33" customWidth="1"/>
    <col min="7939" max="7940" width="9.7109375" style="33" customWidth="1"/>
    <col min="7941" max="7941" width="11.28515625" style="33" customWidth="1"/>
    <col min="7942" max="7942" width="2.7109375" style="33" customWidth="1"/>
    <col min="7943" max="7943" width="3.5703125" style="33" customWidth="1"/>
    <col min="7944" max="8188" width="9.28515625" style="33"/>
    <col min="8189" max="8189" width="8.7109375" style="33" customWidth="1"/>
    <col min="8190" max="8190" width="9.7109375" style="33" customWidth="1"/>
    <col min="8191" max="8191" width="14.42578125" style="33" customWidth="1"/>
    <col min="8192" max="8192" width="7.28515625" style="33" customWidth="1"/>
    <col min="8193" max="8193" width="5.5703125" style="33" customWidth="1"/>
    <col min="8194" max="8194" width="9" style="33" customWidth="1"/>
    <col min="8195" max="8196" width="9.7109375" style="33" customWidth="1"/>
    <col min="8197" max="8197" width="11.28515625" style="33" customWidth="1"/>
    <col min="8198" max="8198" width="2.7109375" style="33" customWidth="1"/>
    <col min="8199" max="8199" width="3.5703125" style="33" customWidth="1"/>
    <col min="8200" max="8444" width="9.28515625" style="33"/>
    <col min="8445" max="8445" width="8.7109375" style="33" customWidth="1"/>
    <col min="8446" max="8446" width="9.7109375" style="33" customWidth="1"/>
    <col min="8447" max="8447" width="14.42578125" style="33" customWidth="1"/>
    <col min="8448" max="8448" width="7.28515625" style="33" customWidth="1"/>
    <col min="8449" max="8449" width="5.5703125" style="33" customWidth="1"/>
    <col min="8450" max="8450" width="9" style="33" customWidth="1"/>
    <col min="8451" max="8452" width="9.7109375" style="33" customWidth="1"/>
    <col min="8453" max="8453" width="11.28515625" style="33" customWidth="1"/>
    <col min="8454" max="8454" width="2.7109375" style="33" customWidth="1"/>
    <col min="8455" max="8455" width="3.5703125" style="33" customWidth="1"/>
    <col min="8456" max="8700" width="9.28515625" style="33"/>
    <col min="8701" max="8701" width="8.7109375" style="33" customWidth="1"/>
    <col min="8702" max="8702" width="9.7109375" style="33" customWidth="1"/>
    <col min="8703" max="8703" width="14.42578125" style="33" customWidth="1"/>
    <col min="8704" max="8704" width="7.28515625" style="33" customWidth="1"/>
    <col min="8705" max="8705" width="5.5703125" style="33" customWidth="1"/>
    <col min="8706" max="8706" width="9" style="33" customWidth="1"/>
    <col min="8707" max="8708" width="9.7109375" style="33" customWidth="1"/>
    <col min="8709" max="8709" width="11.28515625" style="33" customWidth="1"/>
    <col min="8710" max="8710" width="2.7109375" style="33" customWidth="1"/>
    <col min="8711" max="8711" width="3.5703125" style="33" customWidth="1"/>
    <col min="8712" max="8956" width="9.28515625" style="33"/>
    <col min="8957" max="8957" width="8.7109375" style="33" customWidth="1"/>
    <col min="8958" max="8958" width="9.7109375" style="33" customWidth="1"/>
    <col min="8959" max="8959" width="14.42578125" style="33" customWidth="1"/>
    <col min="8960" max="8960" width="7.28515625" style="33" customWidth="1"/>
    <col min="8961" max="8961" width="5.5703125" style="33" customWidth="1"/>
    <col min="8962" max="8962" width="9" style="33" customWidth="1"/>
    <col min="8963" max="8964" width="9.7109375" style="33" customWidth="1"/>
    <col min="8965" max="8965" width="11.28515625" style="33" customWidth="1"/>
    <col min="8966" max="8966" width="2.7109375" style="33" customWidth="1"/>
    <col min="8967" max="8967" width="3.5703125" style="33" customWidth="1"/>
    <col min="8968" max="9212" width="9.28515625" style="33"/>
    <col min="9213" max="9213" width="8.7109375" style="33" customWidth="1"/>
    <col min="9214" max="9214" width="9.7109375" style="33" customWidth="1"/>
    <col min="9215" max="9215" width="14.42578125" style="33" customWidth="1"/>
    <col min="9216" max="9216" width="7.28515625" style="33" customWidth="1"/>
    <col min="9217" max="9217" width="5.5703125" style="33" customWidth="1"/>
    <col min="9218" max="9218" width="9" style="33" customWidth="1"/>
    <col min="9219" max="9220" width="9.7109375" style="33" customWidth="1"/>
    <col min="9221" max="9221" width="11.28515625" style="33" customWidth="1"/>
    <col min="9222" max="9222" width="2.7109375" style="33" customWidth="1"/>
    <col min="9223" max="9223" width="3.5703125" style="33" customWidth="1"/>
    <col min="9224" max="9468" width="9.28515625" style="33"/>
    <col min="9469" max="9469" width="8.7109375" style="33" customWidth="1"/>
    <col min="9470" max="9470" width="9.7109375" style="33" customWidth="1"/>
    <col min="9471" max="9471" width="14.42578125" style="33" customWidth="1"/>
    <col min="9472" max="9472" width="7.28515625" style="33" customWidth="1"/>
    <col min="9473" max="9473" width="5.5703125" style="33" customWidth="1"/>
    <col min="9474" max="9474" width="9" style="33" customWidth="1"/>
    <col min="9475" max="9476" width="9.7109375" style="33" customWidth="1"/>
    <col min="9477" max="9477" width="11.28515625" style="33" customWidth="1"/>
    <col min="9478" max="9478" width="2.7109375" style="33" customWidth="1"/>
    <col min="9479" max="9479" width="3.5703125" style="33" customWidth="1"/>
    <col min="9480" max="9724" width="9.28515625" style="33"/>
    <col min="9725" max="9725" width="8.7109375" style="33" customWidth="1"/>
    <col min="9726" max="9726" width="9.7109375" style="33" customWidth="1"/>
    <col min="9727" max="9727" width="14.42578125" style="33" customWidth="1"/>
    <col min="9728" max="9728" width="7.28515625" style="33" customWidth="1"/>
    <col min="9729" max="9729" width="5.5703125" style="33" customWidth="1"/>
    <col min="9730" max="9730" width="9" style="33" customWidth="1"/>
    <col min="9731" max="9732" width="9.7109375" style="33" customWidth="1"/>
    <col min="9733" max="9733" width="11.28515625" style="33" customWidth="1"/>
    <col min="9734" max="9734" width="2.7109375" style="33" customWidth="1"/>
    <col min="9735" max="9735" width="3.5703125" style="33" customWidth="1"/>
    <col min="9736" max="9980" width="9.28515625" style="33"/>
    <col min="9981" max="9981" width="8.7109375" style="33" customWidth="1"/>
    <col min="9982" max="9982" width="9.7109375" style="33" customWidth="1"/>
    <col min="9983" max="9983" width="14.42578125" style="33" customWidth="1"/>
    <col min="9984" max="9984" width="7.28515625" style="33" customWidth="1"/>
    <col min="9985" max="9985" width="5.5703125" style="33" customWidth="1"/>
    <col min="9986" max="9986" width="9" style="33" customWidth="1"/>
    <col min="9987" max="9988" width="9.7109375" style="33" customWidth="1"/>
    <col min="9989" max="9989" width="11.28515625" style="33" customWidth="1"/>
    <col min="9990" max="9990" width="2.7109375" style="33" customWidth="1"/>
    <col min="9991" max="9991" width="3.5703125" style="33" customWidth="1"/>
    <col min="9992" max="10236" width="9.28515625" style="33"/>
    <col min="10237" max="10237" width="8.7109375" style="33" customWidth="1"/>
    <col min="10238" max="10238" width="9.7109375" style="33" customWidth="1"/>
    <col min="10239" max="10239" width="14.42578125" style="33" customWidth="1"/>
    <col min="10240" max="10240" width="7.28515625" style="33" customWidth="1"/>
    <col min="10241" max="10241" width="5.5703125" style="33" customWidth="1"/>
    <col min="10242" max="10242" width="9" style="33" customWidth="1"/>
    <col min="10243" max="10244" width="9.7109375" style="33" customWidth="1"/>
    <col min="10245" max="10245" width="11.28515625" style="33" customWidth="1"/>
    <col min="10246" max="10246" width="2.7109375" style="33" customWidth="1"/>
    <col min="10247" max="10247" width="3.5703125" style="33" customWidth="1"/>
    <col min="10248" max="10492" width="9.28515625" style="33"/>
    <col min="10493" max="10493" width="8.7109375" style="33" customWidth="1"/>
    <col min="10494" max="10494" width="9.7109375" style="33" customWidth="1"/>
    <col min="10495" max="10495" width="14.42578125" style="33" customWidth="1"/>
    <col min="10496" max="10496" width="7.28515625" style="33" customWidth="1"/>
    <col min="10497" max="10497" width="5.5703125" style="33" customWidth="1"/>
    <col min="10498" max="10498" width="9" style="33" customWidth="1"/>
    <col min="10499" max="10500" width="9.7109375" style="33" customWidth="1"/>
    <col min="10501" max="10501" width="11.28515625" style="33" customWidth="1"/>
    <col min="10502" max="10502" width="2.7109375" style="33" customWidth="1"/>
    <col min="10503" max="10503" width="3.5703125" style="33" customWidth="1"/>
    <col min="10504" max="10748" width="9.28515625" style="33"/>
    <col min="10749" max="10749" width="8.7109375" style="33" customWidth="1"/>
    <col min="10750" max="10750" width="9.7109375" style="33" customWidth="1"/>
    <col min="10751" max="10751" width="14.42578125" style="33" customWidth="1"/>
    <col min="10752" max="10752" width="7.28515625" style="33" customWidth="1"/>
    <col min="10753" max="10753" width="5.5703125" style="33" customWidth="1"/>
    <col min="10754" max="10754" width="9" style="33" customWidth="1"/>
    <col min="10755" max="10756" width="9.7109375" style="33" customWidth="1"/>
    <col min="10757" max="10757" width="11.28515625" style="33" customWidth="1"/>
    <col min="10758" max="10758" width="2.7109375" style="33" customWidth="1"/>
    <col min="10759" max="10759" width="3.5703125" style="33" customWidth="1"/>
    <col min="10760" max="11004" width="9.28515625" style="33"/>
    <col min="11005" max="11005" width="8.7109375" style="33" customWidth="1"/>
    <col min="11006" max="11006" width="9.7109375" style="33" customWidth="1"/>
    <col min="11007" max="11007" width="14.42578125" style="33" customWidth="1"/>
    <col min="11008" max="11008" width="7.28515625" style="33" customWidth="1"/>
    <col min="11009" max="11009" width="5.5703125" style="33" customWidth="1"/>
    <col min="11010" max="11010" width="9" style="33" customWidth="1"/>
    <col min="11011" max="11012" width="9.7109375" style="33" customWidth="1"/>
    <col min="11013" max="11013" width="11.28515625" style="33" customWidth="1"/>
    <col min="11014" max="11014" width="2.7109375" style="33" customWidth="1"/>
    <col min="11015" max="11015" width="3.5703125" style="33" customWidth="1"/>
    <col min="11016" max="11260" width="9.28515625" style="33"/>
    <col min="11261" max="11261" width="8.7109375" style="33" customWidth="1"/>
    <col min="11262" max="11262" width="9.7109375" style="33" customWidth="1"/>
    <col min="11263" max="11263" width="14.42578125" style="33" customWidth="1"/>
    <col min="11264" max="11264" width="7.28515625" style="33" customWidth="1"/>
    <col min="11265" max="11265" width="5.5703125" style="33" customWidth="1"/>
    <col min="11266" max="11266" width="9" style="33" customWidth="1"/>
    <col min="11267" max="11268" width="9.7109375" style="33" customWidth="1"/>
    <col min="11269" max="11269" width="11.28515625" style="33" customWidth="1"/>
    <col min="11270" max="11270" width="2.7109375" style="33" customWidth="1"/>
    <col min="11271" max="11271" width="3.5703125" style="33" customWidth="1"/>
    <col min="11272" max="11516" width="9.28515625" style="33"/>
    <col min="11517" max="11517" width="8.7109375" style="33" customWidth="1"/>
    <col min="11518" max="11518" width="9.7109375" style="33" customWidth="1"/>
    <col min="11519" max="11519" width="14.42578125" style="33" customWidth="1"/>
    <col min="11520" max="11520" width="7.28515625" style="33" customWidth="1"/>
    <col min="11521" max="11521" width="5.5703125" style="33" customWidth="1"/>
    <col min="11522" max="11522" width="9" style="33" customWidth="1"/>
    <col min="11523" max="11524" width="9.7109375" style="33" customWidth="1"/>
    <col min="11525" max="11525" width="11.28515625" style="33" customWidth="1"/>
    <col min="11526" max="11526" width="2.7109375" style="33" customWidth="1"/>
    <col min="11527" max="11527" width="3.5703125" style="33" customWidth="1"/>
    <col min="11528" max="11772" width="9.28515625" style="33"/>
    <col min="11773" max="11773" width="8.7109375" style="33" customWidth="1"/>
    <col min="11774" max="11774" width="9.7109375" style="33" customWidth="1"/>
    <col min="11775" max="11775" width="14.42578125" style="33" customWidth="1"/>
    <col min="11776" max="11776" width="7.28515625" style="33" customWidth="1"/>
    <col min="11777" max="11777" width="5.5703125" style="33" customWidth="1"/>
    <col min="11778" max="11778" width="9" style="33" customWidth="1"/>
    <col min="11779" max="11780" width="9.7109375" style="33" customWidth="1"/>
    <col min="11781" max="11781" width="11.28515625" style="33" customWidth="1"/>
    <col min="11782" max="11782" width="2.7109375" style="33" customWidth="1"/>
    <col min="11783" max="11783" width="3.5703125" style="33" customWidth="1"/>
    <col min="11784" max="12028" width="9.28515625" style="33"/>
    <col min="12029" max="12029" width="8.7109375" style="33" customWidth="1"/>
    <col min="12030" max="12030" width="9.7109375" style="33" customWidth="1"/>
    <col min="12031" max="12031" width="14.42578125" style="33" customWidth="1"/>
    <col min="12032" max="12032" width="7.28515625" style="33" customWidth="1"/>
    <col min="12033" max="12033" width="5.5703125" style="33" customWidth="1"/>
    <col min="12034" max="12034" width="9" style="33" customWidth="1"/>
    <col min="12035" max="12036" width="9.7109375" style="33" customWidth="1"/>
    <col min="12037" max="12037" width="11.28515625" style="33" customWidth="1"/>
    <col min="12038" max="12038" width="2.7109375" style="33" customWidth="1"/>
    <col min="12039" max="12039" width="3.5703125" style="33" customWidth="1"/>
    <col min="12040" max="12284" width="9.28515625" style="33"/>
    <col min="12285" max="12285" width="8.7109375" style="33" customWidth="1"/>
    <col min="12286" max="12286" width="9.7109375" style="33" customWidth="1"/>
    <col min="12287" max="12287" width="14.42578125" style="33" customWidth="1"/>
    <col min="12288" max="12288" width="7.28515625" style="33" customWidth="1"/>
    <col min="12289" max="12289" width="5.5703125" style="33" customWidth="1"/>
    <col min="12290" max="12290" width="9" style="33" customWidth="1"/>
    <col min="12291" max="12292" width="9.7109375" style="33" customWidth="1"/>
    <col min="12293" max="12293" width="11.28515625" style="33" customWidth="1"/>
    <col min="12294" max="12294" width="2.7109375" style="33" customWidth="1"/>
    <col min="12295" max="12295" width="3.5703125" style="33" customWidth="1"/>
    <col min="12296" max="12540" width="9.28515625" style="33"/>
    <col min="12541" max="12541" width="8.7109375" style="33" customWidth="1"/>
    <col min="12542" max="12542" width="9.7109375" style="33" customWidth="1"/>
    <col min="12543" max="12543" width="14.42578125" style="33" customWidth="1"/>
    <col min="12544" max="12544" width="7.28515625" style="33" customWidth="1"/>
    <col min="12545" max="12545" width="5.5703125" style="33" customWidth="1"/>
    <col min="12546" max="12546" width="9" style="33" customWidth="1"/>
    <col min="12547" max="12548" width="9.7109375" style="33" customWidth="1"/>
    <col min="12549" max="12549" width="11.28515625" style="33" customWidth="1"/>
    <col min="12550" max="12550" width="2.7109375" style="33" customWidth="1"/>
    <col min="12551" max="12551" width="3.5703125" style="33" customWidth="1"/>
    <col min="12552" max="12796" width="9.28515625" style="33"/>
    <col min="12797" max="12797" width="8.7109375" style="33" customWidth="1"/>
    <col min="12798" max="12798" width="9.7109375" style="33" customWidth="1"/>
    <col min="12799" max="12799" width="14.42578125" style="33" customWidth="1"/>
    <col min="12800" max="12800" width="7.28515625" style="33" customWidth="1"/>
    <col min="12801" max="12801" width="5.5703125" style="33" customWidth="1"/>
    <col min="12802" max="12802" width="9" style="33" customWidth="1"/>
    <col min="12803" max="12804" width="9.7109375" style="33" customWidth="1"/>
    <col min="12805" max="12805" width="11.28515625" style="33" customWidth="1"/>
    <col min="12806" max="12806" width="2.7109375" style="33" customWidth="1"/>
    <col min="12807" max="12807" width="3.5703125" style="33" customWidth="1"/>
    <col min="12808" max="13052" width="9.28515625" style="33"/>
    <col min="13053" max="13053" width="8.7109375" style="33" customWidth="1"/>
    <col min="13054" max="13054" width="9.7109375" style="33" customWidth="1"/>
    <col min="13055" max="13055" width="14.42578125" style="33" customWidth="1"/>
    <col min="13056" max="13056" width="7.28515625" style="33" customWidth="1"/>
    <col min="13057" max="13057" width="5.5703125" style="33" customWidth="1"/>
    <col min="13058" max="13058" width="9" style="33" customWidth="1"/>
    <col min="13059" max="13060" width="9.7109375" style="33" customWidth="1"/>
    <col min="13061" max="13061" width="11.28515625" style="33" customWidth="1"/>
    <col min="13062" max="13062" width="2.7109375" style="33" customWidth="1"/>
    <col min="13063" max="13063" width="3.5703125" style="33" customWidth="1"/>
    <col min="13064" max="13308" width="9.28515625" style="33"/>
    <col min="13309" max="13309" width="8.7109375" style="33" customWidth="1"/>
    <col min="13310" max="13310" width="9.7109375" style="33" customWidth="1"/>
    <col min="13311" max="13311" width="14.42578125" style="33" customWidth="1"/>
    <col min="13312" max="13312" width="7.28515625" style="33" customWidth="1"/>
    <col min="13313" max="13313" width="5.5703125" style="33" customWidth="1"/>
    <col min="13314" max="13314" width="9" style="33" customWidth="1"/>
    <col min="13315" max="13316" width="9.7109375" style="33" customWidth="1"/>
    <col min="13317" max="13317" width="11.28515625" style="33" customWidth="1"/>
    <col min="13318" max="13318" width="2.7109375" style="33" customWidth="1"/>
    <col min="13319" max="13319" width="3.5703125" style="33" customWidth="1"/>
    <col min="13320" max="13564" width="9.28515625" style="33"/>
    <col min="13565" max="13565" width="8.7109375" style="33" customWidth="1"/>
    <col min="13566" max="13566" width="9.7109375" style="33" customWidth="1"/>
    <col min="13567" max="13567" width="14.42578125" style="33" customWidth="1"/>
    <col min="13568" max="13568" width="7.28515625" style="33" customWidth="1"/>
    <col min="13569" max="13569" width="5.5703125" style="33" customWidth="1"/>
    <col min="13570" max="13570" width="9" style="33" customWidth="1"/>
    <col min="13571" max="13572" width="9.7109375" style="33" customWidth="1"/>
    <col min="13573" max="13573" width="11.28515625" style="33" customWidth="1"/>
    <col min="13574" max="13574" width="2.7109375" style="33" customWidth="1"/>
    <col min="13575" max="13575" width="3.5703125" style="33" customWidth="1"/>
    <col min="13576" max="13820" width="9.28515625" style="33"/>
    <col min="13821" max="13821" width="8.7109375" style="33" customWidth="1"/>
    <col min="13822" max="13822" width="9.7109375" style="33" customWidth="1"/>
    <col min="13823" max="13823" width="14.42578125" style="33" customWidth="1"/>
    <col min="13824" max="13824" width="7.28515625" style="33" customWidth="1"/>
    <col min="13825" max="13825" width="5.5703125" style="33" customWidth="1"/>
    <col min="13826" max="13826" width="9" style="33" customWidth="1"/>
    <col min="13827" max="13828" width="9.7109375" style="33" customWidth="1"/>
    <col min="13829" max="13829" width="11.28515625" style="33" customWidth="1"/>
    <col min="13830" max="13830" width="2.7109375" style="33" customWidth="1"/>
    <col min="13831" max="13831" width="3.5703125" style="33" customWidth="1"/>
    <col min="13832" max="14076" width="9.28515625" style="33"/>
    <col min="14077" max="14077" width="8.7109375" style="33" customWidth="1"/>
    <col min="14078" max="14078" width="9.7109375" style="33" customWidth="1"/>
    <col min="14079" max="14079" width="14.42578125" style="33" customWidth="1"/>
    <col min="14080" max="14080" width="7.28515625" style="33" customWidth="1"/>
    <col min="14081" max="14081" width="5.5703125" style="33" customWidth="1"/>
    <col min="14082" max="14082" width="9" style="33" customWidth="1"/>
    <col min="14083" max="14084" width="9.7109375" style="33" customWidth="1"/>
    <col min="14085" max="14085" width="11.28515625" style="33" customWidth="1"/>
    <col min="14086" max="14086" width="2.7109375" style="33" customWidth="1"/>
    <col min="14087" max="14087" width="3.5703125" style="33" customWidth="1"/>
    <col min="14088" max="14332" width="9.28515625" style="33"/>
    <col min="14333" max="14333" width="8.7109375" style="33" customWidth="1"/>
    <col min="14334" max="14334" width="9.7109375" style="33" customWidth="1"/>
    <col min="14335" max="14335" width="14.42578125" style="33" customWidth="1"/>
    <col min="14336" max="14336" width="7.28515625" style="33" customWidth="1"/>
    <col min="14337" max="14337" width="5.5703125" style="33" customWidth="1"/>
    <col min="14338" max="14338" width="9" style="33" customWidth="1"/>
    <col min="14339" max="14340" width="9.7109375" style="33" customWidth="1"/>
    <col min="14341" max="14341" width="11.28515625" style="33" customWidth="1"/>
    <col min="14342" max="14342" width="2.7109375" style="33" customWidth="1"/>
    <col min="14343" max="14343" width="3.5703125" style="33" customWidth="1"/>
    <col min="14344" max="14588" width="9.28515625" style="33"/>
    <col min="14589" max="14589" width="8.7109375" style="33" customWidth="1"/>
    <col min="14590" max="14590" width="9.7109375" style="33" customWidth="1"/>
    <col min="14591" max="14591" width="14.42578125" style="33" customWidth="1"/>
    <col min="14592" max="14592" width="7.28515625" style="33" customWidth="1"/>
    <col min="14593" max="14593" width="5.5703125" style="33" customWidth="1"/>
    <col min="14594" max="14594" width="9" style="33" customWidth="1"/>
    <col min="14595" max="14596" width="9.7109375" style="33" customWidth="1"/>
    <col min="14597" max="14597" width="11.28515625" style="33" customWidth="1"/>
    <col min="14598" max="14598" width="2.7109375" style="33" customWidth="1"/>
    <col min="14599" max="14599" width="3.5703125" style="33" customWidth="1"/>
    <col min="14600" max="14844" width="9.28515625" style="33"/>
    <col min="14845" max="14845" width="8.7109375" style="33" customWidth="1"/>
    <col min="14846" max="14846" width="9.7109375" style="33" customWidth="1"/>
    <col min="14847" max="14847" width="14.42578125" style="33" customWidth="1"/>
    <col min="14848" max="14848" width="7.28515625" style="33" customWidth="1"/>
    <col min="14849" max="14849" width="5.5703125" style="33" customWidth="1"/>
    <col min="14850" max="14850" width="9" style="33" customWidth="1"/>
    <col min="14851" max="14852" width="9.7109375" style="33" customWidth="1"/>
    <col min="14853" max="14853" width="11.28515625" style="33" customWidth="1"/>
    <col min="14854" max="14854" width="2.7109375" style="33" customWidth="1"/>
    <col min="14855" max="14855" width="3.5703125" style="33" customWidth="1"/>
    <col min="14856" max="15100" width="9.28515625" style="33"/>
    <col min="15101" max="15101" width="8.7109375" style="33" customWidth="1"/>
    <col min="15102" max="15102" width="9.7109375" style="33" customWidth="1"/>
    <col min="15103" max="15103" width="14.42578125" style="33" customWidth="1"/>
    <col min="15104" max="15104" width="7.28515625" style="33" customWidth="1"/>
    <col min="15105" max="15105" width="5.5703125" style="33" customWidth="1"/>
    <col min="15106" max="15106" width="9" style="33" customWidth="1"/>
    <col min="15107" max="15108" width="9.7109375" style="33" customWidth="1"/>
    <col min="15109" max="15109" width="11.28515625" style="33" customWidth="1"/>
    <col min="15110" max="15110" width="2.7109375" style="33" customWidth="1"/>
    <col min="15111" max="15111" width="3.5703125" style="33" customWidth="1"/>
    <col min="15112" max="15356" width="9.28515625" style="33"/>
    <col min="15357" max="15357" width="8.7109375" style="33" customWidth="1"/>
    <col min="15358" max="15358" width="9.7109375" style="33" customWidth="1"/>
    <col min="15359" max="15359" width="14.42578125" style="33" customWidth="1"/>
    <col min="15360" max="15360" width="7.28515625" style="33" customWidth="1"/>
    <col min="15361" max="15361" width="5.5703125" style="33" customWidth="1"/>
    <col min="15362" max="15362" width="9" style="33" customWidth="1"/>
    <col min="15363" max="15364" width="9.7109375" style="33" customWidth="1"/>
    <col min="15365" max="15365" width="11.28515625" style="33" customWidth="1"/>
    <col min="15366" max="15366" width="2.7109375" style="33" customWidth="1"/>
    <col min="15367" max="15367" width="3.5703125" style="33" customWidth="1"/>
    <col min="15368" max="15612" width="9.28515625" style="33"/>
    <col min="15613" max="15613" width="8.7109375" style="33" customWidth="1"/>
    <col min="15614" max="15614" width="9.7109375" style="33" customWidth="1"/>
    <col min="15615" max="15615" width="14.42578125" style="33" customWidth="1"/>
    <col min="15616" max="15616" width="7.28515625" style="33" customWidth="1"/>
    <col min="15617" max="15617" width="5.5703125" style="33" customWidth="1"/>
    <col min="15618" max="15618" width="9" style="33" customWidth="1"/>
    <col min="15619" max="15620" width="9.7109375" style="33" customWidth="1"/>
    <col min="15621" max="15621" width="11.28515625" style="33" customWidth="1"/>
    <col min="15622" max="15622" width="2.7109375" style="33" customWidth="1"/>
    <col min="15623" max="15623" width="3.5703125" style="33" customWidth="1"/>
    <col min="15624" max="15868" width="9.28515625" style="33"/>
    <col min="15869" max="15869" width="8.7109375" style="33" customWidth="1"/>
    <col min="15870" max="15870" width="9.7109375" style="33" customWidth="1"/>
    <col min="15871" max="15871" width="14.42578125" style="33" customWidth="1"/>
    <col min="15872" max="15872" width="7.28515625" style="33" customWidth="1"/>
    <col min="15873" max="15873" width="5.5703125" style="33" customWidth="1"/>
    <col min="15874" max="15874" width="9" style="33" customWidth="1"/>
    <col min="15875" max="15876" width="9.7109375" style="33" customWidth="1"/>
    <col min="15877" max="15877" width="11.28515625" style="33" customWidth="1"/>
    <col min="15878" max="15878" width="2.7109375" style="33" customWidth="1"/>
    <col min="15879" max="15879" width="3.5703125" style="33" customWidth="1"/>
    <col min="15880" max="16124" width="9.28515625" style="33"/>
    <col min="16125" max="16125" width="8.7109375" style="33" customWidth="1"/>
    <col min="16126" max="16126" width="9.7109375" style="33" customWidth="1"/>
    <col min="16127" max="16127" width="14.42578125" style="33" customWidth="1"/>
    <col min="16128" max="16128" width="7.28515625" style="33" customWidth="1"/>
    <col min="16129" max="16129" width="5.5703125" style="33" customWidth="1"/>
    <col min="16130" max="16130" width="9" style="33" customWidth="1"/>
    <col min="16131" max="16132" width="9.7109375" style="33" customWidth="1"/>
    <col min="16133" max="16133" width="11.28515625" style="33" customWidth="1"/>
    <col min="16134" max="16134" width="2.7109375" style="33" customWidth="1"/>
    <col min="16135" max="16135" width="3.5703125" style="33" customWidth="1"/>
    <col min="16136" max="16384" width="9.28515625" style="33"/>
  </cols>
  <sheetData>
    <row r="1" spans="1:8" ht="46.5" customHeight="1" x14ac:dyDescent="0.25">
      <c r="A1" s="166" t="s">
        <v>287</v>
      </c>
      <c r="B1" s="167"/>
      <c r="C1" s="167"/>
      <c r="D1" s="167"/>
      <c r="E1" s="167"/>
      <c r="F1" s="167"/>
      <c r="G1" s="167"/>
      <c r="H1" s="168"/>
    </row>
    <row r="2" spans="1:8" ht="16.5" customHeight="1" x14ac:dyDescent="0.25">
      <c r="A2" s="145" t="s">
        <v>0</v>
      </c>
      <c r="B2" s="146"/>
      <c r="C2" s="146"/>
      <c r="D2" s="146"/>
      <c r="E2" s="146"/>
      <c r="F2" s="146"/>
      <c r="G2" s="146"/>
      <c r="H2" s="147"/>
    </row>
    <row r="3" spans="1:8" x14ac:dyDescent="0.25">
      <c r="A3" s="113" t="s">
        <v>1</v>
      </c>
      <c r="B3" s="114"/>
      <c r="C3" s="114"/>
      <c r="D3" s="114"/>
      <c r="E3" s="169" t="str">
        <f ca="1">TEXT(TODAY(),"DD/MM/YYYY")</f>
        <v>09/09/2025</v>
      </c>
      <c r="F3" s="170"/>
      <c r="G3" s="170"/>
      <c r="H3" s="171"/>
    </row>
    <row r="4" spans="1:8" ht="15" customHeight="1" x14ac:dyDescent="0.25">
      <c r="A4" s="113" t="s">
        <v>2</v>
      </c>
      <c r="B4" s="114"/>
      <c r="C4" s="114"/>
      <c r="D4" s="114"/>
      <c r="E4" s="175" t="s">
        <v>141</v>
      </c>
      <c r="F4" s="176"/>
      <c r="G4" s="176"/>
      <c r="H4" s="177"/>
    </row>
    <row r="5" spans="1:8" x14ac:dyDescent="0.25">
      <c r="A5" s="113" t="s">
        <v>3</v>
      </c>
      <c r="B5" s="114"/>
      <c r="C5" s="114"/>
      <c r="D5" s="114"/>
      <c r="E5" s="163">
        <v>45906</v>
      </c>
      <c r="F5" s="164"/>
      <c r="G5" s="164"/>
      <c r="H5" s="165"/>
    </row>
    <row r="6" spans="1:8" ht="16.5" customHeight="1" x14ac:dyDescent="0.25">
      <c r="A6" s="113" t="s">
        <v>4</v>
      </c>
      <c r="B6" s="114"/>
      <c r="C6" s="114"/>
      <c r="D6" s="114"/>
      <c r="E6" s="135" t="s">
        <v>142</v>
      </c>
      <c r="F6" s="136"/>
      <c r="G6" s="136"/>
      <c r="H6" s="137"/>
    </row>
    <row r="7" spans="1:8" ht="15" customHeight="1" x14ac:dyDescent="0.25">
      <c r="A7" s="113" t="s">
        <v>5</v>
      </c>
      <c r="B7" s="114"/>
      <c r="C7" s="114"/>
      <c r="D7" s="114"/>
      <c r="E7" s="135" t="str">
        <f>E6</f>
        <v xml:space="preserve">M/s.Dosti Enterprises </v>
      </c>
      <c r="F7" s="136"/>
      <c r="G7" s="136"/>
      <c r="H7" s="137"/>
    </row>
    <row r="8" spans="1:8" x14ac:dyDescent="0.25">
      <c r="A8" s="113" t="s">
        <v>6</v>
      </c>
      <c r="B8" s="114"/>
      <c r="C8" s="114"/>
      <c r="D8" s="114"/>
      <c r="E8" s="172" t="s">
        <v>143</v>
      </c>
      <c r="F8" s="173"/>
      <c r="G8" s="173"/>
      <c r="H8" s="174"/>
    </row>
    <row r="9" spans="1:8" x14ac:dyDescent="0.25">
      <c r="A9" s="113" t="s">
        <v>7</v>
      </c>
      <c r="B9" s="114"/>
      <c r="C9" s="114"/>
      <c r="D9" s="114"/>
      <c r="E9" s="113" t="s">
        <v>144</v>
      </c>
      <c r="F9" s="114"/>
      <c r="G9" s="114"/>
      <c r="H9" s="115"/>
    </row>
    <row r="10" spans="1:8" ht="99" customHeight="1" x14ac:dyDescent="0.25">
      <c r="A10" s="128" t="s">
        <v>8</v>
      </c>
      <c r="B10" s="117"/>
      <c r="C10" s="117"/>
      <c r="D10" s="117"/>
      <c r="E10" s="217" t="s">
        <v>269</v>
      </c>
      <c r="F10" s="217"/>
      <c r="G10" s="217" t="s">
        <v>268</v>
      </c>
      <c r="H10" s="218"/>
    </row>
    <row r="11" spans="1:8" x14ac:dyDescent="0.25">
      <c r="A11" s="113" t="s">
        <v>9</v>
      </c>
      <c r="B11" s="114"/>
      <c r="C11" s="114"/>
      <c r="D11" s="114"/>
      <c r="E11" s="151" t="s">
        <v>190</v>
      </c>
      <c r="F11" s="153"/>
      <c r="G11" s="153"/>
      <c r="H11" s="152"/>
    </row>
    <row r="12" spans="1:8" x14ac:dyDescent="0.25">
      <c r="A12" s="113" t="s">
        <v>145</v>
      </c>
      <c r="B12" s="114"/>
      <c r="C12" s="114"/>
      <c r="D12" s="114"/>
      <c r="E12" s="135" t="s">
        <v>146</v>
      </c>
      <c r="F12" s="136"/>
      <c r="G12" s="136"/>
      <c r="H12" s="137"/>
    </row>
    <row r="13" spans="1:8" x14ac:dyDescent="0.25">
      <c r="A13" s="135" t="s">
        <v>10</v>
      </c>
      <c r="B13" s="137"/>
      <c r="C13" s="135" t="str">
        <f>CONCATENATE((IF(OR(E8="",E8="NA"),"",E8)),", ",(IF(OR(A14="",A14="NA"),"",A14)),".",(IF(OR(C14="",C14="NA"),"",C14)),", ",(IF(OR(C15="",C15="NA"),"",C15)),", ",(IF(OR(G15="",G15="NA"),"",G15)),", ",(IF(OR(G16="",G16="NA"),"",G16)),".")</f>
        <v>Dosti Pine, Survey No.5/2, 5/3 To 78 And Others, Old Agra Road, Balkum, Thane.</v>
      </c>
      <c r="D13" s="136"/>
      <c r="E13" s="136"/>
      <c r="F13" s="136"/>
      <c r="G13" s="136"/>
      <c r="H13" s="137"/>
    </row>
    <row r="14" spans="1:8" ht="15.75" customHeight="1" x14ac:dyDescent="0.25">
      <c r="A14" s="151" t="s">
        <v>189</v>
      </c>
      <c r="B14" s="152"/>
      <c r="C14" s="151" t="s">
        <v>147</v>
      </c>
      <c r="D14" s="153"/>
      <c r="E14" s="153"/>
      <c r="F14" s="153"/>
      <c r="G14" s="153"/>
      <c r="H14" s="152"/>
    </row>
    <row r="15" spans="1:8" ht="15.75" customHeight="1" x14ac:dyDescent="0.25">
      <c r="A15" s="135" t="s">
        <v>11</v>
      </c>
      <c r="B15" s="137"/>
      <c r="C15" s="148" t="s">
        <v>151</v>
      </c>
      <c r="D15" s="148"/>
      <c r="E15" s="149" t="s">
        <v>106</v>
      </c>
      <c r="F15" s="150"/>
      <c r="G15" s="151" t="s">
        <v>148</v>
      </c>
      <c r="H15" s="152"/>
    </row>
    <row r="16" spans="1:8" x14ac:dyDescent="0.25">
      <c r="A16" s="138" t="s">
        <v>13</v>
      </c>
      <c r="B16" s="138"/>
      <c r="C16" s="151" t="s">
        <v>149</v>
      </c>
      <c r="D16" s="153"/>
      <c r="E16" s="149" t="s">
        <v>12</v>
      </c>
      <c r="F16" s="150"/>
      <c r="G16" s="183" t="s">
        <v>149</v>
      </c>
      <c r="H16" s="183"/>
    </row>
    <row r="17" spans="1:8" x14ac:dyDescent="0.25">
      <c r="A17" s="138" t="s">
        <v>107</v>
      </c>
      <c r="B17" s="138"/>
      <c r="C17" s="151" t="s">
        <v>149</v>
      </c>
      <c r="D17" s="153"/>
      <c r="E17" s="149" t="s">
        <v>14</v>
      </c>
      <c r="F17" s="150"/>
      <c r="G17" s="151">
        <v>400607</v>
      </c>
      <c r="H17" s="152"/>
    </row>
    <row r="18" spans="1:8" ht="32.25" customHeight="1" x14ac:dyDescent="0.25">
      <c r="A18" s="138" t="s">
        <v>15</v>
      </c>
      <c r="B18" s="138"/>
      <c r="C18" s="139" t="s">
        <v>152</v>
      </c>
      <c r="D18" s="139"/>
      <c r="E18" s="139" t="s">
        <v>16</v>
      </c>
      <c r="F18" s="139"/>
      <c r="G18" s="154" t="s">
        <v>150</v>
      </c>
      <c r="H18" s="155"/>
    </row>
    <row r="19" spans="1:8" ht="15" customHeight="1" x14ac:dyDescent="0.25">
      <c r="A19" s="149" t="s">
        <v>112</v>
      </c>
      <c r="B19" s="156"/>
      <c r="C19" s="156"/>
      <c r="D19" s="156"/>
      <c r="E19" s="157" t="s">
        <v>17</v>
      </c>
      <c r="F19" s="158"/>
      <c r="G19" s="158"/>
      <c r="H19" s="159"/>
    </row>
    <row r="20" spans="1:8" ht="15" customHeight="1" x14ac:dyDescent="0.25">
      <c r="A20" s="149" t="s">
        <v>18</v>
      </c>
      <c r="B20" s="156"/>
      <c r="C20" s="156"/>
      <c r="D20" s="156"/>
      <c r="E20" s="160" t="s">
        <v>19</v>
      </c>
      <c r="F20" s="161"/>
      <c r="G20" s="161"/>
      <c r="H20" s="162"/>
    </row>
    <row r="21" spans="1:8" ht="15" customHeight="1" x14ac:dyDescent="0.25">
      <c r="A21" s="113" t="s">
        <v>20</v>
      </c>
      <c r="B21" s="114"/>
      <c r="C21" s="114"/>
      <c r="D21" s="114"/>
      <c r="E21" s="151" t="s">
        <v>153</v>
      </c>
      <c r="F21" s="153"/>
      <c r="G21" s="153"/>
      <c r="H21" s="152"/>
    </row>
    <row r="22" spans="1:8" x14ac:dyDescent="0.25">
      <c r="A22" s="113" t="s">
        <v>21</v>
      </c>
      <c r="B22" s="114"/>
      <c r="C22" s="114"/>
      <c r="D22" s="114"/>
      <c r="E22" s="151" t="s">
        <v>22</v>
      </c>
      <c r="F22" s="153"/>
      <c r="G22" s="153"/>
      <c r="H22" s="152"/>
    </row>
    <row r="23" spans="1:8" x14ac:dyDescent="0.25">
      <c r="A23" s="113" t="s">
        <v>23</v>
      </c>
      <c r="B23" s="114"/>
      <c r="C23" s="114"/>
      <c r="D23" s="114"/>
      <c r="E23" s="151" t="s">
        <v>154</v>
      </c>
      <c r="F23" s="153"/>
      <c r="G23" s="153"/>
      <c r="H23" s="152"/>
    </row>
    <row r="24" spans="1:8" x14ac:dyDescent="0.25">
      <c r="A24" s="113" t="s">
        <v>24</v>
      </c>
      <c r="B24" s="114"/>
      <c r="C24" s="114"/>
      <c r="D24" s="114"/>
      <c r="E24" s="151" t="s">
        <v>25</v>
      </c>
      <c r="F24" s="153"/>
      <c r="G24" s="153"/>
      <c r="H24" s="152"/>
    </row>
    <row r="25" spans="1:8" x14ac:dyDescent="0.25">
      <c r="A25" s="113" t="s">
        <v>119</v>
      </c>
      <c r="B25" s="114"/>
      <c r="C25" s="114"/>
      <c r="D25" s="114"/>
      <c r="E25" s="151" t="s">
        <v>120</v>
      </c>
      <c r="F25" s="153"/>
      <c r="G25" s="153"/>
      <c r="H25" s="152"/>
    </row>
    <row r="26" spans="1:8" ht="15" customHeight="1" x14ac:dyDescent="0.25">
      <c r="A26" s="135" t="s">
        <v>34</v>
      </c>
      <c r="B26" s="136"/>
      <c r="C26" s="136"/>
      <c r="D26" s="136"/>
      <c r="E26" s="175" t="s">
        <v>116</v>
      </c>
      <c r="F26" s="176"/>
      <c r="G26" s="176"/>
      <c r="H26" s="177"/>
    </row>
    <row r="27" spans="1:8" x14ac:dyDescent="0.25">
      <c r="A27" s="139" t="s">
        <v>131</v>
      </c>
      <c r="B27" s="139"/>
      <c r="C27" s="139"/>
      <c r="D27" s="139"/>
      <c r="E27" s="135" t="s">
        <v>35</v>
      </c>
      <c r="F27" s="136"/>
      <c r="G27" s="136"/>
      <c r="H27" s="137"/>
    </row>
    <row r="28" spans="1:8" s="34" customFormat="1" x14ac:dyDescent="0.25">
      <c r="A28" s="206" t="s">
        <v>132</v>
      </c>
      <c r="B28" s="207"/>
      <c r="C28" s="192" t="s">
        <v>30</v>
      </c>
      <c r="D28" s="193"/>
      <c r="E28" s="194"/>
      <c r="F28" s="192" t="s">
        <v>32</v>
      </c>
      <c r="G28" s="193"/>
      <c r="H28" s="194"/>
    </row>
    <row r="29" spans="1:8" s="34" customFormat="1" x14ac:dyDescent="0.25">
      <c r="A29" s="178" t="s">
        <v>26</v>
      </c>
      <c r="B29" s="179" t="s">
        <v>31</v>
      </c>
      <c r="C29" s="180" t="s">
        <v>31</v>
      </c>
      <c r="D29" s="181"/>
      <c r="E29" s="182"/>
      <c r="F29" s="180" t="s">
        <v>155</v>
      </c>
      <c r="G29" s="181"/>
      <c r="H29" s="182"/>
    </row>
    <row r="30" spans="1:8" x14ac:dyDescent="0.25">
      <c r="A30" s="178" t="s">
        <v>27</v>
      </c>
      <c r="B30" s="179" t="s">
        <v>31</v>
      </c>
      <c r="C30" s="180" t="s">
        <v>31</v>
      </c>
      <c r="D30" s="181"/>
      <c r="E30" s="182"/>
      <c r="F30" s="180" t="s">
        <v>11</v>
      </c>
      <c r="G30" s="181"/>
      <c r="H30" s="182"/>
    </row>
    <row r="31" spans="1:8" s="34" customFormat="1" x14ac:dyDescent="0.25">
      <c r="A31" s="178" t="s">
        <v>29</v>
      </c>
      <c r="B31" s="179" t="s">
        <v>31</v>
      </c>
      <c r="C31" s="180" t="s">
        <v>31</v>
      </c>
      <c r="D31" s="181"/>
      <c r="E31" s="182"/>
      <c r="F31" s="180" t="s">
        <v>155</v>
      </c>
      <c r="G31" s="181"/>
      <c r="H31" s="182"/>
    </row>
    <row r="32" spans="1:8" x14ac:dyDescent="0.25">
      <c r="A32" s="178" t="s">
        <v>28</v>
      </c>
      <c r="B32" s="179" t="s">
        <v>31</v>
      </c>
      <c r="C32" s="180" t="s">
        <v>31</v>
      </c>
      <c r="D32" s="181"/>
      <c r="E32" s="182"/>
      <c r="F32" s="180" t="s">
        <v>11</v>
      </c>
      <c r="G32" s="181"/>
      <c r="H32" s="182"/>
    </row>
    <row r="33" spans="1:8" x14ac:dyDescent="0.25">
      <c r="A33" s="113" t="s">
        <v>33</v>
      </c>
      <c r="B33" s="114"/>
      <c r="C33" s="114"/>
      <c r="D33" s="114"/>
      <c r="E33" s="114"/>
      <c r="F33" s="114"/>
      <c r="G33" s="114"/>
      <c r="H33" s="115"/>
    </row>
    <row r="34" spans="1:8" ht="15.75" customHeight="1" x14ac:dyDescent="0.25">
      <c r="A34" s="208" t="s">
        <v>286</v>
      </c>
      <c r="B34" s="208"/>
      <c r="C34" s="234" t="s">
        <v>285</v>
      </c>
      <c r="D34" s="235"/>
      <c r="E34" s="235"/>
      <c r="F34" s="235"/>
      <c r="G34" s="235"/>
      <c r="H34" s="236"/>
    </row>
    <row r="35" spans="1:8" ht="15.75" customHeight="1" x14ac:dyDescent="0.25">
      <c r="A35" s="208" t="s">
        <v>264</v>
      </c>
      <c r="B35" s="208"/>
      <c r="C35" s="237" t="s">
        <v>265</v>
      </c>
      <c r="D35" s="235"/>
      <c r="E35" s="235"/>
      <c r="F35" s="235"/>
      <c r="G35" s="235"/>
      <c r="H35" s="236"/>
    </row>
    <row r="36" spans="1:8" x14ac:dyDescent="0.25">
      <c r="A36" s="172" t="s">
        <v>36</v>
      </c>
      <c r="B36" s="173"/>
      <c r="C36" s="173"/>
      <c r="D36" s="173"/>
      <c r="E36" s="173"/>
      <c r="F36" s="173"/>
      <c r="G36" s="173"/>
      <c r="H36" s="174"/>
    </row>
    <row r="37" spans="1:8" x14ac:dyDescent="0.25">
      <c r="A37" s="128" t="s">
        <v>37</v>
      </c>
      <c r="B37" s="117"/>
      <c r="C37" s="117"/>
      <c r="D37" s="117"/>
      <c r="E37" s="189">
        <v>54750</v>
      </c>
      <c r="F37" s="190"/>
      <c r="G37" s="190"/>
      <c r="H37" s="191"/>
    </row>
    <row r="38" spans="1:8" x14ac:dyDescent="0.25">
      <c r="A38" s="128" t="s">
        <v>38</v>
      </c>
      <c r="B38" s="117"/>
      <c r="C38" s="117"/>
      <c r="D38" s="117"/>
      <c r="E38" s="186">
        <v>4</v>
      </c>
      <c r="F38" s="187"/>
      <c r="G38" s="187"/>
      <c r="H38" s="188"/>
    </row>
    <row r="39" spans="1:8" x14ac:dyDescent="0.25">
      <c r="A39" s="128" t="s">
        <v>39</v>
      </c>
      <c r="B39" s="117"/>
      <c r="C39" s="117"/>
      <c r="D39" s="117"/>
      <c r="E39" s="186">
        <f>E41/E37-E38</f>
        <v>0.58988712328767168</v>
      </c>
      <c r="F39" s="187"/>
      <c r="G39" s="187"/>
      <c r="H39" s="188"/>
    </row>
    <row r="40" spans="1:8" x14ac:dyDescent="0.25">
      <c r="A40" s="128" t="s">
        <v>40</v>
      </c>
      <c r="B40" s="117"/>
      <c r="C40" s="117"/>
      <c r="D40" s="117"/>
      <c r="E40" s="186">
        <f>E38+E39</f>
        <v>4.5898871232876717</v>
      </c>
      <c r="F40" s="187"/>
      <c r="G40" s="187"/>
      <c r="H40" s="188"/>
    </row>
    <row r="41" spans="1:8" x14ac:dyDescent="0.25">
      <c r="A41" s="128" t="s">
        <v>288</v>
      </c>
      <c r="B41" s="117"/>
      <c r="C41" s="117"/>
      <c r="D41" s="117"/>
      <c r="E41" s="238">
        <v>251296.32</v>
      </c>
      <c r="F41" s="239"/>
      <c r="G41" s="239"/>
      <c r="H41" s="240"/>
    </row>
    <row r="42" spans="1:8" x14ac:dyDescent="0.25">
      <c r="A42" s="128" t="s">
        <v>41</v>
      </c>
      <c r="B42" s="117"/>
      <c r="C42" s="117"/>
      <c r="D42" s="117"/>
      <c r="E42" s="128" t="s">
        <v>289</v>
      </c>
      <c r="F42" s="117"/>
      <c r="G42" s="117"/>
      <c r="H42" s="118"/>
    </row>
    <row r="43" spans="1:8" x14ac:dyDescent="0.25">
      <c r="A43" s="172" t="s">
        <v>42</v>
      </c>
      <c r="B43" s="173"/>
      <c r="C43" s="173"/>
      <c r="D43" s="173"/>
      <c r="E43" s="173"/>
      <c r="F43" s="173"/>
      <c r="G43" s="173"/>
      <c r="H43" s="174"/>
    </row>
    <row r="44" spans="1:8" x14ac:dyDescent="0.25">
      <c r="A44" s="135" t="s">
        <v>43</v>
      </c>
      <c r="B44" s="137"/>
      <c r="C44" s="135" t="s">
        <v>270</v>
      </c>
      <c r="D44" s="136"/>
      <c r="E44" s="137"/>
      <c r="F44" s="31" t="s">
        <v>44</v>
      </c>
      <c r="G44" s="211">
        <v>45195</v>
      </c>
      <c r="H44" s="137"/>
    </row>
    <row r="45" spans="1:8" ht="97.5" customHeight="1" x14ac:dyDescent="0.25">
      <c r="A45" s="135" t="s">
        <v>301</v>
      </c>
      <c r="B45" s="115"/>
      <c r="C45" s="135" t="s">
        <v>156</v>
      </c>
      <c r="D45" s="136"/>
      <c r="E45" s="137"/>
      <c r="F45" s="31" t="s">
        <v>44</v>
      </c>
      <c r="G45" s="135" t="s">
        <v>157</v>
      </c>
      <c r="H45" s="137"/>
    </row>
    <row r="46" spans="1:8" ht="48" customHeight="1" x14ac:dyDescent="0.25">
      <c r="A46" s="242" t="s">
        <v>299</v>
      </c>
      <c r="B46" s="243"/>
      <c r="C46" s="242" t="s">
        <v>298</v>
      </c>
      <c r="D46" s="244"/>
      <c r="E46" s="245"/>
      <c r="F46" s="70" t="s">
        <v>44</v>
      </c>
      <c r="G46" s="246">
        <v>44578</v>
      </c>
      <c r="H46" s="245"/>
    </row>
    <row r="47" spans="1:8" s="35" customFormat="1" x14ac:dyDescent="0.25">
      <c r="A47" s="160" t="s">
        <v>45</v>
      </c>
      <c r="B47" s="162"/>
      <c r="C47" s="151" t="s">
        <v>203</v>
      </c>
      <c r="D47" s="117"/>
      <c r="E47" s="118"/>
      <c r="F47" s="204" t="s">
        <v>44</v>
      </c>
      <c r="G47" s="200" t="s">
        <v>158</v>
      </c>
      <c r="H47" s="201"/>
    </row>
    <row r="48" spans="1:8" s="35" customFormat="1" ht="35.25" customHeight="1" x14ac:dyDescent="0.25">
      <c r="A48" s="209"/>
      <c r="B48" s="210"/>
      <c r="C48" s="151" t="s">
        <v>232</v>
      </c>
      <c r="D48" s="153"/>
      <c r="E48" s="152"/>
      <c r="F48" s="205"/>
      <c r="G48" s="202"/>
      <c r="H48" s="203"/>
    </row>
    <row r="49" spans="1:8" s="35" customFormat="1" x14ac:dyDescent="0.25">
      <c r="A49" s="160" t="s">
        <v>45</v>
      </c>
      <c r="B49" s="162"/>
      <c r="C49" s="151" t="s">
        <v>260</v>
      </c>
      <c r="D49" s="117"/>
      <c r="E49" s="118"/>
      <c r="F49" s="204" t="s">
        <v>44</v>
      </c>
      <c r="G49" s="200" t="s">
        <v>261</v>
      </c>
      <c r="H49" s="201"/>
    </row>
    <row r="50" spans="1:8" s="35" customFormat="1" ht="35.25" customHeight="1" x14ac:dyDescent="0.25">
      <c r="A50" s="209"/>
      <c r="B50" s="210"/>
      <c r="C50" s="151" t="s">
        <v>262</v>
      </c>
      <c r="D50" s="153"/>
      <c r="E50" s="152"/>
      <c r="F50" s="205"/>
      <c r="G50" s="202"/>
      <c r="H50" s="203"/>
    </row>
    <row r="51" spans="1:8" s="66" customFormat="1" ht="31.5" customHeight="1" x14ac:dyDescent="0.25">
      <c r="A51" s="219" t="s">
        <v>302</v>
      </c>
      <c r="B51" s="220"/>
      <c r="C51" s="219" t="s">
        <v>270</v>
      </c>
      <c r="D51" s="221"/>
      <c r="E51" s="222"/>
      <c r="F51" s="65" t="s">
        <v>44</v>
      </c>
      <c r="G51" s="223">
        <v>45195</v>
      </c>
      <c r="H51" s="222"/>
    </row>
    <row r="52" spans="1:8" s="68" customFormat="1" x14ac:dyDescent="0.25">
      <c r="A52" s="224" t="s">
        <v>300</v>
      </c>
      <c r="B52" s="225"/>
      <c r="C52" s="228" t="s">
        <v>271</v>
      </c>
      <c r="D52" s="229"/>
      <c r="E52" s="230"/>
      <c r="F52" s="67" t="s">
        <v>44</v>
      </c>
      <c r="G52" s="232">
        <v>45195</v>
      </c>
      <c r="H52" s="233"/>
    </row>
    <row r="53" spans="1:8" s="68" customFormat="1" ht="51.75" customHeight="1" x14ac:dyDescent="0.25">
      <c r="A53" s="226"/>
      <c r="B53" s="227"/>
      <c r="C53" s="226" t="s">
        <v>272</v>
      </c>
      <c r="D53" s="231"/>
      <c r="E53" s="231"/>
      <c r="F53" s="231"/>
      <c r="G53" s="231"/>
      <c r="H53" s="227"/>
    </row>
    <row r="54" spans="1:8" s="68" customFormat="1" x14ac:dyDescent="0.25">
      <c r="A54" s="160" t="s">
        <v>308</v>
      </c>
      <c r="B54" s="162"/>
      <c r="C54" s="151" t="s">
        <v>307</v>
      </c>
      <c r="D54" s="117"/>
      <c r="E54" s="118"/>
      <c r="F54" s="72" t="s">
        <v>44</v>
      </c>
      <c r="G54" s="163">
        <v>45664</v>
      </c>
      <c r="H54" s="165"/>
    </row>
    <row r="55" spans="1:8" s="68" customFormat="1" ht="34.15" customHeight="1" x14ac:dyDescent="0.25">
      <c r="A55" s="209"/>
      <c r="B55" s="210"/>
      <c r="C55" s="209" t="s">
        <v>309</v>
      </c>
      <c r="D55" s="241"/>
      <c r="E55" s="241"/>
      <c r="F55" s="241"/>
      <c r="G55" s="241"/>
      <c r="H55" s="210"/>
    </row>
    <row r="56" spans="1:8" x14ac:dyDescent="0.25">
      <c r="A56" s="135" t="s">
        <v>46</v>
      </c>
      <c r="B56" s="137"/>
      <c r="C56" s="135" t="s">
        <v>159</v>
      </c>
      <c r="D56" s="114"/>
      <c r="E56" s="115" t="s">
        <v>47</v>
      </c>
      <c r="F56" s="31" t="s">
        <v>44</v>
      </c>
      <c r="G56" s="135" t="s">
        <v>31</v>
      </c>
      <c r="H56" s="137"/>
    </row>
    <row r="57" spans="1:8" x14ac:dyDescent="0.25">
      <c r="A57" s="195" t="s">
        <v>49</v>
      </c>
      <c r="B57" s="196"/>
      <c r="C57" s="196"/>
      <c r="D57" s="196"/>
      <c r="E57" s="196"/>
      <c r="F57" s="196"/>
      <c r="G57" s="196"/>
      <c r="H57" s="197"/>
    </row>
    <row r="58" spans="1:8" x14ac:dyDescent="0.25">
      <c r="A58" s="135" t="s">
        <v>130</v>
      </c>
      <c r="B58" s="136"/>
      <c r="C58" s="137"/>
      <c r="D58" s="113">
        <f>E41</f>
        <v>251296.32</v>
      </c>
      <c r="E58" s="114"/>
      <c r="F58" s="114"/>
      <c r="G58" s="114"/>
      <c r="H58" s="115"/>
    </row>
    <row r="59" spans="1:8" x14ac:dyDescent="0.25">
      <c r="A59" s="151" t="s">
        <v>50</v>
      </c>
      <c r="B59" s="117"/>
      <c r="C59" s="118"/>
      <c r="D59" s="128" t="s">
        <v>283</v>
      </c>
      <c r="E59" s="117"/>
      <c r="F59" s="117"/>
      <c r="G59" s="117"/>
      <c r="H59" s="118"/>
    </row>
    <row r="60" spans="1:8" ht="31.5" customHeight="1" x14ac:dyDescent="0.25">
      <c r="A60" s="151" t="s">
        <v>51</v>
      </c>
      <c r="B60" s="117"/>
      <c r="C60" s="118"/>
      <c r="D60" s="151" t="s">
        <v>275</v>
      </c>
      <c r="E60" s="117"/>
      <c r="F60" s="117"/>
      <c r="G60" s="117"/>
      <c r="H60" s="118"/>
    </row>
    <row r="61" spans="1:8" x14ac:dyDescent="0.25">
      <c r="A61" s="151" t="s">
        <v>128</v>
      </c>
      <c r="B61" s="117"/>
      <c r="C61" s="118"/>
      <c r="D61" s="128" t="s">
        <v>263</v>
      </c>
      <c r="E61" s="117"/>
      <c r="F61" s="117"/>
      <c r="G61" s="117"/>
      <c r="H61" s="118"/>
    </row>
    <row r="62" spans="1:8" x14ac:dyDescent="0.25">
      <c r="A62" s="151" t="s">
        <v>128</v>
      </c>
      <c r="B62" s="117"/>
      <c r="C62" s="118"/>
      <c r="D62" s="128" t="s">
        <v>273</v>
      </c>
      <c r="E62" s="117"/>
      <c r="F62" s="117"/>
      <c r="G62" s="117"/>
      <c r="H62" s="118"/>
    </row>
    <row r="63" spans="1:8" ht="15.75" customHeight="1" x14ac:dyDescent="0.25">
      <c r="A63" s="138" t="s">
        <v>48</v>
      </c>
      <c r="B63" s="138"/>
      <c r="C63" s="138"/>
      <c r="D63" s="135" t="s">
        <v>274</v>
      </c>
      <c r="E63" s="136"/>
      <c r="F63" s="136"/>
      <c r="G63" s="136"/>
      <c r="H63" s="137"/>
    </row>
    <row r="64" spans="1:8" ht="15.75" customHeight="1" x14ac:dyDescent="0.25">
      <c r="A64" s="138" t="s">
        <v>125</v>
      </c>
      <c r="B64" s="138"/>
      <c r="C64" s="138"/>
      <c r="D64" s="135" t="s">
        <v>126</v>
      </c>
      <c r="E64" s="136"/>
      <c r="F64" s="136"/>
      <c r="G64" s="136"/>
      <c r="H64" s="137"/>
    </row>
    <row r="65" spans="1:11" ht="15.75" customHeight="1" x14ac:dyDescent="0.25">
      <c r="A65" s="138" t="s">
        <v>127</v>
      </c>
      <c r="B65" s="138"/>
      <c r="C65" s="138"/>
      <c r="D65" s="139" t="s">
        <v>25</v>
      </c>
      <c r="E65" s="139"/>
      <c r="F65" s="139"/>
      <c r="G65" s="139"/>
      <c r="H65" s="139"/>
      <c r="J65" s="26"/>
      <c r="K65" s="26"/>
    </row>
    <row r="66" spans="1:11" ht="15.75" customHeight="1" thickBot="1" x14ac:dyDescent="0.3">
      <c r="A66" s="204" t="s">
        <v>124</v>
      </c>
      <c r="B66" s="204"/>
      <c r="C66" s="204"/>
      <c r="D66" s="253" t="s">
        <v>160</v>
      </c>
      <c r="E66" s="253"/>
      <c r="F66" s="253"/>
      <c r="G66" s="253"/>
      <c r="H66" s="253"/>
      <c r="J66" s="26"/>
      <c r="K66" s="26"/>
    </row>
    <row r="67" spans="1:11" ht="63" customHeight="1" x14ac:dyDescent="0.25">
      <c r="A67" s="258" t="s">
        <v>236</v>
      </c>
      <c r="B67" s="259"/>
      <c r="C67" s="259" t="s">
        <v>311</v>
      </c>
      <c r="D67" s="259"/>
      <c r="E67" s="259"/>
      <c r="F67" s="259"/>
      <c r="G67" s="259"/>
      <c r="H67" s="260"/>
      <c r="I67" s="25" t="str">
        <f ca="1">(IF(E72&gt;99%,"All work completed. Please provide OC.",IF(E72&gt;89.8%,"Plinth, RCC, Brick, Plaster, Flooring, Painting work Completed. Finishing work is in process.",IF(E72&lt;94%,(IF(C72=0,"Work not yet Started.",IF(D72=25%,"Piling work in process",IF(D72=50%,"Excavation work in process",IF(D72=100%,"Excavation work Completed. ","0")))&amp;(IF(C73=0%,"",IF(C73=J74,"Footing work is process",IF(C73=J75,"Footing work Completed",IF(C73=J76,"1st Basement Completed",IF(C73=J77,"1st &amp; 2nd Basement Completed",IF(C73=J78,"1st to 3rd Basement Completed",IF(C73=J79,"1st to 4th Basement Completed",IF(C73=J80,"Plinth work is process",IF(C73=J81,"Plinth work completed","0")))))))))))&amp;(IF(C74=(D68+F68+H68),", RCC Slab",IF(C74&gt;0,", RCC upto "&amp;C74&amp;" Slab",""))&amp;(IF(C75=H68,", Brickwork",IF(C75&gt;0,", Brickwork upto "&amp;C75&amp;" Floor",""))&amp;(IF(C76=H68,", Internal Plaster",IF(C76&gt;0,", Internal Plaster upto "&amp;C76&amp;" Floor",""))&amp;(IF(C77=H68,", External Plaster",IF(C77&gt;0,", External Plaster upto "&amp;C77&amp;" Floor",""))&amp;(IF(C78=H68,", Flooring",IF(C78&gt;0,", Flooring upto "&amp;C78&amp;" Floor",""))&amp;(IF(C79=H68,", Painting",IF(C79&gt;0,", Painting upto "&amp;C79&amp;" Floor",""))&amp;(IF(C80&gt;0,", Finishing upto "&amp;C80&amp;" Floor","")&amp;(IF(C74&gt;0.5," Completed",""))))))))))))))</f>
        <v>All work completed. Please provide OC.</v>
      </c>
      <c r="J67" s="36"/>
      <c r="K67" s="26"/>
    </row>
    <row r="68" spans="1:11" x14ac:dyDescent="0.25">
      <c r="A68" s="23" t="s">
        <v>103</v>
      </c>
      <c r="B68" s="6">
        <v>0</v>
      </c>
      <c r="C68" s="6" t="s">
        <v>105</v>
      </c>
      <c r="D68" s="6">
        <v>2</v>
      </c>
      <c r="E68" s="6" t="s">
        <v>104</v>
      </c>
      <c r="F68" s="6">
        <v>1</v>
      </c>
      <c r="G68" s="6" t="s">
        <v>118</v>
      </c>
      <c r="H68" s="24">
        <f ca="1">--TRIM(RIGHT(SUBSTITUTE(LEFT(C67,_xlfn.AGGREGATE(16,6,FIND({0,1,2,3,4,5,6,7,8,9},C67,ROW(INDIRECT("1:"&amp;LEN(C67)))),1))," ",REPT(" ",LEN(C67))),LEN(C67)))</f>
        <v>30</v>
      </c>
      <c r="I68" s="26"/>
      <c r="J68" s="37"/>
      <c r="K68" s="26"/>
    </row>
    <row r="69" spans="1:11" x14ac:dyDescent="0.25">
      <c r="A69" s="105" t="s">
        <v>129</v>
      </c>
      <c r="B69" s="106"/>
      <c r="C69" s="107" t="str">
        <f ca="1">I67</f>
        <v>All work completed. Please provide OC.</v>
      </c>
      <c r="D69" s="107"/>
      <c r="E69" s="107"/>
      <c r="F69" s="107"/>
      <c r="G69" s="107"/>
      <c r="H69" s="108"/>
      <c r="I69" s="26" t="s">
        <v>140</v>
      </c>
      <c r="J69" s="37"/>
      <c r="K69" s="26"/>
    </row>
    <row r="70" spans="1:11" ht="35.25" customHeight="1" thickBot="1" x14ac:dyDescent="0.3">
      <c r="A70" s="261" t="s">
        <v>123</v>
      </c>
      <c r="B70" s="262"/>
      <c r="C70" s="263">
        <v>1</v>
      </c>
      <c r="D70" s="264"/>
      <c r="E70" s="264" t="s">
        <v>122</v>
      </c>
      <c r="F70" s="264"/>
      <c r="G70" s="265">
        <v>1</v>
      </c>
      <c r="H70" s="266"/>
      <c r="I70" s="26"/>
      <c r="J70" s="37"/>
      <c r="K70" s="26"/>
    </row>
    <row r="71" spans="1:11" ht="31.5" hidden="1" x14ac:dyDescent="0.25">
      <c r="A71" s="254" t="s">
        <v>52</v>
      </c>
      <c r="B71" s="255"/>
      <c r="C71" s="256" t="s">
        <v>237</v>
      </c>
      <c r="D71" s="256" t="s">
        <v>121</v>
      </c>
      <c r="E71" s="255" t="s">
        <v>123</v>
      </c>
      <c r="F71" s="255"/>
      <c r="G71" s="255" t="s">
        <v>122</v>
      </c>
      <c r="H71" s="257"/>
      <c r="I71" s="9" t="s">
        <v>238</v>
      </c>
      <c r="J71" s="38">
        <f ca="1">H68*25%</f>
        <v>7.5</v>
      </c>
      <c r="K71" s="26"/>
    </row>
    <row r="72" spans="1:11" hidden="1" x14ac:dyDescent="0.25">
      <c r="A72" s="109" t="s">
        <v>239</v>
      </c>
      <c r="B72" s="110"/>
      <c r="C72" s="39">
        <f ca="1">J73</f>
        <v>30</v>
      </c>
      <c r="D72" s="40">
        <f ca="1">((100/H68)*C72)/100</f>
        <v>1</v>
      </c>
      <c r="E72" s="119">
        <f ca="1">(((C73/H68*10)+(40/(D68+F68+H68)*C74)+(7.5/(H68)*C75)+(7.5/(H68)*C76)+(10/H68*C77)+(10/H68*C78)+(5/H68*C79)+(5/H68*C80)+(5/H68*C81))/100)</f>
        <v>1</v>
      </c>
      <c r="F72" s="119"/>
      <c r="G72" s="119">
        <f ca="1">((((C72/H68)*20)+((C73/H68)*25)+(30/(H68+F68+D68)*C74)+(5/H68*C75)+(5/H68*C76)+(5/H68*C77)+(5/H68*C78)+(0/H68*C79)+(0/H68*C80)+(5/H68*C81))/100)</f>
        <v>1</v>
      </c>
      <c r="H72" s="121"/>
      <c r="I72" s="9" t="s">
        <v>134</v>
      </c>
      <c r="J72" s="41">
        <f ca="1">H68*50%</f>
        <v>15</v>
      </c>
      <c r="K72" s="42"/>
    </row>
    <row r="73" spans="1:11" hidden="1" x14ac:dyDescent="0.25">
      <c r="A73" s="109" t="s">
        <v>53</v>
      </c>
      <c r="B73" s="110"/>
      <c r="C73" s="43">
        <f ca="1">J81</f>
        <v>30</v>
      </c>
      <c r="D73" s="40">
        <f ca="1">((100/H68)*C73)/100</f>
        <v>1</v>
      </c>
      <c r="E73" s="119"/>
      <c r="F73" s="119"/>
      <c r="G73" s="119"/>
      <c r="H73" s="121"/>
      <c r="I73" s="9" t="s">
        <v>135</v>
      </c>
      <c r="J73" s="41">
        <f ca="1">H68</f>
        <v>30</v>
      </c>
      <c r="K73" s="42"/>
    </row>
    <row r="74" spans="1:11" hidden="1" x14ac:dyDescent="0.25">
      <c r="A74" s="109" t="s">
        <v>253</v>
      </c>
      <c r="B74" s="110"/>
      <c r="C74" s="43">
        <v>33</v>
      </c>
      <c r="D74" s="40">
        <f ca="1">((100/(D68+F68+H68))*C74)/100</f>
        <v>1</v>
      </c>
      <c r="E74" s="119"/>
      <c r="F74" s="119"/>
      <c r="G74" s="119"/>
      <c r="H74" s="121"/>
      <c r="I74" s="9" t="s">
        <v>136</v>
      </c>
      <c r="J74" s="44">
        <f ca="1">(IF(B68&gt;1,(H68/(B68+2)),H68/4))</f>
        <v>7.5</v>
      </c>
      <c r="K74" s="42"/>
    </row>
    <row r="75" spans="1:11" hidden="1" x14ac:dyDescent="0.25">
      <c r="A75" s="109" t="s">
        <v>240</v>
      </c>
      <c r="B75" s="110" t="s">
        <v>241</v>
      </c>
      <c r="C75" s="43">
        <v>30</v>
      </c>
      <c r="D75" s="40">
        <f ca="1">((100/H68)*C75)/100</f>
        <v>1</v>
      </c>
      <c r="E75" s="119"/>
      <c r="F75" s="119"/>
      <c r="G75" s="119"/>
      <c r="H75" s="121"/>
      <c r="I75" s="9" t="s">
        <v>137</v>
      </c>
      <c r="J75" s="44">
        <f ca="1">(IF(B68&gt;1,(H68/(B68+2)+J74),H68/4+J74))</f>
        <v>15</v>
      </c>
      <c r="K75" s="42"/>
    </row>
    <row r="76" spans="1:11" hidden="1" x14ac:dyDescent="0.25">
      <c r="A76" s="109" t="s">
        <v>242</v>
      </c>
      <c r="B76" s="110" t="s">
        <v>241</v>
      </c>
      <c r="C76" s="43">
        <v>30</v>
      </c>
      <c r="D76" s="40">
        <f ca="1">((100/H68)*C76)/100</f>
        <v>1</v>
      </c>
      <c r="E76" s="119"/>
      <c r="F76" s="119"/>
      <c r="G76" s="119"/>
      <c r="H76" s="121"/>
      <c r="I76" s="9" t="s">
        <v>243</v>
      </c>
      <c r="J76" s="44">
        <f>(IF(B68&gt;1,(H68/(B68+2)+J75),0))</f>
        <v>0</v>
      </c>
      <c r="K76" s="42"/>
    </row>
    <row r="77" spans="1:11" ht="15" hidden="1" customHeight="1" x14ac:dyDescent="0.25">
      <c r="A77" s="109" t="s">
        <v>244</v>
      </c>
      <c r="B77" s="110" t="s">
        <v>245</v>
      </c>
      <c r="C77" s="39">
        <v>30</v>
      </c>
      <c r="D77" s="40">
        <f ca="1">((100/(H68))*C77)/100</f>
        <v>1</v>
      </c>
      <c r="E77" s="119"/>
      <c r="F77" s="119"/>
      <c r="G77" s="119"/>
      <c r="H77" s="121"/>
      <c r="I77" s="9" t="s">
        <v>246</v>
      </c>
      <c r="J77" s="44">
        <f>(IF(B68&gt;2,(H68/(B68+2)+J76),0))</f>
        <v>0</v>
      </c>
      <c r="K77" s="42"/>
    </row>
    <row r="78" spans="1:11" hidden="1" x14ac:dyDescent="0.25">
      <c r="A78" s="109" t="s">
        <v>247</v>
      </c>
      <c r="B78" s="110" t="s">
        <v>247</v>
      </c>
      <c r="C78" s="39">
        <v>30</v>
      </c>
      <c r="D78" s="40">
        <f ca="1">((100/H68)*C78)/100</f>
        <v>1</v>
      </c>
      <c r="E78" s="119"/>
      <c r="F78" s="119"/>
      <c r="G78" s="119"/>
      <c r="H78" s="121"/>
      <c r="I78" s="9" t="s">
        <v>248</v>
      </c>
      <c r="J78" s="45">
        <f>(IF(B68&gt;3,(H68/(B68+2)+J77),0))</f>
        <v>0</v>
      </c>
    </row>
    <row r="79" spans="1:11" hidden="1" x14ac:dyDescent="0.25">
      <c r="A79" s="109" t="s">
        <v>249</v>
      </c>
      <c r="B79" s="110"/>
      <c r="C79" s="39">
        <v>30</v>
      </c>
      <c r="D79" s="40">
        <f ca="1">((100/H68)*C79)/100</f>
        <v>1</v>
      </c>
      <c r="E79" s="119"/>
      <c r="F79" s="119"/>
      <c r="G79" s="119"/>
      <c r="H79" s="121"/>
      <c r="I79" s="9" t="s">
        <v>250</v>
      </c>
      <c r="J79" s="44">
        <f>(IF(B68&gt;4,(H68/(B68+2)+J78),0))</f>
        <v>0</v>
      </c>
      <c r="K79" s="42"/>
    </row>
    <row r="80" spans="1:11" ht="15" hidden="1" customHeight="1" x14ac:dyDescent="0.25">
      <c r="A80" s="109" t="s">
        <v>251</v>
      </c>
      <c r="B80" s="110" t="s">
        <v>251</v>
      </c>
      <c r="C80" s="39">
        <v>30</v>
      </c>
      <c r="D80" s="40">
        <f ca="1">((100/(H68))*C80)/100</f>
        <v>1</v>
      </c>
      <c r="E80" s="119"/>
      <c r="F80" s="119"/>
      <c r="G80" s="119"/>
      <c r="H80" s="121"/>
      <c r="I80" s="9" t="s">
        <v>138</v>
      </c>
      <c r="J80" s="44">
        <f ca="1">(IF(B68=1,(H68/(B68+3)+J75),IF(B68=0,(H68/4+J75),IF(B68&gt;1,0))))</f>
        <v>22.5</v>
      </c>
      <c r="K80" s="42"/>
    </row>
    <row r="81" spans="1:11" ht="16.5" hidden="1" thickBot="1" x14ac:dyDescent="0.3">
      <c r="A81" s="133" t="s">
        <v>252</v>
      </c>
      <c r="B81" s="134"/>
      <c r="C81" s="46">
        <v>30</v>
      </c>
      <c r="D81" s="47">
        <f ca="1">((100/(H68))*C81)/100</f>
        <v>1</v>
      </c>
      <c r="E81" s="131"/>
      <c r="F81" s="131"/>
      <c r="G81" s="131"/>
      <c r="H81" s="132"/>
      <c r="I81" s="27" t="s">
        <v>139</v>
      </c>
      <c r="J81" s="48">
        <f ca="1">(IF(B68&gt;1.5,(H68/(B68+2)+J75+MAX(0,J76-J75)+MAX(0,J77-J76)+MAX(0,J78-J77)+MAX(0,J79-J78)+MAX(0,J80-J79)),IF(B68=1,(H68/(B68+3)+J80),IF(B68=0,H68/4+J80))))</f>
        <v>30</v>
      </c>
    </row>
    <row r="82" spans="1:11" ht="17.25" hidden="1" customHeight="1" x14ac:dyDescent="0.25">
      <c r="A82" s="123" t="s">
        <v>236</v>
      </c>
      <c r="B82" s="124"/>
      <c r="C82" s="125" t="s">
        <v>254</v>
      </c>
      <c r="D82" s="126"/>
      <c r="E82" s="126"/>
      <c r="F82" s="126"/>
      <c r="G82" s="126"/>
      <c r="H82" s="127"/>
      <c r="I82" s="25" t="str">
        <f ca="1">(IF(E86&gt;99%,"All work completed. Please provide OC.",IF(E86&gt;89.8%,"Plinth, RCC, Brick, Plaster, Flooring, Painting work Completed. Finishing work is in process.",IF(E86&lt;94%,(IF(C86=0,"Work not yet Started.",IF(D86=25%,"Piling work in process",IF(D86=50%,"Excavation work in process",IF(D86=100%,"Excavation work Completed. ","0")))&amp;(IF(C87=0%,"",IF(C87=J88,"Footing work is process",IF(C87=J89,"Footing work Completed",IF(C87=J90,"1st Basement Completed",IF(C87=J91,"1st &amp; 2nd Basement Completed",IF(C87=J92,"1st to 3rd Basement Completed",IF(C87=J93,"1st to 4th Basement Completed",IF(C87=J94,"Plinth work is process",IF(C87=J95,"Plinth work completed","0")))))))))))&amp;(IF(C88=(D83+F83+H83),", RCC Slab",IF(C88&gt;0,", RCC upto "&amp;C88&amp;" Slab",""))&amp;(IF(C89=H83,", Brickwork",IF(C89&gt;0,", Brickwork upto "&amp;C89&amp;" Floor",""))&amp;(IF(C90=H83,", Internal Plaster",IF(C90&gt;0,", Internal Plaster upto "&amp;C90&amp;" Floor",""))&amp;(IF(C91=H83,", External Plaster",IF(C91&gt;0,", External Plaster upto "&amp;C91&amp;" Floor",""))&amp;(IF(C92=H83,", Flooring",IF(C92&gt;0,", Flooring upto "&amp;C92&amp;" Floor",""))&amp;(IF(C93=H83,", Painting",IF(C93&gt;0,", Painting upto "&amp;C93&amp;" Floor",""))&amp;(IF(C94&gt;0,", Finishing upto "&amp;C94&amp;" Floor","")&amp;(IF(C88&gt;0.5," Completed",""))))))))))))))</f>
        <v>Excavation work Completed. Plinth work completed, RCC Slab, Brickwork, Internal Plaster, External Plaster, Flooring upto 24 Floor, Painting upto 22 Floor Completed</v>
      </c>
      <c r="J82" s="36"/>
      <c r="K82" s="26"/>
    </row>
    <row r="83" spans="1:11" hidden="1" x14ac:dyDescent="0.25">
      <c r="A83" s="23" t="s">
        <v>103</v>
      </c>
      <c r="B83" s="6">
        <v>0</v>
      </c>
      <c r="C83" s="6" t="s">
        <v>105</v>
      </c>
      <c r="D83" s="6">
        <v>2</v>
      </c>
      <c r="E83" s="6" t="s">
        <v>104</v>
      </c>
      <c r="F83" s="6">
        <v>1</v>
      </c>
      <c r="G83" s="6" t="s">
        <v>118</v>
      </c>
      <c r="H83" s="24">
        <f ca="1">--TRIM(RIGHT(SUBSTITUTE(LEFT(C82,_xlfn.AGGREGATE(16,6,FIND({0,1,2,3,4,5,6,7,8,9},C82,ROW(INDIRECT("1:"&amp;LEN(C82)))),1))," ",REPT(" ",LEN(C82))),LEN(C82)))</f>
        <v>30</v>
      </c>
      <c r="I83" s="26"/>
      <c r="J83" s="37"/>
      <c r="K83" s="26"/>
    </row>
    <row r="84" spans="1:11" ht="32.25" hidden="1" customHeight="1" x14ac:dyDescent="0.25">
      <c r="A84" s="105" t="s">
        <v>129</v>
      </c>
      <c r="B84" s="106"/>
      <c r="C84" s="107" t="str">
        <f ca="1">I82</f>
        <v>Excavation work Completed. Plinth work completed, RCC Slab, Brickwork, Internal Plaster, External Plaster, Flooring upto 24 Floor, Painting upto 22 Floor Completed</v>
      </c>
      <c r="D84" s="107"/>
      <c r="E84" s="107"/>
      <c r="F84" s="107"/>
      <c r="G84" s="107"/>
      <c r="H84" s="108"/>
      <c r="I84" s="26" t="s">
        <v>140</v>
      </c>
      <c r="J84" s="37"/>
      <c r="K84" s="26"/>
    </row>
    <row r="85" spans="1:11" ht="31.5" hidden="1" customHeight="1" x14ac:dyDescent="0.25">
      <c r="A85" s="109" t="s">
        <v>52</v>
      </c>
      <c r="B85" s="110"/>
      <c r="C85" s="30" t="s">
        <v>237</v>
      </c>
      <c r="D85" s="30" t="s">
        <v>121</v>
      </c>
      <c r="E85" s="110" t="s">
        <v>123</v>
      </c>
      <c r="F85" s="110"/>
      <c r="G85" s="110" t="s">
        <v>122</v>
      </c>
      <c r="H85" s="216"/>
      <c r="I85" s="9" t="s">
        <v>238</v>
      </c>
      <c r="J85" s="38">
        <f ca="1">H83*25%</f>
        <v>7.5</v>
      </c>
      <c r="K85" s="26"/>
    </row>
    <row r="86" spans="1:11" hidden="1" x14ac:dyDescent="0.25">
      <c r="A86" s="109" t="s">
        <v>239</v>
      </c>
      <c r="B86" s="110"/>
      <c r="C86" s="39">
        <f ca="1">J87</f>
        <v>30</v>
      </c>
      <c r="D86" s="40">
        <f ca="1">((100/H83)*C86)/100</f>
        <v>1</v>
      </c>
      <c r="E86" s="119">
        <f ca="1">(((C87/H83*10)+(40/(D83+F83+H83)*C88)+(7.5/(H83)*C89)+(7.5/(H83)*C90)+(10/H83*C91)+(10/H83*C92)+(5/H83*C93)+(5/H83*C94)+(5/H83*C95))/100)</f>
        <v>0.8666666666666667</v>
      </c>
      <c r="F86" s="119"/>
      <c r="G86" s="119">
        <f ca="1">((((C86/H83)*20)+((C87/H83)*25)+(30/(H83+F83+D83)*C88)+(5/H83*C89)+(5/H83*C90)+(5/H83*C91)+(5/H83*C92)+(0/H83*C93)+(0/H83*C94)+(5/H83*C95))/100)</f>
        <v>0.94</v>
      </c>
      <c r="H86" s="121"/>
      <c r="I86" s="9" t="s">
        <v>134</v>
      </c>
      <c r="J86" s="41">
        <f ca="1">H83*50%</f>
        <v>15</v>
      </c>
      <c r="K86" s="42"/>
    </row>
    <row r="87" spans="1:11" hidden="1" x14ac:dyDescent="0.25">
      <c r="A87" s="109" t="s">
        <v>53</v>
      </c>
      <c r="B87" s="110"/>
      <c r="C87" s="43">
        <f ca="1">J95</f>
        <v>30</v>
      </c>
      <c r="D87" s="40">
        <f ca="1">((100/H83)*C87)/100</f>
        <v>1</v>
      </c>
      <c r="E87" s="119"/>
      <c r="F87" s="119"/>
      <c r="G87" s="119"/>
      <c r="H87" s="121"/>
      <c r="I87" s="9" t="s">
        <v>135</v>
      </c>
      <c r="J87" s="41">
        <f ca="1">H83</f>
        <v>30</v>
      </c>
      <c r="K87" s="42"/>
    </row>
    <row r="88" spans="1:11" hidden="1" x14ac:dyDescent="0.25">
      <c r="A88" s="109" t="s">
        <v>253</v>
      </c>
      <c r="B88" s="110"/>
      <c r="C88" s="43">
        <v>33</v>
      </c>
      <c r="D88" s="40">
        <f ca="1">((100/(D83+F83+H83))*C88)/100</f>
        <v>1</v>
      </c>
      <c r="E88" s="119"/>
      <c r="F88" s="119"/>
      <c r="G88" s="119"/>
      <c r="H88" s="121"/>
      <c r="I88" s="9" t="s">
        <v>136</v>
      </c>
      <c r="J88" s="44">
        <f ca="1">(IF(B83&gt;1,(H83/(B83+2)),H83/4))</f>
        <v>7.5</v>
      </c>
      <c r="K88" s="42"/>
    </row>
    <row r="89" spans="1:11" hidden="1" x14ac:dyDescent="0.25">
      <c r="A89" s="109" t="s">
        <v>240</v>
      </c>
      <c r="B89" s="110" t="s">
        <v>241</v>
      </c>
      <c r="C89" s="43">
        <v>30</v>
      </c>
      <c r="D89" s="40">
        <f ca="1">((100/H83)*C89)/100</f>
        <v>1</v>
      </c>
      <c r="E89" s="119"/>
      <c r="F89" s="119"/>
      <c r="G89" s="119"/>
      <c r="H89" s="121"/>
      <c r="I89" s="9" t="s">
        <v>137</v>
      </c>
      <c r="J89" s="44">
        <f ca="1">(IF(B83&gt;1,(H83/(B83+2)+J88),H83/4+J88))</f>
        <v>15</v>
      </c>
      <c r="K89" s="42"/>
    </row>
    <row r="90" spans="1:11" hidden="1" x14ac:dyDescent="0.25">
      <c r="A90" s="109" t="s">
        <v>242</v>
      </c>
      <c r="B90" s="110" t="s">
        <v>241</v>
      </c>
      <c r="C90" s="43">
        <v>30</v>
      </c>
      <c r="D90" s="40">
        <f ca="1">((100/H83)*C90)/100</f>
        <v>1</v>
      </c>
      <c r="E90" s="119"/>
      <c r="F90" s="119"/>
      <c r="G90" s="119"/>
      <c r="H90" s="121"/>
      <c r="I90" s="9" t="s">
        <v>243</v>
      </c>
      <c r="J90" s="44">
        <f>(IF(B83&gt;1,(H83/(B83+2)+J89),0))</f>
        <v>0</v>
      </c>
      <c r="K90" s="42"/>
    </row>
    <row r="91" spans="1:11" ht="15" hidden="1" customHeight="1" x14ac:dyDescent="0.25">
      <c r="A91" s="109" t="s">
        <v>244</v>
      </c>
      <c r="B91" s="110" t="s">
        <v>245</v>
      </c>
      <c r="C91" s="43">
        <v>30</v>
      </c>
      <c r="D91" s="40">
        <f ca="1">((100/(H83))*C91)/100</f>
        <v>1</v>
      </c>
      <c r="E91" s="119"/>
      <c r="F91" s="119"/>
      <c r="G91" s="119"/>
      <c r="H91" s="121"/>
      <c r="I91" s="9" t="s">
        <v>246</v>
      </c>
      <c r="J91" s="44">
        <f>(IF(B83&gt;2,(H83/(B83+2)+J90),0))</f>
        <v>0</v>
      </c>
      <c r="K91" s="42"/>
    </row>
    <row r="92" spans="1:11" hidden="1" x14ac:dyDescent="0.25">
      <c r="A92" s="109" t="s">
        <v>247</v>
      </c>
      <c r="B92" s="110" t="s">
        <v>247</v>
      </c>
      <c r="C92" s="39">
        <v>24</v>
      </c>
      <c r="D92" s="40">
        <f ca="1">((100/H83)*C92)/100</f>
        <v>0.8</v>
      </c>
      <c r="E92" s="119"/>
      <c r="F92" s="119"/>
      <c r="G92" s="119"/>
      <c r="H92" s="121"/>
      <c r="I92" s="9" t="s">
        <v>248</v>
      </c>
      <c r="J92" s="45">
        <f>(IF(B83&gt;3,(H83/(B83+2)+J91),0))</f>
        <v>0</v>
      </c>
    </row>
    <row r="93" spans="1:11" hidden="1" x14ac:dyDescent="0.25">
      <c r="A93" s="109" t="s">
        <v>249</v>
      </c>
      <c r="B93" s="110"/>
      <c r="C93" s="39">
        <v>22</v>
      </c>
      <c r="D93" s="40">
        <f ca="1">((100/H83)*C93)/100</f>
        <v>0.73333333333333339</v>
      </c>
      <c r="E93" s="119"/>
      <c r="F93" s="119"/>
      <c r="G93" s="119"/>
      <c r="H93" s="121"/>
      <c r="I93" s="9" t="s">
        <v>250</v>
      </c>
      <c r="J93" s="44">
        <f>(IF(B83&gt;4,(H83/(B83+2)+J92),0))</f>
        <v>0</v>
      </c>
      <c r="K93" s="42"/>
    </row>
    <row r="94" spans="1:11" ht="15" hidden="1" customHeight="1" x14ac:dyDescent="0.25">
      <c r="A94" s="109" t="s">
        <v>251</v>
      </c>
      <c r="B94" s="110" t="s">
        <v>251</v>
      </c>
      <c r="C94" s="39">
        <v>0</v>
      </c>
      <c r="D94" s="40">
        <f ca="1">((100/(H83))*C94)/100</f>
        <v>0</v>
      </c>
      <c r="E94" s="119"/>
      <c r="F94" s="119"/>
      <c r="G94" s="119"/>
      <c r="H94" s="121"/>
      <c r="I94" s="9" t="s">
        <v>138</v>
      </c>
      <c r="J94" s="44">
        <f ca="1">(IF(B83=1,(H83/(B83+3)+J89),IF(B83=0,(H83/4+J89),IF(B83&gt;1,0))))</f>
        <v>22.5</v>
      </c>
      <c r="K94" s="42"/>
    </row>
    <row r="95" spans="1:11" ht="16.5" hidden="1" thickBot="1" x14ac:dyDescent="0.3">
      <c r="A95" s="133" t="s">
        <v>252</v>
      </c>
      <c r="B95" s="134"/>
      <c r="C95" s="46">
        <v>0</v>
      </c>
      <c r="D95" s="47">
        <f ca="1">((100/(H83))*C95)/100</f>
        <v>0</v>
      </c>
      <c r="E95" s="131"/>
      <c r="F95" s="131"/>
      <c r="G95" s="131"/>
      <c r="H95" s="132"/>
      <c r="I95" s="27" t="s">
        <v>139</v>
      </c>
      <c r="J95" s="48">
        <f ca="1">(IF(B83&gt;1.5,(H83/(B83+2)+J89+MAX(0,J90-J89)+MAX(0,J91-J90)+MAX(0,J92-J91)+MAX(0,J93-J92)+MAX(0,J94-J93)),IF(B83=1,(H83/(B83+3)+J94),IF(B83=0,H83/4+J94))))</f>
        <v>30</v>
      </c>
    </row>
    <row r="96" spans="1:11" ht="17.25" hidden="1" customHeight="1" x14ac:dyDescent="0.25">
      <c r="A96" s="123" t="s">
        <v>236</v>
      </c>
      <c r="B96" s="124"/>
      <c r="C96" s="125" t="s">
        <v>255</v>
      </c>
      <c r="D96" s="126"/>
      <c r="E96" s="126"/>
      <c r="F96" s="126"/>
      <c r="G96" s="126"/>
      <c r="H96" s="127"/>
      <c r="I96" s="25" t="str">
        <f ca="1">(IF(E100&gt;99%,"All work completed. Please provide OC.",IF(E100&gt;89.8%,"Plinth, RCC, Brick, Plaster, Flooring, Painting work Completed. Finishing work is in process.",IF(E100&lt;94%,(IF(C100=0,"Work not yet Started.",IF(D100=25%,"Piling work in process",IF(D100=50%,"Excavation work in process",IF(D100=100%,"Excavation &amp; PCC work Completed. ","0")))&amp;(IF(C101=0%,"",IF(C101=J102,"Footing work is process",IF(C101=J103,"Footing work Completed",IF(C101=J104,"1st Basement Completed",IF(C101=J105,"1st &amp; 2nd Basement Completed",IF(C101=J106,"1st to 3rd Basement Completed",IF(C101=J107,"1st to 4th Basement Completed",IF(C101=J108,"Plinth work is process",IF(C101=J109,"Plinth work completed","0")))))))))))&amp;(IF(C102=(D97+F97+H97),", RCC Slab",IF(C102&gt;0,", RCC upto "&amp;C102&amp;" Slab",""))&amp;(IF(C103=H97,", Brickwork",IF(C103&gt;0,", Brickwork upto "&amp;C103&amp;" Floor",""))&amp;(IF(C104=H97,", Internal Plaster",IF(C104&gt;0,", Internal Plaster upto "&amp;C104&amp;" Floor",""))&amp;(IF(C105=H97,", External Plaster",IF(C105&gt;0,", External Plaster upto "&amp;C105&amp;" Floor",""))&amp;(IF(C106=H97,", Flooring",IF(C106&gt;0,", Flooring upto "&amp;C106&amp;" Floor",""))&amp;(IF(C107=H97,", Painting",IF(C107&gt;0,", Painting upto "&amp;C107&amp;" Floor",""))&amp;(IF(C108&gt;0,", Finishing upto "&amp;C108&amp;" Floor","")&amp;(IF(C102&gt;0.5," Completed",""))))))))))))))</f>
        <v>All work completed. Please provide OC.</v>
      </c>
      <c r="J96" s="36"/>
      <c r="K96" s="26"/>
    </row>
    <row r="97" spans="1:11" hidden="1" x14ac:dyDescent="0.25">
      <c r="A97" s="23" t="s">
        <v>103</v>
      </c>
      <c r="B97" s="6">
        <v>0</v>
      </c>
      <c r="C97" s="6" t="s">
        <v>105</v>
      </c>
      <c r="D97" s="6">
        <v>2</v>
      </c>
      <c r="E97" s="6" t="s">
        <v>104</v>
      </c>
      <c r="F97" s="6">
        <v>1</v>
      </c>
      <c r="G97" s="6" t="s">
        <v>118</v>
      </c>
      <c r="H97" s="24">
        <f ca="1">--TRIM(RIGHT(SUBSTITUTE(LEFT(C96,_xlfn.AGGREGATE(16,6,FIND({0,1,2,3,4,5,6,7,8,9},C96,ROW(INDIRECT("1:"&amp;LEN(C96)))),1))," ",REPT(" ",LEN(C96))),LEN(C96)))</f>
        <v>30</v>
      </c>
      <c r="I97" s="26"/>
      <c r="J97" s="37"/>
      <c r="K97" s="26"/>
    </row>
    <row r="98" spans="1:11" hidden="1" x14ac:dyDescent="0.25">
      <c r="A98" s="105" t="s">
        <v>129</v>
      </c>
      <c r="B98" s="106"/>
      <c r="C98" s="107" t="str">
        <f ca="1">I96</f>
        <v>All work completed. Please provide OC.</v>
      </c>
      <c r="D98" s="107"/>
      <c r="E98" s="107"/>
      <c r="F98" s="107"/>
      <c r="G98" s="107"/>
      <c r="H98" s="108"/>
      <c r="I98" s="26" t="s">
        <v>140</v>
      </c>
      <c r="J98" s="37"/>
      <c r="K98" s="26"/>
    </row>
    <row r="99" spans="1:11" ht="31.5" hidden="1" x14ac:dyDescent="0.25">
      <c r="A99" s="109" t="s">
        <v>52</v>
      </c>
      <c r="B99" s="110"/>
      <c r="C99" s="30" t="s">
        <v>237</v>
      </c>
      <c r="D99" s="30" t="s">
        <v>121</v>
      </c>
      <c r="E99" s="110" t="s">
        <v>123</v>
      </c>
      <c r="F99" s="110"/>
      <c r="G99" s="110" t="s">
        <v>122</v>
      </c>
      <c r="H99" s="216"/>
      <c r="I99" s="9" t="s">
        <v>238</v>
      </c>
      <c r="J99" s="38">
        <f ca="1">H97*25%</f>
        <v>7.5</v>
      </c>
      <c r="K99" s="26"/>
    </row>
    <row r="100" spans="1:11" hidden="1" x14ac:dyDescent="0.25">
      <c r="A100" s="110" t="s">
        <v>239</v>
      </c>
      <c r="B100" s="110"/>
      <c r="C100" s="39">
        <f ca="1">J101</f>
        <v>30</v>
      </c>
      <c r="D100" s="40">
        <f ca="1">((100/H97)*C100)/100</f>
        <v>1</v>
      </c>
      <c r="E100" s="119">
        <f ca="1">(((C101/H97*10)+(40/(D97+F97+H97)*C102)+(7.5/(H97)*C103)+(7.5/(H97)*C104)+(10/H97*C105)+(10/H97*C106)+(5/H97*C107)+(5/H97*C108)+(5/H97*C109))/100)</f>
        <v>1</v>
      </c>
      <c r="F100" s="119"/>
      <c r="G100" s="119">
        <f ca="1">((((C100/H97)*20)+((C101/H97)*25)+(30/(H97+F97+D97)*C102)+(5/H97*C103)+(5/H97*C104)+(5/H97*C105)+(5/H97*C106)+(0/H97*C107)+(0/H97*C108)+(5/H97*C109))/100)</f>
        <v>1</v>
      </c>
      <c r="H100" s="119"/>
      <c r="I100" s="9" t="s">
        <v>134</v>
      </c>
      <c r="J100" s="41">
        <f ca="1">H97*50%</f>
        <v>15</v>
      </c>
      <c r="K100" s="42"/>
    </row>
    <row r="101" spans="1:11" hidden="1" x14ac:dyDescent="0.25">
      <c r="A101" s="110" t="s">
        <v>53</v>
      </c>
      <c r="B101" s="110"/>
      <c r="C101" s="43">
        <v>30</v>
      </c>
      <c r="D101" s="40">
        <f ca="1">((100/H97)*C101)/100</f>
        <v>1</v>
      </c>
      <c r="E101" s="119"/>
      <c r="F101" s="119"/>
      <c r="G101" s="119"/>
      <c r="H101" s="119"/>
      <c r="I101" s="9" t="s">
        <v>135</v>
      </c>
      <c r="J101" s="41">
        <f ca="1">H97</f>
        <v>30</v>
      </c>
      <c r="K101" s="42"/>
    </row>
    <row r="102" spans="1:11" hidden="1" x14ac:dyDescent="0.25">
      <c r="A102" s="110" t="s">
        <v>253</v>
      </c>
      <c r="B102" s="110"/>
      <c r="C102" s="43">
        <v>33</v>
      </c>
      <c r="D102" s="40">
        <f ca="1">((100/(D97+F97+H97))*C102)/100</f>
        <v>1</v>
      </c>
      <c r="E102" s="119"/>
      <c r="F102" s="119"/>
      <c r="G102" s="119"/>
      <c r="H102" s="119"/>
      <c r="I102" s="9" t="s">
        <v>136</v>
      </c>
      <c r="J102" s="44">
        <f ca="1">(IF(B97&gt;1,(H97/(B97+2)),H97/4))</f>
        <v>7.5</v>
      </c>
      <c r="K102" s="42"/>
    </row>
    <row r="103" spans="1:11" hidden="1" x14ac:dyDescent="0.25">
      <c r="A103" s="110" t="s">
        <v>240</v>
      </c>
      <c r="B103" s="110" t="s">
        <v>241</v>
      </c>
      <c r="C103" s="43">
        <v>30</v>
      </c>
      <c r="D103" s="40">
        <f ca="1">((100/H97)*C103)/100</f>
        <v>1</v>
      </c>
      <c r="E103" s="119"/>
      <c r="F103" s="119"/>
      <c r="G103" s="119"/>
      <c r="H103" s="119"/>
      <c r="I103" s="9" t="s">
        <v>137</v>
      </c>
      <c r="J103" s="44">
        <f ca="1">(IF(B97&gt;1,(H97/(B97+2)+J102),H97/4+J102))</f>
        <v>15</v>
      </c>
      <c r="K103" s="42"/>
    </row>
    <row r="104" spans="1:11" hidden="1" x14ac:dyDescent="0.25">
      <c r="A104" s="110" t="s">
        <v>242</v>
      </c>
      <c r="B104" s="110" t="s">
        <v>241</v>
      </c>
      <c r="C104" s="43">
        <v>30</v>
      </c>
      <c r="D104" s="40">
        <f ca="1">((100/H97)*C104)/100</f>
        <v>1</v>
      </c>
      <c r="E104" s="119"/>
      <c r="F104" s="119"/>
      <c r="G104" s="119"/>
      <c r="H104" s="119"/>
      <c r="I104" s="9" t="s">
        <v>243</v>
      </c>
      <c r="J104" s="44">
        <f>(IF(B97&gt;1,(H97/(B97+2)+J103),0))</f>
        <v>0</v>
      </c>
      <c r="K104" s="42"/>
    </row>
    <row r="105" spans="1:11" ht="15" hidden="1" customHeight="1" x14ac:dyDescent="0.25">
      <c r="A105" s="110" t="s">
        <v>244</v>
      </c>
      <c r="B105" s="110" t="s">
        <v>245</v>
      </c>
      <c r="C105" s="43">
        <v>30</v>
      </c>
      <c r="D105" s="40">
        <f ca="1">((100/(H97))*C105)/100</f>
        <v>1</v>
      </c>
      <c r="E105" s="119"/>
      <c r="F105" s="119"/>
      <c r="G105" s="119"/>
      <c r="H105" s="119"/>
      <c r="I105" s="9" t="s">
        <v>246</v>
      </c>
      <c r="J105" s="44">
        <f>(IF(B97&gt;2,(H97/(B97+2)+J104),0))</f>
        <v>0</v>
      </c>
      <c r="K105" s="42"/>
    </row>
    <row r="106" spans="1:11" hidden="1" x14ac:dyDescent="0.25">
      <c r="A106" s="110" t="s">
        <v>247</v>
      </c>
      <c r="B106" s="110" t="s">
        <v>247</v>
      </c>
      <c r="C106" s="39">
        <v>30</v>
      </c>
      <c r="D106" s="40">
        <f ca="1">((100/H97)*C106)/100</f>
        <v>1</v>
      </c>
      <c r="E106" s="119"/>
      <c r="F106" s="119"/>
      <c r="G106" s="119"/>
      <c r="H106" s="119"/>
      <c r="I106" s="9" t="s">
        <v>248</v>
      </c>
      <c r="J106" s="45">
        <f>(IF(B97&gt;3,(H97/(B97+2)+J105),0))</f>
        <v>0</v>
      </c>
    </row>
    <row r="107" spans="1:11" hidden="1" x14ac:dyDescent="0.25">
      <c r="A107" s="110" t="s">
        <v>249</v>
      </c>
      <c r="B107" s="110"/>
      <c r="C107" s="39">
        <v>30</v>
      </c>
      <c r="D107" s="40">
        <f ca="1">((100/H97)*C107)/100</f>
        <v>1</v>
      </c>
      <c r="E107" s="119"/>
      <c r="F107" s="119"/>
      <c r="G107" s="119"/>
      <c r="H107" s="119"/>
      <c r="I107" s="9" t="s">
        <v>250</v>
      </c>
      <c r="J107" s="44">
        <f>(IF(B97&gt;4,(H97/(B97+2)+J106),0))</f>
        <v>0</v>
      </c>
      <c r="K107" s="42"/>
    </row>
    <row r="108" spans="1:11" ht="15" hidden="1" customHeight="1" x14ac:dyDescent="0.25">
      <c r="A108" s="110" t="s">
        <v>251</v>
      </c>
      <c r="B108" s="110" t="s">
        <v>251</v>
      </c>
      <c r="C108" s="39">
        <v>30</v>
      </c>
      <c r="D108" s="40">
        <f ca="1">((100/(H97))*C108)/100</f>
        <v>1</v>
      </c>
      <c r="E108" s="119"/>
      <c r="F108" s="119"/>
      <c r="G108" s="119"/>
      <c r="H108" s="119"/>
      <c r="I108" s="9" t="s">
        <v>138</v>
      </c>
      <c r="J108" s="44">
        <f ca="1">(IF(B97=1,(H97/(B97+3)+J103),IF(B97=0,(H97/4+J103),IF(B97&gt;1,0))))</f>
        <v>22.5</v>
      </c>
      <c r="K108" s="42"/>
    </row>
    <row r="109" spans="1:11" ht="16.5" hidden="1" thickBot="1" x14ac:dyDescent="0.3">
      <c r="A109" s="110" t="s">
        <v>252</v>
      </c>
      <c r="B109" s="110"/>
      <c r="C109" s="39">
        <v>30</v>
      </c>
      <c r="D109" s="40">
        <f ca="1">((100/(H97))*C109)/100</f>
        <v>1</v>
      </c>
      <c r="E109" s="119"/>
      <c r="F109" s="119"/>
      <c r="G109" s="119"/>
      <c r="H109" s="119"/>
      <c r="I109" s="27" t="s">
        <v>139</v>
      </c>
      <c r="J109" s="48">
        <f ca="1">(IF(B97&gt;1.5,(H97/(B97+2)+J103+MAX(0,J104-J103)+MAX(0,J105-J104)+MAX(0,J106-J105)+MAX(0,J107-J106)+MAX(0,J108-J107)),IF(B97=1,(H97/(B97+3)+J108),IF(B97=0,H97/4+J108))))</f>
        <v>30</v>
      </c>
    </row>
    <row r="110" spans="1:11" ht="17.25" customHeight="1" x14ac:dyDescent="0.25">
      <c r="A110" s="107" t="s">
        <v>236</v>
      </c>
      <c r="B110" s="107"/>
      <c r="C110" s="107" t="s">
        <v>291</v>
      </c>
      <c r="D110" s="107"/>
      <c r="E110" s="107"/>
      <c r="F110" s="107"/>
      <c r="G110" s="107"/>
      <c r="H110" s="107"/>
      <c r="I110" s="25" t="str">
        <f ca="1">(IF(E114&gt;99%,"All work completed. Please provide OC.",IF(E114&gt;89.8%,"Plinth, RCC, Brick, Plaster, Flooring, Painting work Completed. Finishing work is in process.",IF(E114&lt;94%,(IF(C114=0,"Work not yet Started.",IF(D114=25%,"Piling work in process",IF(D114=50%,"Excavation work in process",IF(D114=100%,"Excavation &amp; PCC work Completed. ","0")))&amp;(IF(C115=0%,"",IF(C115=J116,"Footing work is process",IF(C115=J117,"Footing work Completed",IF(C115=J118,"1st Basement Completed",IF(C115=J119,"1st &amp; 2nd Basement Completed",IF(C115=J120,"1st to 3rd Basement Completed",IF(C115=J121,"1st to 4th Basement Completed",IF(C115=J122,"Plinth work is process",IF(C115=J123,"Plinth work completed","0")))))))))))&amp;(IF(C116=(D111+F111+H111),", RCC Slab",IF(C116&gt;0,", RCC upto "&amp;C116&amp;" Slab",""))&amp;(IF(C117=H111,", Brickwork",IF(C117&gt;0,", Brickwork upto "&amp;C117&amp;" Floor",""))&amp;(IF(C118=H111,", Internal Plaster",IF(C118&gt;0,", Internal Plaster upto "&amp;C118&amp;" Floor",""))&amp;(IF(C119=H111,", External Plaster",IF(C119&gt;0,", External Plaster upto "&amp;C119&amp;" Floor",""))&amp;(IF(C120=H111,", Flooring",IF(C120&gt;0,", Flooring upto "&amp;C120&amp;" Floor",""))&amp;(IF(C121=H111,", Painting",IF(C121&gt;0,", Painting upto "&amp;C121&amp;" Floor",""))&amp;(IF(C122&gt;0,", Finishing upto "&amp;C122&amp;" Floor","")&amp;(IF(C116&gt;0.5," Completed",""))))))))))))))</f>
        <v>Excavation &amp; PCC work Completed. Plinth work completed, RCC Slab, Brickwork, Internal Plaster upto 28 Floor, External Plaster upto 28 Floor, Flooring upto 15 Floor Completed</v>
      </c>
      <c r="J110" s="36"/>
      <c r="K110" s="26"/>
    </row>
    <row r="111" spans="1:11" x14ac:dyDescent="0.25">
      <c r="A111" s="6" t="s">
        <v>103</v>
      </c>
      <c r="B111" s="6">
        <v>0</v>
      </c>
      <c r="C111" s="6" t="s">
        <v>105</v>
      </c>
      <c r="D111" s="6">
        <v>2</v>
      </c>
      <c r="E111" s="6" t="s">
        <v>104</v>
      </c>
      <c r="F111" s="6">
        <v>1</v>
      </c>
      <c r="G111" s="6" t="s">
        <v>118</v>
      </c>
      <c r="H111" s="6">
        <f ca="1">--TRIM(RIGHT(SUBSTITUTE(LEFT(C110,_xlfn.AGGREGATE(16,6,FIND({0,1,2,3,4,5,6,7,8,9},C110,ROW(INDIRECT("1:"&amp;LEN(C110)))),1))," ",REPT(" ",LEN(C110))),LEN(C110)))</f>
        <v>30</v>
      </c>
      <c r="I111" s="26"/>
      <c r="J111" s="37"/>
      <c r="K111" s="26"/>
    </row>
    <row r="112" spans="1:11" ht="50.45" customHeight="1" x14ac:dyDescent="0.25">
      <c r="A112" s="106" t="s">
        <v>129</v>
      </c>
      <c r="B112" s="106"/>
      <c r="C112" s="107" t="str">
        <f ca="1">I110</f>
        <v>Excavation &amp; PCC work Completed. Plinth work completed, RCC Slab, Brickwork, Internal Plaster upto 28 Floor, External Plaster upto 28 Floor, Flooring upto 15 Floor Completed</v>
      </c>
      <c r="D112" s="107"/>
      <c r="E112" s="107"/>
      <c r="F112" s="107"/>
      <c r="G112" s="107"/>
      <c r="H112" s="107"/>
      <c r="I112" s="26" t="s">
        <v>140</v>
      </c>
      <c r="J112" s="37"/>
      <c r="K112" s="26"/>
    </row>
    <row r="113" spans="1:12" ht="31.5" x14ac:dyDescent="0.25">
      <c r="A113" s="110" t="s">
        <v>52</v>
      </c>
      <c r="B113" s="110"/>
      <c r="C113" s="30" t="s">
        <v>237</v>
      </c>
      <c r="D113" s="30" t="s">
        <v>121</v>
      </c>
      <c r="E113" s="110" t="s">
        <v>123</v>
      </c>
      <c r="F113" s="110"/>
      <c r="G113" s="110" t="s">
        <v>122</v>
      </c>
      <c r="H113" s="110"/>
      <c r="I113" s="9" t="s">
        <v>238</v>
      </c>
      <c r="J113" s="38">
        <f ca="1">H111*25%</f>
        <v>7.5</v>
      </c>
      <c r="K113" s="26"/>
    </row>
    <row r="114" spans="1:12" x14ac:dyDescent="0.25">
      <c r="A114" s="109" t="s">
        <v>239</v>
      </c>
      <c r="B114" s="110"/>
      <c r="C114" s="39">
        <f ca="1">J115</f>
        <v>30</v>
      </c>
      <c r="D114" s="40">
        <f ca="1">((100/H111)*C114)/100</f>
        <v>1</v>
      </c>
      <c r="E114" s="119">
        <f ca="1">(((C115/H111*10)+(40/(D111+F111+H111)*C116)+(7.5/(H111)*C117)+(7.5/(H111)*C118)+(10/H111*C119)+(10/H111*C120)+(5/H111*C121)+(5/H111*C122)+(5/H111*C123))/100)</f>
        <v>0.78833333333333333</v>
      </c>
      <c r="F114" s="119"/>
      <c r="G114" s="119">
        <f ca="1">((((C114/H111)*20)+((C115/H111)*25)+(30/(H111+F111+D111)*C116)+(5/H111*C117)+(5/H111*C118)+(5/H111*C119)+(5/H111*C120)+(0/H111*C121)+(0/H111*C122)+(5/H111*C123))/100)</f>
        <v>0.91833333333333345</v>
      </c>
      <c r="H114" s="121"/>
      <c r="I114" s="9" t="s">
        <v>134</v>
      </c>
      <c r="J114" s="41">
        <f ca="1">H111*50%</f>
        <v>15</v>
      </c>
      <c r="K114" s="42"/>
    </row>
    <row r="115" spans="1:12" x14ac:dyDescent="0.25">
      <c r="A115" s="109" t="s">
        <v>53</v>
      </c>
      <c r="B115" s="110"/>
      <c r="C115" s="43">
        <v>30</v>
      </c>
      <c r="D115" s="40">
        <f ca="1">((100/H111)*C115)/100</f>
        <v>1</v>
      </c>
      <c r="E115" s="119"/>
      <c r="F115" s="119"/>
      <c r="G115" s="119"/>
      <c r="H115" s="121"/>
      <c r="I115" s="9" t="s">
        <v>135</v>
      </c>
      <c r="J115" s="41">
        <f ca="1">H111</f>
        <v>30</v>
      </c>
      <c r="K115" s="42"/>
      <c r="L115" s="71">
        <f>0.48*37</f>
        <v>17.759999999999998</v>
      </c>
    </row>
    <row r="116" spans="1:12" x14ac:dyDescent="0.25">
      <c r="A116" s="109" t="s">
        <v>253</v>
      </c>
      <c r="B116" s="110"/>
      <c r="C116" s="43">
        <v>33</v>
      </c>
      <c r="D116" s="40">
        <f ca="1">((100/(D111+F111+H111))*C116)/100</f>
        <v>1</v>
      </c>
      <c r="E116" s="119"/>
      <c r="F116" s="119"/>
      <c r="G116" s="119"/>
      <c r="H116" s="121"/>
      <c r="I116" s="9" t="s">
        <v>136</v>
      </c>
      <c r="J116" s="44">
        <f ca="1">(IF(B111&gt;1,(H111/(B111+2)),H111/4))</f>
        <v>7.5</v>
      </c>
      <c r="K116" s="42"/>
    </row>
    <row r="117" spans="1:12" x14ac:dyDescent="0.25">
      <c r="A117" s="109" t="s">
        <v>240</v>
      </c>
      <c r="B117" s="110" t="s">
        <v>241</v>
      </c>
      <c r="C117" s="43">
        <f>C116-D111-F111</f>
        <v>30</v>
      </c>
      <c r="D117" s="40">
        <f ca="1">((100/H111)*C117)/100</f>
        <v>1</v>
      </c>
      <c r="E117" s="119"/>
      <c r="F117" s="119"/>
      <c r="G117" s="119"/>
      <c r="H117" s="121"/>
      <c r="I117" s="9" t="s">
        <v>137</v>
      </c>
      <c r="J117" s="44">
        <f ca="1">(IF(B111&gt;1,(H111/(B111+2)+J116),H111/4+J116))</f>
        <v>15</v>
      </c>
      <c r="K117" s="42"/>
    </row>
    <row r="118" spans="1:12" x14ac:dyDescent="0.25">
      <c r="A118" s="109" t="s">
        <v>242</v>
      </c>
      <c r="B118" s="110" t="s">
        <v>241</v>
      </c>
      <c r="C118" s="43">
        <v>28</v>
      </c>
      <c r="D118" s="40">
        <f ca="1">((100/H111)*C118)/100</f>
        <v>0.93333333333333346</v>
      </c>
      <c r="E118" s="119"/>
      <c r="F118" s="119"/>
      <c r="G118" s="119"/>
      <c r="H118" s="121"/>
      <c r="I118" s="9" t="s">
        <v>243</v>
      </c>
      <c r="J118" s="44">
        <f>(IF(B111&gt;1,(H111/(B111+2)+J117),0))</f>
        <v>0</v>
      </c>
      <c r="K118" s="42"/>
    </row>
    <row r="119" spans="1:12" ht="15" customHeight="1" x14ac:dyDescent="0.25">
      <c r="A119" s="109" t="s">
        <v>244</v>
      </c>
      <c r="B119" s="110" t="s">
        <v>245</v>
      </c>
      <c r="C119" s="43">
        <f>C118</f>
        <v>28</v>
      </c>
      <c r="D119" s="40">
        <f ca="1">((100/(H111))*C119)/100</f>
        <v>0.93333333333333346</v>
      </c>
      <c r="E119" s="119"/>
      <c r="F119" s="119"/>
      <c r="G119" s="119"/>
      <c r="H119" s="121"/>
      <c r="I119" s="9" t="s">
        <v>246</v>
      </c>
      <c r="J119" s="44">
        <f>(IF(B111&gt;2,(H111/(B111+2)+J118),0))</f>
        <v>0</v>
      </c>
      <c r="K119" s="42"/>
    </row>
    <row r="120" spans="1:12" x14ac:dyDescent="0.25">
      <c r="A120" s="109" t="s">
        <v>247</v>
      </c>
      <c r="B120" s="110" t="s">
        <v>247</v>
      </c>
      <c r="C120" s="39">
        <v>15</v>
      </c>
      <c r="D120" s="40">
        <f ca="1">((100/H111)*C120)/100</f>
        <v>0.5</v>
      </c>
      <c r="E120" s="119"/>
      <c r="F120" s="119"/>
      <c r="G120" s="119"/>
      <c r="H120" s="121"/>
      <c r="I120" s="9" t="s">
        <v>248</v>
      </c>
      <c r="J120" s="45">
        <f>(IF(B111&gt;3,(H111/(B111+2)+J119),0))</f>
        <v>0</v>
      </c>
    </row>
    <row r="121" spans="1:12" x14ac:dyDescent="0.25">
      <c r="A121" s="109" t="s">
        <v>249</v>
      </c>
      <c r="B121" s="110"/>
      <c r="C121" s="39">
        <v>0</v>
      </c>
      <c r="D121" s="40">
        <f ca="1">((100/H111)*C121)/100</f>
        <v>0</v>
      </c>
      <c r="E121" s="119"/>
      <c r="F121" s="119"/>
      <c r="G121" s="119"/>
      <c r="H121" s="121"/>
      <c r="I121" s="9" t="s">
        <v>250</v>
      </c>
      <c r="J121" s="44">
        <f>(IF(B111&gt;4,(H111/(B111+2)+J120),0))</f>
        <v>0</v>
      </c>
      <c r="K121" s="42"/>
    </row>
    <row r="122" spans="1:12" ht="15" customHeight="1" x14ac:dyDescent="0.25">
      <c r="A122" s="109" t="s">
        <v>251</v>
      </c>
      <c r="B122" s="110" t="s">
        <v>251</v>
      </c>
      <c r="C122" s="39">
        <v>0</v>
      </c>
      <c r="D122" s="40">
        <f ca="1">((100/(H111))*C122)/100</f>
        <v>0</v>
      </c>
      <c r="E122" s="119"/>
      <c r="F122" s="119"/>
      <c r="G122" s="119"/>
      <c r="H122" s="121"/>
      <c r="I122" s="9" t="s">
        <v>138</v>
      </c>
      <c r="J122" s="44">
        <f ca="1">(IF(B111=1,(H111/(B111+3)+J117),IF(B111=0,(H111/4+J117),IF(B111&gt;1,0))))</f>
        <v>22.5</v>
      </c>
      <c r="K122" s="42"/>
    </row>
    <row r="123" spans="1:12" ht="16.5" thickBot="1" x14ac:dyDescent="0.3">
      <c r="A123" s="129" t="s">
        <v>252</v>
      </c>
      <c r="B123" s="130"/>
      <c r="C123" s="73">
        <v>0</v>
      </c>
      <c r="D123" s="74">
        <f ca="1">((100/(H111))*C123)/100</f>
        <v>0</v>
      </c>
      <c r="E123" s="120"/>
      <c r="F123" s="120"/>
      <c r="G123" s="120"/>
      <c r="H123" s="122"/>
      <c r="I123" s="27" t="s">
        <v>139</v>
      </c>
      <c r="J123" s="48">
        <f ca="1">(IF(B111&gt;1.5,(H111/(B111+2)+J117+MAX(0,J118-J117)+MAX(0,J119-J118)+MAX(0,J120-J119)+MAX(0,J121-J120)+MAX(0,J122-J121)),IF(B111=1,(H111/(B111+3)+J122),IF(B111=0,H111/4+J122))))</f>
        <v>30</v>
      </c>
    </row>
    <row r="124" spans="1:12" x14ac:dyDescent="0.25">
      <c r="A124" s="148" t="s">
        <v>188</v>
      </c>
      <c r="B124" s="148"/>
      <c r="C124" s="148"/>
      <c r="D124" s="148"/>
      <c r="E124" s="148"/>
      <c r="F124" s="148"/>
      <c r="G124" s="148"/>
      <c r="H124" s="148"/>
    </row>
    <row r="125" spans="1:12" x14ac:dyDescent="0.25">
      <c r="A125" s="138" t="s">
        <v>54</v>
      </c>
      <c r="B125" s="138"/>
      <c r="C125" s="138"/>
      <c r="D125" s="138"/>
      <c r="E125" s="138"/>
      <c r="F125" s="138"/>
      <c r="G125" s="138"/>
      <c r="H125" s="138"/>
    </row>
    <row r="126" spans="1:12" ht="15" customHeight="1" x14ac:dyDescent="0.25">
      <c r="A126" s="106" t="s">
        <v>108</v>
      </c>
      <c r="B126" s="106"/>
      <c r="C126" s="107" t="s">
        <v>109</v>
      </c>
      <c r="D126" s="107"/>
      <c r="E126" s="107"/>
      <c r="F126" s="107"/>
      <c r="G126" s="107"/>
      <c r="H126" s="107"/>
    </row>
    <row r="127" spans="1:12" x14ac:dyDescent="0.25">
      <c r="A127" s="215" t="s">
        <v>55</v>
      </c>
      <c r="B127" s="215"/>
      <c r="C127" s="215"/>
      <c r="D127" s="215"/>
      <c r="E127" s="215"/>
      <c r="F127" s="215"/>
      <c r="G127" s="215"/>
      <c r="H127" s="215"/>
      <c r="I127" s="33" t="s">
        <v>266</v>
      </c>
    </row>
    <row r="128" spans="1:12" x14ac:dyDescent="0.25">
      <c r="A128" s="148" t="s">
        <v>110</v>
      </c>
      <c r="B128" s="148"/>
      <c r="C128" s="148"/>
      <c r="D128" s="148"/>
      <c r="E128" s="148"/>
      <c r="F128" s="106">
        <v>13500</v>
      </c>
      <c r="G128" s="106"/>
      <c r="H128" s="106"/>
      <c r="I128" s="33" t="s">
        <v>294</v>
      </c>
      <c r="J128" s="33" t="s">
        <v>295</v>
      </c>
      <c r="K128" s="69">
        <v>45314</v>
      </c>
    </row>
    <row r="129" spans="1:12" x14ac:dyDescent="0.25">
      <c r="A129" s="148" t="s">
        <v>117</v>
      </c>
      <c r="B129" s="148"/>
      <c r="C129" s="148"/>
      <c r="D129" s="148"/>
      <c r="E129" s="148"/>
      <c r="F129" s="148">
        <v>22000</v>
      </c>
      <c r="G129" s="148"/>
      <c r="H129" s="148"/>
      <c r="I129" s="34" t="s">
        <v>306</v>
      </c>
      <c r="J129" s="34"/>
      <c r="K129" s="34"/>
    </row>
    <row r="130" spans="1:12" s="49" customFormat="1" x14ac:dyDescent="0.25">
      <c r="A130" s="113" t="s">
        <v>293</v>
      </c>
      <c r="B130" s="114"/>
      <c r="C130" s="114"/>
      <c r="D130" s="114"/>
      <c r="E130" s="115"/>
      <c r="F130" s="128" t="s">
        <v>292</v>
      </c>
      <c r="G130" s="117"/>
      <c r="H130" s="118"/>
    </row>
    <row r="131" spans="1:12" s="49" customFormat="1" hidden="1" x14ac:dyDescent="0.25">
      <c r="A131" s="113" t="s">
        <v>225</v>
      </c>
      <c r="B131" s="114"/>
      <c r="C131" s="114"/>
      <c r="D131" s="114"/>
      <c r="E131" s="115"/>
      <c r="F131" s="116">
        <v>100000</v>
      </c>
      <c r="G131" s="117"/>
      <c r="H131" s="118"/>
    </row>
    <row r="132" spans="1:12" s="49" customFormat="1" hidden="1" x14ac:dyDescent="0.25">
      <c r="A132" s="113" t="s">
        <v>224</v>
      </c>
      <c r="B132" s="114"/>
      <c r="C132" s="114"/>
      <c r="D132" s="114"/>
      <c r="E132" s="115"/>
      <c r="F132" s="116">
        <v>120000</v>
      </c>
      <c r="G132" s="117"/>
      <c r="H132" s="118"/>
    </row>
    <row r="133" spans="1:12" s="49" customFormat="1" hidden="1" x14ac:dyDescent="0.25">
      <c r="A133" s="113" t="s">
        <v>133</v>
      </c>
      <c r="B133" s="114"/>
      <c r="C133" s="114"/>
      <c r="D133" s="114"/>
      <c r="E133" s="115"/>
      <c r="F133" s="116">
        <v>100000</v>
      </c>
      <c r="G133" s="117"/>
      <c r="H133" s="118"/>
    </row>
    <row r="134" spans="1:12" s="49" customFormat="1" hidden="1" x14ac:dyDescent="0.25">
      <c r="A134" s="113" t="s">
        <v>226</v>
      </c>
      <c r="B134" s="114"/>
      <c r="C134" s="114"/>
      <c r="D134" s="114"/>
      <c r="E134" s="115"/>
      <c r="F134" s="116">
        <v>260000</v>
      </c>
      <c r="G134" s="117"/>
      <c r="H134" s="118"/>
    </row>
    <row r="135" spans="1:12" s="49" customFormat="1" hidden="1" x14ac:dyDescent="0.25">
      <c r="A135" s="113" t="s">
        <v>227</v>
      </c>
      <c r="B135" s="114"/>
      <c r="C135" s="114"/>
      <c r="D135" s="114"/>
      <c r="E135" s="115"/>
      <c r="F135" s="116">
        <v>650000</v>
      </c>
      <c r="G135" s="117"/>
      <c r="H135" s="118"/>
    </row>
    <row r="136" spans="1:12" x14ac:dyDescent="0.25">
      <c r="A136" s="113" t="s">
        <v>56</v>
      </c>
      <c r="B136" s="114"/>
      <c r="C136" s="114"/>
      <c r="D136" s="114"/>
      <c r="E136" s="115"/>
      <c r="F136" s="151" t="s">
        <v>303</v>
      </c>
      <c r="G136" s="153"/>
      <c r="H136" s="152"/>
      <c r="J136" s="33" t="s">
        <v>304</v>
      </c>
      <c r="K136" s="33" t="s">
        <v>305</v>
      </c>
      <c r="L136" s="69">
        <v>45436</v>
      </c>
    </row>
    <row r="137" spans="1:12" s="50" customFormat="1" x14ac:dyDescent="0.25">
      <c r="A137" s="172" t="s">
        <v>57</v>
      </c>
      <c r="B137" s="173"/>
      <c r="C137" s="173"/>
      <c r="D137" s="173"/>
      <c r="E137" s="174"/>
      <c r="F137" s="128">
        <f>F128*0.8</f>
        <v>10800</v>
      </c>
      <c r="G137" s="117"/>
      <c r="H137" s="118"/>
    </row>
    <row r="138" spans="1:12" s="51" customFormat="1" ht="15.75" customHeight="1" x14ac:dyDescent="0.25">
      <c r="A138" s="89" t="s">
        <v>111</v>
      </c>
      <c r="B138" s="90"/>
      <c r="C138" s="90"/>
      <c r="D138" s="90"/>
      <c r="E138" s="90"/>
      <c r="F138" s="90"/>
      <c r="G138" s="90"/>
      <c r="H138" s="91"/>
    </row>
    <row r="139" spans="1:12" s="51" customFormat="1" ht="15.75" customHeight="1" x14ac:dyDescent="0.25">
      <c r="A139" s="92" t="s">
        <v>58</v>
      </c>
      <c r="B139" s="94"/>
      <c r="C139" s="52" t="s">
        <v>114</v>
      </c>
      <c r="D139" s="111" t="s">
        <v>59</v>
      </c>
      <c r="E139" s="112"/>
      <c r="F139" s="92" t="s">
        <v>60</v>
      </c>
      <c r="G139" s="93"/>
      <c r="H139" s="94"/>
    </row>
    <row r="140" spans="1:12" s="51" customFormat="1" x14ac:dyDescent="0.25">
      <c r="A140" s="89" t="s">
        <v>175</v>
      </c>
      <c r="B140" s="91"/>
      <c r="C140" s="53">
        <f>COUNT(D212:D215)</f>
        <v>4</v>
      </c>
      <c r="D140" s="100">
        <f>SUM(D212:D215)</f>
        <v>2228.8745699999999</v>
      </c>
      <c r="E140" s="101"/>
      <c r="F140" s="92">
        <f>SUM(F212:F215)</f>
        <v>3566.1993120000002</v>
      </c>
      <c r="G140" s="93"/>
      <c r="H140" s="94"/>
    </row>
    <row r="141" spans="1:12" s="51" customFormat="1" x14ac:dyDescent="0.25">
      <c r="A141" s="89" t="s">
        <v>102</v>
      </c>
      <c r="B141" s="90"/>
      <c r="C141" s="90"/>
      <c r="D141" s="90"/>
      <c r="E141" s="90"/>
      <c r="F141" s="90"/>
      <c r="G141" s="90"/>
      <c r="H141" s="91"/>
    </row>
    <row r="142" spans="1:12" s="51" customFormat="1" x14ac:dyDescent="0.25">
      <c r="A142" s="92" t="s">
        <v>58</v>
      </c>
      <c r="B142" s="94"/>
      <c r="C142" s="52" t="s">
        <v>114</v>
      </c>
      <c r="D142" s="111" t="s">
        <v>59</v>
      </c>
      <c r="E142" s="112"/>
      <c r="F142" s="92" t="s">
        <v>60</v>
      </c>
      <c r="G142" s="93"/>
      <c r="H142" s="94"/>
    </row>
    <row r="143" spans="1:12" s="51" customFormat="1" x14ac:dyDescent="0.25">
      <c r="A143" s="95" t="s">
        <v>231</v>
      </c>
      <c r="B143" s="96"/>
      <c r="C143" s="54">
        <f>COUNT(D156:D159)+COUNT(D161:D164)+COUNT(D166:D170)*25+COUNT(D174:D177)*5</f>
        <v>153</v>
      </c>
      <c r="D143" s="247">
        <f>SUM(D156:D159)+SUM(D161:D164)+SUM(D166:D170)*25+SUM(D174:D177)*5</f>
        <v>89504.740681200012</v>
      </c>
      <c r="E143" s="248"/>
      <c r="F143" s="247">
        <f>SUM(F156:F159)+SUM(F161:F164)+SUM(F166:F170)*25+SUM(F174:F177)*5</f>
        <v>134257.1110218</v>
      </c>
      <c r="G143" s="249"/>
      <c r="H143" s="248"/>
    </row>
    <row r="144" spans="1:12" s="51" customFormat="1" x14ac:dyDescent="0.25">
      <c r="A144" s="95" t="s">
        <v>161</v>
      </c>
      <c r="B144" s="96"/>
      <c r="C144" s="55">
        <f>COUNT(D181:D184)+COUNT(D186:D189)+COUNT(D191:D198)*25+COUNT(D201:D202)*5+COUNT(D205:D208)*5</f>
        <v>238</v>
      </c>
      <c r="D144" s="97">
        <f>SUM(D181:D184)+SUM(D186:D189)+SUM(D191:D198)*25+SUM(D201:D202)*5+SUM(D205:D208)*5</f>
        <v>143790.87354840001</v>
      </c>
      <c r="E144" s="98"/>
      <c r="F144" s="102">
        <f>SUM(F181:F184)+SUM(F186:F189)+SUM(F191:F198)*25+SUM(F201:F202)*5+SUM(F205:F208)*5</f>
        <v>215686.31032259995</v>
      </c>
      <c r="G144" s="103"/>
      <c r="H144" s="104"/>
    </row>
    <row r="145" spans="1:8" s="51" customFormat="1" x14ac:dyDescent="0.25">
      <c r="A145" s="95" t="s">
        <v>175</v>
      </c>
      <c r="B145" s="96"/>
      <c r="C145" s="55">
        <f>COUNT(D216:D218)+COUNT(D224:D226)+COUNT(D228:D234)*25+COUNT(D236:D238,D241:D242)*5</f>
        <v>206</v>
      </c>
      <c r="D145" s="97">
        <f>SUM(D216:D218)+SUM(D224:D226)+SUM(D228:D234)*25+SUM(D236:D238,D241:D242)*5</f>
        <v>125073.73284119999</v>
      </c>
      <c r="E145" s="98"/>
      <c r="F145" s="102">
        <f>SUM(F216:F218)+SUM(F224:F226)+SUM(F228:F234)*25+SUM(F236:F238,F241:F242)*5</f>
        <v>187610.5992618</v>
      </c>
      <c r="G145" s="103"/>
      <c r="H145" s="104"/>
    </row>
    <row r="146" spans="1:8" s="51" customFormat="1" x14ac:dyDescent="0.25">
      <c r="A146" s="95" t="s">
        <v>259</v>
      </c>
      <c r="B146" s="96"/>
      <c r="C146" s="55">
        <f>COUNT(D248:D251)*25+COUNT(D254:D255)*5+COUNT(D257)*5</f>
        <v>115</v>
      </c>
      <c r="D146" s="97">
        <f>SUM(D248:D251)*25+SUM(D254:D255)*5+SUM(D257)*5</f>
        <v>79460</v>
      </c>
      <c r="E146" s="98"/>
      <c r="F146" s="97">
        <f>SUM(F248:F251)*25+SUM(F254:F255)*5+SUM(F257)*5</f>
        <v>119190</v>
      </c>
      <c r="G146" s="99"/>
      <c r="H146" s="98"/>
    </row>
    <row r="147" spans="1:8" s="51" customFormat="1" x14ac:dyDescent="0.25">
      <c r="A147" s="95" t="s">
        <v>282</v>
      </c>
      <c r="B147" s="96"/>
      <c r="C147" s="55">
        <f>COUNT(D263:D268)*25+COUNT(D270:D272,D274:D275)*5</f>
        <v>175</v>
      </c>
      <c r="D147" s="97">
        <f>SUM(D263:D268)*25+SUM(D270:D272,D274:D275)*5</f>
        <v>148957.61399999997</v>
      </c>
      <c r="E147" s="98"/>
      <c r="F147" s="97">
        <f>SUM(F263:F268)*25+SUM(F270:F272,F274:F275)*5</f>
        <v>223436.42099999994</v>
      </c>
      <c r="G147" s="99"/>
      <c r="H147" s="98"/>
    </row>
    <row r="148" spans="1:8" s="51" customFormat="1" ht="16.5" thickBot="1" x14ac:dyDescent="0.3">
      <c r="A148" s="267" t="s">
        <v>62</v>
      </c>
      <c r="B148" s="268"/>
      <c r="C148" s="269">
        <f>SUM(C143:C147)</f>
        <v>887</v>
      </c>
      <c r="D148" s="270">
        <f>SUM(D143:D147)</f>
        <v>586786.96107079997</v>
      </c>
      <c r="E148" s="271"/>
      <c r="F148" s="272">
        <f>SUM(F143:F147)</f>
        <v>880180.44160619995</v>
      </c>
      <c r="G148" s="273"/>
      <c r="H148" s="274"/>
    </row>
    <row r="149" spans="1:8" s="51" customFormat="1" ht="16.5" thickBot="1" x14ac:dyDescent="0.3">
      <c r="A149" s="278" t="s">
        <v>312</v>
      </c>
      <c r="B149" s="279"/>
      <c r="C149" s="280">
        <f>C140+C148</f>
        <v>891</v>
      </c>
      <c r="D149" s="281">
        <f t="shared" ref="D149:E149" si="0">D140+D148</f>
        <v>589015.83564079995</v>
      </c>
      <c r="E149" s="282"/>
      <c r="F149" s="283">
        <f>F140+F148</f>
        <v>883746.6409181999</v>
      </c>
      <c r="G149" s="283"/>
      <c r="H149" s="284"/>
    </row>
    <row r="150" spans="1:8" s="50" customFormat="1" x14ac:dyDescent="0.25">
      <c r="A150" s="275" t="s">
        <v>63</v>
      </c>
      <c r="B150" s="276"/>
      <c r="C150" s="276"/>
      <c r="D150" s="276"/>
      <c r="E150" s="276"/>
      <c r="F150" s="276"/>
      <c r="G150" s="276"/>
      <c r="H150" s="277"/>
    </row>
    <row r="151" spans="1:8" x14ac:dyDescent="0.25">
      <c r="A151" s="145" t="s">
        <v>64</v>
      </c>
      <c r="B151" s="146"/>
      <c r="C151" s="146"/>
      <c r="D151" s="146"/>
      <c r="E151" s="146"/>
      <c r="F151" s="146"/>
      <c r="G151" s="146"/>
      <c r="H151" s="147"/>
    </row>
    <row r="152" spans="1:8" ht="47.25" customHeight="1" x14ac:dyDescent="0.25">
      <c r="A152" s="56" t="s">
        <v>234</v>
      </c>
      <c r="B152" s="56" t="s">
        <v>235</v>
      </c>
      <c r="C152" s="7" t="s">
        <v>65</v>
      </c>
      <c r="D152" s="32" t="s">
        <v>66</v>
      </c>
      <c r="E152" s="8" t="s">
        <v>67</v>
      </c>
      <c r="F152" s="7" t="s">
        <v>68</v>
      </c>
      <c r="G152" s="184" t="s">
        <v>69</v>
      </c>
      <c r="H152" s="185"/>
    </row>
    <row r="153" spans="1:8" s="57" customFormat="1" x14ac:dyDescent="0.25">
      <c r="A153" s="75" t="s">
        <v>233</v>
      </c>
      <c r="B153" s="76"/>
      <c r="C153" s="76"/>
      <c r="D153" s="76"/>
      <c r="E153" s="76"/>
      <c r="F153" s="76"/>
      <c r="G153" s="76"/>
      <c r="H153" s="77"/>
    </row>
    <row r="154" spans="1:8" s="57" customFormat="1" x14ac:dyDescent="0.25">
      <c r="A154" s="75" t="s">
        <v>162</v>
      </c>
      <c r="B154" s="76"/>
      <c r="C154" s="76"/>
      <c r="D154" s="76"/>
      <c r="E154" s="76"/>
      <c r="F154" s="76"/>
      <c r="G154" s="76"/>
      <c r="H154" s="77"/>
    </row>
    <row r="155" spans="1:8" s="57" customFormat="1" x14ac:dyDescent="0.25">
      <c r="A155" s="75" t="s">
        <v>163</v>
      </c>
      <c r="B155" s="76"/>
      <c r="C155" s="76"/>
      <c r="D155" s="76"/>
      <c r="E155" s="76"/>
      <c r="F155" s="76"/>
      <c r="G155" s="76"/>
      <c r="H155" s="77"/>
    </row>
    <row r="156" spans="1:8" s="57" customFormat="1" x14ac:dyDescent="0.25">
      <c r="A156" s="78" t="s">
        <v>164</v>
      </c>
      <c r="B156" s="84"/>
      <c r="C156" s="10" t="s">
        <v>168</v>
      </c>
      <c r="D156" s="29">
        <f>(3*3.57+1.14*1.3+1.6*1.57+3.08*1.52+1.6*1.57+2.13*3.05+1.4*2.25+0.6*1.05+1.45*0.6+1.4*2.3+3.05*3.2+2.9*3.2+1.4*0.6)*10.764</f>
        <v>604.33509240000001</v>
      </c>
      <c r="E156" s="10">
        <v>0</v>
      </c>
      <c r="F156" s="10">
        <f>D156*1.5+E156</f>
        <v>906.50263859999995</v>
      </c>
      <c r="G156" s="80" t="s">
        <v>169</v>
      </c>
      <c r="H156" s="81"/>
    </row>
    <row r="157" spans="1:8" s="57" customFormat="1" x14ac:dyDescent="0.25">
      <c r="A157" s="78" t="s">
        <v>165</v>
      </c>
      <c r="B157" s="84" t="s">
        <v>167</v>
      </c>
      <c r="C157" s="10" t="s">
        <v>168</v>
      </c>
      <c r="D157" s="29">
        <f>(3*3.57+1.14*1.3+1.6*1.57+3.08*1.52+1.6*1.57+2.13*3.05+1.4*2.25+0.6*1.05+1.45*0.6+1.4*2.3+3.05*3.2+2.9*3.2+1.4*0.6)*10.764</f>
        <v>604.33509240000001</v>
      </c>
      <c r="E157" s="10">
        <v>0</v>
      </c>
      <c r="F157" s="10">
        <f t="shared" ref="F157:F159" si="1">D157*1.5+E157</f>
        <v>906.50263859999995</v>
      </c>
      <c r="G157" s="82"/>
      <c r="H157" s="83"/>
    </row>
    <row r="158" spans="1:8" s="57" customFormat="1" x14ac:dyDescent="0.25">
      <c r="A158" s="78" t="s">
        <v>166</v>
      </c>
      <c r="B158" s="84" t="s">
        <v>164</v>
      </c>
      <c r="C158" s="10" t="s">
        <v>168</v>
      </c>
      <c r="D158" s="29">
        <f>(1.3*1.75+3.03*3+2.4*2.3+1.52*3.08+1.65*0.8+1.05*1.8+2.25*1.35+2.6*2.1+1.05*0.6+0.6*1.6+2.3*1.35+3.2*3.05+0.6*1.11)*10.764</f>
        <v>520.92485639999995</v>
      </c>
      <c r="E158" s="10">
        <v>0</v>
      </c>
      <c r="F158" s="10">
        <f t="shared" si="1"/>
        <v>781.38728459999993</v>
      </c>
      <c r="G158" s="82"/>
      <c r="H158" s="83"/>
    </row>
    <row r="159" spans="1:8" s="57" customFormat="1" x14ac:dyDescent="0.25">
      <c r="A159" s="78" t="s">
        <v>167</v>
      </c>
      <c r="B159" s="84" t="s">
        <v>165</v>
      </c>
      <c r="C159" s="10" t="s">
        <v>168</v>
      </c>
      <c r="D159" s="29">
        <f>(1.3*1.75+3.03*3+2.4*2.3+1.52*3.08+1.65*0.8+1.05*1.8+2.25*1.35+2.6*2.1+1.05*0.6+0.6*1.6+2.3*1.35+3.2*3.05+0.6*1.11)*10.764</f>
        <v>520.92485639999995</v>
      </c>
      <c r="E159" s="10">
        <v>0</v>
      </c>
      <c r="F159" s="10">
        <f t="shared" si="1"/>
        <v>781.38728459999993</v>
      </c>
      <c r="G159" s="87"/>
      <c r="H159" s="88"/>
    </row>
    <row r="160" spans="1:8" s="57" customFormat="1" x14ac:dyDescent="0.25">
      <c r="A160" s="75" t="s">
        <v>170</v>
      </c>
      <c r="B160" s="76"/>
      <c r="C160" s="76"/>
      <c r="D160" s="76"/>
      <c r="E160" s="76"/>
      <c r="F160" s="76"/>
      <c r="G160" s="76"/>
      <c r="H160" s="77"/>
    </row>
    <row r="161" spans="1:9" s="57" customFormat="1" x14ac:dyDescent="0.25">
      <c r="A161" s="78" t="s">
        <v>183</v>
      </c>
      <c r="B161" s="84" t="s">
        <v>185</v>
      </c>
      <c r="C161" s="10" t="s">
        <v>168</v>
      </c>
      <c r="D161" s="29">
        <f>(3*3.57+1.14*1.3+1.6*1.57+3.08*1.52+1.6*1.57+2.13*3.05+1.4*2.25+0.6*1.05+1.45*0.6+1.4*2.3+3.05*3.2+2.9*3.2+1.4*0.6)*10.764</f>
        <v>604.33509240000001</v>
      </c>
      <c r="E161" s="10">
        <v>0</v>
      </c>
      <c r="F161" s="10">
        <f>D161*1.5+E161</f>
        <v>906.50263859999995</v>
      </c>
      <c r="G161" s="80" t="s">
        <v>172</v>
      </c>
      <c r="H161" s="81"/>
    </row>
    <row r="162" spans="1:9" s="57" customFormat="1" x14ac:dyDescent="0.25">
      <c r="A162" s="78" t="s">
        <v>184</v>
      </c>
      <c r="B162" s="84" t="s">
        <v>204</v>
      </c>
      <c r="C162" s="10" t="s">
        <v>168</v>
      </c>
      <c r="D162" s="29">
        <f>(3*3.57+1.14*1.3+1.6*1.57+3.08*1.52+1.6*1.57+2.13*3.05+1.4*2.25+0.6*1.05+1.45*0.6+1.4*2.3+3.05*3.2+2.9*3.2+1.4*0.6)*10.764</f>
        <v>604.33509240000001</v>
      </c>
      <c r="E162" s="10">
        <v>0</v>
      </c>
      <c r="F162" s="10">
        <f t="shared" ref="F162:F164" si="2">D162*1.5+E162</f>
        <v>906.50263859999995</v>
      </c>
      <c r="G162" s="82"/>
      <c r="H162" s="83"/>
    </row>
    <row r="163" spans="1:9" s="57" customFormat="1" x14ac:dyDescent="0.25">
      <c r="A163" s="78" t="s">
        <v>185</v>
      </c>
      <c r="B163" s="84" t="s">
        <v>183</v>
      </c>
      <c r="C163" s="10" t="s">
        <v>168</v>
      </c>
      <c r="D163" s="29">
        <f>(1.3*1.75+3.03*3+2.4*2.3+1.52*3.08+1.65*0.8+1.05*1.8+2.25*1.35+2.6*2.1+1.05*0.6+0.6*1.6+2.3*1.35+3.2*3.05+0.6*1.11)*10.764</f>
        <v>520.92485639999995</v>
      </c>
      <c r="E163" s="10">
        <v>0</v>
      </c>
      <c r="F163" s="10">
        <f t="shared" si="2"/>
        <v>781.38728459999993</v>
      </c>
      <c r="G163" s="82"/>
      <c r="H163" s="83"/>
    </row>
    <row r="164" spans="1:9" s="57" customFormat="1" x14ac:dyDescent="0.25">
      <c r="A164" s="78" t="s">
        <v>204</v>
      </c>
      <c r="B164" s="84" t="s">
        <v>184</v>
      </c>
      <c r="C164" s="10" t="s">
        <v>168</v>
      </c>
      <c r="D164" s="29">
        <f>(1.3*1.75+3.03*3+2.4*2.3+1.52*3.08+1.65*0.8+1.05*1.8+2.25*1.35+2.6*2.1+1.05*0.6+0.6*1.6+2.3*1.35+3.2*3.05+0.6*1.11)*10.764</f>
        <v>520.92485639999995</v>
      </c>
      <c r="E164" s="10">
        <v>0</v>
      </c>
      <c r="F164" s="10">
        <f t="shared" si="2"/>
        <v>781.38728459999993</v>
      </c>
      <c r="G164" s="87"/>
      <c r="H164" s="88"/>
    </row>
    <row r="165" spans="1:9" s="57" customFormat="1" x14ac:dyDescent="0.25">
      <c r="A165" s="75" t="s">
        <v>171</v>
      </c>
      <c r="B165" s="76"/>
      <c r="C165" s="76"/>
      <c r="D165" s="76"/>
      <c r="E165" s="76"/>
      <c r="F165" s="76"/>
      <c r="G165" s="76"/>
      <c r="H165" s="77"/>
    </row>
    <row r="166" spans="1:9" s="57" customFormat="1" ht="15.6" customHeight="1" x14ac:dyDescent="0.25">
      <c r="A166" s="28" t="s">
        <v>205</v>
      </c>
      <c r="B166" s="28" t="s">
        <v>208</v>
      </c>
      <c r="C166" s="10" t="s">
        <v>168</v>
      </c>
      <c r="D166" s="29">
        <f>(3*3.57+1.14*1.3+1.6*1.57+3.08*1.52+1.6*1.57+2.13*3.05+1.4*2.25+0.6*1.05+1.45*0.6+1.4*2.3+3.05*3.2+2.9*3.2+1.4*0.6)*10.764</f>
        <v>604.33509240000001</v>
      </c>
      <c r="E166" s="10">
        <v>0</v>
      </c>
      <c r="F166" s="10">
        <f>D166*1.5+E166</f>
        <v>906.50263859999995</v>
      </c>
      <c r="G166" s="80" t="str">
        <f>A165</f>
        <v>1st To 6th, 8th To 10th, 12th To 15th, 17th To 20th, 22nd To 25th, 27th To 30th Floor</v>
      </c>
      <c r="H166" s="81"/>
    </row>
    <row r="167" spans="1:9" s="57" customFormat="1" x14ac:dyDescent="0.25">
      <c r="A167" s="28" t="s">
        <v>206</v>
      </c>
      <c r="B167" s="28" t="s">
        <v>209</v>
      </c>
      <c r="C167" s="10" t="s">
        <v>168</v>
      </c>
      <c r="D167" s="29">
        <f>(3*3.57+1.14*1.3+1.6*1.57+3.08*1.52+1.6*1.57+2.13*3.05+1.4*2.25+0.6*1.05+1.45*0.6+1.4*2.3+3.05*3.2+2.9*3.2+1.4*0.6)*10.764</f>
        <v>604.33509240000001</v>
      </c>
      <c r="E167" s="10">
        <v>0</v>
      </c>
      <c r="F167" s="10">
        <f t="shared" ref="F167:F169" si="3">D167*1.5+E167</f>
        <v>906.50263859999995</v>
      </c>
      <c r="G167" s="82"/>
      <c r="H167" s="83"/>
    </row>
    <row r="168" spans="1:9" s="57" customFormat="1" x14ac:dyDescent="0.25">
      <c r="A168" s="28" t="s">
        <v>207</v>
      </c>
      <c r="B168" s="28" t="s">
        <v>205</v>
      </c>
      <c r="C168" s="10" t="s">
        <v>168</v>
      </c>
      <c r="D168" s="29">
        <f>(1.3*1.75+3.03*3+2.4*2.3+1.52*3.08+1.65*0.8+1.05*1.8+2.25*1.35+2.6*2.1+1.05*0.6+0.6*1.6+2.3*1.35+3.2*3.05+0.6*1.11)*10.764</f>
        <v>520.92485639999995</v>
      </c>
      <c r="E168" s="10">
        <v>0</v>
      </c>
      <c r="F168" s="10">
        <f t="shared" si="3"/>
        <v>781.38728459999993</v>
      </c>
      <c r="G168" s="82"/>
      <c r="H168" s="83"/>
      <c r="I168" s="58">
        <f>(7534875+1310000)/F168</f>
        <v>11319.450897550478</v>
      </c>
    </row>
    <row r="169" spans="1:9" s="57" customFormat="1" x14ac:dyDescent="0.25">
      <c r="A169" s="28" t="s">
        <v>208</v>
      </c>
      <c r="B169" s="28" t="s">
        <v>206</v>
      </c>
      <c r="C169" s="10" t="s">
        <v>168</v>
      </c>
      <c r="D169" s="29">
        <f>(1.3*1.75+3.03*3+2.4*2.3+1.52*3.08+1.65*0.8+1.05*1.8+2.25*1.35+2.6*2.1+1.05*0.6+0.6*1.6+2.3*1.35+3.2*3.05+0.6*1.11)*10.764</f>
        <v>520.92485639999995</v>
      </c>
      <c r="E169" s="10">
        <v>0</v>
      </c>
      <c r="F169" s="10">
        <f t="shared" si="3"/>
        <v>781.38728459999993</v>
      </c>
      <c r="G169" s="82"/>
      <c r="H169" s="83"/>
    </row>
    <row r="170" spans="1:9" s="57" customFormat="1" x14ac:dyDescent="0.25">
      <c r="A170" s="28" t="s">
        <v>209</v>
      </c>
      <c r="B170" s="28" t="s">
        <v>207</v>
      </c>
      <c r="C170" s="10" t="s">
        <v>168</v>
      </c>
      <c r="D170" s="29">
        <f>(1.12*1.35+3.2*3.93+3.4*1.52+1.45*1.65+2.45*1.05+2.3*3+1.4*2.3+1.9*0.6+0.85*1.05+1.4*2.3+3.25*2.95+3.45*1.25+3*3.05+1.45*0.6)*10.764</f>
        <v>683.65931399999988</v>
      </c>
      <c r="E170" s="10">
        <v>0</v>
      </c>
      <c r="F170" s="10">
        <f>D170*1.5+E170</f>
        <v>1025.4889709999998</v>
      </c>
      <c r="G170" s="82"/>
      <c r="H170" s="83"/>
    </row>
    <row r="171" spans="1:9" s="57" customFormat="1" ht="16.899999999999999" customHeight="1" x14ac:dyDescent="0.25">
      <c r="A171" s="75" t="s">
        <v>187</v>
      </c>
      <c r="B171" s="76"/>
      <c r="C171" s="76"/>
      <c r="D171" s="76"/>
      <c r="E171" s="76"/>
      <c r="F171" s="76"/>
      <c r="G171" s="76"/>
      <c r="H171" s="77"/>
    </row>
    <row r="172" spans="1:9" s="57" customFormat="1" x14ac:dyDescent="0.25">
      <c r="A172" s="75" t="s">
        <v>173</v>
      </c>
      <c r="B172" s="76"/>
      <c r="C172" s="76"/>
      <c r="D172" s="76"/>
      <c r="E172" s="76"/>
      <c r="F172" s="76"/>
      <c r="G172" s="76"/>
      <c r="H172" s="77"/>
    </row>
    <row r="173" spans="1:9" s="57" customFormat="1" x14ac:dyDescent="0.25">
      <c r="A173" s="28" t="s">
        <v>213</v>
      </c>
      <c r="B173" s="28" t="s">
        <v>216</v>
      </c>
      <c r="C173" s="85" t="s">
        <v>174</v>
      </c>
      <c r="D173" s="86"/>
      <c r="E173" s="86"/>
      <c r="F173" s="79"/>
      <c r="G173" s="80" t="str">
        <f>A172</f>
        <v>7th, 11th, 16th, 21st &amp; 26th Floor</v>
      </c>
      <c r="H173" s="81"/>
    </row>
    <row r="174" spans="1:9" s="57" customFormat="1" x14ac:dyDescent="0.25">
      <c r="A174" s="28" t="s">
        <v>214</v>
      </c>
      <c r="B174" s="28" t="s">
        <v>217</v>
      </c>
      <c r="C174" s="10" t="s">
        <v>168</v>
      </c>
      <c r="D174" s="29">
        <f>(3*3.57+1.14*1.3+1.6*1.57+3.08*1.52+1.6*1.57+2.13*3.05+1.4*2.25+0.6*1.05+1.45*0.6+1.4*2.3+3.05*3.2+2.9*3.2+1.4*0.6)*10.764</f>
        <v>604.33509240000001</v>
      </c>
      <c r="E174" s="10">
        <v>0</v>
      </c>
      <c r="F174" s="10">
        <f t="shared" ref="F174:F177" si="4">D174*1.5+E174</f>
        <v>906.50263859999995</v>
      </c>
      <c r="G174" s="82"/>
      <c r="H174" s="83"/>
    </row>
    <row r="175" spans="1:9" s="57" customFormat="1" x14ac:dyDescent="0.25">
      <c r="A175" s="28" t="s">
        <v>215</v>
      </c>
      <c r="B175" s="28" t="s">
        <v>213</v>
      </c>
      <c r="C175" s="10" t="s">
        <v>168</v>
      </c>
      <c r="D175" s="29">
        <f>(1.3*1.75+3.03*3+2.4*2.3+1.52*3.08+1.65*0.8+1.05*1.8+2.25*1.35+2.6*2.1+1.05*0.6+0.6*1.6+2.3*1.35+3.2*3.05+0.6*1.11)*10.764</f>
        <v>520.92485639999995</v>
      </c>
      <c r="E175" s="10">
        <v>0</v>
      </c>
      <c r="F175" s="10">
        <f t="shared" si="4"/>
        <v>781.38728459999993</v>
      </c>
      <c r="G175" s="82"/>
      <c r="H175" s="83"/>
    </row>
    <row r="176" spans="1:9" s="57" customFormat="1" x14ac:dyDescent="0.25">
      <c r="A176" s="28" t="s">
        <v>216</v>
      </c>
      <c r="B176" s="28" t="s">
        <v>214</v>
      </c>
      <c r="C176" s="10" t="s">
        <v>168</v>
      </c>
      <c r="D176" s="29">
        <f>(1.3*1.75+3.03*3+2.4*2.3+1.52*3.08+1.65*0.8+1.05*1.8+2.25*1.35+2.6*2.1+1.05*0.6+0.6*1.6+2.3*1.35+3.2*3.05+0.6*1.11)*10.764</f>
        <v>520.92485639999995</v>
      </c>
      <c r="E176" s="10">
        <v>0</v>
      </c>
      <c r="F176" s="10">
        <f t="shared" si="4"/>
        <v>781.38728459999993</v>
      </c>
      <c r="G176" s="82"/>
      <c r="H176" s="83"/>
    </row>
    <row r="177" spans="1:8" s="57" customFormat="1" x14ac:dyDescent="0.25">
      <c r="A177" s="28" t="s">
        <v>217</v>
      </c>
      <c r="B177" s="28" t="s">
        <v>215</v>
      </c>
      <c r="C177" s="10" t="s">
        <v>168</v>
      </c>
      <c r="D177" s="29">
        <f>(1.12*1.35+3.2*3.93+3.4*1.52+1.45*1.65+2.45*1.05+2.3*3+1.4*2.3+1.9*0.6+0.85*1.05+1.4*2.3+3.25*2.95+3.45*1.25+3*3.05+1.45*0.6)*10.764</f>
        <v>683.65931399999988</v>
      </c>
      <c r="E177" s="10">
        <v>0</v>
      </c>
      <c r="F177" s="10">
        <f t="shared" si="4"/>
        <v>1025.4889709999998</v>
      </c>
      <c r="G177" s="82"/>
      <c r="H177" s="83"/>
    </row>
    <row r="178" spans="1:8" s="57" customFormat="1" x14ac:dyDescent="0.25">
      <c r="A178" s="75" t="s">
        <v>222</v>
      </c>
      <c r="B178" s="76"/>
      <c r="C178" s="76"/>
      <c r="D178" s="76"/>
      <c r="E178" s="76"/>
      <c r="F178" s="76"/>
      <c r="G178" s="76"/>
      <c r="H178" s="77"/>
    </row>
    <row r="179" spans="1:8" s="57" customFormat="1" x14ac:dyDescent="0.25">
      <c r="A179" s="75" t="s">
        <v>162</v>
      </c>
      <c r="B179" s="76"/>
      <c r="C179" s="76"/>
      <c r="D179" s="76"/>
      <c r="E179" s="76"/>
      <c r="F179" s="76"/>
      <c r="G179" s="76"/>
      <c r="H179" s="77"/>
    </row>
    <row r="180" spans="1:8" s="57" customFormat="1" x14ac:dyDescent="0.25">
      <c r="A180" s="75" t="s">
        <v>163</v>
      </c>
      <c r="B180" s="76"/>
      <c r="C180" s="76"/>
      <c r="D180" s="76"/>
      <c r="E180" s="76"/>
      <c r="F180" s="76"/>
      <c r="G180" s="76"/>
      <c r="H180" s="77"/>
    </row>
    <row r="181" spans="1:8" s="57" customFormat="1" x14ac:dyDescent="0.25">
      <c r="A181" s="78" t="s">
        <v>164</v>
      </c>
      <c r="B181" s="79"/>
      <c r="C181" s="10" t="s">
        <v>168</v>
      </c>
      <c r="D181" s="29">
        <f>(3.03*3.58+2.15*3.05+2.89*3.2+3.05*3.2+1.4*2.3+1.4*2.25+1.26*1.33+1.51*1.55+2.55*1.05+1.05*0.56+1.46*0.6+1.35*0.6+3.13*1.54)*10.764</f>
        <v>608.92916760000003</v>
      </c>
      <c r="E181" s="10">
        <v>0</v>
      </c>
      <c r="F181" s="10">
        <f>D181*1.5+E181</f>
        <v>913.39375140000004</v>
      </c>
      <c r="G181" s="80" t="s">
        <v>169</v>
      </c>
      <c r="H181" s="81"/>
    </row>
    <row r="182" spans="1:8" s="57" customFormat="1" x14ac:dyDescent="0.25">
      <c r="A182" s="78" t="s">
        <v>165</v>
      </c>
      <c r="B182" s="79"/>
      <c r="C182" s="10" t="s">
        <v>168</v>
      </c>
      <c r="D182" s="29">
        <f>(3.05*3.05+2.25*2.5+2.15*2.75+3.05*3.2+1.35*2.3+1.35*2.26+1.38*1.76+1*1.05+1.55*0.6+1.05*0.6+1.05*0.6+1.54*3.13)*10.764</f>
        <v>508.54517999999996</v>
      </c>
      <c r="E182" s="10">
        <v>0</v>
      </c>
      <c r="F182" s="10">
        <f t="shared" ref="F182:F184" si="5">D182*1.5+E182</f>
        <v>762.81776999999988</v>
      </c>
      <c r="G182" s="82"/>
      <c r="H182" s="83"/>
    </row>
    <row r="183" spans="1:8" s="57" customFormat="1" x14ac:dyDescent="0.25">
      <c r="A183" s="78" t="s">
        <v>166</v>
      </c>
      <c r="B183" s="79"/>
      <c r="C183" s="10" t="s">
        <v>168</v>
      </c>
      <c r="D183" s="29">
        <f>(3.05*3.05+2.25*2.5+2.15*2.75+3.05*3.2+1.35*2.3+1.35*2.26+1.38*1.76+1*1.05+1.55*0.6+1.05*0.6+1.05*0.6+1.54*3.13)*10.764</f>
        <v>508.54517999999996</v>
      </c>
      <c r="E183" s="10">
        <v>0</v>
      </c>
      <c r="F183" s="10">
        <f t="shared" si="5"/>
        <v>762.81776999999988</v>
      </c>
      <c r="G183" s="82"/>
      <c r="H183" s="83"/>
    </row>
    <row r="184" spans="1:8" s="57" customFormat="1" x14ac:dyDescent="0.25">
      <c r="A184" s="78" t="s">
        <v>167</v>
      </c>
      <c r="B184" s="79"/>
      <c r="C184" s="10" t="s">
        <v>168</v>
      </c>
      <c r="D184" s="29">
        <f>(3.03*3.58+2.15*3.05+2.89*3.2+3.05*3.2+1.4*2.3+1.4*2.25+1.26*1.33+1.51*1.55+2.55*1.05+1.05*0.56+1.46*0.6+1.35*0.6+3.13*1.54)*10.764</f>
        <v>608.92916760000003</v>
      </c>
      <c r="E184" s="10">
        <v>0</v>
      </c>
      <c r="F184" s="10">
        <f t="shared" si="5"/>
        <v>913.39375140000004</v>
      </c>
      <c r="G184" s="87"/>
      <c r="H184" s="88"/>
    </row>
    <row r="185" spans="1:8" s="57" customFormat="1" x14ac:dyDescent="0.25">
      <c r="A185" s="75" t="s">
        <v>170</v>
      </c>
      <c r="B185" s="76"/>
      <c r="C185" s="76"/>
      <c r="D185" s="76"/>
      <c r="E185" s="76"/>
      <c r="F185" s="76"/>
      <c r="G185" s="76"/>
      <c r="H185" s="77"/>
    </row>
    <row r="186" spans="1:8" s="57" customFormat="1" x14ac:dyDescent="0.25">
      <c r="A186" s="78" t="s">
        <v>183</v>
      </c>
      <c r="B186" s="79"/>
      <c r="C186" s="10" t="s">
        <v>168</v>
      </c>
      <c r="D186" s="29">
        <f>(3.03*3.58+2.15*3.05+2.89*3.2+3.05*3.2+1.4*2.3+1.4*2.25+1.26*1.33+1.51*1.55+2.55*1.05+1.05*0.56+1.46*0.6+1.35*0.6+3.13*1.54)*10.764</f>
        <v>608.92916760000003</v>
      </c>
      <c r="E186" s="10">
        <v>0</v>
      </c>
      <c r="F186" s="10">
        <f>D186*1.5+E186</f>
        <v>913.39375140000004</v>
      </c>
      <c r="G186" s="80" t="s">
        <v>172</v>
      </c>
      <c r="H186" s="81"/>
    </row>
    <row r="187" spans="1:8" s="57" customFormat="1" x14ac:dyDescent="0.25">
      <c r="A187" s="78" t="s">
        <v>184</v>
      </c>
      <c r="B187" s="79"/>
      <c r="C187" s="10" t="s">
        <v>168</v>
      </c>
      <c r="D187" s="29">
        <f>(3.05*3.05+2.25*2.5+2.15*2.75+3.05*3.2+1.35*2.3+1.35*2.26+1.38*1.76+1*1.05+1.55*0.6+1.05*0.6+1.05*0.6+1.54*3.13)*10.764</f>
        <v>508.54517999999996</v>
      </c>
      <c r="E187" s="10">
        <v>0</v>
      </c>
      <c r="F187" s="10">
        <f t="shared" ref="F187:F189" si="6">D187*1.5+E187</f>
        <v>762.81776999999988</v>
      </c>
      <c r="G187" s="82"/>
      <c r="H187" s="83"/>
    </row>
    <row r="188" spans="1:8" s="57" customFormat="1" x14ac:dyDescent="0.25">
      <c r="A188" s="78" t="s">
        <v>185</v>
      </c>
      <c r="B188" s="79"/>
      <c r="C188" s="10" t="s">
        <v>168</v>
      </c>
      <c r="D188" s="29">
        <f>(3.05*3.05+2.25*2.5+2.15*2.75+3.05*3.2+1.35*2.3+1.35*2.26+1.38*1.76+1*1.05+1.55*0.6+1.05*0.6+1.05*0.6+1.54*3.13)*10.764</f>
        <v>508.54517999999996</v>
      </c>
      <c r="E188" s="10">
        <v>0</v>
      </c>
      <c r="F188" s="10">
        <f t="shared" si="6"/>
        <v>762.81776999999988</v>
      </c>
      <c r="G188" s="82"/>
      <c r="H188" s="83"/>
    </row>
    <row r="189" spans="1:8" s="57" customFormat="1" x14ac:dyDescent="0.25">
      <c r="A189" s="78" t="s">
        <v>204</v>
      </c>
      <c r="B189" s="79"/>
      <c r="C189" s="10" t="s">
        <v>168</v>
      </c>
      <c r="D189" s="29">
        <f>(3.03*3.58+2.15*3.05+2.89*3.2+3.05*3.2+1.4*2.3+1.4*2.25+1.26*1.33+1.51*1.55+2.55*1.05+1.05*0.56+1.46*0.6+1.35*0.6+3.13*1.54)*10.764</f>
        <v>608.92916760000003</v>
      </c>
      <c r="E189" s="10">
        <v>0</v>
      </c>
      <c r="F189" s="10">
        <f t="shared" si="6"/>
        <v>913.39375140000004</v>
      </c>
      <c r="G189" s="87"/>
      <c r="H189" s="88"/>
    </row>
    <row r="190" spans="1:8" s="57" customFormat="1" x14ac:dyDescent="0.25">
      <c r="A190" s="75" t="s">
        <v>171</v>
      </c>
      <c r="B190" s="76"/>
      <c r="C190" s="76"/>
      <c r="D190" s="76"/>
      <c r="E190" s="76"/>
      <c r="F190" s="76"/>
      <c r="G190" s="76"/>
      <c r="H190" s="77"/>
    </row>
    <row r="191" spans="1:8" s="57" customFormat="1" ht="15.6" customHeight="1" x14ac:dyDescent="0.25">
      <c r="A191" s="78" t="s">
        <v>205</v>
      </c>
      <c r="B191" s="79"/>
      <c r="C191" s="10" t="s">
        <v>168</v>
      </c>
      <c r="D191" s="29">
        <f>(3.03*3.58+2.15*3.05+2.89*3.2+3.05*3.2+1.4*2.3+1.4*2.25+1.26*1.33+1.51*1.55+2.55*1.05+1.05*0.56+1.46*0.6+1.35*0.6+3.13*1.54)*10.764</f>
        <v>608.92916760000003</v>
      </c>
      <c r="E191" s="10">
        <v>0</v>
      </c>
      <c r="F191" s="10">
        <f>D191*1.5+E191</f>
        <v>913.39375140000004</v>
      </c>
      <c r="G191" s="80" t="str">
        <f>A190</f>
        <v>1st To 6th, 8th To 10th, 12th To 15th, 17th To 20th, 22nd To 25th, 27th To 30th Floor</v>
      </c>
      <c r="H191" s="81"/>
    </row>
    <row r="192" spans="1:8" s="57" customFormat="1" x14ac:dyDescent="0.25">
      <c r="A192" s="78" t="s">
        <v>206</v>
      </c>
      <c r="B192" s="79"/>
      <c r="C192" s="10" t="s">
        <v>168</v>
      </c>
      <c r="D192" s="29">
        <f>(3.05*3.08+2.25*2.5+2.15*2.75+3.05*3.2+1.35*2.3+1.35*2.25+1.38*1.76+1*1.05+1.55*0.6+1.05*0.6+1.05*0.6+1.54*3.13)*10.764</f>
        <v>509.384772</v>
      </c>
      <c r="E192" s="10">
        <v>0</v>
      </c>
      <c r="F192" s="10">
        <f t="shared" ref="F192:F198" si="7">D192*1.5+E192</f>
        <v>764.07715800000005</v>
      </c>
      <c r="G192" s="82"/>
      <c r="H192" s="83"/>
    </row>
    <row r="193" spans="1:9" s="57" customFormat="1" x14ac:dyDescent="0.25">
      <c r="A193" s="78" t="s">
        <v>207</v>
      </c>
      <c r="B193" s="84"/>
      <c r="C193" s="10" t="s">
        <v>168</v>
      </c>
      <c r="D193" s="29">
        <f>(3.05*3.05+2.25*2.5+2.15*2.75+3.05*3.2+1.35*2.3+1.35*2.26+1.38*1.76+1*1.05+1.55*0.6+1.05*0.6+1.05*0.6+1.54*3.13)*10.764</f>
        <v>508.54517999999996</v>
      </c>
      <c r="E193" s="10">
        <v>0</v>
      </c>
      <c r="F193" s="10">
        <f t="shared" si="7"/>
        <v>762.81776999999988</v>
      </c>
      <c r="G193" s="82"/>
      <c r="H193" s="83"/>
      <c r="I193" s="58">
        <f>(7534875+1310000)/F193</f>
        <v>11595.003876220662</v>
      </c>
    </row>
    <row r="194" spans="1:9" s="57" customFormat="1" x14ac:dyDescent="0.25">
      <c r="A194" s="78" t="s">
        <v>208</v>
      </c>
      <c r="B194" s="84"/>
      <c r="C194" s="10" t="s">
        <v>168</v>
      </c>
      <c r="D194" s="29">
        <f>(3.03*3.58+2.15*3.05+2.89*3.2+3.05*3.2+1.4*2.3+1.4*2.25+1.26*1.33+1.51*1.55+2.55*1.05+1.05*0.56+1.46*0.6+1.35*0.6+3.13*1.54)*10.764</f>
        <v>608.92916760000003</v>
      </c>
      <c r="E194" s="10">
        <v>0</v>
      </c>
      <c r="F194" s="10">
        <f t="shared" si="7"/>
        <v>913.39375140000004</v>
      </c>
      <c r="G194" s="82"/>
      <c r="H194" s="83"/>
    </row>
    <row r="195" spans="1:9" s="57" customFormat="1" x14ac:dyDescent="0.25">
      <c r="A195" s="78" t="s">
        <v>209</v>
      </c>
      <c r="B195" s="84"/>
      <c r="C195" s="10" t="s">
        <v>168</v>
      </c>
      <c r="D195" s="29">
        <f>(3.2*4.08+2.3*3.01+3*3.05+3.3*3.1+1.4*2.3+1.4*2.3+1.31*1.2+1.5*1.57+2.5*1.05+1.05*0.78+1.89*0.6+1.53*0.6+3.5*1.1+3.35*1.52)*10.764</f>
        <v>690.66129599999999</v>
      </c>
      <c r="E195" s="10">
        <v>0</v>
      </c>
      <c r="F195" s="10">
        <f t="shared" si="7"/>
        <v>1035.9919439999999</v>
      </c>
      <c r="G195" s="82"/>
      <c r="H195" s="83"/>
    </row>
    <row r="196" spans="1:9" s="57" customFormat="1" x14ac:dyDescent="0.25">
      <c r="A196" s="78" t="s">
        <v>210</v>
      </c>
      <c r="B196" s="84"/>
      <c r="C196" s="10" t="s">
        <v>168</v>
      </c>
      <c r="D196" s="29">
        <f>(3.05*3.58+2.15*3.05+2.8*3.2+3.05*3.2+1.4*2.3+1.35*1.2+1.4*2.25+1.51*1.55+2.51*1.05+1.46*0.6+1.05*0.61+1.35*0.6+3.2*1.52)*10.764</f>
        <v>606.58369199999993</v>
      </c>
      <c r="E196" s="10">
        <v>0</v>
      </c>
      <c r="F196" s="10">
        <f t="shared" si="7"/>
        <v>909.87553799999989</v>
      </c>
      <c r="G196" s="82"/>
      <c r="H196" s="83"/>
    </row>
    <row r="197" spans="1:9" s="57" customFormat="1" x14ac:dyDescent="0.25">
      <c r="A197" s="78" t="s">
        <v>211</v>
      </c>
      <c r="B197" s="84"/>
      <c r="C197" s="10" t="s">
        <v>168</v>
      </c>
      <c r="D197" s="29">
        <f>(3.05*3.58+2.15*3.05+2.8*3.2+3.05*3.2+1.4*2.3+1.35*1.2+1.4*2.25+1.51*1.55+2.51*1.05+1.46*0.6+1.05*0.61+1.35*0.6+3.2*1.52)*10.764</f>
        <v>606.58369199999993</v>
      </c>
      <c r="E197" s="10">
        <v>0</v>
      </c>
      <c r="F197" s="10">
        <f t="shared" si="7"/>
        <v>909.87553799999989</v>
      </c>
      <c r="G197" s="82"/>
      <c r="H197" s="83"/>
    </row>
    <row r="198" spans="1:9" s="57" customFormat="1" x14ac:dyDescent="0.25">
      <c r="A198" s="78" t="s">
        <v>212</v>
      </c>
      <c r="B198" s="84"/>
      <c r="C198" s="10" t="s">
        <v>168</v>
      </c>
      <c r="D198" s="29">
        <f>(3.2*4.08+2.3*3.01+3*3.05+3.3*3.1+1.4*2.3+1.4*2.3+1.31*1.2+1.5*1.57+2.5*1.05+1.05*0.78+1.89*0.6+1.53*0.6+3.5*1.1+3.35*1.52)*10.764</f>
        <v>690.66129599999999</v>
      </c>
      <c r="E198" s="10">
        <v>0</v>
      </c>
      <c r="F198" s="10">
        <f t="shared" si="7"/>
        <v>1035.9919439999999</v>
      </c>
      <c r="G198" s="87"/>
      <c r="H198" s="88"/>
    </row>
    <row r="199" spans="1:9" s="57" customFormat="1" ht="16.899999999999999" customHeight="1" x14ac:dyDescent="0.25">
      <c r="A199" s="75" t="s">
        <v>187</v>
      </c>
      <c r="B199" s="76"/>
      <c r="C199" s="76"/>
      <c r="D199" s="76"/>
      <c r="E199" s="76"/>
      <c r="F199" s="76"/>
      <c r="G199" s="76"/>
      <c r="H199" s="77"/>
    </row>
    <row r="200" spans="1:9" s="57" customFormat="1" x14ac:dyDescent="0.25">
      <c r="A200" s="75" t="s">
        <v>173</v>
      </c>
      <c r="B200" s="76"/>
      <c r="C200" s="76"/>
      <c r="D200" s="76"/>
      <c r="E200" s="76"/>
      <c r="F200" s="76"/>
      <c r="G200" s="76"/>
      <c r="H200" s="77"/>
    </row>
    <row r="201" spans="1:9" s="57" customFormat="1" ht="15.6" customHeight="1" x14ac:dyDescent="0.25">
      <c r="A201" s="78" t="s">
        <v>213</v>
      </c>
      <c r="B201" s="79"/>
      <c r="C201" s="10" t="s">
        <v>168</v>
      </c>
      <c r="D201" s="29">
        <f>(3.03*3.58+2.15*3.05+2.89*3.2+3.05*3.2+1.4*2.3+1.4*2.25+1.26*1.33+1.51*1.55+2.55*1.05+1.05*0.56+1.46*0.6+1.35*0.6+3.13*1.54)*10.764</f>
        <v>608.92916760000003</v>
      </c>
      <c r="E201" s="10">
        <v>0</v>
      </c>
      <c r="F201" s="10">
        <f>D201*1.5+E201</f>
        <v>913.39375140000004</v>
      </c>
      <c r="G201" s="80" t="str">
        <f>A200</f>
        <v>7th, 11th, 16th, 21st &amp; 26th Floor</v>
      </c>
      <c r="H201" s="81"/>
    </row>
    <row r="202" spans="1:9" s="57" customFormat="1" x14ac:dyDescent="0.25">
      <c r="A202" s="78" t="s">
        <v>214</v>
      </c>
      <c r="B202" s="79"/>
      <c r="C202" s="10" t="s">
        <v>168</v>
      </c>
      <c r="D202" s="29">
        <f>(3.05*3.08+2.25*2.5+2.15*2.75+3.05*3.2+1.35*2.3+1.35*2.25+1.38*1.76+1*1.05+1.55*0.6+1.05*0.6+1.05*0.6+1.54*3.13)*10.764</f>
        <v>509.384772</v>
      </c>
      <c r="E202" s="10">
        <v>0</v>
      </c>
      <c r="F202" s="10">
        <f t="shared" ref="F202:F208" si="8">D202*1.5+E202</f>
        <v>764.07715800000005</v>
      </c>
      <c r="G202" s="82"/>
      <c r="H202" s="83"/>
    </row>
    <row r="203" spans="1:9" s="57" customFormat="1" x14ac:dyDescent="0.25">
      <c r="A203" s="78" t="s">
        <v>215</v>
      </c>
      <c r="B203" s="84"/>
      <c r="C203" s="80" t="s">
        <v>174</v>
      </c>
      <c r="D203" s="212"/>
      <c r="E203" s="212"/>
      <c r="F203" s="81"/>
      <c r="G203" s="82"/>
      <c r="H203" s="83"/>
    </row>
    <row r="204" spans="1:9" s="57" customFormat="1" x14ac:dyDescent="0.25">
      <c r="A204" s="78" t="s">
        <v>216</v>
      </c>
      <c r="B204" s="84"/>
      <c r="C204" s="87"/>
      <c r="D204" s="214"/>
      <c r="E204" s="214"/>
      <c r="F204" s="88"/>
      <c r="G204" s="82"/>
      <c r="H204" s="83"/>
    </row>
    <row r="205" spans="1:9" s="57" customFormat="1" x14ac:dyDescent="0.25">
      <c r="A205" s="78" t="s">
        <v>217</v>
      </c>
      <c r="B205" s="84"/>
      <c r="C205" s="10" t="s">
        <v>168</v>
      </c>
      <c r="D205" s="29">
        <f>(3.2*4.08+2.3*3.01+3*3.05+3.3*3.1+1.4*2.3+1.4*2.3+1.31*1.2+1.5*1.57+2.5*1.05+1.05*0.78+1.89*0.6+1.53*0.6+3.5*1.1+3.35*1.52)*10.764</f>
        <v>690.66129599999999</v>
      </c>
      <c r="E205" s="10">
        <v>0</v>
      </c>
      <c r="F205" s="10">
        <f t="shared" si="8"/>
        <v>1035.9919439999999</v>
      </c>
      <c r="G205" s="82"/>
      <c r="H205" s="83"/>
    </row>
    <row r="206" spans="1:9" s="57" customFormat="1" x14ac:dyDescent="0.25">
      <c r="A206" s="78" t="s">
        <v>218</v>
      </c>
      <c r="B206" s="84"/>
      <c r="C206" s="10" t="s">
        <v>168</v>
      </c>
      <c r="D206" s="29">
        <f>(3.05*3.58+2.15*3.05+2.8*3.2+3.05*3.2+1.4*2.3+1.35*1.2+1.4*2.25+1.51*1.55+2.51*1.05+1.46*0.6+1.05*0.61+1.35*0.6+3.2*1.52)*10.764</f>
        <v>606.58369199999993</v>
      </c>
      <c r="E206" s="10">
        <v>0</v>
      </c>
      <c r="F206" s="10">
        <f t="shared" si="8"/>
        <v>909.87553799999989</v>
      </c>
      <c r="G206" s="82"/>
      <c r="H206" s="83"/>
    </row>
    <row r="207" spans="1:9" s="57" customFormat="1" x14ac:dyDescent="0.25">
      <c r="A207" s="78" t="s">
        <v>219</v>
      </c>
      <c r="B207" s="84"/>
      <c r="C207" s="10" t="s">
        <v>168</v>
      </c>
      <c r="D207" s="29">
        <f>(3.05*3.58+2.15*3.05+2.8*3.2+3.05*3.2+1.4*2.3+1.35*1.2+1.4*2.25+1.51*1.55+2.51*1.05+1.46*0.6+1.05*0.61+1.35*0.6+3.2*1.52)*10.764</f>
        <v>606.58369199999993</v>
      </c>
      <c r="E207" s="10">
        <v>0</v>
      </c>
      <c r="F207" s="10">
        <f t="shared" si="8"/>
        <v>909.87553799999989</v>
      </c>
      <c r="G207" s="82"/>
      <c r="H207" s="83"/>
    </row>
    <row r="208" spans="1:9" s="57" customFormat="1" x14ac:dyDescent="0.25">
      <c r="A208" s="78" t="s">
        <v>220</v>
      </c>
      <c r="B208" s="84"/>
      <c r="C208" s="10" t="s">
        <v>168</v>
      </c>
      <c r="D208" s="29">
        <f>(3.2*4.08+2.3*3.01+3*3.05+3.3*3.1+1.4*2.3+1.4*2.3+1.31*1.2+1.5*1.57+2.5*1.05+1.05*0.78+1.89*0.6+1.53*0.6+3.5*1.1+3.35*1.52)*10.764</f>
        <v>690.66129599999999</v>
      </c>
      <c r="E208" s="10">
        <v>0</v>
      </c>
      <c r="F208" s="10">
        <f t="shared" si="8"/>
        <v>1035.9919439999999</v>
      </c>
      <c r="G208" s="87"/>
      <c r="H208" s="88"/>
    </row>
    <row r="209" spans="1:8" s="57" customFormat="1" x14ac:dyDescent="0.25">
      <c r="A209" s="75" t="s">
        <v>223</v>
      </c>
      <c r="B209" s="76"/>
      <c r="C209" s="76"/>
      <c r="D209" s="76"/>
      <c r="E209" s="76"/>
      <c r="F209" s="76"/>
      <c r="G209" s="76"/>
      <c r="H209" s="77"/>
    </row>
    <row r="210" spans="1:8" s="57" customFormat="1" x14ac:dyDescent="0.25">
      <c r="A210" s="75" t="s">
        <v>176</v>
      </c>
      <c r="B210" s="76"/>
      <c r="C210" s="76"/>
      <c r="D210" s="76"/>
      <c r="E210" s="76"/>
      <c r="F210" s="76"/>
      <c r="G210" s="76"/>
      <c r="H210" s="77"/>
    </row>
    <row r="211" spans="1:8" s="57" customFormat="1" ht="16.899999999999999" customHeight="1" x14ac:dyDescent="0.25">
      <c r="A211" s="75" t="s">
        <v>177</v>
      </c>
      <c r="B211" s="76"/>
      <c r="C211" s="76"/>
      <c r="D211" s="76"/>
      <c r="E211" s="76"/>
      <c r="F211" s="76"/>
      <c r="G211" s="76"/>
      <c r="H211" s="77"/>
    </row>
    <row r="212" spans="1:8" s="57" customFormat="1" ht="47.25" x14ac:dyDescent="0.25">
      <c r="A212" s="85" t="s">
        <v>178</v>
      </c>
      <c r="B212" s="79"/>
      <c r="C212" s="10" t="s">
        <v>182</v>
      </c>
      <c r="D212" s="29">
        <f>(8.75*5.1)*10.764</f>
        <v>480.34349999999995</v>
      </c>
      <c r="E212" s="10">
        <v>0</v>
      </c>
      <c r="F212" s="10">
        <f>D212*1.6+E212</f>
        <v>768.54959999999994</v>
      </c>
      <c r="G212" s="80" t="str">
        <f>A211</f>
        <v>Ground Floor For Parking, Residential &amp; Commercial</v>
      </c>
      <c r="H212" s="81"/>
    </row>
    <row r="213" spans="1:8" s="57" customFormat="1" ht="47.25" x14ac:dyDescent="0.25">
      <c r="A213" s="85" t="s">
        <v>179</v>
      </c>
      <c r="B213" s="79"/>
      <c r="C213" s="10" t="s">
        <v>182</v>
      </c>
      <c r="D213" s="29">
        <f>(8.7*6.15)*10.764</f>
        <v>575.92781999999988</v>
      </c>
      <c r="E213" s="10">
        <v>0</v>
      </c>
      <c r="F213" s="10">
        <f t="shared" ref="F213:F215" si="9">D213*1.6+E213</f>
        <v>921.48451199999988</v>
      </c>
      <c r="G213" s="82"/>
      <c r="H213" s="83"/>
    </row>
    <row r="214" spans="1:8" s="57" customFormat="1" ht="47.25" x14ac:dyDescent="0.25">
      <c r="A214" s="85" t="s">
        <v>180</v>
      </c>
      <c r="B214" s="79"/>
      <c r="C214" s="10" t="s">
        <v>182</v>
      </c>
      <c r="D214" s="29">
        <f>(8.75*6.3)*10.764</f>
        <v>593.3655</v>
      </c>
      <c r="E214" s="10">
        <v>0</v>
      </c>
      <c r="F214" s="10">
        <f t="shared" si="9"/>
        <v>949.38480000000004</v>
      </c>
      <c r="G214" s="82"/>
      <c r="H214" s="83"/>
    </row>
    <row r="215" spans="1:8" s="57" customFormat="1" ht="47.25" x14ac:dyDescent="0.25">
      <c r="A215" s="85" t="s">
        <v>181</v>
      </c>
      <c r="B215" s="79"/>
      <c r="C215" s="10" t="s">
        <v>182</v>
      </c>
      <c r="D215" s="29">
        <f>(8.75*6.15)*10.764</f>
        <v>579.23775000000001</v>
      </c>
      <c r="E215" s="10">
        <v>0</v>
      </c>
      <c r="F215" s="10">
        <f t="shared" si="9"/>
        <v>926.7804000000001</v>
      </c>
      <c r="G215" s="82"/>
      <c r="H215" s="83"/>
    </row>
    <row r="216" spans="1:8" s="57" customFormat="1" x14ac:dyDescent="0.25">
      <c r="A216" s="78" t="s">
        <v>164</v>
      </c>
      <c r="B216" s="79"/>
      <c r="C216" s="10" t="s">
        <v>168</v>
      </c>
      <c r="D216" s="29">
        <f>(3.05*3.1+2.3*2.4+2.15*2.75+3.05*3.2+1.35*2.3+1.35*2.25+1.53*3.13+1.05*0.6+1.55*0.6+1.75*1.05+0.75*1.71+1.86*1.35)*10.764</f>
        <v>524.95920359999991</v>
      </c>
      <c r="E216" s="10">
        <v>0</v>
      </c>
      <c r="F216" s="10">
        <f>D216*1.5+E216</f>
        <v>787.43880539999986</v>
      </c>
      <c r="G216" s="82"/>
      <c r="H216" s="83"/>
    </row>
    <row r="217" spans="1:8" s="57" customFormat="1" x14ac:dyDescent="0.25">
      <c r="A217" s="78" t="s">
        <v>165</v>
      </c>
      <c r="B217" s="79"/>
      <c r="C217" s="10" t="s">
        <v>168</v>
      </c>
      <c r="D217" s="29">
        <f>(3.05*3.1+2.3*2.4+2.15*2.75+3.05*3.2+1.35*2.3+1.35*2.25+1.53*3.13+1.05*0.6+1.55*0.6+1.75*1.05+0.75*1.71+1.86*1.35)*10.764</f>
        <v>524.95920359999991</v>
      </c>
      <c r="E217" s="10">
        <v>0</v>
      </c>
      <c r="F217" s="10">
        <f t="shared" ref="F217:F218" si="10">D217*1.5+E217</f>
        <v>787.43880539999986</v>
      </c>
      <c r="G217" s="82"/>
      <c r="H217" s="83"/>
    </row>
    <row r="218" spans="1:8" s="57" customFormat="1" x14ac:dyDescent="0.25">
      <c r="A218" s="78" t="s">
        <v>166</v>
      </c>
      <c r="B218" s="79"/>
      <c r="C218" s="10" t="s">
        <v>168</v>
      </c>
      <c r="D218" s="29">
        <f>(3.05*3.6+2.25*3.05+2.8*3.2+3.05*3.2+1.4*2.25+1.4*2.3+1.52*3.13+1.35*0.6+1.46*0.6+2.51*1.05+1.51*1.55+1.35*1.26)*10.764</f>
        <v>603.35556839999992</v>
      </c>
      <c r="E218" s="10">
        <v>0</v>
      </c>
      <c r="F218" s="10">
        <f t="shared" si="10"/>
        <v>905.03335259999994</v>
      </c>
      <c r="G218" s="87"/>
      <c r="H218" s="88"/>
    </row>
    <row r="219" spans="1:8" s="57" customFormat="1" ht="16.899999999999999" customHeight="1" x14ac:dyDescent="0.25">
      <c r="A219" s="75" t="s">
        <v>170</v>
      </c>
      <c r="B219" s="76"/>
      <c r="C219" s="76"/>
      <c r="D219" s="76"/>
      <c r="E219" s="76"/>
      <c r="F219" s="76"/>
      <c r="G219" s="76"/>
      <c r="H219" s="77"/>
    </row>
    <row r="220" spans="1:8" s="57" customFormat="1" x14ac:dyDescent="0.25">
      <c r="A220" s="85" t="s">
        <v>221</v>
      </c>
      <c r="B220" s="79"/>
      <c r="C220" s="80" t="s">
        <v>186</v>
      </c>
      <c r="D220" s="212"/>
      <c r="E220" s="212"/>
      <c r="F220" s="81"/>
      <c r="G220" s="80" t="str">
        <f>A219</f>
        <v>1st Podium Floor For Parking &amp; Residential</v>
      </c>
      <c r="H220" s="81"/>
    </row>
    <row r="221" spans="1:8" s="57" customFormat="1" x14ac:dyDescent="0.25">
      <c r="A221" s="85" t="s">
        <v>221</v>
      </c>
      <c r="B221" s="79"/>
      <c r="C221" s="82"/>
      <c r="D221" s="213"/>
      <c r="E221" s="213"/>
      <c r="F221" s="83"/>
      <c r="G221" s="82"/>
      <c r="H221" s="83"/>
    </row>
    <row r="222" spans="1:8" s="57" customFormat="1" x14ac:dyDescent="0.25">
      <c r="A222" s="85" t="s">
        <v>221</v>
      </c>
      <c r="B222" s="79"/>
      <c r="C222" s="82"/>
      <c r="D222" s="213"/>
      <c r="E222" s="213"/>
      <c r="F222" s="83"/>
      <c r="G222" s="82"/>
      <c r="H222" s="83"/>
    </row>
    <row r="223" spans="1:8" s="57" customFormat="1" x14ac:dyDescent="0.25">
      <c r="A223" s="85" t="s">
        <v>221</v>
      </c>
      <c r="B223" s="79"/>
      <c r="C223" s="87"/>
      <c r="D223" s="214"/>
      <c r="E223" s="214"/>
      <c r="F223" s="88"/>
      <c r="G223" s="82"/>
      <c r="H223" s="83"/>
    </row>
    <row r="224" spans="1:8" s="57" customFormat="1" x14ac:dyDescent="0.25">
      <c r="A224" s="85" t="s">
        <v>183</v>
      </c>
      <c r="B224" s="79"/>
      <c r="C224" s="10" t="s">
        <v>168</v>
      </c>
      <c r="D224" s="29">
        <f>(3.05*3.1+2.3*2.4+2.15*2.75+3.05*3.2+1.35*2.3+1.35*2.25+1.53*3.13+1.05*0.6+1.55*0.6+1.75*1.05+0.75*1.71+1.86*1.35)*10.764</f>
        <v>524.95920359999991</v>
      </c>
      <c r="E224" s="10">
        <v>0</v>
      </c>
      <c r="F224" s="10">
        <f t="shared" ref="F224:F226" si="11">D224*1.5+E224</f>
        <v>787.43880539999986</v>
      </c>
      <c r="G224" s="82"/>
      <c r="H224" s="83"/>
    </row>
    <row r="225" spans="1:9" s="57" customFormat="1" x14ac:dyDescent="0.25">
      <c r="A225" s="85" t="s">
        <v>184</v>
      </c>
      <c r="B225" s="79"/>
      <c r="C225" s="10" t="s">
        <v>168</v>
      </c>
      <c r="D225" s="29">
        <f>(3.05*3.1+2.3*2.4+2.15*2.75+3.05*3.2+1.35*2.3+1.35*2.25+1.53*3.13+1.05*0.6+1.55*0.6+1.75*1.05+0.75*1.71+1.86*1.35)*10.764</f>
        <v>524.95920359999991</v>
      </c>
      <c r="E225" s="10">
        <v>0</v>
      </c>
      <c r="F225" s="10">
        <f t="shared" si="11"/>
        <v>787.43880539999986</v>
      </c>
      <c r="G225" s="82"/>
      <c r="H225" s="83"/>
    </row>
    <row r="226" spans="1:9" s="57" customFormat="1" x14ac:dyDescent="0.25">
      <c r="A226" s="85" t="s">
        <v>185</v>
      </c>
      <c r="B226" s="79"/>
      <c r="C226" s="10" t="s">
        <v>168</v>
      </c>
      <c r="D226" s="29">
        <f>(3.05*3.6+2.25*3.05+2.8*3.2+3.05*3.2+1.4*2.25+1.4*2.3+1.52*3.13+1.35*0.6+1.46*0.6+2.51*1.05+1.51*1.55+1.35*1.26)*10.764</f>
        <v>603.35556839999992</v>
      </c>
      <c r="E226" s="10">
        <v>0</v>
      </c>
      <c r="F226" s="10">
        <f t="shared" si="11"/>
        <v>905.03335259999994</v>
      </c>
      <c r="G226" s="87"/>
      <c r="H226" s="88"/>
    </row>
    <row r="227" spans="1:9" s="57" customFormat="1" ht="16.899999999999999" customHeight="1" x14ac:dyDescent="0.25">
      <c r="A227" s="75" t="s">
        <v>171</v>
      </c>
      <c r="B227" s="76"/>
      <c r="C227" s="76"/>
      <c r="D227" s="76"/>
      <c r="E227" s="76"/>
      <c r="F227" s="76"/>
      <c r="G227" s="76"/>
      <c r="H227" s="77"/>
    </row>
    <row r="228" spans="1:9" s="57" customFormat="1" x14ac:dyDescent="0.25">
      <c r="A228" s="78" t="s">
        <v>205</v>
      </c>
      <c r="B228" s="79"/>
      <c r="C228" s="10" t="s">
        <v>168</v>
      </c>
      <c r="D228" s="29">
        <f>(1.48*1.3+3.35*3.05+1.95*1.5+2.2*3.05+3.2*2.9+1.48*0.6+3.2*3.05+1.6*0.6+2.25*1.35+2.3*1.35+1.05*2.9+(1.5*3.05))*10.764</f>
        <v>607.38022799999999</v>
      </c>
      <c r="E228" s="10">
        <v>0</v>
      </c>
      <c r="F228" s="10">
        <f t="shared" ref="F228:F234" si="12">D228*1.5+E228</f>
        <v>911.07034199999998</v>
      </c>
      <c r="G228" s="80" t="str">
        <f>A227</f>
        <v>1st To 6th, 8th To 10th, 12th To 15th, 17th To 20th, 22nd To 25th, 27th To 30th Floor</v>
      </c>
      <c r="H228" s="81"/>
      <c r="I228" s="57">
        <f>8500000/F228</f>
        <v>9329.685764263415</v>
      </c>
    </row>
    <row r="229" spans="1:9" s="57" customFormat="1" x14ac:dyDescent="0.25">
      <c r="A229" s="78" t="s">
        <v>206</v>
      </c>
      <c r="B229" s="79"/>
      <c r="C229" s="10" t="s">
        <v>168</v>
      </c>
      <c r="D229" s="29">
        <f>(1.48*1.3+3.35*3.05+1.95*1.5+2.2*3.05+3.2*2.9+1.48*0.6+3.2*3.05+1.6*0.6+2.25*1.35+2.3*1.35+1.05*2.9+(1.5*3.05))*10.764</f>
        <v>607.38022799999999</v>
      </c>
      <c r="E229" s="10">
        <v>0</v>
      </c>
      <c r="F229" s="10">
        <f t="shared" si="12"/>
        <v>911.07034199999998</v>
      </c>
      <c r="G229" s="82"/>
      <c r="H229" s="83"/>
      <c r="I229" s="57">
        <f t="shared" ref="I229:I234" si="13">8500000/F229</f>
        <v>9329.685764263415</v>
      </c>
    </row>
    <row r="230" spans="1:9" s="57" customFormat="1" x14ac:dyDescent="0.25">
      <c r="A230" s="78" t="s">
        <v>207</v>
      </c>
      <c r="B230" s="84"/>
      <c r="C230" s="10" t="s">
        <v>296</v>
      </c>
      <c r="D230" s="29">
        <f>(1.35*1.86+3.1*3.1+0.75*1.71+2.3*2.4+2.15*2.75+1.05*0.6+3.05*3.2+1.55*0.6+1.35*2.3+1.35*2.25+1.05*2.15+(1.5*3.1))*10.764</f>
        <v>529.65338399999996</v>
      </c>
      <c r="E230" s="10">
        <v>0</v>
      </c>
      <c r="F230" s="10">
        <f t="shared" si="12"/>
        <v>794.48007599999994</v>
      </c>
      <c r="G230" s="82"/>
      <c r="H230" s="83"/>
      <c r="I230" s="57">
        <f t="shared" si="13"/>
        <v>10698.82084745949</v>
      </c>
    </row>
    <row r="231" spans="1:9" s="57" customFormat="1" x14ac:dyDescent="0.25">
      <c r="A231" s="78" t="s">
        <v>208</v>
      </c>
      <c r="B231" s="84"/>
      <c r="C231" s="10" t="s">
        <v>296</v>
      </c>
      <c r="D231" s="29">
        <f>(1.35*1.86+3.1*3.1+0.75*1.71+2.3*2.4+2.15*2.75+1.05*0.6+3.05*3.2+1.55*0.6+1.35*2.3+1.35*2.25+1.05*2.15+(1.5*3.1))*10.764</f>
        <v>529.65338399999996</v>
      </c>
      <c r="E231" s="10">
        <v>0</v>
      </c>
      <c r="F231" s="10">
        <f t="shared" si="12"/>
        <v>794.48007599999994</v>
      </c>
      <c r="G231" s="82"/>
      <c r="H231" s="83"/>
      <c r="I231" s="57">
        <f t="shared" si="13"/>
        <v>10698.82084745949</v>
      </c>
    </row>
    <row r="232" spans="1:9" s="57" customFormat="1" x14ac:dyDescent="0.25">
      <c r="A232" s="78" t="s">
        <v>209</v>
      </c>
      <c r="B232" s="84"/>
      <c r="C232" s="10" t="s">
        <v>168</v>
      </c>
      <c r="D232" s="29">
        <f>(1.35*1.26+3.05*3.6+1.51*1.55+2.15*3.05+2.89*3.2+1.39*0.6+3.05*3.2+1.46*0.6+1.4*2.25+1.4*2.3+1.05*2.89+(1.5*3.05))*10.764</f>
        <v>605.76024599999994</v>
      </c>
      <c r="E232" s="10">
        <v>0</v>
      </c>
      <c r="F232" s="10">
        <f t="shared" si="12"/>
        <v>908.64036899999996</v>
      </c>
      <c r="G232" s="82"/>
      <c r="H232" s="83"/>
      <c r="I232" s="57">
        <f t="shared" si="13"/>
        <v>9354.6361024600264</v>
      </c>
    </row>
    <row r="233" spans="1:9" s="57" customFormat="1" x14ac:dyDescent="0.25">
      <c r="A233" s="78" t="s">
        <v>210</v>
      </c>
      <c r="B233" s="84"/>
      <c r="C233" s="10" t="s">
        <v>168</v>
      </c>
      <c r="D233" s="29">
        <f>(1.35*1.2+3.2*4.1+1.48*1.65+2.26*3+2.95*3.05+1.56*0.6+3.35*3.15+1.87*0.6+1.4*2.3+1.4*2.3+1.05*2.95+(1.5*3.2+1.05*3.35))*10.764</f>
        <v>682.70669999999996</v>
      </c>
      <c r="E233" s="10">
        <v>0</v>
      </c>
      <c r="F233" s="10">
        <f t="shared" si="12"/>
        <v>1024.06005</v>
      </c>
      <c r="G233" s="82"/>
      <c r="H233" s="83"/>
      <c r="I233" s="57">
        <f t="shared" si="13"/>
        <v>8300.2944993313613</v>
      </c>
    </row>
    <row r="234" spans="1:9" s="57" customFormat="1" x14ac:dyDescent="0.25">
      <c r="A234" s="78" t="s">
        <v>211</v>
      </c>
      <c r="B234" s="84"/>
      <c r="C234" s="10" t="s">
        <v>168</v>
      </c>
      <c r="D234" s="29">
        <f>(1.36*1.2+3.2*4.1+1.51*1.65+2.26*3+3*3.05+1.56*0.6+3.35*3.15+1.875*0.6+1.4*2.3+1.4*2.3+1.05*3+(1.5*3.2+1.05*3.35))*10.764</f>
        <v>685.60759799999994</v>
      </c>
      <c r="E234" s="10">
        <v>0</v>
      </c>
      <c r="F234" s="10">
        <f t="shared" si="12"/>
        <v>1028.4113969999999</v>
      </c>
      <c r="G234" s="87"/>
      <c r="H234" s="88"/>
      <c r="I234" s="57">
        <f t="shared" si="13"/>
        <v>8265.1748364472878</v>
      </c>
    </row>
    <row r="235" spans="1:9" s="57" customFormat="1" ht="16.899999999999999" customHeight="1" x14ac:dyDescent="0.25">
      <c r="A235" s="75" t="s">
        <v>297</v>
      </c>
      <c r="B235" s="76"/>
      <c r="C235" s="76"/>
      <c r="D235" s="76"/>
      <c r="E235" s="76"/>
      <c r="F235" s="76"/>
      <c r="G235" s="76"/>
      <c r="H235" s="77"/>
    </row>
    <row r="236" spans="1:9" s="57" customFormat="1" x14ac:dyDescent="0.25">
      <c r="A236" s="78" t="s">
        <v>213</v>
      </c>
      <c r="B236" s="79"/>
      <c r="C236" s="10" t="s">
        <v>168</v>
      </c>
      <c r="D236" s="29">
        <f>(1.48*1.3+3.35*3.05+1.95*1.5+2.2*3.05+3.2*2.9+1.48*0.6+3.2*3.05+1.6*0.6+2.25*1.35+2.3*1.35+1.05*2.9+(1.5*3.05))*10.764</f>
        <v>607.38022799999999</v>
      </c>
      <c r="E236" s="10">
        <v>0</v>
      </c>
      <c r="F236" s="10">
        <f t="shared" ref="F236:F242" si="14">D236*1.5+E236</f>
        <v>911.07034199999998</v>
      </c>
      <c r="G236" s="80" t="str">
        <f>A235</f>
        <v>7th, 11th, 16th, 21st &amp; 26th Floor (Part Refuge Area)</v>
      </c>
      <c r="H236" s="81"/>
    </row>
    <row r="237" spans="1:9" s="57" customFormat="1" x14ac:dyDescent="0.25">
      <c r="A237" s="78" t="s">
        <v>214</v>
      </c>
      <c r="B237" s="79"/>
      <c r="C237" s="10" t="s">
        <v>168</v>
      </c>
      <c r="D237" s="29">
        <f>(1.48*1.3+3.35*3.05+1.95*1.5+2.2*3.05+3.2*2.9+1.48*0.6+3.2*3.05+1.6*0.6+2.25*1.35+2.3*1.35+1.05*2.9+(1.5*3.05))*10.764</f>
        <v>607.38022799999999</v>
      </c>
      <c r="E237" s="10">
        <v>0</v>
      </c>
      <c r="F237" s="10">
        <f t="shared" si="14"/>
        <v>911.07034199999998</v>
      </c>
      <c r="G237" s="82"/>
      <c r="H237" s="83"/>
    </row>
    <row r="238" spans="1:9" s="57" customFormat="1" x14ac:dyDescent="0.25">
      <c r="A238" s="78" t="s">
        <v>215</v>
      </c>
      <c r="B238" s="84"/>
      <c r="C238" s="10" t="s">
        <v>296</v>
      </c>
      <c r="D238" s="29">
        <f>(1.35*1.86+3.1*3.1+0.75*1.71+2.3*2.4+2.15*2.75+1.05*0.6+3.05*3.2+1.55*0.6+1.35*2.3+1.35*2.25+1.05*2.15+(1.5*3.1))*10.764</f>
        <v>529.65338399999996</v>
      </c>
      <c r="E238" s="10">
        <v>0</v>
      </c>
      <c r="F238" s="10">
        <f t="shared" si="14"/>
        <v>794.48007599999994</v>
      </c>
      <c r="G238" s="82"/>
      <c r="H238" s="83"/>
    </row>
    <row r="239" spans="1:9" s="57" customFormat="1" x14ac:dyDescent="0.25">
      <c r="A239" s="78" t="s">
        <v>216</v>
      </c>
      <c r="B239" s="84"/>
      <c r="C239" s="80" t="s">
        <v>174</v>
      </c>
      <c r="D239" s="212"/>
      <c r="E239" s="81"/>
      <c r="F239" s="10">
        <f t="shared" si="14"/>
        <v>0</v>
      </c>
      <c r="G239" s="82"/>
      <c r="H239" s="83"/>
    </row>
    <row r="240" spans="1:9" s="57" customFormat="1" x14ac:dyDescent="0.25">
      <c r="A240" s="78" t="s">
        <v>217</v>
      </c>
      <c r="B240" s="84"/>
      <c r="C240" s="87"/>
      <c r="D240" s="214"/>
      <c r="E240" s="88"/>
      <c r="F240" s="10">
        <f t="shared" si="14"/>
        <v>0</v>
      </c>
      <c r="G240" s="82"/>
      <c r="H240" s="83"/>
    </row>
    <row r="241" spans="1:9" s="57" customFormat="1" x14ac:dyDescent="0.25">
      <c r="A241" s="78" t="s">
        <v>218</v>
      </c>
      <c r="B241" s="84"/>
      <c r="C241" s="10" t="s">
        <v>168</v>
      </c>
      <c r="D241" s="29">
        <f>(1.35*1.2+3.2*4.1+1.48*1.65+2.26*3+2.95*3.05+1.56*0.6+3.35*3.15+1.87*0.6+1.4*2.3+1.4*2.3+1.05*2.95+(1.5*3.2+1.05*3.35))*10.764</f>
        <v>682.70669999999996</v>
      </c>
      <c r="E241" s="10">
        <v>0</v>
      </c>
      <c r="F241" s="10">
        <f t="shared" si="14"/>
        <v>1024.06005</v>
      </c>
      <c r="G241" s="82"/>
      <c r="H241" s="83"/>
    </row>
    <row r="242" spans="1:9" s="57" customFormat="1" x14ac:dyDescent="0.25">
      <c r="A242" s="78" t="s">
        <v>219</v>
      </c>
      <c r="B242" s="84"/>
      <c r="C242" s="10" t="s">
        <v>168</v>
      </c>
      <c r="D242" s="29">
        <f>(1.36*1.2+3.2*4.1+1.51*1.65+2.26*3+3*3.05+1.56*0.6+3.35*3.15+1.875*0.6+1.4*2.3+1.4*2.3+1.05*3+(1.5*3.2+1.05*3.35))*10.764</f>
        <v>685.60759799999994</v>
      </c>
      <c r="E242" s="10">
        <v>0</v>
      </c>
      <c r="F242" s="10">
        <f t="shared" si="14"/>
        <v>1028.4113969999999</v>
      </c>
      <c r="G242" s="87"/>
      <c r="H242" s="88"/>
    </row>
    <row r="243" spans="1:9" s="57" customFormat="1" x14ac:dyDescent="0.25">
      <c r="A243" s="75" t="s">
        <v>256</v>
      </c>
      <c r="B243" s="76"/>
      <c r="C243" s="76"/>
      <c r="D243" s="76"/>
      <c r="E243" s="76"/>
      <c r="F243" s="76"/>
      <c r="G243" s="76"/>
      <c r="H243" s="77"/>
    </row>
    <row r="244" spans="1:9" s="57" customFormat="1" x14ac:dyDescent="0.25">
      <c r="A244" s="75" t="s">
        <v>162</v>
      </c>
      <c r="B244" s="76"/>
      <c r="C244" s="76"/>
      <c r="D244" s="76"/>
      <c r="E244" s="76"/>
      <c r="F244" s="76"/>
      <c r="G244" s="76"/>
      <c r="H244" s="77"/>
    </row>
    <row r="245" spans="1:9" s="57" customFormat="1" x14ac:dyDescent="0.25">
      <c r="A245" s="75" t="s">
        <v>257</v>
      </c>
      <c r="B245" s="76"/>
      <c r="C245" s="76"/>
      <c r="D245" s="76"/>
      <c r="E245" s="76"/>
      <c r="F245" s="76"/>
      <c r="G245" s="76"/>
      <c r="H245" s="77"/>
    </row>
    <row r="246" spans="1:9" s="57" customFormat="1" ht="16.899999999999999" customHeight="1" x14ac:dyDescent="0.25">
      <c r="A246" s="75" t="s">
        <v>258</v>
      </c>
      <c r="B246" s="76"/>
      <c r="C246" s="76"/>
      <c r="D246" s="76"/>
      <c r="E246" s="76"/>
      <c r="F246" s="76"/>
      <c r="G246" s="76"/>
      <c r="H246" s="77"/>
    </row>
    <row r="247" spans="1:9" s="57" customFormat="1" ht="16.899999999999999" customHeight="1" x14ac:dyDescent="0.25">
      <c r="A247" s="75" t="s">
        <v>171</v>
      </c>
      <c r="B247" s="76"/>
      <c r="C247" s="76"/>
      <c r="D247" s="76"/>
      <c r="E247" s="76"/>
      <c r="F247" s="76"/>
      <c r="G247" s="76"/>
      <c r="H247" s="77"/>
    </row>
    <row r="248" spans="1:9" s="57" customFormat="1" x14ac:dyDescent="0.25">
      <c r="A248" s="78" t="s">
        <v>205</v>
      </c>
      <c r="B248" s="79"/>
      <c r="C248" s="10" t="s">
        <v>168</v>
      </c>
      <c r="D248" s="29">
        <v>739</v>
      </c>
      <c r="E248" s="10">
        <v>0</v>
      </c>
      <c r="F248" s="10">
        <f t="shared" ref="F248:F251" si="15">D248*1.5+E248</f>
        <v>1108.5</v>
      </c>
      <c r="G248" s="80" t="str">
        <f>A247</f>
        <v>1st To 6th, 8th To 10th, 12th To 15th, 17th To 20th, 22nd To 25th, 27th To 30th Floor</v>
      </c>
      <c r="H248" s="81"/>
      <c r="I248" s="57">
        <f>8500000/F248</f>
        <v>7668.0198466396032</v>
      </c>
    </row>
    <row r="249" spans="1:9" s="57" customFormat="1" x14ac:dyDescent="0.25">
      <c r="A249" s="78" t="s">
        <v>206</v>
      </c>
      <c r="B249" s="79"/>
      <c r="C249" s="10" t="s">
        <v>168</v>
      </c>
      <c r="D249" s="29">
        <v>692</v>
      </c>
      <c r="E249" s="10">
        <v>0</v>
      </c>
      <c r="F249" s="10">
        <f>D249*1.5+E249</f>
        <v>1038</v>
      </c>
      <c r="G249" s="82"/>
      <c r="H249" s="83"/>
      <c r="I249" s="57">
        <f t="shared" ref="I249:I251" si="16">8500000/F249</f>
        <v>8188.8246628131019</v>
      </c>
    </row>
    <row r="250" spans="1:9" s="57" customFormat="1" x14ac:dyDescent="0.25">
      <c r="A250" s="78" t="s">
        <v>207</v>
      </c>
      <c r="B250" s="84"/>
      <c r="C250" s="10" t="s">
        <v>168</v>
      </c>
      <c r="D250" s="29">
        <v>692</v>
      </c>
      <c r="E250" s="10">
        <v>0</v>
      </c>
      <c r="F250" s="10">
        <f t="shared" si="15"/>
        <v>1038</v>
      </c>
      <c r="G250" s="82"/>
      <c r="H250" s="83"/>
      <c r="I250" s="57">
        <f t="shared" si="16"/>
        <v>8188.8246628131019</v>
      </c>
    </row>
    <row r="251" spans="1:9" s="57" customFormat="1" x14ac:dyDescent="0.25">
      <c r="A251" s="78" t="s">
        <v>208</v>
      </c>
      <c r="B251" s="84"/>
      <c r="C251" s="10" t="s">
        <v>168</v>
      </c>
      <c r="D251" s="29">
        <v>641</v>
      </c>
      <c r="E251" s="10">
        <v>0</v>
      </c>
      <c r="F251" s="10">
        <f t="shared" si="15"/>
        <v>961.5</v>
      </c>
      <c r="G251" s="82"/>
      <c r="H251" s="83"/>
      <c r="I251" s="57">
        <f t="shared" si="16"/>
        <v>8840.3536141445657</v>
      </c>
    </row>
    <row r="252" spans="1:9" s="57" customFormat="1" ht="16.899999999999999" customHeight="1" x14ac:dyDescent="0.25">
      <c r="A252" s="75" t="s">
        <v>187</v>
      </c>
      <c r="B252" s="76"/>
      <c r="C252" s="76"/>
      <c r="D252" s="76"/>
      <c r="E252" s="76"/>
      <c r="F252" s="76"/>
      <c r="G252" s="76"/>
      <c r="H252" s="77"/>
    </row>
    <row r="253" spans="1:9" s="57" customFormat="1" ht="16.899999999999999" customHeight="1" x14ac:dyDescent="0.25">
      <c r="A253" s="75" t="s">
        <v>173</v>
      </c>
      <c r="B253" s="76"/>
      <c r="C253" s="76"/>
      <c r="D253" s="76"/>
      <c r="E253" s="76"/>
      <c r="F253" s="76"/>
      <c r="G253" s="76"/>
      <c r="H253" s="77"/>
    </row>
    <row r="254" spans="1:9" s="57" customFormat="1" x14ac:dyDescent="0.25">
      <c r="A254" s="78" t="s">
        <v>213</v>
      </c>
      <c r="B254" s="79"/>
      <c r="C254" s="10" t="s">
        <v>168</v>
      </c>
      <c r="D254" s="29">
        <v>739</v>
      </c>
      <c r="E254" s="10">
        <v>0</v>
      </c>
      <c r="F254" s="10">
        <f t="shared" ref="F254" si="17">D254*1.5+E254</f>
        <v>1108.5</v>
      </c>
      <c r="G254" s="80" t="str">
        <f>A253</f>
        <v>7th, 11th, 16th, 21st &amp; 26th Floor</v>
      </c>
      <c r="H254" s="81"/>
    </row>
    <row r="255" spans="1:9" s="57" customFormat="1" x14ac:dyDescent="0.25">
      <c r="A255" s="78" t="s">
        <v>214</v>
      </c>
      <c r="B255" s="79"/>
      <c r="C255" s="10" t="s">
        <v>168</v>
      </c>
      <c r="D255" s="29">
        <v>692</v>
      </c>
      <c r="E255" s="10">
        <v>0</v>
      </c>
      <c r="F255" s="10">
        <f>D255*1.5+E255</f>
        <v>1038</v>
      </c>
      <c r="G255" s="82"/>
      <c r="H255" s="83"/>
    </row>
    <row r="256" spans="1:9" s="57" customFormat="1" x14ac:dyDescent="0.25">
      <c r="A256" s="78" t="s">
        <v>215</v>
      </c>
      <c r="B256" s="84"/>
      <c r="C256" s="85" t="s">
        <v>174</v>
      </c>
      <c r="D256" s="86"/>
      <c r="E256" s="86"/>
      <c r="F256" s="79"/>
      <c r="G256" s="82"/>
      <c r="H256" s="83"/>
    </row>
    <row r="257" spans="1:14" s="57" customFormat="1" x14ac:dyDescent="0.25">
      <c r="A257" s="78" t="s">
        <v>216</v>
      </c>
      <c r="B257" s="84"/>
      <c r="C257" s="10" t="s">
        <v>168</v>
      </c>
      <c r="D257" s="29">
        <v>641</v>
      </c>
      <c r="E257" s="10">
        <v>0</v>
      </c>
      <c r="F257" s="10">
        <f t="shared" ref="F257" si="18">D257*1.5+E257</f>
        <v>961.5</v>
      </c>
      <c r="G257" s="82"/>
      <c r="H257" s="83"/>
    </row>
    <row r="258" spans="1:14" s="57" customFormat="1" x14ac:dyDescent="0.25">
      <c r="A258" s="75" t="s">
        <v>276</v>
      </c>
      <c r="B258" s="76"/>
      <c r="C258" s="76"/>
      <c r="D258" s="76"/>
      <c r="E258" s="76"/>
      <c r="F258" s="76"/>
      <c r="G258" s="76"/>
      <c r="H258" s="77"/>
    </row>
    <row r="259" spans="1:14" s="57" customFormat="1" x14ac:dyDescent="0.25">
      <c r="A259" s="75" t="s">
        <v>277</v>
      </c>
      <c r="B259" s="76"/>
      <c r="C259" s="76"/>
      <c r="D259" s="76"/>
      <c r="E259" s="76"/>
      <c r="F259" s="76"/>
      <c r="G259" s="76"/>
      <c r="H259" s="77"/>
    </row>
    <row r="260" spans="1:14" s="57" customFormat="1" ht="33" customHeight="1" x14ac:dyDescent="0.25">
      <c r="A260" s="75" t="s">
        <v>278</v>
      </c>
      <c r="B260" s="76"/>
      <c r="C260" s="76"/>
      <c r="D260" s="76"/>
      <c r="E260" s="76"/>
      <c r="F260" s="76"/>
      <c r="G260" s="76"/>
      <c r="H260" s="77"/>
    </row>
    <row r="261" spans="1:14" s="57" customFormat="1" x14ac:dyDescent="0.25">
      <c r="A261" s="75" t="s">
        <v>279</v>
      </c>
      <c r="B261" s="76"/>
      <c r="C261" s="76"/>
      <c r="D261" s="76"/>
      <c r="E261" s="76"/>
      <c r="F261" s="76"/>
      <c r="G261" s="76"/>
      <c r="H261" s="77"/>
    </row>
    <row r="262" spans="1:14" s="57" customFormat="1" ht="16.899999999999999" customHeight="1" x14ac:dyDescent="0.25">
      <c r="A262" s="75" t="s">
        <v>290</v>
      </c>
      <c r="B262" s="76"/>
      <c r="C262" s="76"/>
      <c r="D262" s="76"/>
      <c r="E262" s="76"/>
      <c r="F262" s="76"/>
      <c r="G262" s="76"/>
      <c r="H262" s="77"/>
      <c r="J262" s="64">
        <v>10.763999999999999</v>
      </c>
    </row>
    <row r="263" spans="1:14" s="57" customFormat="1" ht="15.75" customHeight="1" x14ac:dyDescent="0.25">
      <c r="A263" s="78">
        <v>1</v>
      </c>
      <c r="B263" s="79"/>
      <c r="C263" s="10" t="s">
        <v>280</v>
      </c>
      <c r="D263" s="64">
        <f>(98.42+4.99)*10.764</f>
        <v>1113.1052399999999</v>
      </c>
      <c r="E263" s="10">
        <v>0</v>
      </c>
      <c r="F263" s="10">
        <f t="shared" ref="F263" si="19">D263*1.5+E263</f>
        <v>1669.6578599999998</v>
      </c>
      <c r="G263" s="80" t="str">
        <f>A262</f>
        <v>1st To 5th, 7th To 10th, 12th To 15th, 17th To 20th, 22nd To 25th, 27th To 30th Floor For Residential</v>
      </c>
      <c r="H263" s="81"/>
      <c r="I263" s="57">
        <f>1.6*1.5+4.7*3.2+1.85*3.2+3.05*2.45+1.5*0.85+3.6*3+1.75*2.95+4.3*3.15+3.35*3.25+1.05*1.65+2.15*1.4+2.35*1.4+2.45*1.4+2.45*1.4+1.05*3.6</f>
        <v>91.175000000000026</v>
      </c>
      <c r="J263" s="57">
        <f>1*3.2+1.2*2.46</f>
        <v>6.1520000000000001</v>
      </c>
      <c r="K263" s="57">
        <f>I263+J263</f>
        <v>97.327000000000027</v>
      </c>
      <c r="L263" s="57">
        <f>98.42+4.99</f>
        <v>103.41</v>
      </c>
      <c r="M263" s="57">
        <f>L263-K263</f>
        <v>6.08299999999997</v>
      </c>
      <c r="N263" s="57">
        <f>F263/D263</f>
        <v>1.5</v>
      </c>
    </row>
    <row r="264" spans="1:14" s="57" customFormat="1" x14ac:dyDescent="0.25">
      <c r="A264" s="78">
        <v>2</v>
      </c>
      <c r="B264" s="79"/>
      <c r="C264" s="10" t="s">
        <v>168</v>
      </c>
      <c r="D264" s="64">
        <f>(66.43+2.72)*10.764</f>
        <v>744.3306</v>
      </c>
      <c r="E264" s="10">
        <v>0</v>
      </c>
      <c r="F264" s="10">
        <f>D264*1.5+E264</f>
        <v>1116.4958999999999</v>
      </c>
      <c r="G264" s="82"/>
      <c r="H264" s="83"/>
      <c r="I264" s="57">
        <f>1.2*1.35+4.55*3.2+1.7*1.02+3.4*2.31+3.4*3.05+3.65*3.16+2.35*1.4+2.35*1.4+1.05*2.25+1.99*0.6+1.05*3.4</f>
        <v>61.378499999999995</v>
      </c>
      <c r="J264" s="57">
        <f>1*3.2</f>
        <v>3.2</v>
      </c>
      <c r="K264" s="57">
        <f>I264+J264</f>
        <v>64.578499999999991</v>
      </c>
      <c r="L264" s="57">
        <f>66.43+2.72</f>
        <v>69.150000000000006</v>
      </c>
      <c r="M264" s="57">
        <f>L264-K264</f>
        <v>4.5715000000000146</v>
      </c>
      <c r="N264" s="57">
        <f t="shared" ref="N264:N275" si="20">F264/D264</f>
        <v>1.4999999999999998</v>
      </c>
    </row>
    <row r="265" spans="1:14" s="57" customFormat="1" x14ac:dyDescent="0.25">
      <c r="A265" s="78">
        <v>3</v>
      </c>
      <c r="B265" s="79"/>
      <c r="C265" s="10" t="s">
        <v>168</v>
      </c>
      <c r="D265" s="64">
        <f>(64.46+2.72)*10.764</f>
        <v>723.12551999999982</v>
      </c>
      <c r="E265" s="10">
        <v>0</v>
      </c>
      <c r="F265" s="10">
        <f t="shared" ref="F265:F266" si="21">D265*1.5+E265</f>
        <v>1084.6882799999998</v>
      </c>
      <c r="G265" s="82"/>
      <c r="H265" s="83"/>
      <c r="N265" s="57">
        <f t="shared" si="20"/>
        <v>1.5000000000000002</v>
      </c>
    </row>
    <row r="266" spans="1:14" s="57" customFormat="1" x14ac:dyDescent="0.25">
      <c r="A266" s="78">
        <v>4</v>
      </c>
      <c r="B266" s="79"/>
      <c r="C266" s="10" t="s">
        <v>168</v>
      </c>
      <c r="D266" s="64">
        <f>(61.81+2.55)*10.764</f>
        <v>692.77103999999997</v>
      </c>
      <c r="E266" s="10">
        <v>0</v>
      </c>
      <c r="F266" s="10">
        <f t="shared" si="21"/>
        <v>1039.1565599999999</v>
      </c>
      <c r="G266" s="82"/>
      <c r="H266" s="83"/>
      <c r="N266" s="57">
        <f t="shared" si="20"/>
        <v>1.5</v>
      </c>
    </row>
    <row r="267" spans="1:14" s="57" customFormat="1" x14ac:dyDescent="0.25">
      <c r="A267" s="78">
        <v>5</v>
      </c>
      <c r="B267" s="79"/>
      <c r="C267" s="10" t="s">
        <v>168</v>
      </c>
      <c r="D267" s="64">
        <f>(61.95+2.55)*10.764</f>
        <v>694.27799999999991</v>
      </c>
      <c r="E267" s="10">
        <v>0</v>
      </c>
      <c r="F267" s="10">
        <f>D267*1.5+E267</f>
        <v>1041.4169999999999</v>
      </c>
      <c r="G267" s="82"/>
      <c r="H267" s="83"/>
      <c r="N267" s="57">
        <f t="shared" si="20"/>
        <v>1.5</v>
      </c>
    </row>
    <row r="268" spans="1:14" s="57" customFormat="1" x14ac:dyDescent="0.25">
      <c r="A268" s="78">
        <v>6</v>
      </c>
      <c r="B268" s="79"/>
      <c r="C268" s="10" t="s">
        <v>280</v>
      </c>
      <c r="D268" s="64">
        <f>(98.42+4.99)*10.764</f>
        <v>1113.1052399999999</v>
      </c>
      <c r="E268" s="10">
        <v>0</v>
      </c>
      <c r="F268" s="10">
        <f t="shared" ref="F268" si="22">D268*1.5+E268</f>
        <v>1669.6578599999998</v>
      </c>
      <c r="G268" s="87"/>
      <c r="H268" s="88"/>
      <c r="N268" s="57">
        <f t="shared" si="20"/>
        <v>1.5</v>
      </c>
    </row>
    <row r="269" spans="1:14" s="57" customFormat="1" ht="16.899999999999999" customHeight="1" x14ac:dyDescent="0.25">
      <c r="A269" s="75" t="s">
        <v>281</v>
      </c>
      <c r="B269" s="76"/>
      <c r="C269" s="76"/>
      <c r="D269" s="76"/>
      <c r="E269" s="76"/>
      <c r="F269" s="76"/>
      <c r="G269" s="76"/>
      <c r="H269" s="77"/>
      <c r="J269" s="64">
        <v>10.763999999999999</v>
      </c>
      <c r="N269" s="57" t="e">
        <f t="shared" si="20"/>
        <v>#DIV/0!</v>
      </c>
    </row>
    <row r="270" spans="1:14" s="57" customFormat="1" ht="15.75" customHeight="1" x14ac:dyDescent="0.25">
      <c r="A270" s="78">
        <v>1</v>
      </c>
      <c r="B270" s="79"/>
      <c r="C270" s="10" t="s">
        <v>280</v>
      </c>
      <c r="D270" s="64">
        <f>(98.42+4.99)*10.764</f>
        <v>1113.1052399999999</v>
      </c>
      <c r="E270" s="10">
        <v>0</v>
      </c>
      <c r="F270" s="10">
        <f t="shared" ref="F270" si="23">D270*1.5+E270</f>
        <v>1669.6578599999998</v>
      </c>
      <c r="G270" s="80" t="str">
        <f>A269</f>
        <v>6th, 11th, 16th, 21st &amp; 26th Floor (Part Refuge Area)</v>
      </c>
      <c r="H270" s="81"/>
      <c r="I270" s="57">
        <f>1.6*1.5+4.7*3.2+1.85*3.2+3.05*2.45+1.5*0.85+3.6*3+1.75*2.95+4.3*3.15+3.35*3.25+1.05*1.65+2.15*1.4+2.35*1.4+2.45*1.4+2.45*1.4+1.05*3.6</f>
        <v>91.175000000000026</v>
      </c>
      <c r="J270" s="57">
        <f>1*3.2+1.2*2.46</f>
        <v>6.1520000000000001</v>
      </c>
      <c r="K270" s="57">
        <f>I270+J270</f>
        <v>97.327000000000027</v>
      </c>
      <c r="L270" s="57">
        <f>98.42+4.99</f>
        <v>103.41</v>
      </c>
      <c r="M270" s="57">
        <f>L270-K270</f>
        <v>6.08299999999997</v>
      </c>
      <c r="N270" s="57">
        <f t="shared" si="20"/>
        <v>1.5</v>
      </c>
    </row>
    <row r="271" spans="1:14" s="57" customFormat="1" x14ac:dyDescent="0.25">
      <c r="A271" s="78">
        <v>2</v>
      </c>
      <c r="B271" s="79"/>
      <c r="C271" s="10" t="s">
        <v>168</v>
      </c>
      <c r="D271" s="64">
        <f>(66.43+2.72)*10.764</f>
        <v>744.3306</v>
      </c>
      <c r="E271" s="10">
        <v>0</v>
      </c>
      <c r="F271" s="10">
        <f>D271*1.5+E271</f>
        <v>1116.4958999999999</v>
      </c>
      <c r="G271" s="82"/>
      <c r="H271" s="83"/>
      <c r="I271" s="57">
        <f>1.2*1.35+4.55*3.2+1.7*1.02+3.4*2.31+3.4*3.05+3.65*3.16+2.35*1.4+2.35*1.4+1.05*2.25+1.99*0.6+1.05*3.4</f>
        <v>61.378499999999995</v>
      </c>
      <c r="J271" s="57">
        <f>1*3.2</f>
        <v>3.2</v>
      </c>
      <c r="K271" s="57">
        <f>I271+J271</f>
        <v>64.578499999999991</v>
      </c>
      <c r="L271" s="57">
        <f>66.43+2.72</f>
        <v>69.150000000000006</v>
      </c>
      <c r="M271" s="57">
        <f>L271-K271</f>
        <v>4.5715000000000146</v>
      </c>
      <c r="N271" s="57">
        <f t="shared" si="20"/>
        <v>1.4999999999999998</v>
      </c>
    </row>
    <row r="272" spans="1:14" s="57" customFormat="1" x14ac:dyDescent="0.25">
      <c r="A272" s="78">
        <v>3</v>
      </c>
      <c r="B272" s="79"/>
      <c r="C272" s="10" t="s">
        <v>168</v>
      </c>
      <c r="D272" s="64">
        <f>(64.46+2.72)*10.764</f>
        <v>723.12551999999982</v>
      </c>
      <c r="E272" s="10">
        <v>0</v>
      </c>
      <c r="F272" s="10">
        <f t="shared" ref="F272" si="24">D272*1.5+E272</f>
        <v>1084.6882799999998</v>
      </c>
      <c r="G272" s="82"/>
      <c r="H272" s="83"/>
      <c r="N272" s="57">
        <f t="shared" si="20"/>
        <v>1.5000000000000002</v>
      </c>
    </row>
    <row r="273" spans="1:14" s="57" customFormat="1" x14ac:dyDescent="0.25">
      <c r="A273" s="78">
        <v>4</v>
      </c>
      <c r="B273" s="79"/>
      <c r="C273" s="85" t="s">
        <v>174</v>
      </c>
      <c r="D273" s="86"/>
      <c r="E273" s="86"/>
      <c r="F273" s="79"/>
      <c r="G273" s="82"/>
      <c r="H273" s="83"/>
      <c r="N273" s="57" t="e">
        <f t="shared" si="20"/>
        <v>#DIV/0!</v>
      </c>
    </row>
    <row r="274" spans="1:14" s="57" customFormat="1" x14ac:dyDescent="0.25">
      <c r="A274" s="78">
        <v>5</v>
      </c>
      <c r="B274" s="79"/>
      <c r="C274" s="10" t="s">
        <v>168</v>
      </c>
      <c r="D274" s="64">
        <f>(61.95+2.55)*10.764</f>
        <v>694.27799999999991</v>
      </c>
      <c r="E274" s="10">
        <v>0</v>
      </c>
      <c r="F274" s="10">
        <f>D274*1.5+E274</f>
        <v>1041.4169999999999</v>
      </c>
      <c r="G274" s="82"/>
      <c r="H274" s="83"/>
      <c r="N274" s="57">
        <f t="shared" si="20"/>
        <v>1.5</v>
      </c>
    </row>
    <row r="275" spans="1:14" s="57" customFormat="1" x14ac:dyDescent="0.25">
      <c r="A275" s="78">
        <v>6</v>
      </c>
      <c r="B275" s="79"/>
      <c r="C275" s="10" t="s">
        <v>280</v>
      </c>
      <c r="D275" s="64">
        <f>(98.42+4.99)*10.764</f>
        <v>1113.1052399999999</v>
      </c>
      <c r="E275" s="10">
        <v>0</v>
      </c>
      <c r="F275" s="10">
        <f t="shared" ref="F275" si="25">D275*1.5+E275</f>
        <v>1669.6578599999998</v>
      </c>
      <c r="G275" s="87"/>
      <c r="H275" s="88"/>
      <c r="N275" s="57">
        <f t="shared" si="20"/>
        <v>1.5</v>
      </c>
    </row>
    <row r="276" spans="1:14" s="51" customFormat="1" x14ac:dyDescent="0.25">
      <c r="A276" s="140" t="s">
        <v>79</v>
      </c>
      <c r="B276" s="140"/>
      <c r="C276" s="140"/>
      <c r="D276" s="140"/>
      <c r="E276" s="140"/>
      <c r="F276" s="140"/>
      <c r="G276" s="140"/>
      <c r="H276" s="140"/>
    </row>
    <row r="277" spans="1:14" s="59" customFormat="1" ht="259.5" customHeight="1" x14ac:dyDescent="0.25">
      <c r="A277" s="141" t="s">
        <v>310</v>
      </c>
      <c r="B277" s="141"/>
      <c r="C277" s="141"/>
      <c r="D277" s="141"/>
      <c r="E277" s="141"/>
      <c r="F277" s="141"/>
      <c r="G277" s="141"/>
      <c r="H277" s="141"/>
    </row>
    <row r="278" spans="1:14" x14ac:dyDescent="0.25">
      <c r="A278" s="142" t="s">
        <v>70</v>
      </c>
      <c r="B278" s="143"/>
      <c r="C278" s="143"/>
      <c r="D278" s="143"/>
      <c r="E278" s="143"/>
      <c r="F278" s="143"/>
      <c r="G278" s="143"/>
      <c r="H278" s="144"/>
    </row>
    <row r="279" spans="1:14" x14ac:dyDescent="0.25">
      <c r="A279" s="113" t="s">
        <v>71</v>
      </c>
      <c r="B279" s="114"/>
      <c r="C279" s="114"/>
      <c r="D279" s="114"/>
      <c r="E279" s="114"/>
      <c r="F279" s="114"/>
      <c r="G279" s="114"/>
      <c r="H279" s="115"/>
    </row>
    <row r="280" spans="1:14" ht="15.75" customHeight="1" x14ac:dyDescent="0.25">
      <c r="A280" s="142" t="s">
        <v>72</v>
      </c>
      <c r="B280" s="143"/>
      <c r="C280" s="143"/>
      <c r="D280" s="143"/>
      <c r="E280" s="143"/>
      <c r="F280" s="143"/>
      <c r="G280" s="143"/>
      <c r="H280" s="144"/>
    </row>
    <row r="281" spans="1:14" x14ac:dyDescent="0.25">
      <c r="A281" s="113" t="s">
        <v>73</v>
      </c>
      <c r="B281" s="114"/>
      <c r="C281" s="114"/>
      <c r="D281" s="114"/>
      <c r="E281" s="114"/>
      <c r="F281" s="114"/>
      <c r="G281" s="114"/>
      <c r="H281" s="115"/>
    </row>
    <row r="282" spans="1:14" x14ac:dyDescent="0.25">
      <c r="A282" s="113" t="s">
        <v>74</v>
      </c>
      <c r="B282" s="114"/>
      <c r="C282" s="114"/>
      <c r="D282" s="114"/>
      <c r="E282" s="114"/>
      <c r="F282" s="114"/>
      <c r="G282" s="114"/>
      <c r="H282" s="115"/>
    </row>
    <row r="283" spans="1:14" x14ac:dyDescent="0.25">
      <c r="A283" s="113" t="s">
        <v>75</v>
      </c>
      <c r="B283" s="114"/>
      <c r="C283" s="114"/>
      <c r="D283" s="114"/>
      <c r="E283" s="114"/>
      <c r="F283" s="114"/>
      <c r="G283" s="114"/>
      <c r="H283" s="115"/>
    </row>
    <row r="284" spans="1:14" ht="35.25" customHeight="1" x14ac:dyDescent="0.25">
      <c r="A284" s="135" t="s">
        <v>76</v>
      </c>
      <c r="B284" s="136"/>
      <c r="C284" s="136"/>
      <c r="D284" s="136"/>
      <c r="E284" s="136"/>
      <c r="F284" s="136"/>
      <c r="G284" s="136"/>
      <c r="H284" s="137"/>
    </row>
    <row r="285" spans="1:14" x14ac:dyDescent="0.25">
      <c r="A285" s="199" t="s">
        <v>113</v>
      </c>
      <c r="B285" s="199"/>
      <c r="C285" s="199" t="s">
        <v>267</v>
      </c>
      <c r="D285" s="199"/>
      <c r="E285" s="199" t="s">
        <v>202</v>
      </c>
      <c r="F285" s="199"/>
      <c r="G285" s="199" t="s">
        <v>313</v>
      </c>
      <c r="H285" s="199"/>
    </row>
    <row r="286" spans="1:14" x14ac:dyDescent="0.25">
      <c r="A286" s="198" t="s">
        <v>115</v>
      </c>
      <c r="B286" s="198"/>
      <c r="C286" s="198"/>
      <c r="D286" s="198"/>
      <c r="E286" s="198"/>
      <c r="F286" s="198"/>
      <c r="G286" s="198"/>
      <c r="H286" s="198"/>
    </row>
    <row r="287" spans="1:14" x14ac:dyDescent="0.25">
      <c r="A287" s="198"/>
      <c r="B287" s="198"/>
      <c r="C287" s="198"/>
      <c r="D287" s="198"/>
      <c r="E287" s="198"/>
      <c r="F287" s="198"/>
      <c r="G287" s="198"/>
      <c r="H287" s="198"/>
    </row>
    <row r="288" spans="1:14" x14ac:dyDescent="0.25">
      <c r="A288" s="198"/>
      <c r="B288" s="198"/>
      <c r="C288" s="198"/>
      <c r="D288" s="198"/>
      <c r="E288" s="198"/>
      <c r="F288" s="198"/>
      <c r="G288" s="198"/>
      <c r="H288" s="198"/>
    </row>
    <row r="289" spans="1:8" x14ac:dyDescent="0.25">
      <c r="A289" s="198"/>
      <c r="B289" s="198"/>
      <c r="C289" s="198"/>
      <c r="D289" s="198"/>
      <c r="E289" s="198"/>
      <c r="F289" s="198"/>
      <c r="G289" s="198"/>
      <c r="H289" s="198"/>
    </row>
    <row r="290" spans="1:8" x14ac:dyDescent="0.25">
      <c r="A290" s="60" t="s">
        <v>77</v>
      </c>
      <c r="B290" s="61"/>
      <c r="C290" s="61"/>
      <c r="D290" s="60" t="str">
        <f>E8</f>
        <v>Dosti Pine</v>
      </c>
      <c r="F290" s="61"/>
      <c r="G290" s="61"/>
      <c r="H290" s="61"/>
    </row>
    <row r="291" spans="1:8" x14ac:dyDescent="0.25">
      <c r="A291" s="61"/>
      <c r="B291" s="61"/>
      <c r="C291" s="61"/>
      <c r="D291" s="61"/>
      <c r="E291" s="61"/>
      <c r="F291" s="61"/>
      <c r="G291" s="61"/>
      <c r="H291" s="61"/>
    </row>
    <row r="292" spans="1:8" x14ac:dyDescent="0.25">
      <c r="A292" s="61"/>
      <c r="B292" s="61"/>
      <c r="C292" s="61"/>
      <c r="D292" s="61"/>
      <c r="E292" s="61"/>
      <c r="F292" s="61"/>
      <c r="G292" s="61"/>
      <c r="H292" s="61"/>
    </row>
    <row r="293" spans="1:8" ht="15" customHeight="1" x14ac:dyDescent="0.25"/>
    <row r="332" spans="1:1" x14ac:dyDescent="0.25">
      <c r="A332" s="63" t="s">
        <v>284</v>
      </c>
    </row>
    <row r="373" spans="1:1" x14ac:dyDescent="0.25">
      <c r="A373" s="63" t="s">
        <v>78</v>
      </c>
    </row>
  </sheetData>
  <mergeCells count="436">
    <mergeCell ref="A149:B149"/>
    <mergeCell ref="D149:E149"/>
    <mergeCell ref="F149:H149"/>
    <mergeCell ref="A54:B55"/>
    <mergeCell ref="C54:E54"/>
    <mergeCell ref="G54:H54"/>
    <mergeCell ref="C55:H55"/>
    <mergeCell ref="A46:B46"/>
    <mergeCell ref="C46:E46"/>
    <mergeCell ref="G46:H46"/>
    <mergeCell ref="A259:H259"/>
    <mergeCell ref="A258:H258"/>
    <mergeCell ref="A237:B237"/>
    <mergeCell ref="A238:B238"/>
    <mergeCell ref="A239:B239"/>
    <mergeCell ref="A240:B240"/>
    <mergeCell ref="A143:B143"/>
    <mergeCell ref="D143:E143"/>
    <mergeCell ref="F143:H143"/>
    <mergeCell ref="A171:H171"/>
    <mergeCell ref="A172:H172"/>
    <mergeCell ref="G173:H177"/>
    <mergeCell ref="C173:F173"/>
    <mergeCell ref="G161:H164"/>
    <mergeCell ref="A165:H165"/>
    <mergeCell ref="C239:E240"/>
    <mergeCell ref="A62:C62"/>
    <mergeCell ref="D62:H62"/>
    <mergeCell ref="A84:B84"/>
    <mergeCell ref="C84:H84"/>
    <mergeCell ref="C67:H67"/>
    <mergeCell ref="A267:B267"/>
    <mergeCell ref="A268:B268"/>
    <mergeCell ref="G263:H268"/>
    <mergeCell ref="A269:H269"/>
    <mergeCell ref="A270:B270"/>
    <mergeCell ref="G270:H275"/>
    <mergeCell ref="A271:B271"/>
    <mergeCell ref="A272:B272"/>
    <mergeCell ref="A273:B273"/>
    <mergeCell ref="A274:B274"/>
    <mergeCell ref="A275:B275"/>
    <mergeCell ref="C273:F273"/>
    <mergeCell ref="A260:H260"/>
    <mergeCell ref="A261:H261"/>
    <mergeCell ref="A262:H262"/>
    <mergeCell ref="A263:B263"/>
    <mergeCell ref="A264:B264"/>
    <mergeCell ref="A265:B265"/>
    <mergeCell ref="A266:B266"/>
    <mergeCell ref="A63:C63"/>
    <mergeCell ref="A51:B51"/>
    <mergeCell ref="C51:E51"/>
    <mergeCell ref="G51:H51"/>
    <mergeCell ref="A52:B53"/>
    <mergeCell ref="C52:E52"/>
    <mergeCell ref="C53:H53"/>
    <mergeCell ref="G52:H52"/>
    <mergeCell ref="C34:H34"/>
    <mergeCell ref="A35:B35"/>
    <mergeCell ref="C35:H35"/>
    <mergeCell ref="A49:B50"/>
    <mergeCell ref="C49:E49"/>
    <mergeCell ref="F49:F50"/>
    <mergeCell ref="G49:H50"/>
    <mergeCell ref="A44:B44"/>
    <mergeCell ref="C44:E44"/>
    <mergeCell ref="A39:D39"/>
    <mergeCell ref="E39:H39"/>
    <mergeCell ref="E40:H40"/>
    <mergeCell ref="E41:H41"/>
    <mergeCell ref="E42:H42"/>
    <mergeCell ref="A40:D40"/>
    <mergeCell ref="E72:F81"/>
    <mergeCell ref="G72:H81"/>
    <mergeCell ref="A80:B80"/>
    <mergeCell ref="A81:B81"/>
    <mergeCell ref="A66:C66"/>
    <mergeCell ref="D66:H66"/>
    <mergeCell ref="C69:H69"/>
    <mergeCell ref="G71:H71"/>
    <mergeCell ref="A75:B75"/>
    <mergeCell ref="A76:B76"/>
    <mergeCell ref="A77:B77"/>
    <mergeCell ref="A78:B78"/>
    <mergeCell ref="E71:F71"/>
    <mergeCell ref="A69:B69"/>
    <mergeCell ref="A79:B79"/>
    <mergeCell ref="A70:B70"/>
    <mergeCell ref="C70:D70"/>
    <mergeCell ref="E70:F70"/>
    <mergeCell ref="G70:H70"/>
    <mergeCell ref="A64:C64"/>
    <mergeCell ref="D63:H63"/>
    <mergeCell ref="D64:H64"/>
    <mergeCell ref="A71:B71"/>
    <mergeCell ref="A67:B67"/>
    <mergeCell ref="A72:B72"/>
    <mergeCell ref="A73:B73"/>
    <mergeCell ref="A74:B74"/>
    <mergeCell ref="G166:H170"/>
    <mergeCell ref="A153:H153"/>
    <mergeCell ref="A154:H154"/>
    <mergeCell ref="A155:H155"/>
    <mergeCell ref="G156:H159"/>
    <mergeCell ref="A160:H160"/>
    <mergeCell ref="A85:B85"/>
    <mergeCell ref="E85:F85"/>
    <mergeCell ref="G85:H85"/>
    <mergeCell ref="A156:B156"/>
    <mergeCell ref="A157:B157"/>
    <mergeCell ref="A158:B158"/>
    <mergeCell ref="E99:F99"/>
    <mergeCell ref="G99:H99"/>
    <mergeCell ref="A100:B100"/>
    <mergeCell ref="E100:F109"/>
    <mergeCell ref="G100:H109"/>
    <mergeCell ref="A101:B101"/>
    <mergeCell ref="A102:B102"/>
    <mergeCell ref="A103:B103"/>
    <mergeCell ref="A104:B104"/>
    <mergeCell ref="A105:B105"/>
    <mergeCell ref="A106:B106"/>
    <mergeCell ref="A107:B107"/>
    <mergeCell ref="A228:B228"/>
    <mergeCell ref="A179:H179"/>
    <mergeCell ref="A180:H180"/>
    <mergeCell ref="G181:H184"/>
    <mergeCell ref="A185:H185"/>
    <mergeCell ref="A202:B202"/>
    <mergeCell ref="A130:E130"/>
    <mergeCell ref="A124:H124"/>
    <mergeCell ref="A127:H127"/>
    <mergeCell ref="A128:E128"/>
    <mergeCell ref="F128:H128"/>
    <mergeCell ref="A125:H125"/>
    <mergeCell ref="A126:B126"/>
    <mergeCell ref="C126:H126"/>
    <mergeCell ref="F129:H129"/>
    <mergeCell ref="A129:E129"/>
    <mergeCell ref="C203:F204"/>
    <mergeCell ref="A199:H199"/>
    <mergeCell ref="A203:B203"/>
    <mergeCell ref="A204:B204"/>
    <mergeCell ref="A205:B205"/>
    <mergeCell ref="A232:B232"/>
    <mergeCell ref="A218:B218"/>
    <mergeCell ref="A220:B220"/>
    <mergeCell ref="A215:B215"/>
    <mergeCell ref="A212:B212"/>
    <mergeCell ref="A213:B213"/>
    <mergeCell ref="A214:B214"/>
    <mergeCell ref="A206:B206"/>
    <mergeCell ref="A207:B207"/>
    <mergeCell ref="A201:B201"/>
    <mergeCell ref="G201:H208"/>
    <mergeCell ref="A208:B208"/>
    <mergeCell ref="A242:B242"/>
    <mergeCell ref="G236:H242"/>
    <mergeCell ref="G228:H234"/>
    <mergeCell ref="A209:H209"/>
    <mergeCell ref="A210:H210"/>
    <mergeCell ref="A211:H211"/>
    <mergeCell ref="G212:H218"/>
    <mergeCell ref="A219:H219"/>
    <mergeCell ref="C220:F223"/>
    <mergeCell ref="G220:H226"/>
    <mergeCell ref="A227:H227"/>
    <mergeCell ref="A224:B224"/>
    <mergeCell ref="A225:B225"/>
    <mergeCell ref="A226:B226"/>
    <mergeCell ref="A221:B221"/>
    <mergeCell ref="A235:H235"/>
    <mergeCell ref="A223:B223"/>
    <mergeCell ref="A222:B222"/>
    <mergeCell ref="A234:B234"/>
    <mergeCell ref="A229:B229"/>
    <mergeCell ref="A230:B230"/>
    <mergeCell ref="A231:B231"/>
    <mergeCell ref="A241:B241"/>
    <mergeCell ref="A236:B236"/>
    <mergeCell ref="A41:D41"/>
    <mergeCell ref="A42:D42"/>
    <mergeCell ref="A43:H43"/>
    <mergeCell ref="G47:H48"/>
    <mergeCell ref="F47:F48"/>
    <mergeCell ref="C31:E31"/>
    <mergeCell ref="C32:E32"/>
    <mergeCell ref="A28:B28"/>
    <mergeCell ref="A61:C61"/>
    <mergeCell ref="D61:H61"/>
    <mergeCell ref="A59:C59"/>
    <mergeCell ref="D59:H59"/>
    <mergeCell ref="D58:H58"/>
    <mergeCell ref="A34:B34"/>
    <mergeCell ref="A47:B48"/>
    <mergeCell ref="C48:E48"/>
    <mergeCell ref="D60:H60"/>
    <mergeCell ref="A60:C60"/>
    <mergeCell ref="G56:H56"/>
    <mergeCell ref="A56:B56"/>
    <mergeCell ref="C56:E56"/>
    <mergeCell ref="G44:H44"/>
    <mergeCell ref="G45:H45"/>
    <mergeCell ref="A45:B45"/>
    <mergeCell ref="C45:E45"/>
    <mergeCell ref="C47:E47"/>
    <mergeCell ref="A57:H57"/>
    <mergeCell ref="A58:C58"/>
    <mergeCell ref="C50:E50"/>
    <mergeCell ref="A286:H289"/>
    <mergeCell ref="A285:B285"/>
    <mergeCell ref="E285:F285"/>
    <mergeCell ref="C285:D285"/>
    <mergeCell ref="G285:H285"/>
    <mergeCell ref="A138:H138"/>
    <mergeCell ref="A136:E136"/>
    <mergeCell ref="F136:H136"/>
    <mergeCell ref="A137:E137"/>
    <mergeCell ref="F137:H137"/>
    <mergeCell ref="D145:E145"/>
    <mergeCell ref="F145:H145"/>
    <mergeCell ref="A178:H178"/>
    <mergeCell ref="A145:B145"/>
    <mergeCell ref="A197:B197"/>
    <mergeCell ref="A198:B198"/>
    <mergeCell ref="A150:H150"/>
    <mergeCell ref="A142:B142"/>
    <mergeCell ref="D142:E142"/>
    <mergeCell ref="G152:H152"/>
    <mergeCell ref="A140:B140"/>
    <mergeCell ref="D140:E140"/>
    <mergeCell ref="F140:H140"/>
    <mergeCell ref="A280:H280"/>
    <mergeCell ref="A25:D25"/>
    <mergeCell ref="E25:H25"/>
    <mergeCell ref="A38:D38"/>
    <mergeCell ref="E38:H38"/>
    <mergeCell ref="A26:D26"/>
    <mergeCell ref="E26:H26"/>
    <mergeCell ref="A33:H33"/>
    <mergeCell ref="A32:B32"/>
    <mergeCell ref="A27:D27"/>
    <mergeCell ref="E27:H27"/>
    <mergeCell ref="A36:H36"/>
    <mergeCell ref="A37:D37"/>
    <mergeCell ref="E37:H37"/>
    <mergeCell ref="F29:H29"/>
    <mergeCell ref="F30:H30"/>
    <mergeCell ref="C28:E28"/>
    <mergeCell ref="F31:H31"/>
    <mergeCell ref="F32:H32"/>
    <mergeCell ref="F28:H28"/>
    <mergeCell ref="A29:B29"/>
    <mergeCell ref="C29:E29"/>
    <mergeCell ref="A30:B30"/>
    <mergeCell ref="C30:E30"/>
    <mergeCell ref="A31:B31"/>
    <mergeCell ref="A16:B16"/>
    <mergeCell ref="C16:D16"/>
    <mergeCell ref="E16:F16"/>
    <mergeCell ref="G16:H16"/>
    <mergeCell ref="A1:H1"/>
    <mergeCell ref="A2:H2"/>
    <mergeCell ref="A3:D3"/>
    <mergeCell ref="E3:H3"/>
    <mergeCell ref="A4:D4"/>
    <mergeCell ref="A8:D8"/>
    <mergeCell ref="E8:H8"/>
    <mergeCell ref="A9:D9"/>
    <mergeCell ref="E9:H9"/>
    <mergeCell ref="E4:H4"/>
    <mergeCell ref="A10:D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E10:F10"/>
    <mergeCell ref="G10:H10"/>
    <mergeCell ref="A15:B15"/>
    <mergeCell ref="C15:D15"/>
    <mergeCell ref="E15:F15"/>
    <mergeCell ref="G15:H15"/>
    <mergeCell ref="A22:D22"/>
    <mergeCell ref="A23:D23"/>
    <mergeCell ref="E23:H23"/>
    <mergeCell ref="E22:H22"/>
    <mergeCell ref="A24:D24"/>
    <mergeCell ref="E24:H24"/>
    <mergeCell ref="A21:D21"/>
    <mergeCell ref="E21:H21"/>
    <mergeCell ref="A17:B17"/>
    <mergeCell ref="C17:D17"/>
    <mergeCell ref="E17:F17"/>
    <mergeCell ref="G17:H17"/>
    <mergeCell ref="A18:B18"/>
    <mergeCell ref="C18:D18"/>
    <mergeCell ref="E18:F18"/>
    <mergeCell ref="G18:H18"/>
    <mergeCell ref="A19:D19"/>
    <mergeCell ref="E19:H19"/>
    <mergeCell ref="A20:D20"/>
    <mergeCell ref="E20:H20"/>
    <mergeCell ref="A281:H281"/>
    <mergeCell ref="A282:H282"/>
    <mergeCell ref="A283:H283"/>
    <mergeCell ref="A284:H284"/>
    <mergeCell ref="A65:C65"/>
    <mergeCell ref="D65:H65"/>
    <mergeCell ref="A276:H276"/>
    <mergeCell ref="A277:H277"/>
    <mergeCell ref="A278:H278"/>
    <mergeCell ref="A279:H279"/>
    <mergeCell ref="A151:H151"/>
    <mergeCell ref="A181:B181"/>
    <mergeCell ref="A182:B182"/>
    <mergeCell ref="A183:B183"/>
    <mergeCell ref="A184:B184"/>
    <mergeCell ref="A186:B186"/>
    <mergeCell ref="A187:B187"/>
    <mergeCell ref="A188:B188"/>
    <mergeCell ref="A189:B189"/>
    <mergeCell ref="A195:B195"/>
    <mergeCell ref="A196:B196"/>
    <mergeCell ref="A216:B216"/>
    <mergeCell ref="A217:B217"/>
    <mergeCell ref="A233:B233"/>
    <mergeCell ref="A87:B87"/>
    <mergeCell ref="A88:B88"/>
    <mergeCell ref="A89:B89"/>
    <mergeCell ref="A90:B90"/>
    <mergeCell ref="A91:B91"/>
    <mergeCell ref="A92:B92"/>
    <mergeCell ref="A93:B93"/>
    <mergeCell ref="A94:B94"/>
    <mergeCell ref="A95:B95"/>
    <mergeCell ref="A82:B82"/>
    <mergeCell ref="C82:H82"/>
    <mergeCell ref="A108:B108"/>
    <mergeCell ref="A109:B109"/>
    <mergeCell ref="F130:H130"/>
    <mergeCell ref="A131:E131"/>
    <mergeCell ref="F131:H131"/>
    <mergeCell ref="A135:E135"/>
    <mergeCell ref="F135:H135"/>
    <mergeCell ref="A132:E132"/>
    <mergeCell ref="F132:H132"/>
    <mergeCell ref="A116:B116"/>
    <mergeCell ref="A117:B117"/>
    <mergeCell ref="A118:B118"/>
    <mergeCell ref="A119:B119"/>
    <mergeCell ref="A120:B120"/>
    <mergeCell ref="A121:B121"/>
    <mergeCell ref="A122:B122"/>
    <mergeCell ref="A123:B123"/>
    <mergeCell ref="A96:B96"/>
    <mergeCell ref="C96:H96"/>
    <mergeCell ref="A86:B86"/>
    <mergeCell ref="E86:F95"/>
    <mergeCell ref="G86:H95"/>
    <mergeCell ref="A147:B147"/>
    <mergeCell ref="D147:E147"/>
    <mergeCell ref="F147:H147"/>
    <mergeCell ref="A98:B98"/>
    <mergeCell ref="C98:H98"/>
    <mergeCell ref="A99:B99"/>
    <mergeCell ref="D139:E139"/>
    <mergeCell ref="F139:H139"/>
    <mergeCell ref="A139:B139"/>
    <mergeCell ref="A133:E133"/>
    <mergeCell ref="F133:H133"/>
    <mergeCell ref="A134:E134"/>
    <mergeCell ref="F134:H134"/>
    <mergeCell ref="A110:B110"/>
    <mergeCell ref="C110:H110"/>
    <mergeCell ref="A112:B112"/>
    <mergeCell ref="C112:H112"/>
    <mergeCell ref="A113:B113"/>
    <mergeCell ref="E113:F113"/>
    <mergeCell ref="G113:H113"/>
    <mergeCell ref="A114:B114"/>
    <mergeCell ref="E114:F123"/>
    <mergeCell ref="G114:H123"/>
    <mergeCell ref="A115:B115"/>
    <mergeCell ref="A163:B163"/>
    <mergeCell ref="A164:B164"/>
    <mergeCell ref="A193:B193"/>
    <mergeCell ref="A194:B194"/>
    <mergeCell ref="G186:H189"/>
    <mergeCell ref="G191:H198"/>
    <mergeCell ref="A200:H200"/>
    <mergeCell ref="A141:H141"/>
    <mergeCell ref="F142:H142"/>
    <mergeCell ref="A146:B146"/>
    <mergeCell ref="D146:E146"/>
    <mergeCell ref="F146:H146"/>
    <mergeCell ref="A190:H190"/>
    <mergeCell ref="A191:B191"/>
    <mergeCell ref="A192:B192"/>
    <mergeCell ref="A159:B159"/>
    <mergeCell ref="A161:B161"/>
    <mergeCell ref="A162:B162"/>
    <mergeCell ref="A148:B148"/>
    <mergeCell ref="D148:E148"/>
    <mergeCell ref="F148:H148"/>
    <mergeCell ref="D144:E144"/>
    <mergeCell ref="F144:H144"/>
    <mergeCell ref="A144:B144"/>
    <mergeCell ref="A252:H252"/>
    <mergeCell ref="A253:H253"/>
    <mergeCell ref="A254:B254"/>
    <mergeCell ref="G254:H257"/>
    <mergeCell ref="A255:B255"/>
    <mergeCell ref="A256:B256"/>
    <mergeCell ref="C256:F256"/>
    <mergeCell ref="A257:B257"/>
    <mergeCell ref="A243:H243"/>
    <mergeCell ref="A244:H244"/>
    <mergeCell ref="A245:H245"/>
    <mergeCell ref="A246:H246"/>
    <mergeCell ref="A247:H247"/>
    <mergeCell ref="A248:B248"/>
    <mergeCell ref="G248:H251"/>
    <mergeCell ref="A249:B249"/>
    <mergeCell ref="A250:B250"/>
    <mergeCell ref="A251:B251"/>
  </mergeCells>
  <phoneticPr fontId="18" type="noConversion"/>
  <hyperlinks>
    <hyperlink ref="C35" r:id="rId1" xr:uid="{00000000-0004-0000-0000-000000000000}"/>
  </hyperlinks>
  <printOptions horizontalCentered="1"/>
  <pageMargins left="0.196850393700787" right="0.196850393700787" top="0.78740157480314998" bottom="0.78740157480314998" header="0.196850393700787" footer="0.196850393700787"/>
  <pageSetup paperSize="9" scale="94" fitToHeight="0" orientation="portrait" r:id="rId2"/>
  <headerFooter>
    <oddHeader>&amp;C&amp;G</oddHeader>
    <oddFooter>&amp;L&amp;"Times New Roman,Bold"&amp;12Ref No: &amp;F&amp;C&amp;G&amp;R&amp;"Times New Roman,Bold"&amp;12&amp;P</oddFooter>
  </headerFooter>
  <rowBreaks count="5" manualBreakCount="5">
    <brk id="35" max="16383" man="1"/>
    <brk id="137" max="16383" man="1"/>
    <brk id="289" max="16383" man="1"/>
    <brk id="331" max="7" man="1"/>
    <brk id="372" max="16383" man="1"/>
  </rowBreaks>
  <colBreaks count="1" manualBreakCount="1">
    <brk id="10" max="1048575" man="1"/>
  </col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5"/>
  <sheetViews>
    <sheetView topLeftCell="A16" workbookViewId="0">
      <selection activeCell="E25" sqref="E25"/>
    </sheetView>
  </sheetViews>
  <sheetFormatPr defaultRowHeight="15" x14ac:dyDescent="0.25"/>
  <cols>
    <col min="1" max="1" width="10.28515625" bestFit="1" customWidth="1"/>
  </cols>
  <sheetData>
    <row r="2" spans="1:1" x14ac:dyDescent="0.25">
      <c r="A2" s="11">
        <v>44140</v>
      </c>
    </row>
    <row r="25" spans="1:3" x14ac:dyDescent="0.25">
      <c r="A25" t="s">
        <v>228</v>
      </c>
      <c r="B25" t="s">
        <v>229</v>
      </c>
      <c r="C25" t="s">
        <v>230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workbookViewId="0">
      <selection activeCell="G11" sqref="G11"/>
    </sheetView>
  </sheetViews>
  <sheetFormatPr defaultColWidth="8.7109375" defaultRowHeight="15" x14ac:dyDescent="0.25"/>
  <cols>
    <col min="1" max="1" width="8.7109375" style="12"/>
    <col min="2" max="2" width="22.28515625" style="12" customWidth="1"/>
    <col min="3" max="3" width="37" style="12" customWidth="1"/>
    <col min="4" max="5" width="11.42578125" style="12" customWidth="1"/>
    <col min="6" max="6" width="14" style="12" customWidth="1"/>
    <col min="7" max="7" width="20" style="12" customWidth="1"/>
    <col min="8" max="8" width="16.42578125" style="12" customWidth="1"/>
    <col min="9" max="16384" width="8.7109375" style="12"/>
  </cols>
  <sheetData>
    <row r="1" spans="1:9" ht="15" customHeight="1" x14ac:dyDescent="0.25"/>
    <row r="2" spans="1:9" ht="15" customHeight="1" x14ac:dyDescent="0.25">
      <c r="A2" s="13"/>
      <c r="B2" s="13"/>
      <c r="C2" s="13"/>
      <c r="D2" s="13"/>
      <c r="E2" s="13"/>
      <c r="F2" s="13"/>
      <c r="G2" s="13"/>
      <c r="H2" s="13"/>
    </row>
    <row r="3" spans="1:9" ht="15.75" customHeight="1" x14ac:dyDescent="0.25">
      <c r="A3" s="13"/>
      <c r="B3" s="250" t="s">
        <v>191</v>
      </c>
      <c r="C3" s="250"/>
      <c r="D3" s="250"/>
      <c r="E3" s="250"/>
      <c r="F3" s="250"/>
      <c r="G3" s="250"/>
      <c r="H3" s="250"/>
    </row>
    <row r="4" spans="1:9" x14ac:dyDescent="0.25">
      <c r="A4" s="13"/>
      <c r="B4" s="14" t="s">
        <v>192</v>
      </c>
      <c r="C4" s="14" t="s">
        <v>193</v>
      </c>
      <c r="D4" s="14" t="s">
        <v>81</v>
      </c>
      <c r="E4" s="14" t="s">
        <v>194</v>
      </c>
      <c r="F4" s="14" t="s">
        <v>195</v>
      </c>
      <c r="G4" s="14" t="s">
        <v>196</v>
      </c>
      <c r="H4" s="14" t="s">
        <v>197</v>
      </c>
    </row>
    <row r="5" spans="1:9" ht="15" customHeight="1" x14ac:dyDescent="0.25">
      <c r="A5" s="13"/>
      <c r="B5" s="15" t="s">
        <v>199</v>
      </c>
      <c r="C5" s="16" t="s">
        <v>143</v>
      </c>
      <c r="D5" s="15" t="s">
        <v>168</v>
      </c>
      <c r="E5" s="15">
        <v>693</v>
      </c>
      <c r="F5" s="17">
        <f>E5*1.5</f>
        <v>1039.5</v>
      </c>
      <c r="G5" s="17">
        <f>H5/F5</f>
        <v>8177.008177008177</v>
      </c>
      <c r="H5" s="18">
        <v>8500000</v>
      </c>
    </row>
    <row r="6" spans="1:9" x14ac:dyDescent="0.25">
      <c r="A6" s="13"/>
      <c r="B6" s="15" t="s">
        <v>199</v>
      </c>
      <c r="C6" s="16" t="s">
        <v>143</v>
      </c>
      <c r="D6" s="15" t="s">
        <v>168</v>
      </c>
      <c r="E6" s="15">
        <v>779</v>
      </c>
      <c r="F6" s="17">
        <f>E6*1.5</f>
        <v>1168.5</v>
      </c>
      <c r="G6" s="17">
        <f t="shared" ref="G6:G8" si="0">H6/F6</f>
        <v>8215.6611039794607</v>
      </c>
      <c r="H6" s="18">
        <v>9600000</v>
      </c>
    </row>
    <row r="7" spans="1:9" ht="15" customHeight="1" x14ac:dyDescent="0.25">
      <c r="A7" s="13"/>
      <c r="B7" s="15" t="s">
        <v>198</v>
      </c>
      <c r="C7" s="16" t="s">
        <v>143</v>
      </c>
      <c r="D7" s="15" t="s">
        <v>168</v>
      </c>
      <c r="E7" s="15">
        <v>545</v>
      </c>
      <c r="F7" s="17">
        <v>750</v>
      </c>
      <c r="G7" s="17">
        <f t="shared" si="0"/>
        <v>10933.333333333334</v>
      </c>
      <c r="H7" s="18">
        <v>8200000</v>
      </c>
    </row>
    <row r="8" spans="1:9" x14ac:dyDescent="0.25">
      <c r="A8" s="13"/>
      <c r="B8" s="15" t="s">
        <v>198</v>
      </c>
      <c r="C8" s="16" t="s">
        <v>143</v>
      </c>
      <c r="D8" s="15" t="s">
        <v>168</v>
      </c>
      <c r="E8" s="15">
        <v>556</v>
      </c>
      <c r="F8" s="17">
        <f>E8*1.5</f>
        <v>834</v>
      </c>
      <c r="G8" s="17">
        <f t="shared" si="0"/>
        <v>10167.865707434054</v>
      </c>
      <c r="H8" s="18">
        <v>8480000</v>
      </c>
    </row>
    <row r="9" spans="1:9" ht="15" customHeight="1" x14ac:dyDescent="0.25">
      <c r="A9" s="13"/>
      <c r="B9" s="19" t="s">
        <v>200</v>
      </c>
      <c r="C9" s="15"/>
      <c r="D9" s="15"/>
      <c r="E9" s="15"/>
      <c r="F9" s="15"/>
      <c r="G9" s="20">
        <f>AVERAGE(G5:G8)</f>
        <v>9373.4670804387551</v>
      </c>
      <c r="H9" s="15"/>
    </row>
    <row r="10" spans="1:9" ht="15" customHeight="1" x14ac:dyDescent="0.25">
      <c r="B10" s="19" t="s">
        <v>201</v>
      </c>
      <c r="C10" s="15"/>
      <c r="D10" s="15"/>
      <c r="E10" s="15"/>
      <c r="F10" s="21"/>
      <c r="G10" s="19">
        <v>9400</v>
      </c>
      <c r="H10" s="19"/>
      <c r="I10" s="22"/>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6"/>
  <sheetViews>
    <sheetView workbookViewId="0">
      <selection activeCell="M197" sqref="M197"/>
    </sheetView>
  </sheetViews>
  <sheetFormatPr defaultRowHeight="15" x14ac:dyDescent="0.25"/>
  <cols>
    <col min="2" max="2" width="12.28515625" customWidth="1"/>
  </cols>
  <sheetData>
    <row r="2" spans="1:12" x14ac:dyDescent="0.25">
      <c r="B2" s="1" t="s">
        <v>80</v>
      </c>
      <c r="C2" s="251"/>
      <c r="D2" s="251"/>
    </row>
    <row r="3" spans="1:12" x14ac:dyDescent="0.25">
      <c r="D3" s="2"/>
      <c r="E3" s="2"/>
      <c r="F3" s="2"/>
      <c r="G3" s="2"/>
      <c r="H3" s="2"/>
      <c r="I3" s="2"/>
    </row>
    <row r="4" spans="1:12" x14ac:dyDescent="0.25">
      <c r="A4" s="1" t="s">
        <v>81</v>
      </c>
      <c r="B4" s="3" t="s">
        <v>82</v>
      </c>
      <c r="C4" s="252" t="s">
        <v>83</v>
      </c>
      <c r="D4" s="252"/>
      <c r="E4" s="252"/>
      <c r="F4" s="4"/>
      <c r="G4" s="252" t="s">
        <v>84</v>
      </c>
      <c r="H4" s="252"/>
      <c r="I4" s="252"/>
      <c r="J4" s="252" t="s">
        <v>85</v>
      </c>
      <c r="K4" s="252"/>
      <c r="L4" s="252"/>
    </row>
    <row r="5" spans="1:12" x14ac:dyDescent="0.25">
      <c r="A5" s="1">
        <v>202</v>
      </c>
      <c r="B5" s="3"/>
      <c r="C5" s="3" t="s">
        <v>86</v>
      </c>
      <c r="D5" s="3" t="s">
        <v>87</v>
      </c>
      <c r="E5" s="3" t="s">
        <v>61</v>
      </c>
      <c r="F5" s="3"/>
      <c r="G5" s="3" t="s">
        <v>86</v>
      </c>
      <c r="H5" s="3" t="s">
        <v>87</v>
      </c>
      <c r="I5" s="3" t="s">
        <v>61</v>
      </c>
      <c r="J5" s="3" t="s">
        <v>86</v>
      </c>
      <c r="K5" s="3" t="s">
        <v>87</v>
      </c>
      <c r="L5" s="3" t="s">
        <v>61</v>
      </c>
    </row>
    <row r="6" spans="1:12" x14ac:dyDescent="0.25">
      <c r="B6" s="5" t="s">
        <v>88</v>
      </c>
      <c r="C6" s="5">
        <v>4.5</v>
      </c>
      <c r="D6" s="5">
        <v>2.9</v>
      </c>
      <c r="E6" s="5">
        <f>C6*D6</f>
        <v>13.049999999999999</v>
      </c>
      <c r="F6" s="5" t="s">
        <v>89</v>
      </c>
      <c r="G6" s="5"/>
      <c r="H6" s="5"/>
      <c r="I6" s="5">
        <f>G6*H6</f>
        <v>0</v>
      </c>
      <c r="J6" s="5"/>
      <c r="K6" s="5"/>
      <c r="L6" s="5">
        <f>J6*K6</f>
        <v>0</v>
      </c>
    </row>
    <row r="7" spans="1:12" x14ac:dyDescent="0.25">
      <c r="B7" s="5"/>
      <c r="C7" s="5"/>
      <c r="D7" s="5"/>
      <c r="E7" s="5">
        <f t="shared" ref="E7:E33" si="0">C7*D7</f>
        <v>0</v>
      </c>
      <c r="F7" s="5" t="s">
        <v>90</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91</v>
      </c>
      <c r="C9" s="5">
        <v>1.88</v>
      </c>
      <c r="D9" s="5">
        <v>2.13</v>
      </c>
      <c r="E9" s="5">
        <f t="shared" si="0"/>
        <v>4.0043999999999995</v>
      </c>
      <c r="F9" s="5" t="s">
        <v>89</v>
      </c>
      <c r="G9" s="5"/>
      <c r="H9" s="5"/>
      <c r="I9" s="5">
        <f t="shared" si="1"/>
        <v>0</v>
      </c>
      <c r="J9" s="5"/>
      <c r="K9" s="5"/>
      <c r="L9" s="5">
        <f t="shared" si="2"/>
        <v>0</v>
      </c>
    </row>
    <row r="10" spans="1:12" x14ac:dyDescent="0.25">
      <c r="B10" s="5"/>
      <c r="C10" s="5"/>
      <c r="D10" s="5"/>
      <c r="E10" s="5">
        <f t="shared" si="0"/>
        <v>0</v>
      </c>
      <c r="F10" s="5" t="s">
        <v>90</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92</v>
      </c>
      <c r="C13" s="5"/>
      <c r="D13" s="5"/>
      <c r="E13" s="5">
        <f t="shared" si="0"/>
        <v>0</v>
      </c>
      <c r="F13" s="5" t="s">
        <v>89</v>
      </c>
      <c r="G13" s="5"/>
      <c r="H13" s="5"/>
      <c r="I13" s="5">
        <f t="shared" si="1"/>
        <v>0</v>
      </c>
      <c r="J13" s="5"/>
      <c r="K13" s="5"/>
      <c r="L13" s="5">
        <f t="shared" si="2"/>
        <v>0</v>
      </c>
    </row>
    <row r="14" spans="1:12" x14ac:dyDescent="0.25">
      <c r="B14" s="5"/>
      <c r="C14" s="5"/>
      <c r="D14" s="5"/>
      <c r="E14" s="5">
        <f t="shared" si="0"/>
        <v>0</v>
      </c>
      <c r="F14" s="5" t="s">
        <v>90</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93</v>
      </c>
      <c r="C17" s="5"/>
      <c r="D17" s="5"/>
      <c r="E17" s="5">
        <f t="shared" si="0"/>
        <v>0</v>
      </c>
      <c r="F17" s="5" t="s">
        <v>89</v>
      </c>
      <c r="G17" s="5"/>
      <c r="H17" s="5"/>
      <c r="I17" s="5">
        <f t="shared" si="1"/>
        <v>0</v>
      </c>
      <c r="J17" s="5"/>
      <c r="K17" s="5"/>
      <c r="L17" s="5">
        <f t="shared" si="2"/>
        <v>0</v>
      </c>
    </row>
    <row r="18" spans="2:12" x14ac:dyDescent="0.25">
      <c r="B18" s="5"/>
      <c r="C18" s="5"/>
      <c r="D18" s="5"/>
      <c r="E18" s="5">
        <f t="shared" si="0"/>
        <v>0</v>
      </c>
      <c r="F18" s="5" t="s">
        <v>90</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93</v>
      </c>
      <c r="C20" s="5"/>
      <c r="D20" s="5"/>
      <c r="E20" s="5">
        <f t="shared" si="0"/>
        <v>0</v>
      </c>
      <c r="F20" s="5" t="s">
        <v>89</v>
      </c>
      <c r="G20" s="5"/>
      <c r="H20" s="5"/>
      <c r="I20" s="5">
        <f t="shared" si="1"/>
        <v>0</v>
      </c>
      <c r="J20" s="5"/>
      <c r="K20" s="5"/>
      <c r="L20" s="5">
        <f t="shared" si="2"/>
        <v>0</v>
      </c>
    </row>
    <row r="21" spans="2:12" x14ac:dyDescent="0.25">
      <c r="B21" s="5"/>
      <c r="C21" s="5"/>
      <c r="D21" s="5"/>
      <c r="E21" s="5">
        <f t="shared" si="0"/>
        <v>0</v>
      </c>
      <c r="F21" s="5" t="s">
        <v>90</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94</v>
      </c>
      <c r="C23" s="5">
        <v>1.9</v>
      </c>
      <c r="D23" s="5">
        <v>1.07</v>
      </c>
      <c r="E23" s="5">
        <f t="shared" si="0"/>
        <v>2.0329999999999999</v>
      </c>
      <c r="F23" s="5" t="s">
        <v>95</v>
      </c>
      <c r="G23" s="5"/>
      <c r="H23" s="5"/>
      <c r="I23" s="5">
        <f t="shared" si="1"/>
        <v>0</v>
      </c>
      <c r="J23" s="5"/>
      <c r="K23" s="5"/>
      <c r="L23" s="5">
        <f t="shared" si="2"/>
        <v>0</v>
      </c>
    </row>
    <row r="24" spans="2:12" x14ac:dyDescent="0.25">
      <c r="B24" s="5" t="s">
        <v>96</v>
      </c>
      <c r="C24" s="5"/>
      <c r="D24" s="5"/>
      <c r="E24" s="5">
        <f t="shared" si="0"/>
        <v>0</v>
      </c>
      <c r="F24" s="5" t="s">
        <v>95</v>
      </c>
      <c r="G24" s="5"/>
      <c r="H24" s="5"/>
      <c r="I24" s="5">
        <f t="shared" si="1"/>
        <v>0</v>
      </c>
      <c r="J24" s="5"/>
      <c r="K24" s="5"/>
      <c r="L24" s="5">
        <f t="shared" si="2"/>
        <v>0</v>
      </c>
    </row>
    <row r="25" spans="2:12" x14ac:dyDescent="0.25">
      <c r="B25" s="5" t="s">
        <v>97</v>
      </c>
      <c r="C25" s="5"/>
      <c r="D25" s="5"/>
      <c r="E25" s="5">
        <f t="shared" si="0"/>
        <v>0</v>
      </c>
      <c r="F25" s="5" t="s">
        <v>95</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98</v>
      </c>
      <c r="C27" s="5"/>
      <c r="D27" s="5"/>
      <c r="E27" s="5">
        <f t="shared" si="0"/>
        <v>0</v>
      </c>
      <c r="F27" s="5"/>
      <c r="G27" s="5"/>
      <c r="H27" s="5"/>
      <c r="I27" s="5">
        <f t="shared" si="1"/>
        <v>0</v>
      </c>
      <c r="J27" s="5"/>
      <c r="K27" s="5"/>
      <c r="L27" s="5">
        <f t="shared" si="2"/>
        <v>0</v>
      </c>
    </row>
    <row r="28" spans="2:12" x14ac:dyDescent="0.25">
      <c r="B28" s="5" t="s">
        <v>99</v>
      </c>
      <c r="C28" s="5"/>
      <c r="D28" s="5"/>
      <c r="E28" s="5">
        <f t="shared" si="0"/>
        <v>0</v>
      </c>
      <c r="F28" s="5"/>
      <c r="G28" s="5"/>
      <c r="H28" s="5"/>
      <c r="I28" s="5">
        <f t="shared" si="1"/>
        <v>0</v>
      </c>
      <c r="J28" s="5"/>
      <c r="K28" s="5"/>
      <c r="L28" s="5">
        <f t="shared" si="2"/>
        <v>0</v>
      </c>
    </row>
    <row r="29" spans="2:12" x14ac:dyDescent="0.25">
      <c r="B29" s="5" t="s">
        <v>100</v>
      </c>
      <c r="C29" s="5"/>
      <c r="D29" s="5"/>
      <c r="E29" s="5">
        <f t="shared" si="0"/>
        <v>0</v>
      </c>
      <c r="F29" s="5"/>
      <c r="G29" s="5"/>
      <c r="H29" s="5"/>
      <c r="I29" s="5">
        <f t="shared" si="1"/>
        <v>0</v>
      </c>
      <c r="J29" s="5"/>
      <c r="K29" s="5"/>
      <c r="L29" s="5">
        <f t="shared" si="2"/>
        <v>0</v>
      </c>
    </row>
    <row r="30" spans="2:12" x14ac:dyDescent="0.25">
      <c r="B30" s="5" t="s">
        <v>101</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62</v>
      </c>
      <c r="C34" s="5"/>
      <c r="D34" s="5">
        <f>E34*10.764</f>
        <v>205.45677359999996</v>
      </c>
      <c r="E34" s="5">
        <f>SUM(E6:E33)</f>
        <v>19.087399999999999</v>
      </c>
      <c r="F34" s="5"/>
      <c r="G34" s="5"/>
      <c r="H34" s="5">
        <f>I34*10.764</f>
        <v>0</v>
      </c>
      <c r="I34" s="5">
        <f>SUM(I6:I33)</f>
        <v>0</v>
      </c>
      <c r="J34" s="5"/>
      <c r="K34" s="5">
        <f>L34*10.764</f>
        <v>0</v>
      </c>
      <c r="L34" s="5">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Note</vt:lpstr>
      <vt:lpstr>Valuation</vt:lpstr>
      <vt:lpstr>Flat detail</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2025-09-09T06:08:18Z</cp:lastPrinted>
  <dcterms:created xsi:type="dcterms:W3CDTF">2019-07-16T09:29:46Z</dcterms:created>
  <dcterms:modified xsi:type="dcterms:W3CDTF">2025-09-09T06:09:44Z</dcterms:modified>
</cp:coreProperties>
</file>