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Sept 25\DUMP\"/>
    </mc:Choice>
  </mc:AlternateContent>
  <xr:revisionPtr revIDLastSave="0" documentId="13_ncr:1_{552875D7-FFB2-4A05-8EDB-B9D35C996423}" xr6:coauthVersionLast="47" xr6:coauthVersionMax="47" xr10:uidLastSave="{00000000-0000-0000-0000-000000000000}"/>
  <bookViews>
    <workbookView xWindow="-120" yWindow="-120" windowWidth="20730" windowHeight="11160" tabRatio="686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9" i="1" l="1"/>
  <c r="J109" i="1" s="1"/>
  <c r="H99" i="1"/>
  <c r="D110" i="1" l="1"/>
  <c r="D109" i="1"/>
  <c r="D105" i="1"/>
  <c r="J103" i="1"/>
  <c r="C102" i="1" s="1"/>
  <c r="J101" i="1"/>
  <c r="J98" i="1"/>
  <c r="J100" i="1" s="1"/>
  <c r="D111" i="1"/>
  <c r="D107" i="1"/>
  <c r="D106" i="1"/>
  <c r="J102" i="1"/>
  <c r="D108" i="1"/>
  <c r="D104" i="1"/>
  <c r="J104" i="1"/>
  <c r="J105" i="1" s="1"/>
  <c r="J110" i="1" s="1"/>
  <c r="J111" i="1" s="1"/>
  <c r="C103" i="1" s="1"/>
  <c r="J108" i="1"/>
  <c r="J106" i="1"/>
  <c r="J107" i="1"/>
  <c r="J112" i="1" s="1"/>
  <c r="J113" i="1" s="1"/>
  <c r="C15" i="1"/>
  <c r="E102" i="1" l="1"/>
  <c r="D103" i="1"/>
  <c r="G102" i="1"/>
  <c r="D102" i="1"/>
  <c r="D185" i="1"/>
  <c r="D184" i="1"/>
  <c r="D183" i="1"/>
  <c r="D182" i="1"/>
  <c r="D181" i="1"/>
  <c r="D180" i="1"/>
  <c r="I185" i="1"/>
  <c r="I184" i="1"/>
  <c r="I183" i="1"/>
  <c r="I182" i="1"/>
  <c r="I181" i="1"/>
  <c r="I180" i="1"/>
  <c r="I187" i="1"/>
  <c r="D187" i="1"/>
  <c r="I174" i="1"/>
  <c r="I173" i="1"/>
  <c r="I170" i="1"/>
  <c r="I169" i="1"/>
  <c r="I168" i="1"/>
  <c r="D170" i="1"/>
  <c r="D169" i="1"/>
  <c r="D168" i="1"/>
  <c r="D246" i="1"/>
  <c r="D245" i="1"/>
  <c r="D244" i="1"/>
  <c r="I246" i="1"/>
  <c r="I245" i="1"/>
  <c r="I244" i="1"/>
  <c r="D224" i="1"/>
  <c r="D223" i="1"/>
  <c r="I233" i="1"/>
  <c r="I234" i="1"/>
  <c r="D202" i="1"/>
  <c r="D201" i="1"/>
  <c r="D200" i="1"/>
  <c r="D199" i="1"/>
  <c r="D260" i="1"/>
  <c r="D259" i="1"/>
  <c r="D255" i="1"/>
  <c r="D254" i="1"/>
  <c r="I239" i="1"/>
  <c r="D239" i="1"/>
  <c r="F239" i="1" s="1"/>
  <c r="G252" i="1"/>
  <c r="I265" i="1"/>
  <c r="I264" i="1"/>
  <c r="I263" i="1"/>
  <c r="I262" i="1"/>
  <c r="I236" i="1"/>
  <c r="I235" i="1"/>
  <c r="A226" i="1"/>
  <c r="D275" i="1"/>
  <c r="F275" i="1" s="1"/>
  <c r="A275" i="1"/>
  <c r="D273" i="1"/>
  <c r="F273" i="1" s="1"/>
  <c r="A273" i="1"/>
  <c r="G272" i="1"/>
  <c r="D272" i="1"/>
  <c r="F272" i="1" s="1"/>
  <c r="D241" i="1"/>
  <c r="F241" i="1" s="1"/>
  <c r="D240" i="1"/>
  <c r="F240" i="1" s="1"/>
  <c r="A239" i="1"/>
  <c r="A240" i="1" s="1"/>
  <c r="A241" i="1" s="1"/>
  <c r="G238" i="1"/>
  <c r="D218" i="1"/>
  <c r="F218" i="1" s="1"/>
  <c r="A218" i="1"/>
  <c r="A219" i="1" s="1"/>
  <c r="A220" i="1" s="1"/>
  <c r="D217" i="1"/>
  <c r="F217" i="1" s="1"/>
  <c r="G216" i="1"/>
  <c r="D216" i="1"/>
  <c r="F216" i="1" s="1"/>
  <c r="D270" i="1"/>
  <c r="F270" i="1" s="1"/>
  <c r="A270" i="1"/>
  <c r="D269" i="1"/>
  <c r="F269" i="1" s="1"/>
  <c r="D268" i="1"/>
  <c r="F268" i="1" s="1"/>
  <c r="A268" i="1"/>
  <c r="G267" i="1"/>
  <c r="D267" i="1"/>
  <c r="F267" i="1" s="1"/>
  <c r="D236" i="1"/>
  <c r="F236" i="1" s="1"/>
  <c r="D235" i="1"/>
  <c r="F235" i="1" s="1"/>
  <c r="D234" i="1"/>
  <c r="F234" i="1" s="1"/>
  <c r="A234" i="1"/>
  <c r="A235" i="1" s="1"/>
  <c r="A236" i="1" s="1"/>
  <c r="G233" i="1"/>
  <c r="D233" i="1"/>
  <c r="F233" i="1" s="1"/>
  <c r="D214" i="1"/>
  <c r="F214" i="1" s="1"/>
  <c r="D213" i="1"/>
  <c r="F213" i="1" s="1"/>
  <c r="D212" i="1"/>
  <c r="F212" i="1" s="1"/>
  <c r="A212" i="1"/>
  <c r="A213" i="1" s="1"/>
  <c r="A214" i="1" s="1"/>
  <c r="D211" i="1"/>
  <c r="F211" i="1" s="1"/>
  <c r="G210" i="1"/>
  <c r="D210" i="1"/>
  <c r="F210" i="1" s="1"/>
  <c r="D265" i="1"/>
  <c r="D264" i="1"/>
  <c r="D263" i="1"/>
  <c r="D262" i="1"/>
  <c r="D231" i="1"/>
  <c r="D230" i="1"/>
  <c r="D229" i="1"/>
  <c r="D228" i="1"/>
  <c r="I204" i="1"/>
  <c r="I208" i="1"/>
  <c r="I207" i="1"/>
  <c r="I206" i="1"/>
  <c r="I205" i="1"/>
  <c r="D208" i="1"/>
  <c r="D207" i="1"/>
  <c r="D206" i="1"/>
  <c r="D205" i="1"/>
  <c r="D204" i="1"/>
  <c r="I99" i="1" l="1"/>
  <c r="I100" i="1" s="1"/>
  <c r="J99" i="1"/>
  <c r="C156" i="1"/>
  <c r="C155" i="1"/>
  <c r="C157" i="1"/>
  <c r="E154" i="1"/>
  <c r="E155" i="1"/>
  <c r="C154" i="1"/>
  <c r="E156" i="1"/>
  <c r="E157" i="1"/>
  <c r="F263" i="1"/>
  <c r="F262" i="1"/>
  <c r="F265" i="1"/>
  <c r="A265" i="1"/>
  <c r="F264" i="1"/>
  <c r="A263" i="1"/>
  <c r="G262" i="1"/>
  <c r="F231" i="1"/>
  <c r="F230" i="1"/>
  <c r="G228" i="1"/>
  <c r="F229" i="1"/>
  <c r="A229" i="1"/>
  <c r="A230" i="1" s="1"/>
  <c r="A231" i="1" s="1"/>
  <c r="F228" i="1"/>
  <c r="F206" i="1"/>
  <c r="F205" i="1"/>
  <c r="F204" i="1"/>
  <c r="F208" i="1"/>
  <c r="F207" i="1"/>
  <c r="A206" i="1"/>
  <c r="A207" i="1" s="1"/>
  <c r="A208" i="1" s="1"/>
  <c r="G204" i="1"/>
  <c r="F259" i="1"/>
  <c r="G257" i="1"/>
  <c r="F260" i="1"/>
  <c r="A260" i="1"/>
  <c r="A258" i="1"/>
  <c r="A253" i="1"/>
  <c r="F246" i="1"/>
  <c r="F245" i="1"/>
  <c r="F244" i="1"/>
  <c r="A245" i="1"/>
  <c r="A246" i="1" s="1"/>
  <c r="G244" i="1"/>
  <c r="F224" i="1"/>
  <c r="F223" i="1"/>
  <c r="G198" i="1"/>
  <c r="A224" i="1"/>
  <c r="G223" i="1"/>
  <c r="G187" i="1"/>
  <c r="D174" i="1"/>
  <c r="F174" i="1" s="1"/>
  <c r="D173" i="1"/>
  <c r="A174" i="1"/>
  <c r="G173" i="1"/>
  <c r="F184" i="1"/>
  <c r="F185" i="1"/>
  <c r="F183" i="1"/>
  <c r="F181" i="1"/>
  <c r="F180" i="1"/>
  <c r="D179" i="1"/>
  <c r="F179" i="1" s="1"/>
  <c r="D178" i="1"/>
  <c r="G178" i="1"/>
  <c r="D171" i="1"/>
  <c r="C114" i="1"/>
  <c r="I98" i="1" l="1"/>
  <c r="C100" i="1" s="1"/>
  <c r="C158" i="1"/>
  <c r="E158" i="1"/>
  <c r="G155" i="1"/>
  <c r="G156" i="1"/>
  <c r="F187" i="1"/>
  <c r="G150" i="1" s="1"/>
  <c r="C150" i="1"/>
  <c r="E150" i="1"/>
  <c r="C149" i="1"/>
  <c r="E149" i="1"/>
  <c r="C145" i="1"/>
  <c r="E144" i="1"/>
  <c r="C144" i="1"/>
  <c r="F178" i="1"/>
  <c r="E145" i="1"/>
  <c r="F173" i="1"/>
  <c r="G149" i="1" s="1"/>
  <c r="F182" i="1"/>
  <c r="F254" i="1"/>
  <c r="F168" i="1"/>
  <c r="C151" i="1" l="1"/>
  <c r="G151" i="1"/>
  <c r="E151" i="1"/>
  <c r="C146" i="1"/>
  <c r="E146" i="1"/>
  <c r="E159" i="1" s="1"/>
  <c r="G145" i="1"/>
  <c r="C159" i="1" l="1"/>
  <c r="E43" i="1"/>
  <c r="E44" i="1" s="1"/>
  <c r="E30" i="1" l="1"/>
  <c r="F255" i="1" l="1"/>
  <c r="G157" i="1" s="1"/>
  <c r="A255" i="1"/>
  <c r="F141" i="1" l="1"/>
  <c r="F169" i="1" l="1"/>
  <c r="F170" i="1"/>
  <c r="F171" i="1"/>
  <c r="G144" i="1" l="1"/>
  <c r="G146" i="1" s="1"/>
  <c r="B278" i="1"/>
  <c r="F202" i="1" l="1"/>
  <c r="F200" i="1"/>
  <c r="F199" i="1"/>
  <c r="F201" i="1"/>
  <c r="G154" i="1" l="1"/>
  <c r="G158" i="1" s="1"/>
  <c r="B279" i="1"/>
  <c r="G159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0" i="1"/>
  <c r="A200" i="1"/>
  <c r="A201" i="1" s="1"/>
  <c r="A202" i="1" s="1"/>
  <c r="A169" i="1"/>
  <c r="A170" i="1" s="1"/>
  <c r="A171" i="1" s="1"/>
  <c r="G168" i="1"/>
  <c r="B71" i="1"/>
  <c r="G50" i="1"/>
  <c r="C50" i="1"/>
  <c r="E27" i="1"/>
  <c r="E25" i="1"/>
  <c r="E7" i="1"/>
  <c r="E3" i="1"/>
  <c r="D64" i="1" l="1"/>
  <c r="H71" i="1"/>
  <c r="J70" i="1" l="1"/>
  <c r="J72" i="1" s="1"/>
  <c r="D83" i="1"/>
  <c r="D81" i="1"/>
  <c r="D80" i="1"/>
  <c r="D77" i="1"/>
  <c r="D79" i="1"/>
  <c r="J76" i="1"/>
  <c r="J77" i="1" s="1"/>
  <c r="J82" i="1" s="1"/>
  <c r="D82" i="1"/>
  <c r="D78" i="1"/>
  <c r="J74" i="1"/>
  <c r="J75" i="1"/>
  <c r="J73" i="1"/>
  <c r="J78" i="1"/>
  <c r="J79" i="1" s="1"/>
  <c r="J80" i="1" s="1"/>
  <c r="J81" i="1" s="1"/>
  <c r="D76" i="1"/>
  <c r="C74" i="1" l="1"/>
  <c r="D74" i="1" s="1"/>
  <c r="J83" i="1"/>
  <c r="B85" i="1" l="1"/>
  <c r="C75" i="1"/>
  <c r="G74" i="1" s="1"/>
  <c r="D68" i="1" s="1"/>
  <c r="H85" i="1"/>
  <c r="D97" i="1" l="1"/>
  <c r="D93" i="1"/>
  <c r="D94" i="1"/>
  <c r="D90" i="1"/>
  <c r="J87" i="1"/>
  <c r="D96" i="1"/>
  <c r="D92" i="1"/>
  <c r="J88" i="1"/>
  <c r="D95" i="1"/>
  <c r="D91" i="1"/>
  <c r="J89" i="1"/>
  <c r="C88" i="1" s="1"/>
  <c r="J84" i="1"/>
  <c r="J86" i="1" s="1"/>
  <c r="J94" i="1"/>
  <c r="J93" i="1"/>
  <c r="J92" i="1"/>
  <c r="J95" i="1"/>
  <c r="J90" i="1"/>
  <c r="J91" i="1" s="1"/>
  <c r="J96" i="1" s="1"/>
  <c r="J97" i="1" s="1"/>
  <c r="C89" i="1" s="1"/>
  <c r="E74" i="1"/>
  <c r="D75" i="1"/>
  <c r="I71" i="1" s="1"/>
  <c r="I72" i="1" s="1"/>
  <c r="J71" i="1"/>
  <c r="D69" i="1"/>
  <c r="F69" i="1"/>
  <c r="B115" i="1"/>
  <c r="H115" i="1"/>
  <c r="E88" i="1" l="1"/>
  <c r="C112" i="1" s="1"/>
  <c r="D89" i="1"/>
  <c r="G88" i="1"/>
  <c r="G112" i="1" s="1"/>
  <c r="D88" i="1"/>
  <c r="J114" i="1"/>
  <c r="I70" i="1"/>
  <c r="C72" i="1" s="1"/>
  <c r="D127" i="1"/>
  <c r="D123" i="1"/>
  <c r="J119" i="1"/>
  <c r="J117" i="1"/>
  <c r="D126" i="1"/>
  <c r="D122" i="1"/>
  <c r="D124" i="1"/>
  <c r="J118" i="1"/>
  <c r="D125" i="1"/>
  <c r="D121" i="1"/>
  <c r="J123" i="1"/>
  <c r="J120" i="1"/>
  <c r="J121" i="1" s="1"/>
  <c r="J126" i="1" s="1"/>
  <c r="J127" i="1" s="1"/>
  <c r="C119" i="1" s="1"/>
  <c r="J124" i="1"/>
  <c r="J122" i="1"/>
  <c r="J125" i="1"/>
  <c r="I85" i="1" l="1"/>
  <c r="I86" i="1" s="1"/>
  <c r="J85" i="1"/>
  <c r="J116" i="1"/>
  <c r="C118" i="1"/>
  <c r="D118" i="1" s="1"/>
  <c r="D120" i="1"/>
  <c r="E118" i="1"/>
  <c r="D119" i="1"/>
  <c r="I84" i="1" l="1"/>
  <c r="C86" i="1" s="1"/>
  <c r="J115" i="1"/>
  <c r="I115" i="1"/>
  <c r="G118" i="1"/>
  <c r="I116" i="1" l="1"/>
  <c r="I114" i="1" s="1"/>
  <c r="C1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<sst xmlns="http://schemas.openxmlformats.org/spreadsheetml/2006/main" count="514" uniqueCount="277">
  <si>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</si>
  <si>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</si>
  <si>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</si>
  <si>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</si>
  <si>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</si>
  <si>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</si>
  <si>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</si>
  <si>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</si>
  <si>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</si>
  <si>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</si>
  <si>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</si>
  <si>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</si>
  <si>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</si>
  <si>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</si>
  <si>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</si>
  <si>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</si>
  <si>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</si>
  <si>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</si>
  <si>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</si>
  <si>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</si>
  <si>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</si>
  <si>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</si>
  <si>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</si>
  <si>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</si>
  <si>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</si>
  <si>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</si>
  <si>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</si>
  <si>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</si>
  <si>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</si>
  <si>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</si>
  <si>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</si>
  <si>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</si>
  <si>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</si>
  <si>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</si>
  <si>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</si>
  <si>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</si>
  <si>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</si>
  <si>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</si>
  <si>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</si>
  <si>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</si>
  <si>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</si>
  <si>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</si>
  <si>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</si>
  <si>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</si>
  <si>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</si>
  <si>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</si>
  <si>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</si>
  <si>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</si>
  <si>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</si>
  <si>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</si>
  <si>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</si>
  <si>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</si>
  <si>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</si>
  <si>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</si>
  <si>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</si>
  <si>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</si>
  <si>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</si>
  <si>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</si>
  <si>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</si>
  <si>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</si>
  <si>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</si>
  <si>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</si>
  <si>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</si>
  <si>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</si>
  <si>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</si>
  <si>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</si>
  <si>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</si>
  <si>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</si>
  <si>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</si>
  <si>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</si>
  <si>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</si>
  <si>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</si>
  <si>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</si>
  <si>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</si>
  <si>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</si>
  <si>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</si>
  <si>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</si>
  <si>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</si>
  <si>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</si>
  <si>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</si>
  <si>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</si>
  <si>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</si>
  <si>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</si>
  <si>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</si>
  <si>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</si>
  <si>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</si>
  <si>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</si>
  <si>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</si>
  <si>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</si>
  <si>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</si>
  <si>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</si>
  <si>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</si>
  <si>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</si>
  <si>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</si>
  <si>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</si>
  <si>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</si>
  <si>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</si>
  <si>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</si>
  <si>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</si>
  <si>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</si>
  <si>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</si>
  <si>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</si>
  <si>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</si>
  <si>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</si>
  <si>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</si>
  <si>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</si>
  <si>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</si>
  <si>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</si>
  <si>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</si>
  <si>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</si>
  <si>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</si>
  <si>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</si>
  <si>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</si>
  <si>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</si>
  <si>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</si>
  <si>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</si>
  <si>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</si>
  <si>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</si>
  <si>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</si>
  <si>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</si>
  <si>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</si>
  <si>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</si>
  <si>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</si>
  <si>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</si>
  <si>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</si>
  <si>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</si>
  <si>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</si>
  <si>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</si>
  <si>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</si>
  <si>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</si>
  <si>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</si>
  <si>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</si>
  <si>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</si>
  <si>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</si>
  <si>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</si>
  <si>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</si>
  <si>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</si>
  <si>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</si>
  <si>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</si>
  <si>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</si>
  <si>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</si>
  <si>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</si>
  <si>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</si>
  <si>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</si>
  <si>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</si>
  <si>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</si>
  <si>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</si>
  <si>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</si>
  <si>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</si>
  <si>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</si>
  <si>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</si>
  <si>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</si>
  <si>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</si>
  <si>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</si>
  <si>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</si>
  <si>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</si>
  <si>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</si>
  <si>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</si>
  <si>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</si>
  <si>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</si>
  <si>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</si>
  <si>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</si>
  <si>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</si>
  <si>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</si>
  <si>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</si>
  <si>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</si>
  <si>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</si>
  <si>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</si>
  <si>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</si>
  <si>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</si>
  <si>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</si>
  <si>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</si>
  <si>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</si>
  <si>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</si>
  <si>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</si>
  <si>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>Commencement-CC No</t>
  </si>
  <si>
    <t>Ascent Infraspace Private Limited</t>
  </si>
  <si>
    <t>Crescent Nexus Ascent</t>
  </si>
  <si>
    <t>022 6117 6117/ 2850 6565</t>
  </si>
  <si>
    <t>P51800030043</t>
  </si>
  <si>
    <t>Slum Rehabilitation Authority (SRA)</t>
  </si>
  <si>
    <t>SRA/ENG/2622/HE/PL&amp;MHL/AP</t>
  </si>
  <si>
    <t>Valid Up to: For Wing 
(A &amp; B)</t>
  </si>
  <si>
    <t>As per RERA - 31/12/2026</t>
  </si>
  <si>
    <t xml:space="preserve">Jasmin CHS &amp; Souparnika CHS </t>
  </si>
  <si>
    <t>For Building No. 03 Wing A,B,C &amp; D</t>
  </si>
  <si>
    <t>CTS No. 6859,6886, 6885</t>
  </si>
  <si>
    <t>CTS No. 6869,6883, 6885</t>
  </si>
  <si>
    <t>Open Plot</t>
  </si>
  <si>
    <t>Kolivery Road</t>
  </si>
  <si>
    <t>Sumit Artista</t>
  </si>
  <si>
    <t>Building/Houses</t>
  </si>
  <si>
    <t>Kalina</t>
  </si>
  <si>
    <t>19.073944,72.866361</t>
  </si>
  <si>
    <t>https://goo.gl/maps/GNhCK6DUpkDpFgaC8</t>
  </si>
  <si>
    <t>2.20 KM from Kurla Railway Station</t>
  </si>
  <si>
    <t>Yoga &amp; Meditation area, Kids play area, Walking track, Multipurpose Lawn, Kids Library, etc.</t>
  </si>
  <si>
    <t xml:space="preserve">Basement For Parking </t>
  </si>
  <si>
    <t>Building No. 3</t>
  </si>
  <si>
    <t>Wing A</t>
  </si>
  <si>
    <t>Ground Floor For Commerical, Meter Room &amp; Parking</t>
  </si>
  <si>
    <t>Shop</t>
  </si>
  <si>
    <t>Wing B</t>
  </si>
  <si>
    <t>Wing C</t>
  </si>
  <si>
    <t>Wing D</t>
  </si>
  <si>
    <t xml:space="preserve">Ground Floor For Parking &amp; Meter Room </t>
  </si>
  <si>
    <t>1st Floor Foor Part Office &amp; Podium</t>
  </si>
  <si>
    <t>Office</t>
  </si>
  <si>
    <t xml:space="preserve">Office </t>
  </si>
  <si>
    <t>1BHK</t>
  </si>
  <si>
    <t>2nd Floor For Part Residential &amp; Podium</t>
  </si>
  <si>
    <t>1RK</t>
  </si>
  <si>
    <t>2BHK</t>
  </si>
  <si>
    <t>3rd Floor For Residential</t>
  </si>
  <si>
    <t xml:space="preserve">3rd Floor For Residential </t>
  </si>
  <si>
    <t>8th Floor For (Part Refuge area)</t>
  </si>
  <si>
    <t>Refuge area</t>
  </si>
  <si>
    <t>4th to 7th &amp; 9th to 13th Floor For Residential</t>
  </si>
  <si>
    <t>Parking</t>
  </si>
  <si>
    <t>3rd Floor For Open Terrace Area</t>
  </si>
  <si>
    <t>Parking &amp; Fitness Centre</t>
  </si>
  <si>
    <t>4th to 7th &amp; 9th to 13th Floor</t>
  </si>
  <si>
    <t>1st Floor For Part Residential, Fitness center &amp; Parking</t>
  </si>
  <si>
    <t>2nd Floor For Part Residential &amp; Parking</t>
  </si>
  <si>
    <t>1st Floor For Part Office &amp; Parking</t>
  </si>
  <si>
    <t xml:space="preserve">1st Floor For Restaurant </t>
  </si>
  <si>
    <t>Ground Floor For Restaurant Duplex with 1st Floor</t>
  </si>
  <si>
    <t xml:space="preserve"> Parking</t>
  </si>
  <si>
    <t>2nd Floor For Residential</t>
  </si>
  <si>
    <t>2.5BHK</t>
  </si>
  <si>
    <t>Commercial Area Details (Shops) :</t>
  </si>
  <si>
    <t xml:space="preserve">Building No.3 Wing A </t>
  </si>
  <si>
    <t>Commercial Area Details (Office) :</t>
  </si>
  <si>
    <t>Building No.3 Wing B</t>
  </si>
  <si>
    <t xml:space="preserve">Building No.3 Wing B </t>
  </si>
  <si>
    <t>Residential Area Details (Flats) :</t>
  </si>
  <si>
    <t xml:space="preserve">Building No.3 Wing C </t>
  </si>
  <si>
    <t xml:space="preserve">Building No.3 Wing D </t>
  </si>
  <si>
    <t>Carpet Not visible</t>
  </si>
  <si>
    <t xml:space="preserve">Approved Plans, CC. </t>
  </si>
  <si>
    <t>5608A(pt.), 6853, 6853/1 to 2, 6852, 6852/1 to 2 &amp; others, Redevlopement of "Jasmin CHS &amp; Souparnika CHS"</t>
  </si>
  <si>
    <t>C Wing = 1B + G + 1st to 15th Floor</t>
  </si>
  <si>
    <t>C Wing not Mentioned in any C.C. =  C Wing = 1B + G + 1st to 2nd Floor</t>
  </si>
  <si>
    <r>
      <t xml:space="preserve">A Wing = 1B + G + 1st to 13th Floor
B Wing = 1B + G + 1st to 13th Floor
</t>
    </r>
    <r>
      <rPr>
        <sz val="12"/>
        <rFont val="Times New Roman"/>
        <family val="1"/>
      </rPr>
      <t>D Wing = 1B + G + 1st to 13th Floor</t>
    </r>
  </si>
  <si>
    <t>Mr. Ali 9004493905</t>
  </si>
  <si>
    <t>Building No. 03 Wing A, B &amp; D</t>
  </si>
  <si>
    <t>We considered Gross carpet area = Net carpet.</t>
  </si>
  <si>
    <t>03 Wings</t>
  </si>
  <si>
    <t>9.15 M.W. Road</t>
  </si>
  <si>
    <t>18.30 M.W. Road</t>
  </si>
  <si>
    <t>Other Plot</t>
  </si>
  <si>
    <t>Santacruz East</t>
  </si>
  <si>
    <t>Andheri</t>
  </si>
  <si>
    <t>Rehab Buildings</t>
  </si>
  <si>
    <t>This C.C. is re-endorsed and furthur granted with finishing work from ground (Part) &amp; Stilt (Par) +1st (Part) Podium &amp; 1st (Part) floor + 2nd (Part) floor + 3rd to 5th upper floors and for R.C.C work only from 6th to 13th upper floor including L.M.R &amp;O.H.W.T for sale Wing 'D' of sale Building No. 3 as per approved amended plans dated 11/07/2023</t>
  </si>
  <si>
    <t>This C.C. is granted from Ground + 1st (part) + 2nd (part) flor &amp; 1st +2nd LVL.Podium floor (part) + 3rd to 13th upper floor + LMR &amp; OHWT of sale wing 'A' &amp; 'B' of sale Bldg No. 3 as per approved plans dated 16/08/2021</t>
  </si>
  <si>
    <t>Kole Kalyan</t>
  </si>
  <si>
    <t>SRA project Crescent Nexus Ascent consists of 3 buildings i.e. Rehab Building no 1 &amp; 2, Sale Building No. 3 (Wing A, B, C &amp; D).</t>
  </si>
  <si>
    <t>A &amp; B Wing = 1B + G + 1st to 13th Floor</t>
  </si>
  <si>
    <t>D Wing = 1B + G + 1st to 13th Floor</t>
  </si>
  <si>
    <t>Flats - 152, Shops - 12, Offices - 03</t>
  </si>
  <si>
    <t>We have drafted APF for Sale Building No. 3 (A, B &amp; D Wing) as it is registered on Rera Site.</t>
  </si>
  <si>
    <t>Society Formation  + Water Charges</t>
  </si>
  <si>
    <t>Development + Infrastructure Charges</t>
  </si>
  <si>
    <t>30000to 40000 &amp; OC  by sanjay on 19/10/2023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</si>
  <si>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</si>
  <si>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A Wing = 1B + G + 1st to 13th Floor</t>
  </si>
  <si>
    <t>Avg. Progress %
(Part I &amp; II)</t>
  </si>
  <si>
    <t>Avg. Disbursement %
(Part I &amp; II)</t>
  </si>
  <si>
    <t>Construction work of b wing has reduce.
Due to construction is done in parts</t>
  </si>
  <si>
    <t>B Wing(Part II) = 1B + G + 1st to 13th Floor</t>
  </si>
  <si>
    <t>B Wing = 1B + G + 1st to 13th Floor</t>
  </si>
  <si>
    <t>Tushar Bhuwad</t>
  </si>
  <si>
    <t>Valid Up to: For Wing D</t>
  </si>
  <si>
    <t>Construction work is in process at the time of Visit. Internal photographs was not allowed. 
Wing B = The construction percentage has been reduced due to the construction work being divided into two parts.</t>
  </si>
  <si>
    <t>Gaurav Panchal</t>
  </si>
  <si>
    <t>Mr. Chevalwala (Sales Manager)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</si>
</sst>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47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1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20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6" xfId="8" applyFont="1" applyFill="1" applyBorder="1" applyAlignment="1" applyProtection="1">
      <alignment horizontal="center" vertical="top" wrapText="1"/>
      <protection locked="0"/>
    </xf>
    <xf numFmtId="0" fontId="19" fillId="0" borderId="0" xfId="0" applyFont="1" applyProtection="1">
      <protection hidden="1"/>
    </xf>
    <xf numFmtId="0" fontId="19" fillId="0" borderId="11" xfId="0" applyFont="1" applyBorder="1" applyProtection="1">
      <protection hidden="1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5" fillId="0" borderId="0" xfId="1" applyFont="1"/>
    <xf numFmtId="0" fontId="8" fillId="0" borderId="10" xfId="1" applyFont="1" applyBorder="1"/>
    <xf numFmtId="0" fontId="19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6" fillId="2" borderId="30" xfId="0" applyFont="1" applyFill="1" applyBorder="1"/>
    <xf numFmtId="0" fontId="27" fillId="0" borderId="31" xfId="0" applyFont="1" applyBorder="1"/>
    <xf numFmtId="0" fontId="27" fillId="0" borderId="1" xfId="0" applyFont="1" applyBorder="1"/>
    <xf numFmtId="0" fontId="27" fillId="0" borderId="5" xfId="0" applyFont="1" applyBorder="1"/>
    <xf numFmtId="0" fontId="16" fillId="0" borderId="0" xfId="0" applyFont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25" xfId="1" applyFont="1" applyBorder="1" applyAlignment="1">
      <alignment vertical="top" wrapText="1"/>
    </xf>
    <xf numFmtId="0" fontId="16" fillId="0" borderId="0" xfId="1" applyFont="1" applyAlignment="1">
      <alignment vertical="top" wrapText="1"/>
    </xf>
    <xf numFmtId="0" fontId="18" fillId="0" borderId="0" xfId="1" applyFont="1"/>
    <xf numFmtId="1" fontId="8" fillId="0" borderId="0" xfId="0" applyNumberFormat="1" applyFont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1" fontId="8" fillId="0" borderId="1" xfId="1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1" fontId="8" fillId="0" borderId="0" xfId="1" applyNumberFormat="1" applyFont="1" applyAlignment="1">
      <alignment horizontal="right"/>
    </xf>
    <xf numFmtId="1" fontId="13" fillId="0" borderId="0" xfId="1" applyNumberFormat="1" applyFont="1"/>
    <xf numFmtId="1" fontId="7" fillId="0" borderId="0" xfId="1" applyNumberFormat="1" applyFont="1" applyAlignment="1" applyProtection="1">
      <alignment horizontal="right" vertical="center" wrapText="1"/>
      <protection locked="0"/>
    </xf>
    <xf numFmtId="0" fontId="16" fillId="0" borderId="0" xfId="1" applyFont="1" applyAlignment="1">
      <alignment horizontal="left" vertical="center"/>
    </xf>
    <xf numFmtId="0" fontId="7" fillId="0" borderId="1" xfId="1" applyFont="1" applyBorder="1" applyAlignment="1" applyProtection="1">
      <alignment vertical="top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9" fontId="8" fillId="0" borderId="7" xfId="8" applyFont="1" applyFill="1" applyBorder="1" applyAlignment="1" applyProtection="1">
      <alignment horizontal="center" vertical="top" wrapText="1"/>
      <protection locked="0"/>
    </xf>
    <xf numFmtId="0" fontId="16" fillId="0" borderId="25" xfId="1" applyFont="1" applyBorder="1"/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2" borderId="0" xfId="1" applyFont="1" applyFill="1"/>
    <xf numFmtId="0" fontId="8" fillId="2" borderId="0" xfId="0" applyFont="1" applyFill="1" applyAlignment="1">
      <alignment horizontal="center" vertical="center"/>
    </xf>
    <xf numFmtId="0" fontId="8" fillId="0" borderId="3" xfId="1" applyFont="1" applyBorder="1" applyAlignment="1" applyProtection="1">
      <alignment horizontal="center" vertical="top" wrapText="1"/>
      <protection locked="0"/>
    </xf>
    <xf numFmtId="9" fontId="8" fillId="0" borderId="3" xfId="8" applyFont="1" applyFill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center" vertical="top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6" fillId="0" borderId="0" xfId="1" applyNumberFormat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center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28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18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29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10" xfId="8" applyFont="1" applyFill="1" applyBorder="1" applyAlignment="1" applyProtection="1">
      <alignment horizontal="center" vertical="center" wrapText="1"/>
      <protection locked="0"/>
    </xf>
    <xf numFmtId="9" fontId="8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14" fontId="7" fillId="0" borderId="9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9" xfId="1" applyFont="1" applyBorder="1" applyAlignment="1" applyProtection="1">
      <alignment horizontal="left" vertical="top" wrapText="1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 wrapText="1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center" vertical="top"/>
      <protection locked="0"/>
    </xf>
    <xf numFmtId="0" fontId="14" fillId="0" borderId="21" xfId="1" applyFont="1" applyBorder="1" applyAlignment="1" applyProtection="1">
      <alignment horizontal="center" vertical="top"/>
      <protection locked="0"/>
    </xf>
    <xf numFmtId="0" fontId="14" fillId="0" borderId="9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vertical="top"/>
      <protection locked="0"/>
    </xf>
    <xf numFmtId="0" fontId="9" fillId="0" borderId="21" xfId="1" applyFont="1" applyBorder="1" applyAlignment="1" applyProtection="1">
      <alignment vertical="top"/>
      <protection locked="0"/>
    </xf>
    <xf numFmtId="0" fontId="9" fillId="0" borderId="9" xfId="1" applyFont="1" applyBorder="1" applyAlignment="1" applyProtection="1">
      <alignment vertical="top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1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1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0" fontId="14" fillId="0" borderId="17" xfId="1" applyFont="1" applyBorder="1" applyAlignment="1" applyProtection="1">
      <alignment horizontal="center" vertical="top" wrapText="1"/>
      <protection locked="0"/>
    </xf>
    <xf numFmtId="0" fontId="14" fillId="0" borderId="24" xfId="1" applyFont="1" applyBorder="1" applyAlignment="1" applyProtection="1">
      <alignment horizontal="center" vertical="top" wrapText="1"/>
      <protection locked="0"/>
    </xf>
    <xf numFmtId="0" fontId="14" fillId="0" borderId="18" xfId="1" applyFont="1" applyBorder="1" applyAlignment="1" applyProtection="1">
      <alignment horizontal="center" vertical="top" wrapText="1"/>
      <protection locked="0"/>
    </xf>
    <xf numFmtId="0" fontId="14" fillId="0" borderId="25" xfId="1" applyFont="1" applyBorder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14" fillId="0" borderId="26" xfId="1" applyFont="1" applyBorder="1" applyAlignment="1" applyProtection="1">
      <alignment horizontal="center" vertical="top" wrapText="1"/>
      <protection locked="0"/>
    </xf>
    <xf numFmtId="0" fontId="14" fillId="0" borderId="19" xfId="1" applyFont="1" applyBorder="1" applyAlignment="1" applyProtection="1">
      <alignment horizontal="center" vertical="top" wrapText="1"/>
      <protection locked="0"/>
    </xf>
    <xf numFmtId="0" fontId="14" fillId="0" borderId="2" xfId="1" applyFont="1" applyBorder="1" applyAlignment="1" applyProtection="1">
      <alignment horizontal="center" vertical="top" wrapText="1"/>
      <protection locked="0"/>
    </xf>
    <xf numFmtId="0" fontId="14" fillId="0" borderId="20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5" fillId="0" borderId="8" xfId="1" applyFont="1" applyBorder="1" applyAlignment="1" applyProtection="1">
      <alignment horizontal="center" vertical="top" wrapText="1"/>
      <protection locked="0"/>
    </xf>
    <xf numFmtId="0" fontId="15" fillId="0" borderId="9" xfId="1" applyFont="1" applyBorder="1" applyAlignment="1" applyProtection="1">
      <alignment horizontal="center" vertical="top" wrapText="1"/>
      <protection locked="0"/>
    </xf>
    <xf numFmtId="0" fontId="7" fillId="0" borderId="8" xfId="1" applyFont="1" applyBorder="1" applyAlignment="1" applyProtection="1">
      <alignment vertical="top"/>
      <protection locked="0"/>
    </xf>
    <xf numFmtId="0" fontId="7" fillId="0" borderId="21" xfId="1" applyFont="1" applyBorder="1" applyAlignment="1" applyProtection="1">
      <alignment vertical="top"/>
      <protection locked="0"/>
    </xf>
    <xf numFmtId="0" fontId="7" fillId="0" borderId="9" xfId="1" applyFont="1" applyBorder="1" applyAlignment="1" applyProtection="1">
      <alignment vertical="top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" fontId="9" fillId="0" borderId="24" xfId="1" applyNumberFormat="1" applyFont="1" applyBorder="1" applyAlignment="1" applyProtection="1">
      <alignment horizontal="center" vertical="top" wrapText="1"/>
      <protection locked="0"/>
    </xf>
    <xf numFmtId="0" fontId="18" fillId="0" borderId="0" xfId="1" applyFont="1" applyAlignment="1">
      <alignment horizontal="left"/>
    </xf>
    <xf numFmtId="0" fontId="9" fillId="0" borderId="35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9" fillId="0" borderId="2" xfId="1" applyFont="1" applyBorder="1" applyAlignment="1" applyProtection="1">
      <alignment horizontal="left" vertical="top" wrapText="1"/>
      <protection locked="0"/>
    </xf>
    <xf numFmtId="0" fontId="9" fillId="0" borderId="36" xfId="1" applyFont="1" applyBorder="1" applyAlignment="1" applyProtection="1">
      <alignment horizontal="left" vertical="top" wrapText="1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1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6" fillId="0" borderId="25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37" xfId="1" applyFont="1" applyBorder="1" applyAlignment="1" applyProtection="1">
      <alignment horizontal="center" vertical="center" wrapText="1"/>
      <protection locked="0"/>
    </xf>
    <xf numFmtId="0" fontId="11" fillId="0" borderId="30" xfId="1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9" fontId="11" fillId="0" borderId="30" xfId="1" applyNumberFormat="1" applyFont="1" applyBorder="1" applyAlignment="1" applyProtection="1">
      <alignment horizontal="center" vertical="center" wrapText="1"/>
      <protection locked="0"/>
    </xf>
    <xf numFmtId="9" fontId="11" fillId="0" borderId="30" xfId="8" applyFont="1" applyFill="1" applyBorder="1" applyAlignment="1" applyProtection="1">
      <alignment horizontal="center" vertical="center" wrapText="1"/>
      <protection locked="0"/>
    </xf>
    <xf numFmtId="9" fontId="11" fillId="0" borderId="7" xfId="8" applyFont="1" applyFill="1" applyBorder="1" applyAlignment="1" applyProtection="1">
      <alignment horizontal="center" vertical="center" wrapText="1"/>
      <protection locked="0"/>
    </xf>
    <xf numFmtId="9" fontId="11" fillId="0" borderId="31" xfId="8" applyFont="1" applyFill="1" applyBorder="1" applyAlignment="1" applyProtection="1">
      <alignment horizontal="center" vertical="center" wrapText="1"/>
      <protection locked="0"/>
    </xf>
    <xf numFmtId="9" fontId="11" fillId="0" borderId="38" xfId="8" applyFont="1" applyFill="1" applyBorder="1" applyAlignment="1" applyProtection="1">
      <alignment horizontal="center" vertical="center" wrapText="1"/>
      <protection locked="0"/>
    </xf>
    <xf numFmtId="0" fontId="8" fillId="0" borderId="34" xfId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10" fillId="0" borderId="1" xfId="5" applyFont="1" applyBorder="1" applyAlignment="1">
      <alignment horizontal="left"/>
    </xf>
  </cellXfs>
  <cellStyles count="21">
    <cellStyle name="Comma" xfId="9" builtinId="3"/>
    <cellStyle name="Comma 2" xfId="6" xr:uid="{00000000-0005-0000-0000-000001000000}"/>
    <cellStyle name="Comma 2 2" xfId="19" xr:uid="{00000000-0005-0000-0000-000002000000}"/>
    <cellStyle name="Comma 2 3" xfId="14" xr:uid="{00000000-0005-0000-0000-000003000000}"/>
    <cellStyle name="Comma 3" xfId="20" xr:uid="{00000000-0005-0000-0000-000004000000}"/>
    <cellStyle name="Comma 4" xfId="15" xr:uid="{00000000-0005-0000-0000-000005000000}"/>
    <cellStyle name="Excel Built-in Normal" xfId="2" xr:uid="{00000000-0005-0000-0000-000006000000}"/>
    <cellStyle name="Excel Built-in Normal 2" xfId="4" xr:uid="{00000000-0005-0000-0000-000007000000}"/>
    <cellStyle name="Hyperlink" xfId="10" builtinId="8"/>
    <cellStyle name="Normal" xfId="0" builtinId="0"/>
    <cellStyle name="Normal 2" xfId="3" xr:uid="{00000000-0005-0000-0000-00000A000000}"/>
    <cellStyle name="Normal 2 2" xfId="17" xr:uid="{00000000-0005-0000-0000-00000B000000}"/>
    <cellStyle name="Normal 2 3" xfId="12" xr:uid="{00000000-0005-0000-0000-00000C000000}"/>
    <cellStyle name="Normal 3" xfId="1" xr:uid="{00000000-0005-0000-0000-00000D000000}"/>
    <cellStyle name="Normal 3 2" xfId="16" xr:uid="{00000000-0005-0000-0000-00000E000000}"/>
    <cellStyle name="Normal 3 3" xfId="7" xr:uid="{00000000-0005-0000-0000-00000F000000}"/>
    <cellStyle name="Normal 3 4" xfId="11" xr:uid="{00000000-0005-0000-0000-000010000000}"/>
    <cellStyle name="Normal 4" xfId="5" xr:uid="{00000000-0005-0000-0000-000011000000}"/>
    <cellStyle name="Normal 4 2" xfId="18" xr:uid="{00000000-0005-0000-0000-000012000000}"/>
    <cellStyle name="Normal 4 3" xfId="13" xr:uid="{00000000-0005-0000-0000-000013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717857</xdr:colOff>
      <xdr:row>349</xdr:row>
      <xdr:rowOff>28575</xdr:rowOff>
    </xdr:from>
    <xdr:to>
      <xdr:col>4</xdr:col>
      <xdr:colOff>1081300</xdr:colOff>
      <xdr:row>368</xdr:row>
      <xdr:rowOff>39220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37007" y="66836925"/>
          <a:ext cx="3860800" cy="3860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523875</xdr:colOff>
      <xdr:row>368</xdr:row>
      <xdr:rowOff>187760</xdr:rowOff>
    </xdr:from>
    <xdr:to>
      <xdr:col>5</xdr:col>
      <xdr:colOff>168141</xdr:colOff>
      <xdr:row>386</xdr:row>
      <xdr:rowOff>140245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43025" y="70796585"/>
          <a:ext cx="4248764" cy="3600000"/>
        </a:xfrm>
        <a:prstGeom prst="rect">
          <a:avLst/>
        </a:prstGeom>
        <a:noFill/>
        <a:ln w="3175">
          <a:solidFill>
            <a:schemeClr val="tx1"/>
          </a:solidFill>
        </a:ln>
      </xdr:spPr>
    </xdr:pic>
    <xdr:clientData/>
  </xdr:twoCellAnchor>
  <xdr:twoCellAnchor>
    <xdr:from>
      <xdr:col>3</xdr:col>
      <xdr:colOff>114606</xdr:colOff>
      <xdr:row>373</xdr:row>
      <xdr:rowOff>119271</xdr:rowOff>
    </xdr:from>
    <xdr:to>
      <xdr:col>3</xdr:col>
      <xdr:colOff>711506</xdr:colOff>
      <xdr:row>375</xdr:row>
      <xdr:rowOff>170071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0701437">
          <a:off x="2705406" y="71728221"/>
          <a:ext cx="596900" cy="450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510989</xdr:colOff>
      <xdr:row>373</xdr:row>
      <xdr:rowOff>83963</xdr:rowOff>
    </xdr:from>
    <xdr:to>
      <xdr:col>3</xdr:col>
      <xdr:colOff>91889</xdr:colOff>
      <xdr:row>376</xdr:row>
      <xdr:rowOff>52213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0650268">
          <a:off x="2187389" y="71692913"/>
          <a:ext cx="495300" cy="5683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654357</xdr:colOff>
      <xdr:row>376</xdr:row>
      <xdr:rowOff>30101</xdr:rowOff>
    </xdr:from>
    <xdr:to>
      <xdr:col>3</xdr:col>
      <xdr:colOff>213032</xdr:colOff>
      <xdr:row>379</xdr:row>
      <xdr:rowOff>84076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20673374">
          <a:off x="2330757" y="72239126"/>
          <a:ext cx="473075" cy="6540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805401</xdr:colOff>
      <xdr:row>378</xdr:row>
      <xdr:rowOff>189189</xdr:rowOff>
    </xdr:from>
    <xdr:to>
      <xdr:col>3</xdr:col>
      <xdr:colOff>722144</xdr:colOff>
      <xdr:row>381</xdr:row>
      <xdr:rowOff>39854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20614655">
          <a:off x="2481801" y="72798264"/>
          <a:ext cx="831143" cy="45074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196773</xdr:colOff>
      <xdr:row>380</xdr:row>
      <xdr:rowOff>62714</xdr:rowOff>
    </xdr:from>
    <xdr:to>
      <xdr:col>2</xdr:col>
      <xdr:colOff>902875</xdr:colOff>
      <xdr:row>381</xdr:row>
      <xdr:rowOff>170466</xdr:rowOff>
    </xdr:to>
    <xdr:sp macro="" textlink="">
      <xdr:nvSpPr>
        <xdr:cNvPr id="20" name="TextBox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rot="20725771">
          <a:off x="1873173" y="73071839"/>
          <a:ext cx="706102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0000"/>
              </a:solidFill>
            </a:rPr>
            <a:t>Wing A</a:t>
          </a:r>
          <a:endParaRPr lang="en-IN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699378</xdr:colOff>
      <xdr:row>374</xdr:row>
      <xdr:rowOff>145296</xdr:rowOff>
    </xdr:from>
    <xdr:to>
      <xdr:col>2</xdr:col>
      <xdr:colOff>549706</xdr:colOff>
      <xdr:row>376</xdr:row>
      <xdr:rowOff>53023</xdr:rowOff>
    </xdr:to>
    <xdr:sp macro="" textlink="">
      <xdr:nvSpPr>
        <xdr:cNvPr id="21" name="TextBox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rot="20725771">
          <a:off x="1518528" y="71954271"/>
          <a:ext cx="70757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0000"/>
              </a:solidFill>
            </a:rPr>
            <a:t>Wing C</a:t>
          </a:r>
          <a:endParaRPr lang="en-IN" sz="14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654717</xdr:colOff>
      <xdr:row>372</xdr:row>
      <xdr:rowOff>179991</xdr:rowOff>
    </xdr:from>
    <xdr:to>
      <xdr:col>4</xdr:col>
      <xdr:colOff>356411</xdr:colOff>
      <xdr:row>374</xdr:row>
      <xdr:rowOff>87718</xdr:rowOff>
    </xdr:to>
    <xdr:sp macro="" textlink="">
      <xdr:nvSpPr>
        <xdr:cNvPr id="22" name="TextBox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rot="20725771">
          <a:off x="3245517" y="71588916"/>
          <a:ext cx="71134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0000"/>
              </a:solidFill>
            </a:rPr>
            <a:t>Wing D</a:t>
          </a:r>
          <a:endParaRPr lang="en-IN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847640</xdr:colOff>
      <xdr:row>377</xdr:row>
      <xdr:rowOff>195324</xdr:rowOff>
    </xdr:from>
    <xdr:to>
      <xdr:col>2</xdr:col>
      <xdr:colOff>704180</xdr:colOff>
      <xdr:row>379</xdr:row>
      <xdr:rowOff>103051</xdr:rowOff>
    </xdr:to>
    <xdr:sp macro="" textlink="">
      <xdr:nvSpPr>
        <xdr:cNvPr id="23" name="TextBox 1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rot="20725771">
          <a:off x="1666790" y="72604374"/>
          <a:ext cx="713790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0000"/>
              </a:solidFill>
            </a:rPr>
            <a:t>Wing B</a:t>
          </a:r>
          <a:endParaRPr lang="en-IN" sz="1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142875</xdr:colOff>
      <xdr:row>410</xdr:row>
      <xdr:rowOff>159948</xdr:rowOff>
    </xdr:from>
    <xdr:to>
      <xdr:col>5</xdr:col>
      <xdr:colOff>578377</xdr:colOff>
      <xdr:row>426</xdr:row>
      <xdr:rowOff>80955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025" y="79169823"/>
          <a:ext cx="5040000" cy="31632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142875</xdr:colOff>
      <xdr:row>394</xdr:row>
      <xdr:rowOff>38100</xdr:rowOff>
    </xdr:from>
    <xdr:to>
      <xdr:col>5</xdr:col>
      <xdr:colOff>578377</xdr:colOff>
      <xdr:row>410</xdr:row>
      <xdr:rowOff>31771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025" y="75847575"/>
          <a:ext cx="5040000" cy="32359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58826</xdr:colOff>
      <xdr:row>415</xdr:row>
      <xdr:rowOff>51707</xdr:rowOff>
    </xdr:from>
    <xdr:to>
      <xdr:col>4</xdr:col>
      <xdr:colOff>301764</xdr:colOff>
      <xdr:row>420</xdr:row>
      <xdr:rowOff>158381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20542369">
          <a:off x="2649626" y="80061707"/>
          <a:ext cx="1252588" cy="1106799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357051</xdr:colOff>
      <xdr:row>294</xdr:row>
      <xdr:rowOff>157297</xdr:rowOff>
    </xdr:from>
    <xdr:to>
      <xdr:col>19</xdr:col>
      <xdr:colOff>455892</xdr:colOff>
      <xdr:row>338</xdr:row>
      <xdr:rowOff>74387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9196251" y="56516722"/>
          <a:ext cx="8328441" cy="8718190"/>
          <a:chOff x="288471" y="57956342"/>
          <a:chExt cx="8356232" cy="8792149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288471" y="57956342"/>
            <a:ext cx="8356232" cy="8792149"/>
            <a:chOff x="288471" y="57956342"/>
            <a:chExt cx="8356232" cy="8792149"/>
          </a:xfrm>
        </xdr:grpSpPr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288471" y="57956342"/>
              <a:ext cx="8356232" cy="8792149"/>
              <a:chOff x="220435" y="58037184"/>
              <a:chExt cx="8330618" cy="8897804"/>
            </a:xfrm>
          </xdr:grpSpPr>
          <xdr:pic>
            <xdr:nvPicPr>
              <xdr:cNvPr id="37" name="Picture 36" descr="https://vsjcllp.vsjadon.com/upload/insp-222452-1525.jpg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932715" y="64770001"/>
                <a:ext cx="161775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0" name="Picture 39" descr="https://vsjcllp.vsjadon.com/upload/insp-222452-843.jpg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20435" y="58037184"/>
                <a:ext cx="2702702" cy="360861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2" name="Picture 41" descr="https://vsjcllp.vsjadon.com/upload/insp-222452-845.jpg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053441" y="58053513"/>
                <a:ext cx="2702702" cy="360861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3" name="Picture 42" descr="https://vsjcllp.vsjadon.com/upload/insp-222452-844.jpg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762501" y="61817250"/>
                <a:ext cx="3768472" cy="283028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4" name="Picture 43" descr="https://vsjcllp.vsjadon.com/upload/insp-222452-847.jpg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6700" y="61799475"/>
                <a:ext cx="2154643" cy="287685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5" name="Picture 44" descr="https://vsjcllp.vsjadon.com/upload/insp-222452-871.jpg">
                <a:extLst>
                  <a:ext uri="{FF2B5EF4-FFF2-40B4-BE49-F238E27FC236}">
                    <a16:creationId xmlns:a16="http://schemas.microsoft.com/office/drawing/2014/main" id="{00000000-0008-0000-0000-00002D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848351" y="58045347"/>
                <a:ext cx="2702702" cy="3608615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6" name="Picture 45" descr="https://vsjcllp.vsjadon.com/upload/insp-222452-874.jpg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517320" y="61802494"/>
                <a:ext cx="2130817" cy="284504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7" name="Picture 46" descr="https://vsjcllp.vsjadon.com/upload/insp-222452-928.jpg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186544" y="64774988"/>
                <a:ext cx="2875999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8" name="Picture 47" descr="https://vsjcllp.vsjadon.com/upload/insp-222452-1512.jpg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193721" y="64772721"/>
                <a:ext cx="1617750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 txBox="1"/>
          </xdr:nvSpPr>
          <xdr:spPr>
            <a:xfrm>
              <a:off x="2137441" y="58023578"/>
              <a:ext cx="798500" cy="323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N" sz="1600" b="1"/>
                <a:t>A Wing</a:t>
              </a:r>
            </a:p>
          </xdr:txBody>
        </xdr:sp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>
              <a:off x="703088" y="61620666"/>
              <a:ext cx="798500" cy="323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N" sz="1600" b="1"/>
                <a:t>A Wing</a:t>
              </a:r>
            </a:p>
          </xdr:txBody>
        </xdr:sp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/>
          </xdr:nvSpPr>
          <xdr:spPr>
            <a:xfrm>
              <a:off x="5931754" y="57996683"/>
              <a:ext cx="798500" cy="323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N" sz="1600" b="1"/>
                <a:t>D Wing</a:t>
              </a:r>
            </a:p>
          </xdr:txBody>
        </xdr:sp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 txBox="1"/>
          </xdr:nvSpPr>
          <xdr:spPr>
            <a:xfrm>
              <a:off x="3159418" y="58014613"/>
              <a:ext cx="798500" cy="323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N" sz="1600" b="1"/>
                <a:t>B Wing</a:t>
              </a:r>
            </a:p>
          </xdr:txBody>
        </xdr:sp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 txBox="1"/>
          </xdr:nvSpPr>
          <xdr:spPr>
            <a:xfrm>
              <a:off x="351224" y="61851507"/>
              <a:ext cx="798500" cy="323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N" sz="1600" b="1"/>
                <a:t>B Wing</a:t>
              </a:r>
            </a:p>
          </xdr:txBody>
        </xdr:sp>
        <xdr:cxnSp macro="">
          <xdr:nvCxnSpPr>
            <xdr:cNvPr id="66" name="Straight Arrow Connector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CxnSpPr/>
          </xdr:nvCxnSpPr>
          <xdr:spPr>
            <a:xfrm>
              <a:off x="703089" y="62147342"/>
              <a:ext cx="204587" cy="381481"/>
            </a:xfrm>
            <a:prstGeom prst="straightConnector1">
              <a:avLst/>
            </a:prstGeom>
            <a:ln w="28575">
              <a:solidFill>
                <a:srgbClr val="C0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" name="Straight Arrow Connector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CxnSpPr/>
          </xdr:nvCxnSpPr>
          <xdr:spPr>
            <a:xfrm>
              <a:off x="1202871" y="61907536"/>
              <a:ext cx="399570" cy="161846"/>
            </a:xfrm>
            <a:prstGeom prst="straightConnector1">
              <a:avLst/>
            </a:prstGeom>
            <a:ln w="38100">
              <a:solidFill>
                <a:srgbClr val="C0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8" name="TextBox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/>
        </xdr:nvSpPr>
        <xdr:spPr>
          <a:xfrm>
            <a:off x="2787382" y="61811166"/>
            <a:ext cx="798500" cy="3234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600" b="1"/>
              <a:t>D Wing</a:t>
            </a: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 txBox="1"/>
        </xdr:nvSpPr>
        <xdr:spPr>
          <a:xfrm>
            <a:off x="3701783" y="61963565"/>
            <a:ext cx="798500" cy="3234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IN" sz="1600" b="1"/>
              <a:t>B Wing</a:t>
            </a:r>
          </a:p>
        </xdr:txBody>
      </xdr:sp>
    </xdr:grpSp>
    <xdr:clientData/>
  </xdr:twoCellAnchor>
  <xdr:twoCellAnchor>
    <xdr:from>
      <xdr:col>8</xdr:col>
      <xdr:colOff>367665</xdr:colOff>
      <xdr:row>298</xdr:row>
      <xdr:rowOff>118110</xdr:rowOff>
    </xdr:from>
    <xdr:to>
      <xdr:col>17</xdr:col>
      <xdr:colOff>352425</xdr:colOff>
      <xdr:row>339</xdr:row>
      <xdr:rowOff>118110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B832AAC-80E8-3F21-338D-43356F2A444A}"/>
            </a:ext>
          </a:extLst>
        </xdr:cNvPr>
        <xdr:cNvGrpSpPr/>
      </xdr:nvGrpSpPr>
      <xdr:grpSpPr>
        <a:xfrm>
          <a:off x="9206865" y="57277635"/>
          <a:ext cx="6995160" cy="8201025"/>
          <a:chOff x="153042" y="99243"/>
          <a:chExt cx="5988263" cy="7138116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FDF978E-2FF8-0E70-FBFE-375F1C91DC9B}"/>
              </a:ext>
            </a:extLst>
          </xdr:cNvPr>
          <xdr:cNvGrpSpPr/>
        </xdr:nvGrpSpPr>
        <xdr:grpSpPr>
          <a:xfrm>
            <a:off x="1717514" y="5437359"/>
            <a:ext cx="2859319" cy="1800000"/>
            <a:chOff x="1999340" y="5437359"/>
            <a:chExt cx="2859319" cy="1800000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176BBBDA-7B79-1E22-F504-C0AAB1AC2A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99340" y="5437359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7CDA9A8-5243-C79D-6ED8-145BC1FAD1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10534" y="5437359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CF5497D0-CA10-DF43-FCD8-63156A7BF576}"/>
              </a:ext>
            </a:extLst>
          </xdr:cNvPr>
          <xdr:cNvGrpSpPr/>
        </xdr:nvGrpSpPr>
        <xdr:grpSpPr>
          <a:xfrm>
            <a:off x="153042" y="99243"/>
            <a:ext cx="5988263" cy="2520000"/>
            <a:chOff x="153042" y="99243"/>
            <a:chExt cx="5988263" cy="252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EF1A8ED5-F8B7-7F92-F7C4-D566416944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53930" y="9924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0E23412A-A616-05D4-6E8C-2FA1197BB5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03486" y="9924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A46F6FA0-568D-7DD8-D6E2-3D74006C88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042" y="99243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0" name="TextBox 25">
              <a:extLst>
                <a:ext uri="{FF2B5EF4-FFF2-40B4-BE49-F238E27FC236}">
                  <a16:creationId xmlns:a16="http://schemas.microsoft.com/office/drawing/2014/main" id="{5934A60E-853F-A1D7-3DBC-068A1A51209C}"/>
                </a:ext>
              </a:extLst>
            </xdr:cNvPr>
            <xdr:cNvSpPr txBox="1"/>
          </xdr:nvSpPr>
          <xdr:spPr>
            <a:xfrm>
              <a:off x="4284239" y="99243"/>
              <a:ext cx="607859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 b="1"/>
                <a:t>Wing B</a:t>
              </a:r>
              <a:endParaRPr lang="en-IN" sz="1100" b="1"/>
            </a:p>
          </xdr:txBody>
        </xdr:sp>
        <xdr:sp macro="" textlink="">
          <xdr:nvSpPr>
            <xdr:cNvPr id="31" name="TextBox 26">
              <a:extLst>
                <a:ext uri="{FF2B5EF4-FFF2-40B4-BE49-F238E27FC236}">
                  <a16:creationId xmlns:a16="http://schemas.microsoft.com/office/drawing/2014/main" id="{11A196FD-76A7-5926-598C-FABE3BADF74C}"/>
                </a:ext>
              </a:extLst>
            </xdr:cNvPr>
            <xdr:cNvSpPr txBox="1"/>
          </xdr:nvSpPr>
          <xdr:spPr>
            <a:xfrm>
              <a:off x="2700794" y="99243"/>
              <a:ext cx="607859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 b="1"/>
                <a:t>Wing B</a:t>
              </a:r>
              <a:endParaRPr lang="en-IN" sz="1100" b="1"/>
            </a:p>
          </xdr:txBody>
        </xdr:sp>
        <xdr:sp macro="" textlink="">
          <xdr:nvSpPr>
            <xdr:cNvPr id="32" name="TextBox 27">
              <a:extLst>
                <a:ext uri="{FF2B5EF4-FFF2-40B4-BE49-F238E27FC236}">
                  <a16:creationId xmlns:a16="http://schemas.microsoft.com/office/drawing/2014/main" id="{EA0DB59A-3969-5C0F-03FE-318D9A9B8A0A}"/>
                </a:ext>
              </a:extLst>
            </xdr:cNvPr>
            <xdr:cNvSpPr txBox="1"/>
          </xdr:nvSpPr>
          <xdr:spPr>
            <a:xfrm>
              <a:off x="1312089" y="99243"/>
              <a:ext cx="607859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 b="1"/>
                <a:t>Wing A</a:t>
              </a:r>
              <a:endParaRPr lang="en-IN" sz="1100" b="1"/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62A04C11-03DE-6091-8B11-59476C696711}"/>
              </a:ext>
            </a:extLst>
          </xdr:cNvPr>
          <xdr:cNvGrpSpPr/>
        </xdr:nvGrpSpPr>
        <xdr:grpSpPr>
          <a:xfrm>
            <a:off x="444285" y="2768301"/>
            <a:ext cx="5405777" cy="2520000"/>
            <a:chOff x="444284" y="2768301"/>
            <a:chExt cx="5405777" cy="252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C0F47F87-2D6A-EBD8-8F8C-C6CE9F0F9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284" y="276830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80D4DC35-5B0D-B816-4791-5E6B45DFDF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94728" y="2768301"/>
              <a:ext cx="335533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1" name="TextBox 24">
              <a:extLst>
                <a:ext uri="{FF2B5EF4-FFF2-40B4-BE49-F238E27FC236}">
                  <a16:creationId xmlns:a16="http://schemas.microsoft.com/office/drawing/2014/main" id="{FA88F781-391C-D09D-7D68-B93DC97BFF77}"/>
                </a:ext>
              </a:extLst>
            </xdr:cNvPr>
            <xdr:cNvSpPr txBox="1"/>
          </xdr:nvSpPr>
          <xdr:spPr>
            <a:xfrm>
              <a:off x="515961" y="2924432"/>
              <a:ext cx="607859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 b="1"/>
                <a:t>Wing D</a:t>
              </a:r>
              <a:endParaRPr lang="en-IN" sz="1100" b="1"/>
            </a:p>
          </xdr:txBody>
        </xdr:sp>
        <xdr:sp macro="" textlink="">
          <xdr:nvSpPr>
            <xdr:cNvPr id="12" name="TextBox 29">
              <a:extLst>
                <a:ext uri="{FF2B5EF4-FFF2-40B4-BE49-F238E27FC236}">
                  <a16:creationId xmlns:a16="http://schemas.microsoft.com/office/drawing/2014/main" id="{8A954D43-4D79-FBEA-4EEC-4445479E9726}"/>
                </a:ext>
              </a:extLst>
            </xdr:cNvPr>
            <xdr:cNvSpPr txBox="1"/>
          </xdr:nvSpPr>
          <xdr:spPr>
            <a:xfrm>
              <a:off x="2780728" y="2840415"/>
              <a:ext cx="314510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600" b="1"/>
                <a:t>D</a:t>
              </a:r>
              <a:endParaRPr lang="en-IN" sz="1600" b="1"/>
            </a:p>
          </xdr:txBody>
        </xdr:sp>
        <xdr:sp macro="" textlink="">
          <xdr:nvSpPr>
            <xdr:cNvPr id="13" name="TextBox 30">
              <a:extLst>
                <a:ext uri="{FF2B5EF4-FFF2-40B4-BE49-F238E27FC236}">
                  <a16:creationId xmlns:a16="http://schemas.microsoft.com/office/drawing/2014/main" id="{0C32FE69-ACE8-EFF7-E398-2A1CD3A1C9D3}"/>
                </a:ext>
              </a:extLst>
            </xdr:cNvPr>
            <xdr:cNvSpPr txBox="1"/>
          </xdr:nvSpPr>
          <xdr:spPr>
            <a:xfrm>
              <a:off x="5197617" y="2847488"/>
              <a:ext cx="309700" cy="33855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600" b="1"/>
                <a:t>B</a:t>
              </a:r>
              <a:endParaRPr lang="en-IN" sz="1600" b="1"/>
            </a:p>
          </xdr:txBody>
        </xdr:sp>
      </xdr:grpSp>
    </xdr:grpSp>
    <xdr:clientData/>
  </xdr:twoCellAnchor>
  <xdr:twoCellAnchor>
    <xdr:from>
      <xdr:col>0</xdr:col>
      <xdr:colOff>342900</xdr:colOff>
      <xdr:row>300</xdr:row>
      <xdr:rowOff>133350</xdr:rowOff>
    </xdr:from>
    <xdr:to>
      <xdr:col>7</xdr:col>
      <xdr:colOff>552450</xdr:colOff>
      <xdr:row>343</xdr:row>
      <xdr:rowOff>57150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8D1290F9-749B-434E-B748-97C3D7B67013}"/>
            </a:ext>
          </a:extLst>
        </xdr:cNvPr>
        <xdr:cNvGrpSpPr/>
      </xdr:nvGrpSpPr>
      <xdr:grpSpPr>
        <a:xfrm>
          <a:off x="342900" y="57692925"/>
          <a:ext cx="7943850" cy="8524875"/>
          <a:chOff x="276555" y="430306"/>
          <a:chExt cx="6311302" cy="7550754"/>
        </a:xfrm>
      </xdr:grpSpPr>
      <xdr:grpSp>
        <xdr:nvGrpSpPr>
          <xdr:cNvPr id="54" name="Group 53">
            <a:extLst>
              <a:ext uri="{FF2B5EF4-FFF2-40B4-BE49-F238E27FC236}">
                <a16:creationId xmlns:a16="http://schemas.microsoft.com/office/drawing/2014/main" id="{C10947ED-8400-4585-8C01-B558ED91F54D}"/>
              </a:ext>
            </a:extLst>
          </xdr:cNvPr>
          <xdr:cNvGrpSpPr/>
        </xdr:nvGrpSpPr>
        <xdr:grpSpPr>
          <a:xfrm>
            <a:off x="276555" y="430306"/>
            <a:ext cx="6304890" cy="7550754"/>
            <a:chOff x="276555" y="430306"/>
            <a:chExt cx="6304890" cy="7550754"/>
          </a:xfrm>
        </xdr:grpSpPr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078DD734-C4B5-48A6-B38E-85E1A8164C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6555" y="430306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id="{F3A19212-6E66-4041-868F-FEA1522705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17554" y="430306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2C3C5FF9-3D8F-45A3-BDD3-21CE363C74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58554" y="430306"/>
              <a:ext cx="2022891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A76FB087-02B2-491F-900D-D21EFC440C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85632" y="3395683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0" name="Picture 69">
              <a:extLst>
                <a:ext uri="{FF2B5EF4-FFF2-40B4-BE49-F238E27FC236}">
                  <a16:creationId xmlns:a16="http://schemas.microsoft.com/office/drawing/2014/main" id="{18B52D13-6299-498F-9FBC-7571F96F77F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2244" y="3395683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1" name="Picture 70">
              <a:extLst>
                <a:ext uri="{FF2B5EF4-FFF2-40B4-BE49-F238E27FC236}">
                  <a16:creationId xmlns:a16="http://schemas.microsoft.com/office/drawing/2014/main" id="{90F94EBD-2943-4845-8AC6-D588C495D2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37973" y="600106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2" name="Picture 71">
              <a:extLst>
                <a:ext uri="{FF2B5EF4-FFF2-40B4-BE49-F238E27FC236}">
                  <a16:creationId xmlns:a16="http://schemas.microsoft.com/office/drawing/2014/main" id="{30889D93-F8BB-499D-8154-8C4D3E35FE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74213" y="6001060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5" name="TextBox 264">
            <a:extLst>
              <a:ext uri="{FF2B5EF4-FFF2-40B4-BE49-F238E27FC236}">
                <a16:creationId xmlns:a16="http://schemas.microsoft.com/office/drawing/2014/main" id="{D49936BE-A9F8-41AE-9EE3-87FBF97287C2}"/>
              </a:ext>
            </a:extLst>
          </xdr:cNvPr>
          <xdr:cNvSpPr txBox="1"/>
        </xdr:nvSpPr>
        <xdr:spPr>
          <a:xfrm>
            <a:off x="276555" y="430306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6" name="TextBox 265">
            <a:extLst>
              <a:ext uri="{FF2B5EF4-FFF2-40B4-BE49-F238E27FC236}">
                <a16:creationId xmlns:a16="http://schemas.microsoft.com/office/drawing/2014/main" id="{BBAD1640-4CFE-4D69-A9D4-73AD21B4EFE4}"/>
              </a:ext>
            </a:extLst>
          </xdr:cNvPr>
          <xdr:cNvSpPr txBox="1"/>
        </xdr:nvSpPr>
        <xdr:spPr>
          <a:xfrm>
            <a:off x="2675003" y="430306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7" name="TextBox 266">
            <a:extLst>
              <a:ext uri="{FF2B5EF4-FFF2-40B4-BE49-F238E27FC236}">
                <a16:creationId xmlns:a16="http://schemas.microsoft.com/office/drawing/2014/main" id="{766345BD-7426-42D0-A6C9-0472A4388B32}"/>
              </a:ext>
            </a:extLst>
          </xdr:cNvPr>
          <xdr:cNvSpPr txBox="1"/>
        </xdr:nvSpPr>
        <xdr:spPr>
          <a:xfrm>
            <a:off x="5705884" y="430306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D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NhCK6DUpkDpFgaC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93"/>
  <sheetViews>
    <sheetView tabSelected="1" view="pageBreakPreview" zoomScaleNormal="100" zoomScaleSheetLayoutView="100" workbookViewId="0">
      <selection activeCell="J3" sqref="J3"/>
    </sheetView>
  </sheetViews>
  <sheetFormatPr defaultColWidth="9.140625" defaultRowHeight="15.75" x14ac:dyDescent="0.25"/>
  <cols>
    <col min="1" max="1" width="16.5703125" style="35" customWidth="1"/>
    <col min="2" max="2" width="14.85546875" style="35" customWidth="1"/>
    <col min="3" max="6" width="16.5703125" style="35" customWidth="1"/>
    <col min="7" max="7" width="18.28515625" style="35" customWidth="1"/>
    <col min="8" max="8" width="16.5703125" style="35" customWidth="1"/>
    <col min="9" max="9" width="17.42578125" style="16" customWidth="1"/>
    <col min="10" max="10" width="11.42578125" style="16" customWidth="1"/>
    <col min="11" max="11" width="10.5703125" style="16" bestFit="1" customWidth="1"/>
    <col min="12" max="12" width="10.5703125" style="16" customWidth="1"/>
    <col min="13" max="13" width="11.85546875" style="16" customWidth="1"/>
    <col min="14" max="14" width="12.5703125" style="16" customWidth="1"/>
    <col min="15" max="15" width="9.85546875" style="16" customWidth="1"/>
    <col min="16" max="16" width="11.7109375" style="16" customWidth="1"/>
    <col min="17" max="247" width="9.140625" style="16"/>
    <col min="248" max="248" width="8.7109375" style="16" customWidth="1"/>
    <col min="249" max="249" width="9.85546875" style="16" customWidth="1"/>
    <col min="250" max="250" width="14.42578125" style="16" customWidth="1"/>
    <col min="251" max="251" width="7.28515625" style="16" customWidth="1"/>
    <col min="252" max="252" width="5.5703125" style="16" customWidth="1"/>
    <col min="253" max="253" width="9" style="16" customWidth="1"/>
    <col min="254" max="255" width="9.85546875" style="16" customWidth="1"/>
    <col min="256" max="256" width="11.140625" style="16" customWidth="1"/>
    <col min="257" max="257" width="2.85546875" style="16" customWidth="1"/>
    <col min="258" max="258" width="3.5703125" style="16" customWidth="1"/>
    <col min="259" max="503" width="9.140625" style="16"/>
    <col min="504" max="504" width="8.7109375" style="16" customWidth="1"/>
    <col min="505" max="505" width="9.85546875" style="16" customWidth="1"/>
    <col min="506" max="506" width="14.42578125" style="16" customWidth="1"/>
    <col min="507" max="507" width="7.28515625" style="16" customWidth="1"/>
    <col min="508" max="508" width="5.5703125" style="16" customWidth="1"/>
    <col min="509" max="509" width="9" style="16" customWidth="1"/>
    <col min="510" max="511" width="9.85546875" style="16" customWidth="1"/>
    <col min="512" max="512" width="11.140625" style="16" customWidth="1"/>
    <col min="513" max="513" width="2.85546875" style="16" customWidth="1"/>
    <col min="514" max="514" width="3.5703125" style="16" customWidth="1"/>
    <col min="515" max="759" width="9.140625" style="16"/>
    <col min="760" max="760" width="8.7109375" style="16" customWidth="1"/>
    <col min="761" max="761" width="9.85546875" style="16" customWidth="1"/>
    <col min="762" max="762" width="14.42578125" style="16" customWidth="1"/>
    <col min="763" max="763" width="7.28515625" style="16" customWidth="1"/>
    <col min="764" max="764" width="5.5703125" style="16" customWidth="1"/>
    <col min="765" max="765" width="9" style="16" customWidth="1"/>
    <col min="766" max="767" width="9.85546875" style="16" customWidth="1"/>
    <col min="768" max="768" width="11.140625" style="16" customWidth="1"/>
    <col min="769" max="769" width="2.85546875" style="16" customWidth="1"/>
    <col min="770" max="770" width="3.5703125" style="16" customWidth="1"/>
    <col min="771" max="1015" width="9.140625" style="16"/>
    <col min="1016" max="1016" width="8.7109375" style="16" customWidth="1"/>
    <col min="1017" max="1017" width="9.85546875" style="16" customWidth="1"/>
    <col min="1018" max="1018" width="14.42578125" style="16" customWidth="1"/>
    <col min="1019" max="1019" width="7.28515625" style="16" customWidth="1"/>
    <col min="1020" max="1020" width="5.5703125" style="16" customWidth="1"/>
    <col min="1021" max="1021" width="9" style="16" customWidth="1"/>
    <col min="1022" max="1023" width="9.85546875" style="16" customWidth="1"/>
    <col min="1024" max="1024" width="11.140625" style="16" customWidth="1"/>
    <col min="1025" max="1025" width="2.85546875" style="16" customWidth="1"/>
    <col min="1026" max="1026" width="3.5703125" style="16" customWidth="1"/>
    <col min="1027" max="1271" width="9.140625" style="16"/>
    <col min="1272" max="1272" width="8.7109375" style="16" customWidth="1"/>
    <col min="1273" max="1273" width="9.85546875" style="16" customWidth="1"/>
    <col min="1274" max="1274" width="14.42578125" style="16" customWidth="1"/>
    <col min="1275" max="1275" width="7.28515625" style="16" customWidth="1"/>
    <col min="1276" max="1276" width="5.5703125" style="16" customWidth="1"/>
    <col min="1277" max="1277" width="9" style="16" customWidth="1"/>
    <col min="1278" max="1279" width="9.85546875" style="16" customWidth="1"/>
    <col min="1280" max="1280" width="11.140625" style="16" customWidth="1"/>
    <col min="1281" max="1281" width="2.85546875" style="16" customWidth="1"/>
    <col min="1282" max="1282" width="3.5703125" style="16" customWidth="1"/>
    <col min="1283" max="1527" width="9.140625" style="16"/>
    <col min="1528" max="1528" width="8.7109375" style="16" customWidth="1"/>
    <col min="1529" max="1529" width="9.85546875" style="16" customWidth="1"/>
    <col min="1530" max="1530" width="14.42578125" style="16" customWidth="1"/>
    <col min="1531" max="1531" width="7.28515625" style="16" customWidth="1"/>
    <col min="1532" max="1532" width="5.5703125" style="16" customWidth="1"/>
    <col min="1533" max="1533" width="9" style="16" customWidth="1"/>
    <col min="1534" max="1535" width="9.85546875" style="16" customWidth="1"/>
    <col min="1536" max="1536" width="11.140625" style="16" customWidth="1"/>
    <col min="1537" max="1537" width="2.85546875" style="16" customWidth="1"/>
    <col min="1538" max="1538" width="3.5703125" style="16" customWidth="1"/>
    <col min="1539" max="1783" width="9.140625" style="16"/>
    <col min="1784" max="1784" width="8.7109375" style="16" customWidth="1"/>
    <col min="1785" max="1785" width="9.85546875" style="16" customWidth="1"/>
    <col min="1786" max="1786" width="14.42578125" style="16" customWidth="1"/>
    <col min="1787" max="1787" width="7.28515625" style="16" customWidth="1"/>
    <col min="1788" max="1788" width="5.5703125" style="16" customWidth="1"/>
    <col min="1789" max="1789" width="9" style="16" customWidth="1"/>
    <col min="1790" max="1791" width="9.85546875" style="16" customWidth="1"/>
    <col min="1792" max="1792" width="11.140625" style="16" customWidth="1"/>
    <col min="1793" max="1793" width="2.85546875" style="16" customWidth="1"/>
    <col min="1794" max="1794" width="3.5703125" style="16" customWidth="1"/>
    <col min="1795" max="2039" width="9.140625" style="16"/>
    <col min="2040" max="2040" width="8.7109375" style="16" customWidth="1"/>
    <col min="2041" max="2041" width="9.85546875" style="16" customWidth="1"/>
    <col min="2042" max="2042" width="14.42578125" style="16" customWidth="1"/>
    <col min="2043" max="2043" width="7.28515625" style="16" customWidth="1"/>
    <col min="2044" max="2044" width="5.5703125" style="16" customWidth="1"/>
    <col min="2045" max="2045" width="9" style="16" customWidth="1"/>
    <col min="2046" max="2047" width="9.85546875" style="16" customWidth="1"/>
    <col min="2048" max="2048" width="11.140625" style="16" customWidth="1"/>
    <col min="2049" max="2049" width="2.85546875" style="16" customWidth="1"/>
    <col min="2050" max="2050" width="3.5703125" style="16" customWidth="1"/>
    <col min="2051" max="2295" width="9.140625" style="16"/>
    <col min="2296" max="2296" width="8.7109375" style="16" customWidth="1"/>
    <col min="2297" max="2297" width="9.85546875" style="16" customWidth="1"/>
    <col min="2298" max="2298" width="14.42578125" style="16" customWidth="1"/>
    <col min="2299" max="2299" width="7.28515625" style="16" customWidth="1"/>
    <col min="2300" max="2300" width="5.5703125" style="16" customWidth="1"/>
    <col min="2301" max="2301" width="9" style="16" customWidth="1"/>
    <col min="2302" max="2303" width="9.85546875" style="16" customWidth="1"/>
    <col min="2304" max="2304" width="11.140625" style="16" customWidth="1"/>
    <col min="2305" max="2305" width="2.85546875" style="16" customWidth="1"/>
    <col min="2306" max="2306" width="3.5703125" style="16" customWidth="1"/>
    <col min="2307" max="2551" width="9.140625" style="16"/>
    <col min="2552" max="2552" width="8.7109375" style="16" customWidth="1"/>
    <col min="2553" max="2553" width="9.85546875" style="16" customWidth="1"/>
    <col min="2554" max="2554" width="14.42578125" style="16" customWidth="1"/>
    <col min="2555" max="2555" width="7.28515625" style="16" customWidth="1"/>
    <col min="2556" max="2556" width="5.5703125" style="16" customWidth="1"/>
    <col min="2557" max="2557" width="9" style="16" customWidth="1"/>
    <col min="2558" max="2559" width="9.85546875" style="16" customWidth="1"/>
    <col min="2560" max="2560" width="11.140625" style="16" customWidth="1"/>
    <col min="2561" max="2561" width="2.85546875" style="16" customWidth="1"/>
    <col min="2562" max="2562" width="3.5703125" style="16" customWidth="1"/>
    <col min="2563" max="2807" width="9.140625" style="16"/>
    <col min="2808" max="2808" width="8.7109375" style="16" customWidth="1"/>
    <col min="2809" max="2809" width="9.85546875" style="16" customWidth="1"/>
    <col min="2810" max="2810" width="14.42578125" style="16" customWidth="1"/>
    <col min="2811" max="2811" width="7.28515625" style="16" customWidth="1"/>
    <col min="2812" max="2812" width="5.5703125" style="16" customWidth="1"/>
    <col min="2813" max="2813" width="9" style="16" customWidth="1"/>
    <col min="2814" max="2815" width="9.85546875" style="16" customWidth="1"/>
    <col min="2816" max="2816" width="11.140625" style="16" customWidth="1"/>
    <col min="2817" max="2817" width="2.85546875" style="16" customWidth="1"/>
    <col min="2818" max="2818" width="3.5703125" style="16" customWidth="1"/>
    <col min="2819" max="3063" width="9.140625" style="16"/>
    <col min="3064" max="3064" width="8.7109375" style="16" customWidth="1"/>
    <col min="3065" max="3065" width="9.85546875" style="16" customWidth="1"/>
    <col min="3066" max="3066" width="14.42578125" style="16" customWidth="1"/>
    <col min="3067" max="3067" width="7.28515625" style="16" customWidth="1"/>
    <col min="3068" max="3068" width="5.5703125" style="16" customWidth="1"/>
    <col min="3069" max="3069" width="9" style="16" customWidth="1"/>
    <col min="3070" max="3071" width="9.85546875" style="16" customWidth="1"/>
    <col min="3072" max="3072" width="11.140625" style="16" customWidth="1"/>
    <col min="3073" max="3073" width="2.85546875" style="16" customWidth="1"/>
    <col min="3074" max="3074" width="3.5703125" style="16" customWidth="1"/>
    <col min="3075" max="3319" width="9.140625" style="16"/>
    <col min="3320" max="3320" width="8.7109375" style="16" customWidth="1"/>
    <col min="3321" max="3321" width="9.85546875" style="16" customWidth="1"/>
    <col min="3322" max="3322" width="14.42578125" style="16" customWidth="1"/>
    <col min="3323" max="3323" width="7.28515625" style="16" customWidth="1"/>
    <col min="3324" max="3324" width="5.5703125" style="16" customWidth="1"/>
    <col min="3325" max="3325" width="9" style="16" customWidth="1"/>
    <col min="3326" max="3327" width="9.85546875" style="16" customWidth="1"/>
    <col min="3328" max="3328" width="11.140625" style="16" customWidth="1"/>
    <col min="3329" max="3329" width="2.85546875" style="16" customWidth="1"/>
    <col min="3330" max="3330" width="3.5703125" style="16" customWidth="1"/>
    <col min="3331" max="3575" width="9.140625" style="16"/>
    <col min="3576" max="3576" width="8.7109375" style="16" customWidth="1"/>
    <col min="3577" max="3577" width="9.85546875" style="16" customWidth="1"/>
    <col min="3578" max="3578" width="14.42578125" style="16" customWidth="1"/>
    <col min="3579" max="3579" width="7.28515625" style="16" customWidth="1"/>
    <col min="3580" max="3580" width="5.5703125" style="16" customWidth="1"/>
    <col min="3581" max="3581" width="9" style="16" customWidth="1"/>
    <col min="3582" max="3583" width="9.85546875" style="16" customWidth="1"/>
    <col min="3584" max="3584" width="11.140625" style="16" customWidth="1"/>
    <col min="3585" max="3585" width="2.85546875" style="16" customWidth="1"/>
    <col min="3586" max="3586" width="3.5703125" style="16" customWidth="1"/>
    <col min="3587" max="3831" width="9.140625" style="16"/>
    <col min="3832" max="3832" width="8.7109375" style="16" customWidth="1"/>
    <col min="3833" max="3833" width="9.85546875" style="16" customWidth="1"/>
    <col min="3834" max="3834" width="14.42578125" style="16" customWidth="1"/>
    <col min="3835" max="3835" width="7.28515625" style="16" customWidth="1"/>
    <col min="3836" max="3836" width="5.5703125" style="16" customWidth="1"/>
    <col min="3837" max="3837" width="9" style="16" customWidth="1"/>
    <col min="3838" max="3839" width="9.85546875" style="16" customWidth="1"/>
    <col min="3840" max="3840" width="11.140625" style="16" customWidth="1"/>
    <col min="3841" max="3841" width="2.85546875" style="16" customWidth="1"/>
    <col min="3842" max="3842" width="3.5703125" style="16" customWidth="1"/>
    <col min="3843" max="4087" width="9.140625" style="16"/>
    <col min="4088" max="4088" width="8.7109375" style="16" customWidth="1"/>
    <col min="4089" max="4089" width="9.85546875" style="16" customWidth="1"/>
    <col min="4090" max="4090" width="14.42578125" style="16" customWidth="1"/>
    <col min="4091" max="4091" width="7.28515625" style="16" customWidth="1"/>
    <col min="4092" max="4092" width="5.5703125" style="16" customWidth="1"/>
    <col min="4093" max="4093" width="9" style="16" customWidth="1"/>
    <col min="4094" max="4095" width="9.85546875" style="16" customWidth="1"/>
    <col min="4096" max="4096" width="11.140625" style="16" customWidth="1"/>
    <col min="4097" max="4097" width="2.85546875" style="16" customWidth="1"/>
    <col min="4098" max="4098" width="3.5703125" style="16" customWidth="1"/>
    <col min="4099" max="4343" width="9.140625" style="16"/>
    <col min="4344" max="4344" width="8.7109375" style="16" customWidth="1"/>
    <col min="4345" max="4345" width="9.85546875" style="16" customWidth="1"/>
    <col min="4346" max="4346" width="14.42578125" style="16" customWidth="1"/>
    <col min="4347" max="4347" width="7.28515625" style="16" customWidth="1"/>
    <col min="4348" max="4348" width="5.5703125" style="16" customWidth="1"/>
    <col min="4349" max="4349" width="9" style="16" customWidth="1"/>
    <col min="4350" max="4351" width="9.85546875" style="16" customWidth="1"/>
    <col min="4352" max="4352" width="11.140625" style="16" customWidth="1"/>
    <col min="4353" max="4353" width="2.85546875" style="16" customWidth="1"/>
    <col min="4354" max="4354" width="3.5703125" style="16" customWidth="1"/>
    <col min="4355" max="4599" width="9.140625" style="16"/>
    <col min="4600" max="4600" width="8.7109375" style="16" customWidth="1"/>
    <col min="4601" max="4601" width="9.85546875" style="16" customWidth="1"/>
    <col min="4602" max="4602" width="14.42578125" style="16" customWidth="1"/>
    <col min="4603" max="4603" width="7.28515625" style="16" customWidth="1"/>
    <col min="4604" max="4604" width="5.5703125" style="16" customWidth="1"/>
    <col min="4605" max="4605" width="9" style="16" customWidth="1"/>
    <col min="4606" max="4607" width="9.85546875" style="16" customWidth="1"/>
    <col min="4608" max="4608" width="11.140625" style="16" customWidth="1"/>
    <col min="4609" max="4609" width="2.85546875" style="16" customWidth="1"/>
    <col min="4610" max="4610" width="3.5703125" style="16" customWidth="1"/>
    <col min="4611" max="4855" width="9.140625" style="16"/>
    <col min="4856" max="4856" width="8.7109375" style="16" customWidth="1"/>
    <col min="4857" max="4857" width="9.85546875" style="16" customWidth="1"/>
    <col min="4858" max="4858" width="14.42578125" style="16" customWidth="1"/>
    <col min="4859" max="4859" width="7.28515625" style="16" customWidth="1"/>
    <col min="4860" max="4860" width="5.5703125" style="16" customWidth="1"/>
    <col min="4861" max="4861" width="9" style="16" customWidth="1"/>
    <col min="4862" max="4863" width="9.85546875" style="16" customWidth="1"/>
    <col min="4864" max="4864" width="11.140625" style="16" customWidth="1"/>
    <col min="4865" max="4865" width="2.85546875" style="16" customWidth="1"/>
    <col min="4866" max="4866" width="3.5703125" style="16" customWidth="1"/>
    <col min="4867" max="5111" width="9.140625" style="16"/>
    <col min="5112" max="5112" width="8.7109375" style="16" customWidth="1"/>
    <col min="5113" max="5113" width="9.85546875" style="16" customWidth="1"/>
    <col min="5114" max="5114" width="14.42578125" style="16" customWidth="1"/>
    <col min="5115" max="5115" width="7.28515625" style="16" customWidth="1"/>
    <col min="5116" max="5116" width="5.5703125" style="16" customWidth="1"/>
    <col min="5117" max="5117" width="9" style="16" customWidth="1"/>
    <col min="5118" max="5119" width="9.85546875" style="16" customWidth="1"/>
    <col min="5120" max="5120" width="11.140625" style="16" customWidth="1"/>
    <col min="5121" max="5121" width="2.85546875" style="16" customWidth="1"/>
    <col min="5122" max="5122" width="3.5703125" style="16" customWidth="1"/>
    <col min="5123" max="5367" width="9.140625" style="16"/>
    <col min="5368" max="5368" width="8.7109375" style="16" customWidth="1"/>
    <col min="5369" max="5369" width="9.85546875" style="16" customWidth="1"/>
    <col min="5370" max="5370" width="14.42578125" style="16" customWidth="1"/>
    <col min="5371" max="5371" width="7.28515625" style="16" customWidth="1"/>
    <col min="5372" max="5372" width="5.5703125" style="16" customWidth="1"/>
    <col min="5373" max="5373" width="9" style="16" customWidth="1"/>
    <col min="5374" max="5375" width="9.85546875" style="16" customWidth="1"/>
    <col min="5376" max="5376" width="11.140625" style="16" customWidth="1"/>
    <col min="5377" max="5377" width="2.85546875" style="16" customWidth="1"/>
    <col min="5378" max="5378" width="3.5703125" style="16" customWidth="1"/>
    <col min="5379" max="5623" width="9.140625" style="16"/>
    <col min="5624" max="5624" width="8.7109375" style="16" customWidth="1"/>
    <col min="5625" max="5625" width="9.85546875" style="16" customWidth="1"/>
    <col min="5626" max="5626" width="14.42578125" style="16" customWidth="1"/>
    <col min="5627" max="5627" width="7.28515625" style="16" customWidth="1"/>
    <col min="5628" max="5628" width="5.5703125" style="16" customWidth="1"/>
    <col min="5629" max="5629" width="9" style="16" customWidth="1"/>
    <col min="5630" max="5631" width="9.85546875" style="16" customWidth="1"/>
    <col min="5632" max="5632" width="11.140625" style="16" customWidth="1"/>
    <col min="5633" max="5633" width="2.85546875" style="16" customWidth="1"/>
    <col min="5634" max="5634" width="3.5703125" style="16" customWidth="1"/>
    <col min="5635" max="5879" width="9.140625" style="16"/>
    <col min="5880" max="5880" width="8.7109375" style="16" customWidth="1"/>
    <col min="5881" max="5881" width="9.85546875" style="16" customWidth="1"/>
    <col min="5882" max="5882" width="14.42578125" style="16" customWidth="1"/>
    <col min="5883" max="5883" width="7.28515625" style="16" customWidth="1"/>
    <col min="5884" max="5884" width="5.5703125" style="16" customWidth="1"/>
    <col min="5885" max="5885" width="9" style="16" customWidth="1"/>
    <col min="5886" max="5887" width="9.85546875" style="16" customWidth="1"/>
    <col min="5888" max="5888" width="11.140625" style="16" customWidth="1"/>
    <col min="5889" max="5889" width="2.85546875" style="16" customWidth="1"/>
    <col min="5890" max="5890" width="3.5703125" style="16" customWidth="1"/>
    <col min="5891" max="6135" width="9.140625" style="16"/>
    <col min="6136" max="6136" width="8.7109375" style="16" customWidth="1"/>
    <col min="6137" max="6137" width="9.85546875" style="16" customWidth="1"/>
    <col min="6138" max="6138" width="14.42578125" style="16" customWidth="1"/>
    <col min="6139" max="6139" width="7.28515625" style="16" customWidth="1"/>
    <col min="6140" max="6140" width="5.5703125" style="16" customWidth="1"/>
    <col min="6141" max="6141" width="9" style="16" customWidth="1"/>
    <col min="6142" max="6143" width="9.85546875" style="16" customWidth="1"/>
    <col min="6144" max="6144" width="11.140625" style="16" customWidth="1"/>
    <col min="6145" max="6145" width="2.85546875" style="16" customWidth="1"/>
    <col min="6146" max="6146" width="3.5703125" style="16" customWidth="1"/>
    <col min="6147" max="6391" width="9.140625" style="16"/>
    <col min="6392" max="6392" width="8.7109375" style="16" customWidth="1"/>
    <col min="6393" max="6393" width="9.85546875" style="16" customWidth="1"/>
    <col min="6394" max="6394" width="14.42578125" style="16" customWidth="1"/>
    <col min="6395" max="6395" width="7.28515625" style="16" customWidth="1"/>
    <col min="6396" max="6396" width="5.5703125" style="16" customWidth="1"/>
    <col min="6397" max="6397" width="9" style="16" customWidth="1"/>
    <col min="6398" max="6399" width="9.85546875" style="16" customWidth="1"/>
    <col min="6400" max="6400" width="11.140625" style="16" customWidth="1"/>
    <col min="6401" max="6401" width="2.85546875" style="16" customWidth="1"/>
    <col min="6402" max="6402" width="3.5703125" style="16" customWidth="1"/>
    <col min="6403" max="6647" width="9.140625" style="16"/>
    <col min="6648" max="6648" width="8.7109375" style="16" customWidth="1"/>
    <col min="6649" max="6649" width="9.85546875" style="16" customWidth="1"/>
    <col min="6650" max="6650" width="14.42578125" style="16" customWidth="1"/>
    <col min="6651" max="6651" width="7.28515625" style="16" customWidth="1"/>
    <col min="6652" max="6652" width="5.5703125" style="16" customWidth="1"/>
    <col min="6653" max="6653" width="9" style="16" customWidth="1"/>
    <col min="6654" max="6655" width="9.85546875" style="16" customWidth="1"/>
    <col min="6656" max="6656" width="11.140625" style="16" customWidth="1"/>
    <col min="6657" max="6657" width="2.85546875" style="16" customWidth="1"/>
    <col min="6658" max="6658" width="3.5703125" style="16" customWidth="1"/>
    <col min="6659" max="6903" width="9.140625" style="16"/>
    <col min="6904" max="6904" width="8.7109375" style="16" customWidth="1"/>
    <col min="6905" max="6905" width="9.85546875" style="16" customWidth="1"/>
    <col min="6906" max="6906" width="14.42578125" style="16" customWidth="1"/>
    <col min="6907" max="6907" width="7.28515625" style="16" customWidth="1"/>
    <col min="6908" max="6908" width="5.5703125" style="16" customWidth="1"/>
    <col min="6909" max="6909" width="9" style="16" customWidth="1"/>
    <col min="6910" max="6911" width="9.85546875" style="16" customWidth="1"/>
    <col min="6912" max="6912" width="11.140625" style="16" customWidth="1"/>
    <col min="6913" max="6913" width="2.85546875" style="16" customWidth="1"/>
    <col min="6914" max="6914" width="3.5703125" style="16" customWidth="1"/>
    <col min="6915" max="7159" width="9.140625" style="16"/>
    <col min="7160" max="7160" width="8.7109375" style="16" customWidth="1"/>
    <col min="7161" max="7161" width="9.85546875" style="16" customWidth="1"/>
    <col min="7162" max="7162" width="14.42578125" style="16" customWidth="1"/>
    <col min="7163" max="7163" width="7.28515625" style="16" customWidth="1"/>
    <col min="7164" max="7164" width="5.5703125" style="16" customWidth="1"/>
    <col min="7165" max="7165" width="9" style="16" customWidth="1"/>
    <col min="7166" max="7167" width="9.85546875" style="16" customWidth="1"/>
    <col min="7168" max="7168" width="11.140625" style="16" customWidth="1"/>
    <col min="7169" max="7169" width="2.85546875" style="16" customWidth="1"/>
    <col min="7170" max="7170" width="3.5703125" style="16" customWidth="1"/>
    <col min="7171" max="7415" width="9.140625" style="16"/>
    <col min="7416" max="7416" width="8.7109375" style="16" customWidth="1"/>
    <col min="7417" max="7417" width="9.85546875" style="16" customWidth="1"/>
    <col min="7418" max="7418" width="14.42578125" style="16" customWidth="1"/>
    <col min="7419" max="7419" width="7.28515625" style="16" customWidth="1"/>
    <col min="7420" max="7420" width="5.5703125" style="16" customWidth="1"/>
    <col min="7421" max="7421" width="9" style="16" customWidth="1"/>
    <col min="7422" max="7423" width="9.85546875" style="16" customWidth="1"/>
    <col min="7424" max="7424" width="11.140625" style="16" customWidth="1"/>
    <col min="7425" max="7425" width="2.85546875" style="16" customWidth="1"/>
    <col min="7426" max="7426" width="3.5703125" style="16" customWidth="1"/>
    <col min="7427" max="7671" width="9.140625" style="16"/>
    <col min="7672" max="7672" width="8.7109375" style="16" customWidth="1"/>
    <col min="7673" max="7673" width="9.85546875" style="16" customWidth="1"/>
    <col min="7674" max="7674" width="14.42578125" style="16" customWidth="1"/>
    <col min="7675" max="7675" width="7.28515625" style="16" customWidth="1"/>
    <col min="7676" max="7676" width="5.5703125" style="16" customWidth="1"/>
    <col min="7677" max="7677" width="9" style="16" customWidth="1"/>
    <col min="7678" max="7679" width="9.85546875" style="16" customWidth="1"/>
    <col min="7680" max="7680" width="11.140625" style="16" customWidth="1"/>
    <col min="7681" max="7681" width="2.85546875" style="16" customWidth="1"/>
    <col min="7682" max="7682" width="3.5703125" style="16" customWidth="1"/>
    <col min="7683" max="7927" width="9.140625" style="16"/>
    <col min="7928" max="7928" width="8.7109375" style="16" customWidth="1"/>
    <col min="7929" max="7929" width="9.85546875" style="16" customWidth="1"/>
    <col min="7930" max="7930" width="14.42578125" style="16" customWidth="1"/>
    <col min="7931" max="7931" width="7.28515625" style="16" customWidth="1"/>
    <col min="7932" max="7932" width="5.5703125" style="16" customWidth="1"/>
    <col min="7933" max="7933" width="9" style="16" customWidth="1"/>
    <col min="7934" max="7935" width="9.85546875" style="16" customWidth="1"/>
    <col min="7936" max="7936" width="11.140625" style="16" customWidth="1"/>
    <col min="7937" max="7937" width="2.85546875" style="16" customWidth="1"/>
    <col min="7938" max="7938" width="3.5703125" style="16" customWidth="1"/>
    <col min="7939" max="8183" width="9.140625" style="16"/>
    <col min="8184" max="8184" width="8.7109375" style="16" customWidth="1"/>
    <col min="8185" max="8185" width="9.85546875" style="16" customWidth="1"/>
    <col min="8186" max="8186" width="14.42578125" style="16" customWidth="1"/>
    <col min="8187" max="8187" width="7.28515625" style="16" customWidth="1"/>
    <col min="8188" max="8188" width="5.5703125" style="16" customWidth="1"/>
    <col min="8189" max="8189" width="9" style="16" customWidth="1"/>
    <col min="8190" max="8191" width="9.85546875" style="16" customWidth="1"/>
    <col min="8192" max="8192" width="11.140625" style="16" customWidth="1"/>
    <col min="8193" max="8193" width="2.85546875" style="16" customWidth="1"/>
    <col min="8194" max="8194" width="3.5703125" style="16" customWidth="1"/>
    <col min="8195" max="8439" width="9.140625" style="16"/>
    <col min="8440" max="8440" width="8.7109375" style="16" customWidth="1"/>
    <col min="8441" max="8441" width="9.85546875" style="16" customWidth="1"/>
    <col min="8442" max="8442" width="14.42578125" style="16" customWidth="1"/>
    <col min="8443" max="8443" width="7.28515625" style="16" customWidth="1"/>
    <col min="8444" max="8444" width="5.5703125" style="16" customWidth="1"/>
    <col min="8445" max="8445" width="9" style="16" customWidth="1"/>
    <col min="8446" max="8447" width="9.85546875" style="16" customWidth="1"/>
    <col min="8448" max="8448" width="11.140625" style="16" customWidth="1"/>
    <col min="8449" max="8449" width="2.85546875" style="16" customWidth="1"/>
    <col min="8450" max="8450" width="3.5703125" style="16" customWidth="1"/>
    <col min="8451" max="8695" width="9.140625" style="16"/>
    <col min="8696" max="8696" width="8.7109375" style="16" customWidth="1"/>
    <col min="8697" max="8697" width="9.85546875" style="16" customWidth="1"/>
    <col min="8698" max="8698" width="14.42578125" style="16" customWidth="1"/>
    <col min="8699" max="8699" width="7.28515625" style="16" customWidth="1"/>
    <col min="8700" max="8700" width="5.5703125" style="16" customWidth="1"/>
    <col min="8701" max="8701" width="9" style="16" customWidth="1"/>
    <col min="8702" max="8703" width="9.85546875" style="16" customWidth="1"/>
    <col min="8704" max="8704" width="11.140625" style="16" customWidth="1"/>
    <col min="8705" max="8705" width="2.85546875" style="16" customWidth="1"/>
    <col min="8706" max="8706" width="3.5703125" style="16" customWidth="1"/>
    <col min="8707" max="8951" width="9.140625" style="16"/>
    <col min="8952" max="8952" width="8.7109375" style="16" customWidth="1"/>
    <col min="8953" max="8953" width="9.85546875" style="16" customWidth="1"/>
    <col min="8954" max="8954" width="14.42578125" style="16" customWidth="1"/>
    <col min="8955" max="8955" width="7.28515625" style="16" customWidth="1"/>
    <col min="8956" max="8956" width="5.5703125" style="16" customWidth="1"/>
    <col min="8957" max="8957" width="9" style="16" customWidth="1"/>
    <col min="8958" max="8959" width="9.85546875" style="16" customWidth="1"/>
    <col min="8960" max="8960" width="11.140625" style="16" customWidth="1"/>
    <col min="8961" max="8961" width="2.85546875" style="16" customWidth="1"/>
    <col min="8962" max="8962" width="3.5703125" style="16" customWidth="1"/>
    <col min="8963" max="9207" width="9.140625" style="16"/>
    <col min="9208" max="9208" width="8.7109375" style="16" customWidth="1"/>
    <col min="9209" max="9209" width="9.85546875" style="16" customWidth="1"/>
    <col min="9210" max="9210" width="14.42578125" style="16" customWidth="1"/>
    <col min="9211" max="9211" width="7.28515625" style="16" customWidth="1"/>
    <col min="9212" max="9212" width="5.5703125" style="16" customWidth="1"/>
    <col min="9213" max="9213" width="9" style="16" customWidth="1"/>
    <col min="9214" max="9215" width="9.85546875" style="16" customWidth="1"/>
    <col min="9216" max="9216" width="11.140625" style="16" customWidth="1"/>
    <col min="9217" max="9217" width="2.85546875" style="16" customWidth="1"/>
    <col min="9218" max="9218" width="3.5703125" style="16" customWidth="1"/>
    <col min="9219" max="9463" width="9.140625" style="16"/>
    <col min="9464" max="9464" width="8.7109375" style="16" customWidth="1"/>
    <col min="9465" max="9465" width="9.85546875" style="16" customWidth="1"/>
    <col min="9466" max="9466" width="14.42578125" style="16" customWidth="1"/>
    <col min="9467" max="9467" width="7.28515625" style="16" customWidth="1"/>
    <col min="9468" max="9468" width="5.5703125" style="16" customWidth="1"/>
    <col min="9469" max="9469" width="9" style="16" customWidth="1"/>
    <col min="9470" max="9471" width="9.85546875" style="16" customWidth="1"/>
    <col min="9472" max="9472" width="11.140625" style="16" customWidth="1"/>
    <col min="9473" max="9473" width="2.85546875" style="16" customWidth="1"/>
    <col min="9474" max="9474" width="3.5703125" style="16" customWidth="1"/>
    <col min="9475" max="9719" width="9.140625" style="16"/>
    <col min="9720" max="9720" width="8.7109375" style="16" customWidth="1"/>
    <col min="9721" max="9721" width="9.85546875" style="16" customWidth="1"/>
    <col min="9722" max="9722" width="14.42578125" style="16" customWidth="1"/>
    <col min="9723" max="9723" width="7.28515625" style="16" customWidth="1"/>
    <col min="9724" max="9724" width="5.5703125" style="16" customWidth="1"/>
    <col min="9725" max="9725" width="9" style="16" customWidth="1"/>
    <col min="9726" max="9727" width="9.85546875" style="16" customWidth="1"/>
    <col min="9728" max="9728" width="11.140625" style="16" customWidth="1"/>
    <col min="9729" max="9729" width="2.85546875" style="16" customWidth="1"/>
    <col min="9730" max="9730" width="3.5703125" style="16" customWidth="1"/>
    <col min="9731" max="9975" width="9.140625" style="16"/>
    <col min="9976" max="9976" width="8.7109375" style="16" customWidth="1"/>
    <col min="9977" max="9977" width="9.85546875" style="16" customWidth="1"/>
    <col min="9978" max="9978" width="14.42578125" style="16" customWidth="1"/>
    <col min="9979" max="9979" width="7.28515625" style="16" customWidth="1"/>
    <col min="9980" max="9980" width="5.5703125" style="16" customWidth="1"/>
    <col min="9981" max="9981" width="9" style="16" customWidth="1"/>
    <col min="9982" max="9983" width="9.85546875" style="16" customWidth="1"/>
    <col min="9984" max="9984" width="11.140625" style="16" customWidth="1"/>
    <col min="9985" max="9985" width="2.85546875" style="16" customWidth="1"/>
    <col min="9986" max="9986" width="3.5703125" style="16" customWidth="1"/>
    <col min="9987" max="10231" width="9.140625" style="16"/>
    <col min="10232" max="10232" width="8.7109375" style="16" customWidth="1"/>
    <col min="10233" max="10233" width="9.85546875" style="16" customWidth="1"/>
    <col min="10234" max="10234" width="14.42578125" style="16" customWidth="1"/>
    <col min="10235" max="10235" width="7.28515625" style="16" customWidth="1"/>
    <col min="10236" max="10236" width="5.5703125" style="16" customWidth="1"/>
    <col min="10237" max="10237" width="9" style="16" customWidth="1"/>
    <col min="10238" max="10239" width="9.85546875" style="16" customWidth="1"/>
    <col min="10240" max="10240" width="11.140625" style="16" customWidth="1"/>
    <col min="10241" max="10241" width="2.85546875" style="16" customWidth="1"/>
    <col min="10242" max="10242" width="3.5703125" style="16" customWidth="1"/>
    <col min="10243" max="10487" width="9.140625" style="16"/>
    <col min="10488" max="10488" width="8.7109375" style="16" customWidth="1"/>
    <col min="10489" max="10489" width="9.85546875" style="16" customWidth="1"/>
    <col min="10490" max="10490" width="14.42578125" style="16" customWidth="1"/>
    <col min="10491" max="10491" width="7.28515625" style="16" customWidth="1"/>
    <col min="10492" max="10492" width="5.5703125" style="16" customWidth="1"/>
    <col min="10493" max="10493" width="9" style="16" customWidth="1"/>
    <col min="10494" max="10495" width="9.85546875" style="16" customWidth="1"/>
    <col min="10496" max="10496" width="11.140625" style="16" customWidth="1"/>
    <col min="10497" max="10497" width="2.85546875" style="16" customWidth="1"/>
    <col min="10498" max="10498" width="3.5703125" style="16" customWidth="1"/>
    <col min="10499" max="10743" width="9.140625" style="16"/>
    <col min="10744" max="10744" width="8.7109375" style="16" customWidth="1"/>
    <col min="10745" max="10745" width="9.85546875" style="16" customWidth="1"/>
    <col min="10746" max="10746" width="14.42578125" style="16" customWidth="1"/>
    <col min="10747" max="10747" width="7.28515625" style="16" customWidth="1"/>
    <col min="10748" max="10748" width="5.5703125" style="16" customWidth="1"/>
    <col min="10749" max="10749" width="9" style="16" customWidth="1"/>
    <col min="10750" max="10751" width="9.85546875" style="16" customWidth="1"/>
    <col min="10752" max="10752" width="11.140625" style="16" customWidth="1"/>
    <col min="10753" max="10753" width="2.85546875" style="16" customWidth="1"/>
    <col min="10754" max="10754" width="3.5703125" style="16" customWidth="1"/>
    <col min="10755" max="10999" width="9.140625" style="16"/>
    <col min="11000" max="11000" width="8.7109375" style="16" customWidth="1"/>
    <col min="11001" max="11001" width="9.85546875" style="16" customWidth="1"/>
    <col min="11002" max="11002" width="14.42578125" style="16" customWidth="1"/>
    <col min="11003" max="11003" width="7.28515625" style="16" customWidth="1"/>
    <col min="11004" max="11004" width="5.5703125" style="16" customWidth="1"/>
    <col min="11005" max="11005" width="9" style="16" customWidth="1"/>
    <col min="11006" max="11007" width="9.85546875" style="16" customWidth="1"/>
    <col min="11008" max="11008" width="11.140625" style="16" customWidth="1"/>
    <col min="11009" max="11009" width="2.85546875" style="16" customWidth="1"/>
    <col min="11010" max="11010" width="3.5703125" style="16" customWidth="1"/>
    <col min="11011" max="11255" width="9.140625" style="16"/>
    <col min="11256" max="11256" width="8.7109375" style="16" customWidth="1"/>
    <col min="11257" max="11257" width="9.85546875" style="16" customWidth="1"/>
    <col min="11258" max="11258" width="14.42578125" style="16" customWidth="1"/>
    <col min="11259" max="11259" width="7.28515625" style="16" customWidth="1"/>
    <col min="11260" max="11260" width="5.5703125" style="16" customWidth="1"/>
    <col min="11261" max="11261" width="9" style="16" customWidth="1"/>
    <col min="11262" max="11263" width="9.85546875" style="16" customWidth="1"/>
    <col min="11264" max="11264" width="11.140625" style="16" customWidth="1"/>
    <col min="11265" max="11265" width="2.85546875" style="16" customWidth="1"/>
    <col min="11266" max="11266" width="3.5703125" style="16" customWidth="1"/>
    <col min="11267" max="11511" width="9.140625" style="16"/>
    <col min="11512" max="11512" width="8.7109375" style="16" customWidth="1"/>
    <col min="11513" max="11513" width="9.85546875" style="16" customWidth="1"/>
    <col min="11514" max="11514" width="14.42578125" style="16" customWidth="1"/>
    <col min="11515" max="11515" width="7.28515625" style="16" customWidth="1"/>
    <col min="11516" max="11516" width="5.5703125" style="16" customWidth="1"/>
    <col min="11517" max="11517" width="9" style="16" customWidth="1"/>
    <col min="11518" max="11519" width="9.85546875" style="16" customWidth="1"/>
    <col min="11520" max="11520" width="11.140625" style="16" customWidth="1"/>
    <col min="11521" max="11521" width="2.85546875" style="16" customWidth="1"/>
    <col min="11522" max="11522" width="3.5703125" style="16" customWidth="1"/>
    <col min="11523" max="11767" width="9.140625" style="16"/>
    <col min="11768" max="11768" width="8.7109375" style="16" customWidth="1"/>
    <col min="11769" max="11769" width="9.85546875" style="16" customWidth="1"/>
    <col min="11770" max="11770" width="14.42578125" style="16" customWidth="1"/>
    <col min="11771" max="11771" width="7.28515625" style="16" customWidth="1"/>
    <col min="11772" max="11772" width="5.5703125" style="16" customWidth="1"/>
    <col min="11773" max="11773" width="9" style="16" customWidth="1"/>
    <col min="11774" max="11775" width="9.85546875" style="16" customWidth="1"/>
    <col min="11776" max="11776" width="11.140625" style="16" customWidth="1"/>
    <col min="11777" max="11777" width="2.85546875" style="16" customWidth="1"/>
    <col min="11778" max="11778" width="3.5703125" style="16" customWidth="1"/>
    <col min="11779" max="12023" width="9.140625" style="16"/>
    <col min="12024" max="12024" width="8.7109375" style="16" customWidth="1"/>
    <col min="12025" max="12025" width="9.85546875" style="16" customWidth="1"/>
    <col min="12026" max="12026" width="14.42578125" style="16" customWidth="1"/>
    <col min="12027" max="12027" width="7.28515625" style="16" customWidth="1"/>
    <col min="12028" max="12028" width="5.5703125" style="16" customWidth="1"/>
    <col min="12029" max="12029" width="9" style="16" customWidth="1"/>
    <col min="12030" max="12031" width="9.85546875" style="16" customWidth="1"/>
    <col min="12032" max="12032" width="11.140625" style="16" customWidth="1"/>
    <col min="12033" max="12033" width="2.85546875" style="16" customWidth="1"/>
    <col min="12034" max="12034" width="3.5703125" style="16" customWidth="1"/>
    <col min="12035" max="12279" width="9.140625" style="16"/>
    <col min="12280" max="12280" width="8.7109375" style="16" customWidth="1"/>
    <col min="12281" max="12281" width="9.85546875" style="16" customWidth="1"/>
    <col min="12282" max="12282" width="14.42578125" style="16" customWidth="1"/>
    <col min="12283" max="12283" width="7.28515625" style="16" customWidth="1"/>
    <col min="12284" max="12284" width="5.5703125" style="16" customWidth="1"/>
    <col min="12285" max="12285" width="9" style="16" customWidth="1"/>
    <col min="12286" max="12287" width="9.85546875" style="16" customWidth="1"/>
    <col min="12288" max="12288" width="11.140625" style="16" customWidth="1"/>
    <col min="12289" max="12289" width="2.85546875" style="16" customWidth="1"/>
    <col min="12290" max="12290" width="3.5703125" style="16" customWidth="1"/>
    <col min="12291" max="12535" width="9.140625" style="16"/>
    <col min="12536" max="12536" width="8.7109375" style="16" customWidth="1"/>
    <col min="12537" max="12537" width="9.85546875" style="16" customWidth="1"/>
    <col min="12538" max="12538" width="14.42578125" style="16" customWidth="1"/>
    <col min="12539" max="12539" width="7.28515625" style="16" customWidth="1"/>
    <col min="12540" max="12540" width="5.5703125" style="16" customWidth="1"/>
    <col min="12541" max="12541" width="9" style="16" customWidth="1"/>
    <col min="12542" max="12543" width="9.85546875" style="16" customWidth="1"/>
    <col min="12544" max="12544" width="11.140625" style="16" customWidth="1"/>
    <col min="12545" max="12545" width="2.85546875" style="16" customWidth="1"/>
    <col min="12546" max="12546" width="3.5703125" style="16" customWidth="1"/>
    <col min="12547" max="12791" width="9.140625" style="16"/>
    <col min="12792" max="12792" width="8.7109375" style="16" customWidth="1"/>
    <col min="12793" max="12793" width="9.85546875" style="16" customWidth="1"/>
    <col min="12794" max="12794" width="14.42578125" style="16" customWidth="1"/>
    <col min="12795" max="12795" width="7.28515625" style="16" customWidth="1"/>
    <col min="12796" max="12796" width="5.5703125" style="16" customWidth="1"/>
    <col min="12797" max="12797" width="9" style="16" customWidth="1"/>
    <col min="12798" max="12799" width="9.85546875" style="16" customWidth="1"/>
    <col min="12800" max="12800" width="11.140625" style="16" customWidth="1"/>
    <col min="12801" max="12801" width="2.85546875" style="16" customWidth="1"/>
    <col min="12802" max="12802" width="3.5703125" style="16" customWidth="1"/>
    <col min="12803" max="13047" width="9.140625" style="16"/>
    <col min="13048" max="13048" width="8.7109375" style="16" customWidth="1"/>
    <col min="13049" max="13049" width="9.85546875" style="16" customWidth="1"/>
    <col min="13050" max="13050" width="14.42578125" style="16" customWidth="1"/>
    <col min="13051" max="13051" width="7.28515625" style="16" customWidth="1"/>
    <col min="13052" max="13052" width="5.5703125" style="16" customWidth="1"/>
    <col min="13053" max="13053" width="9" style="16" customWidth="1"/>
    <col min="13054" max="13055" width="9.85546875" style="16" customWidth="1"/>
    <col min="13056" max="13056" width="11.140625" style="16" customWidth="1"/>
    <col min="13057" max="13057" width="2.85546875" style="16" customWidth="1"/>
    <col min="13058" max="13058" width="3.5703125" style="16" customWidth="1"/>
    <col min="13059" max="13303" width="9.140625" style="16"/>
    <col min="13304" max="13304" width="8.7109375" style="16" customWidth="1"/>
    <col min="13305" max="13305" width="9.85546875" style="16" customWidth="1"/>
    <col min="13306" max="13306" width="14.42578125" style="16" customWidth="1"/>
    <col min="13307" max="13307" width="7.28515625" style="16" customWidth="1"/>
    <col min="13308" max="13308" width="5.5703125" style="16" customWidth="1"/>
    <col min="13309" max="13309" width="9" style="16" customWidth="1"/>
    <col min="13310" max="13311" width="9.85546875" style="16" customWidth="1"/>
    <col min="13312" max="13312" width="11.140625" style="16" customWidth="1"/>
    <col min="13313" max="13313" width="2.85546875" style="16" customWidth="1"/>
    <col min="13314" max="13314" width="3.5703125" style="16" customWidth="1"/>
    <col min="13315" max="13559" width="9.140625" style="16"/>
    <col min="13560" max="13560" width="8.7109375" style="16" customWidth="1"/>
    <col min="13561" max="13561" width="9.85546875" style="16" customWidth="1"/>
    <col min="13562" max="13562" width="14.42578125" style="16" customWidth="1"/>
    <col min="13563" max="13563" width="7.28515625" style="16" customWidth="1"/>
    <col min="13564" max="13564" width="5.5703125" style="16" customWidth="1"/>
    <col min="13565" max="13565" width="9" style="16" customWidth="1"/>
    <col min="13566" max="13567" width="9.85546875" style="16" customWidth="1"/>
    <col min="13568" max="13568" width="11.140625" style="16" customWidth="1"/>
    <col min="13569" max="13569" width="2.85546875" style="16" customWidth="1"/>
    <col min="13570" max="13570" width="3.5703125" style="16" customWidth="1"/>
    <col min="13571" max="13815" width="9.140625" style="16"/>
    <col min="13816" max="13816" width="8.7109375" style="16" customWidth="1"/>
    <col min="13817" max="13817" width="9.85546875" style="16" customWidth="1"/>
    <col min="13818" max="13818" width="14.42578125" style="16" customWidth="1"/>
    <col min="13819" max="13819" width="7.28515625" style="16" customWidth="1"/>
    <col min="13820" max="13820" width="5.5703125" style="16" customWidth="1"/>
    <col min="13821" max="13821" width="9" style="16" customWidth="1"/>
    <col min="13822" max="13823" width="9.85546875" style="16" customWidth="1"/>
    <col min="13824" max="13824" width="11.140625" style="16" customWidth="1"/>
    <col min="13825" max="13825" width="2.85546875" style="16" customWidth="1"/>
    <col min="13826" max="13826" width="3.5703125" style="16" customWidth="1"/>
    <col min="13827" max="14071" width="9.140625" style="16"/>
    <col min="14072" max="14072" width="8.7109375" style="16" customWidth="1"/>
    <col min="14073" max="14073" width="9.85546875" style="16" customWidth="1"/>
    <col min="14074" max="14074" width="14.42578125" style="16" customWidth="1"/>
    <col min="14075" max="14075" width="7.28515625" style="16" customWidth="1"/>
    <col min="14076" max="14076" width="5.5703125" style="16" customWidth="1"/>
    <col min="14077" max="14077" width="9" style="16" customWidth="1"/>
    <col min="14078" max="14079" width="9.85546875" style="16" customWidth="1"/>
    <col min="14080" max="14080" width="11.140625" style="16" customWidth="1"/>
    <col min="14081" max="14081" width="2.85546875" style="16" customWidth="1"/>
    <col min="14082" max="14082" width="3.5703125" style="16" customWidth="1"/>
    <col min="14083" max="14327" width="9.140625" style="16"/>
    <col min="14328" max="14328" width="8.7109375" style="16" customWidth="1"/>
    <col min="14329" max="14329" width="9.85546875" style="16" customWidth="1"/>
    <col min="14330" max="14330" width="14.42578125" style="16" customWidth="1"/>
    <col min="14331" max="14331" width="7.28515625" style="16" customWidth="1"/>
    <col min="14332" max="14332" width="5.5703125" style="16" customWidth="1"/>
    <col min="14333" max="14333" width="9" style="16" customWidth="1"/>
    <col min="14334" max="14335" width="9.85546875" style="16" customWidth="1"/>
    <col min="14336" max="14336" width="11.140625" style="16" customWidth="1"/>
    <col min="14337" max="14337" width="2.85546875" style="16" customWidth="1"/>
    <col min="14338" max="14338" width="3.5703125" style="16" customWidth="1"/>
    <col min="14339" max="14583" width="9.140625" style="16"/>
    <col min="14584" max="14584" width="8.7109375" style="16" customWidth="1"/>
    <col min="14585" max="14585" width="9.85546875" style="16" customWidth="1"/>
    <col min="14586" max="14586" width="14.42578125" style="16" customWidth="1"/>
    <col min="14587" max="14587" width="7.28515625" style="16" customWidth="1"/>
    <col min="14588" max="14588" width="5.5703125" style="16" customWidth="1"/>
    <col min="14589" max="14589" width="9" style="16" customWidth="1"/>
    <col min="14590" max="14591" width="9.85546875" style="16" customWidth="1"/>
    <col min="14592" max="14592" width="11.140625" style="16" customWidth="1"/>
    <col min="14593" max="14593" width="2.85546875" style="16" customWidth="1"/>
    <col min="14594" max="14594" width="3.5703125" style="16" customWidth="1"/>
    <col min="14595" max="14839" width="9.140625" style="16"/>
    <col min="14840" max="14840" width="8.7109375" style="16" customWidth="1"/>
    <col min="14841" max="14841" width="9.85546875" style="16" customWidth="1"/>
    <col min="14842" max="14842" width="14.42578125" style="16" customWidth="1"/>
    <col min="14843" max="14843" width="7.28515625" style="16" customWidth="1"/>
    <col min="14844" max="14844" width="5.5703125" style="16" customWidth="1"/>
    <col min="14845" max="14845" width="9" style="16" customWidth="1"/>
    <col min="14846" max="14847" width="9.85546875" style="16" customWidth="1"/>
    <col min="14848" max="14848" width="11.140625" style="16" customWidth="1"/>
    <col min="14849" max="14849" width="2.85546875" style="16" customWidth="1"/>
    <col min="14850" max="14850" width="3.5703125" style="16" customWidth="1"/>
    <col min="14851" max="15095" width="9.140625" style="16"/>
    <col min="15096" max="15096" width="8.7109375" style="16" customWidth="1"/>
    <col min="15097" max="15097" width="9.85546875" style="16" customWidth="1"/>
    <col min="15098" max="15098" width="14.42578125" style="16" customWidth="1"/>
    <col min="15099" max="15099" width="7.28515625" style="16" customWidth="1"/>
    <col min="15100" max="15100" width="5.5703125" style="16" customWidth="1"/>
    <col min="15101" max="15101" width="9" style="16" customWidth="1"/>
    <col min="15102" max="15103" width="9.85546875" style="16" customWidth="1"/>
    <col min="15104" max="15104" width="11.140625" style="16" customWidth="1"/>
    <col min="15105" max="15105" width="2.85546875" style="16" customWidth="1"/>
    <col min="15106" max="15106" width="3.5703125" style="16" customWidth="1"/>
    <col min="15107" max="15351" width="9.140625" style="16"/>
    <col min="15352" max="15352" width="8.7109375" style="16" customWidth="1"/>
    <col min="15353" max="15353" width="9.85546875" style="16" customWidth="1"/>
    <col min="15354" max="15354" width="14.42578125" style="16" customWidth="1"/>
    <col min="15355" max="15355" width="7.28515625" style="16" customWidth="1"/>
    <col min="15356" max="15356" width="5.5703125" style="16" customWidth="1"/>
    <col min="15357" max="15357" width="9" style="16" customWidth="1"/>
    <col min="15358" max="15359" width="9.85546875" style="16" customWidth="1"/>
    <col min="15360" max="15360" width="11.140625" style="16" customWidth="1"/>
    <col min="15361" max="15361" width="2.85546875" style="16" customWidth="1"/>
    <col min="15362" max="15362" width="3.5703125" style="16" customWidth="1"/>
    <col min="15363" max="15607" width="9.140625" style="16"/>
    <col min="15608" max="15608" width="8.7109375" style="16" customWidth="1"/>
    <col min="15609" max="15609" width="9.85546875" style="16" customWidth="1"/>
    <col min="15610" max="15610" width="14.42578125" style="16" customWidth="1"/>
    <col min="15611" max="15611" width="7.28515625" style="16" customWidth="1"/>
    <col min="15612" max="15612" width="5.5703125" style="16" customWidth="1"/>
    <col min="15613" max="15613" width="9" style="16" customWidth="1"/>
    <col min="15614" max="15615" width="9.85546875" style="16" customWidth="1"/>
    <col min="15616" max="15616" width="11.140625" style="16" customWidth="1"/>
    <col min="15617" max="15617" width="2.85546875" style="16" customWidth="1"/>
    <col min="15618" max="15618" width="3.5703125" style="16" customWidth="1"/>
    <col min="15619" max="15863" width="9.140625" style="16"/>
    <col min="15864" max="15864" width="8.7109375" style="16" customWidth="1"/>
    <col min="15865" max="15865" width="9.85546875" style="16" customWidth="1"/>
    <col min="15866" max="15866" width="14.42578125" style="16" customWidth="1"/>
    <col min="15867" max="15867" width="7.28515625" style="16" customWidth="1"/>
    <col min="15868" max="15868" width="5.5703125" style="16" customWidth="1"/>
    <col min="15869" max="15869" width="9" style="16" customWidth="1"/>
    <col min="15870" max="15871" width="9.85546875" style="16" customWidth="1"/>
    <col min="15872" max="15872" width="11.140625" style="16" customWidth="1"/>
    <col min="15873" max="15873" width="2.85546875" style="16" customWidth="1"/>
    <col min="15874" max="15874" width="3.5703125" style="16" customWidth="1"/>
    <col min="15875" max="16119" width="9.140625" style="16"/>
    <col min="16120" max="16120" width="8.7109375" style="16" customWidth="1"/>
    <col min="16121" max="16121" width="9.85546875" style="16" customWidth="1"/>
    <col min="16122" max="16122" width="14.42578125" style="16" customWidth="1"/>
    <col min="16123" max="16123" width="7.28515625" style="16" customWidth="1"/>
    <col min="16124" max="16124" width="5.5703125" style="16" customWidth="1"/>
    <col min="16125" max="16125" width="9" style="16" customWidth="1"/>
    <col min="16126" max="16127" width="9.85546875" style="16" customWidth="1"/>
    <col min="16128" max="16128" width="11.140625" style="16" customWidth="1"/>
    <col min="16129" max="16129" width="2.85546875" style="16" customWidth="1"/>
    <col min="16130" max="16130" width="3.5703125" style="16" customWidth="1"/>
    <col min="16131" max="16384" width="9.140625" style="16"/>
  </cols>
  <sheetData>
    <row r="1" spans="1:14" ht="55.15" customHeight="1" x14ac:dyDescent="0.25">
      <c r="A1" s="176" t="s">
        <v>265</v>
      </c>
      <c r="B1" s="176"/>
      <c r="C1" s="176"/>
      <c r="D1" s="176"/>
      <c r="E1" s="176"/>
      <c r="F1" s="176"/>
      <c r="G1" s="176"/>
      <c r="H1" s="176"/>
    </row>
    <row r="2" spans="1:14" ht="16.5" customHeight="1" x14ac:dyDescent="0.25">
      <c r="A2" s="177" t="s">
        <v>0</v>
      </c>
      <c r="B2" s="177"/>
      <c r="C2" s="177"/>
      <c r="D2" s="177"/>
      <c r="E2" s="177"/>
      <c r="F2" s="177"/>
      <c r="G2" s="177"/>
      <c r="H2" s="177"/>
      <c r="I2" s="69"/>
      <c r="J2" s="17"/>
      <c r="K2" s="17"/>
      <c r="L2" s="17"/>
      <c r="M2" s="17"/>
    </row>
    <row r="3" spans="1:14" x14ac:dyDescent="0.25">
      <c r="A3" s="155" t="s">
        <v>1</v>
      </c>
      <c r="B3" s="155"/>
      <c r="C3" s="155"/>
      <c r="D3" s="155"/>
      <c r="E3" s="155" t="str">
        <f ca="1">TEXT(TODAY(),"DD/MM/YYYY")</f>
        <v>13/09/2025</v>
      </c>
      <c r="F3" s="155"/>
      <c r="G3" s="155"/>
      <c r="H3" s="155"/>
    </row>
    <row r="4" spans="1:14" ht="15" customHeight="1" x14ac:dyDescent="0.25">
      <c r="A4" s="155" t="s">
        <v>2</v>
      </c>
      <c r="B4" s="155"/>
      <c r="C4" s="155"/>
      <c r="D4" s="155"/>
      <c r="E4" s="155" t="s">
        <v>168</v>
      </c>
      <c r="F4" s="155"/>
      <c r="G4" s="155"/>
      <c r="H4" s="155"/>
      <c r="I4" s="17"/>
    </row>
    <row r="5" spans="1:14" x14ac:dyDescent="0.25">
      <c r="A5" s="155" t="s">
        <v>3</v>
      </c>
      <c r="B5" s="155"/>
      <c r="C5" s="155"/>
      <c r="D5" s="155"/>
      <c r="E5" s="178">
        <v>45912</v>
      </c>
      <c r="F5" s="155"/>
      <c r="G5" s="155"/>
      <c r="H5" s="155"/>
    </row>
    <row r="6" spans="1:14" ht="16.5" customHeight="1" x14ac:dyDescent="0.25">
      <c r="A6" s="155" t="s">
        <v>4</v>
      </c>
      <c r="B6" s="155"/>
      <c r="C6" s="155"/>
      <c r="D6" s="155"/>
      <c r="E6" s="155" t="s">
        <v>176</v>
      </c>
      <c r="F6" s="155"/>
      <c r="G6" s="155"/>
      <c r="H6" s="155"/>
    </row>
    <row r="7" spans="1:14" ht="15" customHeight="1" x14ac:dyDescent="0.25">
      <c r="A7" s="155" t="s">
        <v>5</v>
      </c>
      <c r="B7" s="155"/>
      <c r="C7" s="155"/>
      <c r="D7" s="155"/>
      <c r="E7" s="155" t="str">
        <f>E6</f>
        <v>Ascent Infraspace Private Limited</v>
      </c>
      <c r="F7" s="155"/>
      <c r="G7" s="155"/>
      <c r="H7" s="155"/>
    </row>
    <row r="8" spans="1:14" x14ac:dyDescent="0.25">
      <c r="A8" s="155" t="s">
        <v>6</v>
      </c>
      <c r="B8" s="155"/>
      <c r="C8" s="155"/>
      <c r="D8" s="155"/>
      <c r="E8" s="130" t="s">
        <v>177</v>
      </c>
      <c r="F8" s="130"/>
      <c r="G8" s="130"/>
      <c r="H8" s="130"/>
    </row>
    <row r="9" spans="1:14" x14ac:dyDescent="0.25">
      <c r="A9" s="155" t="s">
        <v>166</v>
      </c>
      <c r="B9" s="155"/>
      <c r="C9" s="155"/>
      <c r="D9" s="155"/>
      <c r="E9" s="155" t="s">
        <v>178</v>
      </c>
      <c r="F9" s="155"/>
      <c r="G9" s="155"/>
      <c r="H9" s="155"/>
    </row>
    <row r="10" spans="1:14" x14ac:dyDescent="0.25">
      <c r="A10" s="155" t="s">
        <v>167</v>
      </c>
      <c r="B10" s="155"/>
      <c r="C10" s="155"/>
      <c r="D10" s="155"/>
      <c r="E10" s="155" t="s">
        <v>276</v>
      </c>
      <c r="F10" s="155"/>
      <c r="G10" s="155"/>
      <c r="H10" s="155"/>
      <c r="I10" s="155" t="s">
        <v>244</v>
      </c>
      <c r="J10" s="155"/>
      <c r="K10" s="155"/>
      <c r="L10" s="155"/>
    </row>
    <row r="11" spans="1:14" x14ac:dyDescent="0.25">
      <c r="A11" s="155" t="s">
        <v>7</v>
      </c>
      <c r="B11" s="155"/>
      <c r="C11" s="155"/>
      <c r="D11" s="155"/>
      <c r="E11" s="155" t="s">
        <v>245</v>
      </c>
      <c r="F11" s="155"/>
      <c r="G11" s="155"/>
      <c r="H11" s="155"/>
    </row>
    <row r="12" spans="1:14" x14ac:dyDescent="0.25">
      <c r="A12" s="155" t="s">
        <v>169</v>
      </c>
      <c r="B12" s="155"/>
      <c r="C12" s="155"/>
      <c r="D12" s="155"/>
      <c r="E12" s="155" t="s">
        <v>184</v>
      </c>
      <c r="F12" s="155"/>
      <c r="G12" s="155"/>
      <c r="H12" s="155"/>
    </row>
    <row r="13" spans="1:14" x14ac:dyDescent="0.25">
      <c r="A13" s="86" t="s">
        <v>8</v>
      </c>
      <c r="B13" s="86"/>
      <c r="C13" s="86"/>
      <c r="D13" s="86"/>
      <c r="E13" s="88" t="s">
        <v>239</v>
      </c>
      <c r="F13" s="88"/>
      <c r="G13" s="88"/>
      <c r="H13" s="88"/>
      <c r="I13" s="48"/>
      <c r="J13" s="49"/>
      <c r="K13" s="49"/>
      <c r="L13" s="49"/>
      <c r="M13" s="49"/>
      <c r="N13" s="49"/>
    </row>
    <row r="14" spans="1:14" x14ac:dyDescent="0.25">
      <c r="A14" s="86" t="s">
        <v>9</v>
      </c>
      <c r="B14" s="86"/>
      <c r="C14" s="86"/>
      <c r="D14" s="86"/>
      <c r="E14" s="88" t="s">
        <v>179</v>
      </c>
      <c r="F14" s="155"/>
      <c r="G14" s="155"/>
      <c r="H14" s="155"/>
    </row>
    <row r="15" spans="1:14" ht="48.75" customHeight="1" x14ac:dyDescent="0.25">
      <c r="A15" s="159" t="s">
        <v>10</v>
      </c>
      <c r="B15" s="159"/>
      <c r="C15" s="15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Crescent Nexus Ascent, CTS No.5608A(pt.), 6853, 6853/1 to 2, 6852, 6852/1 to 2 &amp; others, Redevlopement of "Jasmin CHS &amp; Souparnika CHS", near Sumit Artista, Kolivery Road, Kalina, Kole Kalyan, Santacruz East, Andheri, Mumbai - 400098.</v>
      </c>
      <c r="D15" s="159"/>
      <c r="E15" s="159"/>
      <c r="F15" s="159"/>
      <c r="G15" s="159"/>
      <c r="H15" s="159"/>
    </row>
    <row r="16" spans="1:14" x14ac:dyDescent="0.25">
      <c r="A16" s="88" t="s">
        <v>174</v>
      </c>
      <c r="B16" s="88"/>
      <c r="C16" s="88" t="s">
        <v>240</v>
      </c>
      <c r="D16" s="88"/>
      <c r="E16" s="88"/>
      <c r="F16" s="88"/>
      <c r="G16" s="88"/>
      <c r="H16" s="88"/>
    </row>
    <row r="17" spans="1:13" ht="15.75" customHeight="1" x14ac:dyDescent="0.25">
      <c r="A17" s="88" t="s">
        <v>162</v>
      </c>
      <c r="B17" s="88"/>
      <c r="C17" s="88" t="s">
        <v>192</v>
      </c>
      <c r="D17" s="88"/>
      <c r="E17" s="88"/>
      <c r="F17" s="88"/>
      <c r="G17" s="88"/>
      <c r="H17" s="88"/>
      <c r="I17" s="17"/>
    </row>
    <row r="18" spans="1:13" ht="15.75" customHeight="1" x14ac:dyDescent="0.25">
      <c r="A18" s="159" t="s">
        <v>11</v>
      </c>
      <c r="B18" s="159"/>
      <c r="C18" s="155" t="s">
        <v>189</v>
      </c>
      <c r="D18" s="155"/>
      <c r="E18" s="159" t="s">
        <v>72</v>
      </c>
      <c r="F18" s="159"/>
      <c r="G18" s="88" t="s">
        <v>256</v>
      </c>
      <c r="H18" s="88"/>
      <c r="I18" s="17"/>
      <c r="J18" s="17"/>
      <c r="K18" s="17"/>
      <c r="L18" s="17"/>
      <c r="M18" s="17"/>
    </row>
    <row r="19" spans="1:13" x14ac:dyDescent="0.25">
      <c r="A19" s="86" t="s">
        <v>13</v>
      </c>
      <c r="B19" s="86"/>
      <c r="C19" s="88" t="s">
        <v>251</v>
      </c>
      <c r="D19" s="88"/>
      <c r="E19" s="159" t="s">
        <v>12</v>
      </c>
      <c r="F19" s="159"/>
      <c r="G19" s="174" t="s">
        <v>170</v>
      </c>
      <c r="H19" s="174"/>
    </row>
    <row r="20" spans="1:13" x14ac:dyDescent="0.25">
      <c r="A20" s="86" t="s">
        <v>73</v>
      </c>
      <c r="B20" s="86"/>
      <c r="C20" s="88" t="s">
        <v>252</v>
      </c>
      <c r="D20" s="88"/>
      <c r="E20" s="159" t="s">
        <v>14</v>
      </c>
      <c r="F20" s="159"/>
      <c r="G20" s="88">
        <v>400098</v>
      </c>
      <c r="H20" s="88"/>
    </row>
    <row r="21" spans="1:13" x14ac:dyDescent="0.25">
      <c r="A21" s="86" t="s">
        <v>121</v>
      </c>
      <c r="B21" s="86"/>
      <c r="C21" s="88" t="s">
        <v>190</v>
      </c>
      <c r="D21" s="88"/>
      <c r="E21" s="159" t="s">
        <v>15</v>
      </c>
      <c r="F21" s="159"/>
      <c r="G21" s="175" t="s">
        <v>195</v>
      </c>
      <c r="H21" s="175"/>
      <c r="I21" s="17"/>
    </row>
    <row r="22" spans="1:13" ht="15" customHeight="1" x14ac:dyDescent="0.25">
      <c r="A22" s="159" t="s">
        <v>75</v>
      </c>
      <c r="B22" s="159"/>
      <c r="C22" s="159"/>
      <c r="D22" s="159"/>
      <c r="E22" s="155" t="s">
        <v>16</v>
      </c>
      <c r="F22" s="155"/>
      <c r="G22" s="155"/>
      <c r="H22" s="155"/>
    </row>
    <row r="23" spans="1:13" ht="18.75" customHeight="1" x14ac:dyDescent="0.25">
      <c r="A23" s="159"/>
      <c r="B23" s="159"/>
      <c r="C23" s="159"/>
      <c r="D23" s="159"/>
      <c r="E23" s="155"/>
      <c r="F23" s="155"/>
      <c r="G23" s="155"/>
      <c r="H23" s="155"/>
    </row>
    <row r="24" spans="1:13" ht="15" customHeight="1" x14ac:dyDescent="0.25">
      <c r="A24" s="159" t="s">
        <v>17</v>
      </c>
      <c r="B24" s="159"/>
      <c r="C24" s="159"/>
      <c r="D24" s="159"/>
      <c r="E24" s="88" t="s">
        <v>18</v>
      </c>
      <c r="F24" s="88"/>
      <c r="G24" s="88"/>
      <c r="H24" s="88"/>
    </row>
    <row r="25" spans="1:13" ht="15" customHeight="1" x14ac:dyDescent="0.25">
      <c r="A25" s="86" t="s">
        <v>19</v>
      </c>
      <c r="B25" s="86"/>
      <c r="C25" s="86"/>
      <c r="D25" s="86"/>
      <c r="E25" s="88" t="str">
        <f>IF(AND(G19="Mumbai"),"Upper Class","Middle Class")</f>
        <v>Upper Class</v>
      </c>
      <c r="F25" s="88"/>
      <c r="G25" s="88"/>
      <c r="H25" s="88"/>
    </row>
    <row r="26" spans="1:13" x14ac:dyDescent="0.25">
      <c r="A26" s="86" t="s">
        <v>20</v>
      </c>
      <c r="B26" s="86"/>
      <c r="C26" s="86"/>
      <c r="D26" s="86"/>
      <c r="E26" s="88" t="s">
        <v>21</v>
      </c>
      <c r="F26" s="88"/>
      <c r="G26" s="88"/>
      <c r="H26" s="88"/>
    </row>
    <row r="27" spans="1:13" ht="15.75" customHeight="1" x14ac:dyDescent="0.25">
      <c r="A27" s="86" t="s">
        <v>22</v>
      </c>
      <c r="B27" s="86"/>
      <c r="C27" s="86"/>
      <c r="D27" s="86"/>
      <c r="E27" s="88" t="str">
        <f>IF(AND(G19="Mumbai"),"Developed","Developing")</f>
        <v>Developed</v>
      </c>
      <c r="F27" s="88"/>
      <c r="G27" s="88"/>
      <c r="H27" s="88"/>
    </row>
    <row r="28" spans="1:13" x14ac:dyDescent="0.25">
      <c r="A28" s="86" t="s">
        <v>23</v>
      </c>
      <c r="B28" s="86"/>
      <c r="C28" s="86"/>
      <c r="D28" s="86"/>
      <c r="E28" s="88" t="s">
        <v>24</v>
      </c>
      <c r="F28" s="88"/>
      <c r="G28" s="88"/>
      <c r="H28" s="88"/>
    </row>
    <row r="29" spans="1:13" ht="15.75" customHeight="1" x14ac:dyDescent="0.25">
      <c r="A29" s="86" t="s">
        <v>80</v>
      </c>
      <c r="B29" s="86"/>
      <c r="C29" s="86"/>
      <c r="D29" s="86"/>
      <c r="E29" s="88" t="s">
        <v>81</v>
      </c>
      <c r="F29" s="88"/>
      <c r="G29" s="88"/>
      <c r="H29" s="88"/>
    </row>
    <row r="30" spans="1:13" ht="15" customHeight="1" x14ac:dyDescent="0.25">
      <c r="A30" s="86" t="s">
        <v>32</v>
      </c>
      <c r="B30" s="86"/>
      <c r="C30" s="86"/>
      <c r="D30" s="86"/>
      <c r="E30" s="88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0" s="88"/>
      <c r="G30" s="88"/>
      <c r="H30" s="88"/>
    </row>
    <row r="31" spans="1:13" ht="15.75" customHeight="1" x14ac:dyDescent="0.25">
      <c r="A31" s="86" t="s">
        <v>92</v>
      </c>
      <c r="B31" s="86"/>
      <c r="C31" s="86"/>
      <c r="D31" s="86"/>
      <c r="E31" s="88" t="s">
        <v>33</v>
      </c>
      <c r="F31" s="88"/>
      <c r="G31" s="88"/>
      <c r="H31" s="88"/>
    </row>
    <row r="32" spans="1:13" s="17" customFormat="1" x14ac:dyDescent="0.25">
      <c r="A32" s="173" t="s">
        <v>93</v>
      </c>
      <c r="B32" s="173"/>
      <c r="C32" s="170" t="s">
        <v>171</v>
      </c>
      <c r="D32" s="171"/>
      <c r="E32" s="172"/>
      <c r="F32" s="170" t="s">
        <v>30</v>
      </c>
      <c r="G32" s="171"/>
      <c r="H32" s="172"/>
    </row>
    <row r="33" spans="1:14" s="17" customFormat="1" x14ac:dyDescent="0.25">
      <c r="A33" s="149" t="s">
        <v>25</v>
      </c>
      <c r="B33" s="149" t="s">
        <v>29</v>
      </c>
      <c r="C33" s="150" t="s">
        <v>253</v>
      </c>
      <c r="D33" s="151"/>
      <c r="E33" s="152"/>
      <c r="F33" s="150" t="s">
        <v>191</v>
      </c>
      <c r="G33" s="151"/>
      <c r="H33" s="152"/>
      <c r="J33" s="75" t="s">
        <v>186</v>
      </c>
      <c r="K33" s="75"/>
      <c r="L33" s="75"/>
    </row>
    <row r="34" spans="1:14" x14ac:dyDescent="0.25">
      <c r="A34" s="149" t="s">
        <v>26</v>
      </c>
      <c r="B34" s="149" t="s">
        <v>29</v>
      </c>
      <c r="C34" s="150" t="s">
        <v>249</v>
      </c>
      <c r="D34" s="151"/>
      <c r="E34" s="152"/>
      <c r="F34" s="150" t="s">
        <v>189</v>
      </c>
      <c r="G34" s="151"/>
      <c r="H34" s="152"/>
    </row>
    <row r="35" spans="1:14" s="17" customFormat="1" x14ac:dyDescent="0.25">
      <c r="A35" s="149" t="s">
        <v>28</v>
      </c>
      <c r="B35" s="149" t="s">
        <v>29</v>
      </c>
      <c r="C35" s="150" t="s">
        <v>248</v>
      </c>
      <c r="D35" s="151"/>
      <c r="E35" s="152"/>
      <c r="F35" s="150" t="s">
        <v>188</v>
      </c>
      <c r="G35" s="151"/>
      <c r="H35" s="152"/>
    </row>
    <row r="36" spans="1:14" x14ac:dyDescent="0.25">
      <c r="A36" s="149" t="s">
        <v>27</v>
      </c>
      <c r="B36" s="149" t="s">
        <v>29</v>
      </c>
      <c r="C36" s="150" t="s">
        <v>250</v>
      </c>
      <c r="D36" s="151"/>
      <c r="E36" s="152"/>
      <c r="F36" s="150" t="s">
        <v>190</v>
      </c>
      <c r="G36" s="151"/>
      <c r="H36" s="152"/>
      <c r="J36" s="75" t="s">
        <v>187</v>
      </c>
      <c r="K36" s="75"/>
      <c r="L36" s="75"/>
    </row>
    <row r="37" spans="1:14" x14ac:dyDescent="0.25">
      <c r="A37" s="86" t="s">
        <v>31</v>
      </c>
      <c r="B37" s="86"/>
      <c r="C37" s="86"/>
      <c r="D37" s="86"/>
      <c r="E37" s="86"/>
      <c r="F37" s="86"/>
      <c r="G37" s="86"/>
      <c r="H37" s="86"/>
    </row>
    <row r="38" spans="1:14" ht="15.75" customHeight="1" x14ac:dyDescent="0.25">
      <c r="A38" s="86" t="s">
        <v>164</v>
      </c>
      <c r="B38" s="86"/>
      <c r="C38" s="140" t="s">
        <v>193</v>
      </c>
      <c r="D38" s="140"/>
      <c r="E38" s="140"/>
      <c r="F38" s="140"/>
      <c r="G38" s="140"/>
      <c r="H38" s="140"/>
    </row>
    <row r="39" spans="1:14" x14ac:dyDescent="0.25">
      <c r="A39" s="86" t="s">
        <v>161</v>
      </c>
      <c r="B39" s="86"/>
      <c r="C39" s="87" t="s">
        <v>194</v>
      </c>
      <c r="D39" s="88"/>
      <c r="E39" s="88"/>
      <c r="F39" s="88"/>
      <c r="G39" s="88"/>
      <c r="H39" s="88"/>
    </row>
    <row r="40" spans="1:14" x14ac:dyDescent="0.25">
      <c r="A40" s="140" t="s">
        <v>34</v>
      </c>
      <c r="B40" s="140"/>
      <c r="C40" s="140"/>
      <c r="D40" s="140"/>
      <c r="E40" s="140"/>
      <c r="F40" s="140"/>
      <c r="G40" s="140"/>
      <c r="H40" s="140"/>
    </row>
    <row r="41" spans="1:14" x14ac:dyDescent="0.25">
      <c r="A41" s="86" t="s">
        <v>35</v>
      </c>
      <c r="B41" s="86"/>
      <c r="C41" s="86"/>
      <c r="D41" s="86"/>
      <c r="E41" s="153">
        <v>5323.84</v>
      </c>
      <c r="F41" s="153"/>
      <c r="G41" s="153"/>
      <c r="H41" s="153"/>
    </row>
    <row r="42" spans="1:14" x14ac:dyDescent="0.25">
      <c r="A42" s="86" t="s">
        <v>36</v>
      </c>
      <c r="B42" s="86"/>
      <c r="C42" s="86"/>
      <c r="D42" s="86"/>
      <c r="E42" s="148">
        <v>3</v>
      </c>
      <c r="F42" s="148"/>
      <c r="G42" s="148"/>
      <c r="H42" s="148"/>
    </row>
    <row r="43" spans="1:14" x14ac:dyDescent="0.25">
      <c r="A43" s="86" t="s">
        <v>37</v>
      </c>
      <c r="B43" s="86"/>
      <c r="C43" s="86"/>
      <c r="D43" s="86"/>
      <c r="E43" s="148">
        <f>E45/E41-E42</f>
        <v>0.16363752479413352</v>
      </c>
      <c r="F43" s="148"/>
      <c r="G43" s="148"/>
      <c r="H43" s="148"/>
    </row>
    <row r="44" spans="1:14" x14ac:dyDescent="0.25">
      <c r="A44" s="86" t="s">
        <v>38</v>
      </c>
      <c r="B44" s="86"/>
      <c r="C44" s="86"/>
      <c r="D44" s="86"/>
      <c r="E44" s="148">
        <f>E42+E43</f>
        <v>3.1636375247941335</v>
      </c>
      <c r="F44" s="148"/>
      <c r="G44" s="148"/>
      <c r="H44" s="148"/>
    </row>
    <row r="45" spans="1:14" x14ac:dyDescent="0.25">
      <c r="A45" s="86" t="s">
        <v>91</v>
      </c>
      <c r="B45" s="86"/>
      <c r="C45" s="86"/>
      <c r="D45" s="86"/>
      <c r="E45" s="166">
        <v>16842.7</v>
      </c>
      <c r="F45" s="166"/>
      <c r="G45" s="166"/>
      <c r="H45" s="166"/>
      <c r="I45" s="50">
        <v>8439.7199999999993</v>
      </c>
      <c r="J45" s="216" t="s">
        <v>185</v>
      </c>
      <c r="K45" s="216"/>
      <c r="L45" s="216"/>
      <c r="M45" s="216"/>
      <c r="N45" s="216"/>
    </row>
    <row r="46" spans="1:14" x14ac:dyDescent="0.25">
      <c r="A46" s="155" t="s">
        <v>39</v>
      </c>
      <c r="B46" s="155"/>
      <c r="C46" s="155"/>
      <c r="D46" s="155"/>
      <c r="E46" s="155" t="s">
        <v>247</v>
      </c>
      <c r="F46" s="155"/>
      <c r="G46" s="155"/>
      <c r="H46" s="155"/>
      <c r="I46" s="17"/>
    </row>
    <row r="47" spans="1:14" x14ac:dyDescent="0.25">
      <c r="A47" s="140" t="s">
        <v>40</v>
      </c>
      <c r="B47" s="140"/>
      <c r="C47" s="140"/>
      <c r="D47" s="140"/>
      <c r="E47" s="140"/>
      <c r="F47" s="140"/>
      <c r="G47" s="140"/>
      <c r="H47" s="140"/>
    </row>
    <row r="48" spans="1:14" ht="33.75" customHeight="1" x14ac:dyDescent="0.25">
      <c r="A48" s="156" t="s">
        <v>150</v>
      </c>
      <c r="B48" s="158"/>
      <c r="C48" s="167" t="s">
        <v>180</v>
      </c>
      <c r="D48" s="168"/>
      <c r="E48" s="168"/>
      <c r="F48" s="168"/>
      <c r="G48" s="168"/>
      <c r="H48" s="169"/>
    </row>
    <row r="49" spans="1:14" ht="15.75" customHeight="1" x14ac:dyDescent="0.25">
      <c r="A49" s="156" t="s">
        <v>41</v>
      </c>
      <c r="B49" s="158"/>
      <c r="C49" s="156" t="s">
        <v>181</v>
      </c>
      <c r="D49" s="157"/>
      <c r="E49" s="158"/>
      <c r="F49" s="59" t="s">
        <v>42</v>
      </c>
      <c r="G49" s="146">
        <v>45118</v>
      </c>
      <c r="H49" s="147"/>
    </row>
    <row r="50" spans="1:14" x14ac:dyDescent="0.25">
      <c r="A50" s="156" t="s">
        <v>43</v>
      </c>
      <c r="B50" s="158"/>
      <c r="C50" s="156" t="str">
        <f>C49</f>
        <v>SRA/ENG/2622/HE/PL&amp;MHL/AP</v>
      </c>
      <c r="D50" s="157"/>
      <c r="E50" s="158"/>
      <c r="F50" s="59" t="s">
        <v>42</v>
      </c>
      <c r="G50" s="146">
        <f>G49</f>
        <v>45118</v>
      </c>
      <c r="H50" s="147"/>
    </row>
    <row r="51" spans="1:14" s="18" customFormat="1" ht="15.75" customHeight="1" x14ac:dyDescent="0.25">
      <c r="A51" s="159" t="s">
        <v>175</v>
      </c>
      <c r="B51" s="159"/>
      <c r="C51" s="156" t="s">
        <v>181</v>
      </c>
      <c r="D51" s="157"/>
      <c r="E51" s="158"/>
      <c r="F51" s="59" t="s">
        <v>42</v>
      </c>
      <c r="G51" s="146">
        <v>44596</v>
      </c>
      <c r="H51" s="147"/>
      <c r="I51" s="17"/>
    </row>
    <row r="52" spans="1:14" s="18" customFormat="1" ht="37.9" customHeight="1" x14ac:dyDescent="0.25">
      <c r="A52" s="159" t="s">
        <v>182</v>
      </c>
      <c r="B52" s="159"/>
      <c r="C52" s="156" t="s">
        <v>255</v>
      </c>
      <c r="D52" s="157"/>
      <c r="E52" s="157"/>
      <c r="F52" s="157"/>
      <c r="G52" s="157"/>
      <c r="H52" s="158"/>
    </row>
    <row r="53" spans="1:14" s="18" customFormat="1" ht="15.75" customHeight="1" x14ac:dyDescent="0.25">
      <c r="A53" s="159" t="s">
        <v>175</v>
      </c>
      <c r="B53" s="159"/>
      <c r="C53" s="156" t="s">
        <v>181</v>
      </c>
      <c r="D53" s="157"/>
      <c r="E53" s="158"/>
      <c r="F53" s="59" t="s">
        <v>42</v>
      </c>
      <c r="G53" s="146">
        <v>45118</v>
      </c>
      <c r="H53" s="147"/>
      <c r="I53" s="17"/>
    </row>
    <row r="54" spans="1:14" s="18" customFormat="1" ht="65.25" customHeight="1" x14ac:dyDescent="0.25">
      <c r="A54" s="159" t="s">
        <v>273</v>
      </c>
      <c r="B54" s="159"/>
      <c r="C54" s="156" t="s">
        <v>254</v>
      </c>
      <c r="D54" s="157"/>
      <c r="E54" s="157"/>
      <c r="F54" s="157"/>
      <c r="G54" s="157"/>
      <c r="H54" s="158"/>
    </row>
    <row r="55" spans="1:14" x14ac:dyDescent="0.25">
      <c r="A55" s="160" t="s">
        <v>44</v>
      </c>
      <c r="B55" s="161"/>
      <c r="C55" s="160" t="s">
        <v>103</v>
      </c>
      <c r="D55" s="162"/>
      <c r="E55" s="161"/>
      <c r="F55" s="39" t="s">
        <v>42</v>
      </c>
      <c r="G55" s="164" t="s">
        <v>29</v>
      </c>
      <c r="H55" s="165"/>
    </row>
    <row r="56" spans="1:14" x14ac:dyDescent="0.25">
      <c r="A56" s="163" t="s">
        <v>46</v>
      </c>
      <c r="B56" s="163"/>
      <c r="C56" s="163"/>
      <c r="D56" s="163"/>
      <c r="E56" s="163"/>
      <c r="F56" s="163"/>
      <c r="G56" s="163"/>
      <c r="H56" s="163"/>
    </row>
    <row r="57" spans="1:14" x14ac:dyDescent="0.25">
      <c r="A57" s="159" t="s">
        <v>90</v>
      </c>
      <c r="B57" s="159"/>
      <c r="C57" s="159"/>
      <c r="D57" s="86">
        <v>8439.7199999999993</v>
      </c>
      <c r="E57" s="86"/>
      <c r="F57" s="86"/>
      <c r="G57" s="86"/>
      <c r="H57" s="86"/>
      <c r="I57" s="17"/>
    </row>
    <row r="58" spans="1:14" x14ac:dyDescent="0.25">
      <c r="A58" s="88" t="s">
        <v>47</v>
      </c>
      <c r="B58" s="155"/>
      <c r="C58" s="155"/>
      <c r="D58" s="155" t="s">
        <v>260</v>
      </c>
      <c r="E58" s="155"/>
      <c r="F58" s="155"/>
      <c r="G58" s="155"/>
      <c r="H58" s="155"/>
      <c r="I58" s="19"/>
    </row>
    <row r="59" spans="1:14" ht="47.25" customHeight="1" x14ac:dyDescent="0.25">
      <c r="A59" s="143" t="s">
        <v>48</v>
      </c>
      <c r="B59" s="144"/>
      <c r="C59" s="145"/>
      <c r="D59" s="90" t="s">
        <v>243</v>
      </c>
      <c r="E59" s="142"/>
      <c r="F59" s="142"/>
      <c r="G59" s="142"/>
      <c r="H59" s="142"/>
      <c r="I59" s="226" t="s">
        <v>242</v>
      </c>
      <c r="J59" s="227"/>
      <c r="K59" s="227"/>
      <c r="L59" s="227"/>
    </row>
    <row r="60" spans="1:14" ht="15.75" customHeight="1" x14ac:dyDescent="0.25">
      <c r="A60" s="143" t="s">
        <v>88</v>
      </c>
      <c r="B60" s="144"/>
      <c r="C60" s="145"/>
      <c r="D60" s="155" t="s">
        <v>258</v>
      </c>
      <c r="E60" s="155"/>
      <c r="F60" s="155"/>
      <c r="G60" s="155"/>
      <c r="H60" s="155"/>
    </row>
    <row r="61" spans="1:14" ht="15.75" hidden="1" customHeight="1" x14ac:dyDescent="0.25">
      <c r="A61" s="228"/>
      <c r="B61" s="229"/>
      <c r="C61" s="230"/>
      <c r="D61" s="155" t="s">
        <v>241</v>
      </c>
      <c r="E61" s="155"/>
      <c r="F61" s="155"/>
      <c r="G61" s="155"/>
      <c r="H61" s="155"/>
    </row>
    <row r="62" spans="1:14" ht="15.75" customHeight="1" x14ac:dyDescent="0.25">
      <c r="A62" s="231"/>
      <c r="B62" s="232"/>
      <c r="C62" s="233"/>
      <c r="D62" s="155" t="s">
        <v>259</v>
      </c>
      <c r="E62" s="155"/>
      <c r="F62" s="155"/>
      <c r="G62" s="155"/>
      <c r="H62" s="155"/>
    </row>
    <row r="63" spans="1:14" ht="15.75" customHeight="1" x14ac:dyDescent="0.25">
      <c r="A63" s="86" t="s">
        <v>45</v>
      </c>
      <c r="B63" s="86"/>
      <c r="C63" s="86"/>
      <c r="D63" s="154" t="s">
        <v>183</v>
      </c>
      <c r="E63" s="154"/>
      <c r="F63" s="154"/>
      <c r="G63" s="154"/>
      <c r="H63" s="154"/>
      <c r="J63" s="20"/>
      <c r="K63" s="19"/>
      <c r="N63" s="19"/>
    </row>
    <row r="64" spans="1:14" ht="15.75" customHeight="1" x14ac:dyDescent="0.25">
      <c r="A64" s="86" t="s">
        <v>86</v>
      </c>
      <c r="B64" s="86"/>
      <c r="C64" s="86"/>
      <c r="D64" s="234" t="str">
        <f>(IF(G55="NA","60 Years After Completion",IF(G55&lt;&gt;"NA",""&amp;60-ROUNDDOWN((E3-G55)/360,0)&amp;" Years"," ")))</f>
        <v>60 Years After Completion</v>
      </c>
      <c r="E64" s="234"/>
      <c r="F64" s="234"/>
      <c r="G64" s="234"/>
      <c r="H64" s="234"/>
      <c r="N64" s="19"/>
    </row>
    <row r="65" spans="1:14" ht="15.75" customHeight="1" x14ac:dyDescent="0.25">
      <c r="A65" s="86" t="s">
        <v>87</v>
      </c>
      <c r="B65" s="86"/>
      <c r="C65" s="86"/>
      <c r="D65" s="159" t="s">
        <v>24</v>
      </c>
      <c r="E65" s="159"/>
      <c r="F65" s="159"/>
      <c r="G65" s="159"/>
      <c r="H65" s="159"/>
      <c r="J65" s="21"/>
      <c r="K65" s="21"/>
    </row>
    <row r="66" spans="1:14" x14ac:dyDescent="0.25">
      <c r="A66" s="86" t="s">
        <v>74</v>
      </c>
      <c r="B66" s="86"/>
      <c r="C66" s="86"/>
      <c r="D66" s="88" t="s">
        <v>196</v>
      </c>
      <c r="E66" s="159"/>
      <c r="F66" s="159"/>
      <c r="G66" s="159"/>
      <c r="H66" s="159"/>
      <c r="I66" s="17"/>
    </row>
    <row r="67" spans="1:14" x14ac:dyDescent="0.25">
      <c r="A67" s="159" t="s">
        <v>147</v>
      </c>
      <c r="B67" s="159"/>
      <c r="C67" s="159"/>
      <c r="D67" s="159" t="s">
        <v>29</v>
      </c>
      <c r="E67" s="159"/>
      <c r="F67" s="159"/>
      <c r="G67" s="159"/>
      <c r="H67" s="159"/>
      <c r="I67" s="22"/>
      <c r="J67" s="22"/>
      <c r="K67" s="22"/>
      <c r="L67" s="22"/>
      <c r="M67" s="22"/>
      <c r="N67" s="22"/>
    </row>
    <row r="68" spans="1:14" ht="15.75" customHeight="1" x14ac:dyDescent="0.25">
      <c r="A68" s="89" t="s">
        <v>85</v>
      </c>
      <c r="B68" s="89"/>
      <c r="C68" s="89"/>
      <c r="D68" s="90" t="str">
        <f ca="1">(IF(G74&gt;95%,"Nothing",IF(G74&gt;0%,"Cement, Aggregate, Steel, etc",IF(G74=0%,"Work not yet Started"))))</f>
        <v>Cement, Aggregate, Steel, etc</v>
      </c>
      <c r="E68" s="90"/>
      <c r="F68" s="90"/>
      <c r="G68" s="90"/>
      <c r="H68" s="90"/>
      <c r="J68" s="21"/>
    </row>
    <row r="69" spans="1:14" ht="33.75" customHeight="1" thickBot="1" x14ac:dyDescent="0.3">
      <c r="A69" s="123" t="s">
        <v>116</v>
      </c>
      <c r="B69" s="123"/>
      <c r="C69" s="123"/>
      <c r="D69" s="90" t="str">
        <f ca="1">(IF(D68="Nothing","Yes",IF(D68="Cement, Aggregate, Steel, etc","Under Construction",IF(D68="Work not yet Started","Work not yet Started"))))</f>
        <v>Under Construction</v>
      </c>
      <c r="E69" s="90"/>
      <c r="F69" s="90" t="str">
        <f ca="1">(IF(D68="Nothing","Yes",IF(D68="Cement, Aggregate, Steel, etc","Under Construction",IF(D68="Work not yet Started","Work not yet Started"))))</f>
        <v>Under Construction</v>
      </c>
      <c r="G69" s="90"/>
      <c r="H69" s="90"/>
    </row>
    <row r="70" spans="1:14" ht="15.75" customHeight="1" x14ac:dyDescent="0.25">
      <c r="A70" s="124" t="s">
        <v>139</v>
      </c>
      <c r="B70" s="125"/>
      <c r="C70" s="126" t="s">
        <v>266</v>
      </c>
      <c r="D70" s="127"/>
      <c r="E70" s="127"/>
      <c r="F70" s="127"/>
      <c r="G70" s="127"/>
      <c r="H70" s="128"/>
      <c r="I70" s="41" t="str">
        <f ca="1">IF(D83=100%,"All work Completed. Possession granted to the Building.",IF(D82=100%,"All work Completed, Waiting for OC",I71&amp;""&amp;I72&amp;""&amp;J71&amp;""&amp;J70&amp;" "&amp;J72))</f>
        <v>Excavation, Plinth, RCC Slab, Brickwork, Internal Plaster, External Plaster Completed, Flooring upto 12 Floor, Painting upto 9 Floor Completed</v>
      </c>
      <c r="J70" s="42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Flooring upto 12 Floor, Painting upto 9 Floor</v>
      </c>
    </row>
    <row r="71" spans="1:14" x14ac:dyDescent="0.25">
      <c r="A71" s="60" t="s">
        <v>141</v>
      </c>
      <c r="B71" s="61">
        <f>IF(AND(ISNUMBER(SEARCH("1B",C70))),1,IF(AND(ISNUMBER(SEARCH("2B",C70))),2,IF(AND(ISNUMBER(SEARCH("3B",C70))),3,IF(AND(ISNUMBER(SEARCH("4B",C70))),4,IF(ISNUMBER(SEARCH("5B",C70)),5,0)))))</f>
        <v>1</v>
      </c>
      <c r="C71" s="61" t="s">
        <v>71</v>
      </c>
      <c r="D71" s="61">
        <v>1</v>
      </c>
      <c r="E71" s="61" t="s">
        <v>70</v>
      </c>
      <c r="F71" s="61">
        <v>0</v>
      </c>
      <c r="G71" s="62" t="s">
        <v>79</v>
      </c>
      <c r="H71" s="63">
        <f ca="1">--TRIM(RIGHT(SUBSTITUTE(LEFT(C70,_xlfn.AGGREGATE(16,6,FIND({0,1,2,3,4,5,6,7,8,9},C70,ROW(INDIRECT("1:"&amp;LEN(C70)))),1))," ",REPT(" ",LEN(C70))),LEN(C70)))</f>
        <v>13</v>
      </c>
      <c r="I71" s="43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Plaster, External Plaster</v>
      </c>
      <c r="J71" s="44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  <c r="K71" s="17"/>
      <c r="L71" s="17"/>
      <c r="M71" s="17"/>
    </row>
    <row r="72" spans="1:14" ht="33" customHeight="1" x14ac:dyDescent="0.25">
      <c r="A72" s="129" t="s">
        <v>89</v>
      </c>
      <c r="B72" s="130"/>
      <c r="C72" s="131" t="str">
        <f ca="1">I70</f>
        <v>Excavation, Plinth, RCC Slab, Brickwork, Internal Plaster, External Plaster Completed, Flooring upto 12 Floor, Painting upto 9 Floor Completed</v>
      </c>
      <c r="D72" s="131"/>
      <c r="E72" s="131"/>
      <c r="F72" s="131"/>
      <c r="G72" s="131"/>
      <c r="H72" s="132"/>
      <c r="I72" s="43" t="str">
        <f ca="1">IF(I71&lt;&gt;""," Completed","")</f>
        <v xml:space="preserve"> Completed</v>
      </c>
      <c r="J72" s="44" t="str">
        <f ca="1">IF(J70&lt;&gt;"","Completed","")</f>
        <v>Completed</v>
      </c>
    </row>
    <row r="73" spans="1:14" ht="15.75" customHeight="1" x14ac:dyDescent="0.25">
      <c r="A73" s="91" t="s">
        <v>49</v>
      </c>
      <c r="B73" s="92"/>
      <c r="C73" s="64" t="s">
        <v>138</v>
      </c>
      <c r="D73" s="64" t="s">
        <v>82</v>
      </c>
      <c r="E73" s="92" t="s">
        <v>84</v>
      </c>
      <c r="F73" s="92"/>
      <c r="G73" s="92" t="s">
        <v>83</v>
      </c>
      <c r="H73" s="93"/>
      <c r="I73" s="14" t="s">
        <v>140</v>
      </c>
      <c r="J73" s="23">
        <f ca="1">H71*25%</f>
        <v>3.25</v>
      </c>
    </row>
    <row r="74" spans="1:14" x14ac:dyDescent="0.25">
      <c r="A74" s="91" t="s">
        <v>127</v>
      </c>
      <c r="B74" s="92"/>
      <c r="C74" s="64">
        <f ca="1">J75</f>
        <v>13</v>
      </c>
      <c r="D74" s="65">
        <f ca="1">((100/H71)*C74)/100</f>
        <v>1</v>
      </c>
      <c r="E74" s="114">
        <f ca="1">(((C75/H71*10)+(40/(D71+F71+H71)*C76)+(7.5/(H71)*C77)+(7.5/(H71)*C78)+(10/H71*C79)+(10/H71*C80)+(5/H71*C81)+(5/H71*C82)+(5/H71*C83))/100)</f>
        <v>0.87692307692307692</v>
      </c>
      <c r="F74" s="115"/>
      <c r="G74" s="114">
        <f ca="1">((((C74/H71)*20)+((C75/H71)*25)+(30/(H71+F71+D71)*C76)+(5/H71*C77)+(5/H71*C78)+(5/H71*C79)+(5/H71*C80)+(0/H71*C81)+(0/H71*C82)+(5/H71*C83))/100)</f>
        <v>0.94615384615384612</v>
      </c>
      <c r="H74" s="120"/>
      <c r="I74" s="14" t="s">
        <v>98</v>
      </c>
      <c r="J74" s="24">
        <f ca="1">H71*50%</f>
        <v>6.5</v>
      </c>
    </row>
    <row r="75" spans="1:14" x14ac:dyDescent="0.25">
      <c r="A75" s="91" t="s">
        <v>50</v>
      </c>
      <c r="B75" s="92"/>
      <c r="C75" s="66">
        <f ca="1">J83</f>
        <v>13</v>
      </c>
      <c r="D75" s="65">
        <f ca="1">((100/H71)*C75)/100</f>
        <v>1</v>
      </c>
      <c r="E75" s="116"/>
      <c r="F75" s="117"/>
      <c r="G75" s="116"/>
      <c r="H75" s="121"/>
      <c r="I75" s="14" t="s">
        <v>99</v>
      </c>
      <c r="J75" s="24">
        <f ca="1">H71</f>
        <v>13</v>
      </c>
    </row>
    <row r="76" spans="1:14" ht="15.75" customHeight="1" x14ac:dyDescent="0.25">
      <c r="A76" s="91" t="s">
        <v>128</v>
      </c>
      <c r="B76" s="92"/>
      <c r="C76" s="64">
        <v>14</v>
      </c>
      <c r="D76" s="65">
        <f ca="1">((100/(D71+F71+H71))*C76)/100</f>
        <v>1</v>
      </c>
      <c r="E76" s="116"/>
      <c r="F76" s="117"/>
      <c r="G76" s="116"/>
      <c r="H76" s="121"/>
      <c r="I76" s="14" t="s">
        <v>100</v>
      </c>
      <c r="J76" s="25">
        <f ca="1">(IF(B71&gt;1,(H71/(B71+2)),H71/4))</f>
        <v>3.25</v>
      </c>
    </row>
    <row r="77" spans="1:14" ht="15.75" customHeight="1" x14ac:dyDescent="0.25">
      <c r="A77" s="91" t="s">
        <v>135</v>
      </c>
      <c r="B77" s="92" t="s">
        <v>129</v>
      </c>
      <c r="C77" s="64">
        <v>13</v>
      </c>
      <c r="D77" s="65">
        <f ca="1">((100/H71)*C77)/100</f>
        <v>1</v>
      </c>
      <c r="E77" s="116"/>
      <c r="F77" s="117"/>
      <c r="G77" s="116"/>
      <c r="H77" s="121"/>
      <c r="I77" s="14" t="s">
        <v>101</v>
      </c>
      <c r="J77" s="25">
        <f ca="1">(IF(B71&gt;1,(H71/(B71+2)+J76),H71/4+J76))</f>
        <v>6.5</v>
      </c>
    </row>
    <row r="78" spans="1:14" ht="15.75" customHeight="1" x14ac:dyDescent="0.25">
      <c r="A78" s="91" t="s">
        <v>136</v>
      </c>
      <c r="B78" s="92" t="s">
        <v>129</v>
      </c>
      <c r="C78" s="64">
        <v>13</v>
      </c>
      <c r="D78" s="65">
        <f ca="1">((100/H71)*C78)/100</f>
        <v>1</v>
      </c>
      <c r="E78" s="116"/>
      <c r="F78" s="117"/>
      <c r="G78" s="116"/>
      <c r="H78" s="121"/>
      <c r="I78" s="14" t="s">
        <v>145</v>
      </c>
      <c r="J78" s="25">
        <f>(IF(B71&gt;1,(H71/(B71+2)+J77),0))</f>
        <v>0</v>
      </c>
    </row>
    <row r="79" spans="1:14" ht="15" customHeight="1" x14ac:dyDescent="0.25">
      <c r="A79" s="91" t="s">
        <v>134</v>
      </c>
      <c r="B79" s="92" t="s">
        <v>131</v>
      </c>
      <c r="C79" s="64">
        <v>13</v>
      </c>
      <c r="D79" s="65">
        <f ca="1">((100/(H71))*C79)/100</f>
        <v>1</v>
      </c>
      <c r="E79" s="116"/>
      <c r="F79" s="117"/>
      <c r="G79" s="116"/>
      <c r="H79" s="121"/>
      <c r="I79" s="14" t="s">
        <v>142</v>
      </c>
      <c r="J79" s="25">
        <f>(IF(B71&gt;2,(H71/(B71+2)+J78),0))</f>
        <v>0</v>
      </c>
    </row>
    <row r="80" spans="1:14" ht="15.75" customHeight="1" x14ac:dyDescent="0.25">
      <c r="A80" s="91" t="s">
        <v>130</v>
      </c>
      <c r="B80" s="92" t="s">
        <v>130</v>
      </c>
      <c r="C80" s="64">
        <v>12</v>
      </c>
      <c r="D80" s="65">
        <f ca="1">((100/H71)*C80)/100</f>
        <v>0.92307692307692302</v>
      </c>
      <c r="E80" s="116"/>
      <c r="F80" s="117"/>
      <c r="G80" s="116"/>
      <c r="H80" s="121"/>
      <c r="I80" s="14" t="s">
        <v>143</v>
      </c>
      <c r="J80" s="26">
        <f>(IF(B71&gt;3,(H71/(B71+2)+J79),0))</f>
        <v>0</v>
      </c>
    </row>
    <row r="81" spans="1:13" ht="15.75" customHeight="1" x14ac:dyDescent="0.25">
      <c r="A81" s="91" t="s">
        <v>137</v>
      </c>
      <c r="B81" s="92"/>
      <c r="C81" s="64">
        <v>9</v>
      </c>
      <c r="D81" s="65">
        <f ca="1">((100/H71)*C81)/100</f>
        <v>0.69230769230769229</v>
      </c>
      <c r="E81" s="116"/>
      <c r="F81" s="117"/>
      <c r="G81" s="116"/>
      <c r="H81" s="121"/>
      <c r="I81" s="14" t="s">
        <v>144</v>
      </c>
      <c r="J81" s="25">
        <f>(IF(B71&gt;4,(H71/(B71+2)+J80),0))</f>
        <v>0</v>
      </c>
    </row>
    <row r="82" spans="1:13" ht="15.75" customHeight="1" x14ac:dyDescent="0.25">
      <c r="A82" s="91" t="s">
        <v>132</v>
      </c>
      <c r="B82" s="92" t="s">
        <v>132</v>
      </c>
      <c r="C82" s="64">
        <v>0</v>
      </c>
      <c r="D82" s="65">
        <f ca="1">((100/(H71))*C82)/100</f>
        <v>0</v>
      </c>
      <c r="E82" s="116"/>
      <c r="F82" s="117"/>
      <c r="G82" s="116"/>
      <c r="H82" s="121"/>
      <c r="I82" s="14" t="s">
        <v>146</v>
      </c>
      <c r="J82" s="25">
        <f ca="1">(IF(B71=1,(H71/(B71+3)+J77),IF(B71=0,(H71/4+J77),IF(B71&gt;1,0))))</f>
        <v>9.75</v>
      </c>
    </row>
    <row r="83" spans="1:13" ht="16.5" thickBot="1" x14ac:dyDescent="0.3">
      <c r="A83" s="111" t="s">
        <v>133</v>
      </c>
      <c r="B83" s="112"/>
      <c r="C83" s="67">
        <v>0</v>
      </c>
      <c r="D83" s="68">
        <f ca="1">((100/(H71))*C83)/100</f>
        <v>0</v>
      </c>
      <c r="E83" s="118"/>
      <c r="F83" s="119"/>
      <c r="G83" s="118"/>
      <c r="H83" s="122"/>
      <c r="I83" s="15" t="s">
        <v>102</v>
      </c>
      <c r="J83" s="27">
        <f ca="1">(IF(B71&gt;1.5,(H71/(B71+2)+J77+MAX(0,J78-J77)+MAX(0,J79-J78)+MAX(0,J80-J79)+MAX(0,J81-J80)+MAX(0,J82-J81)),IF(B71=1,(H71/(B71+3)+J82),IF(B71=0,H71/4+J82))))</f>
        <v>13</v>
      </c>
    </row>
    <row r="84" spans="1:13" ht="15.75" customHeight="1" x14ac:dyDescent="0.25">
      <c r="A84" s="124" t="s">
        <v>139</v>
      </c>
      <c r="B84" s="125"/>
      <c r="C84" s="126" t="s">
        <v>271</v>
      </c>
      <c r="D84" s="127"/>
      <c r="E84" s="127"/>
      <c r="F84" s="127"/>
      <c r="G84" s="127"/>
      <c r="H84" s="128"/>
      <c r="I84" s="41" t="str">
        <f ca="1">IF(D97=100%,"All work Completed. Possession granted to the Building.",IF(D96=100%,"All work Completed, Waiting for OC",I85&amp;""&amp;I86&amp;""&amp;J85&amp;""&amp;J84&amp;" "&amp;J86))</f>
        <v>Excavation, Plinth, RCC Slab, Brickwork Completed, Internal Plaster upto 12 Floor, External Plaster upto 11 Floor, Flooring upto 5 Floor Completed</v>
      </c>
      <c r="J84" s="42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Internal Plaster upto 12 Floor, External Plaster upto 11 Floor, Flooring upto 5 Floor</v>
      </c>
    </row>
    <row r="85" spans="1:13" x14ac:dyDescent="0.25">
      <c r="A85" s="60" t="s">
        <v>141</v>
      </c>
      <c r="B85" s="61">
        <f>IF(AND(ISNUMBER(SEARCH("1B",C84))),1,IF(AND(ISNUMBER(SEARCH("2B",C84))),2,IF(AND(ISNUMBER(SEARCH("3B",C84))),3,IF(AND(ISNUMBER(SEARCH("4B",C84))),4,IF(ISNUMBER(SEARCH("5B",C84)),5,0)))))</f>
        <v>1</v>
      </c>
      <c r="C85" s="61" t="s">
        <v>71</v>
      </c>
      <c r="D85" s="61">
        <v>1</v>
      </c>
      <c r="E85" s="61" t="s">
        <v>70</v>
      </c>
      <c r="F85" s="61">
        <v>0</v>
      </c>
      <c r="G85" s="62" t="s">
        <v>79</v>
      </c>
      <c r="H85" s="63">
        <f ca="1">--TRIM(RIGHT(SUBSTITUTE(LEFT(C84,_xlfn.AGGREGATE(16,6,FIND({0,1,2,3,4,5,6,7,8,9},C84,ROW(INDIRECT("1:"&amp;LEN(C84)))),1))," ",REPT(" ",LEN(C84))),LEN(C84)))</f>
        <v>13</v>
      </c>
      <c r="I85" s="43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Slab, Brickwork</v>
      </c>
      <c r="J85" s="44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  <c r="K85" s="17"/>
      <c r="L85" s="17"/>
      <c r="M85" s="17"/>
    </row>
    <row r="86" spans="1:13" ht="32.25" customHeight="1" x14ac:dyDescent="0.25">
      <c r="A86" s="129" t="s">
        <v>89</v>
      </c>
      <c r="B86" s="130"/>
      <c r="C86" s="131" t="str">
        <f ca="1">I84</f>
        <v>Excavation, Plinth, RCC Slab, Brickwork Completed, Internal Plaster upto 12 Floor, External Plaster upto 11 Floor, Flooring upto 5 Floor Completed</v>
      </c>
      <c r="D86" s="131"/>
      <c r="E86" s="131"/>
      <c r="F86" s="131"/>
      <c r="G86" s="131"/>
      <c r="H86" s="132"/>
      <c r="I86" s="43" t="str">
        <f ca="1">IF(I85&lt;&gt;""," Completed","")</f>
        <v xml:space="preserve"> Completed</v>
      </c>
      <c r="J86" s="44" t="str">
        <f ca="1">IF(J84&lt;&gt;"","Completed","")</f>
        <v>Completed</v>
      </c>
    </row>
    <row r="87" spans="1:13" ht="15.75" customHeight="1" x14ac:dyDescent="0.25">
      <c r="A87" s="91" t="s">
        <v>49</v>
      </c>
      <c r="B87" s="92"/>
      <c r="C87" s="64" t="s">
        <v>138</v>
      </c>
      <c r="D87" s="64" t="s">
        <v>82</v>
      </c>
      <c r="E87" s="92" t="s">
        <v>84</v>
      </c>
      <c r="F87" s="92"/>
      <c r="G87" s="92" t="s">
        <v>83</v>
      </c>
      <c r="H87" s="93"/>
      <c r="I87" s="14" t="s">
        <v>140</v>
      </c>
      <c r="J87" s="23">
        <f ca="1">H85*25%</f>
        <v>3.25</v>
      </c>
    </row>
    <row r="88" spans="1:13" x14ac:dyDescent="0.25">
      <c r="A88" s="91" t="s">
        <v>127</v>
      </c>
      <c r="B88" s="92"/>
      <c r="C88" s="64">
        <f ca="1">J89</f>
        <v>13</v>
      </c>
      <c r="D88" s="65">
        <f ca="1">((100/H85)*C88)/100</f>
        <v>1</v>
      </c>
      <c r="E88" s="114">
        <f ca="1">(((C89/H85*10)+(40/(D85+F85+H85)*C90)+(7.5/(H85)*C91)+(7.5/(H85)*C92)+(10/H85*C93)+(10/H85*C94)+(5/H85*C95)+(5/H85*C96)+(5/H85*C97))/100)</f>
        <v>0.76730769230769225</v>
      </c>
      <c r="F88" s="115"/>
      <c r="G88" s="114">
        <f ca="1">((((C88/H85)*20)+((C89/H85)*25)+(30/(H85+F85+D85)*C90)+(5/H85*C91)+(5/H85*C92)+(5/H85*C93)+(5/H85*C94)+(0/H85*C95)+(0/H85*C96)+(5/H85*C97))/100)</f>
        <v>0.90769230769230758</v>
      </c>
      <c r="H88" s="120"/>
      <c r="I88" s="14" t="s">
        <v>98</v>
      </c>
      <c r="J88" s="24">
        <f ca="1">H85*50%</f>
        <v>6.5</v>
      </c>
    </row>
    <row r="89" spans="1:13" x14ac:dyDescent="0.25">
      <c r="A89" s="91" t="s">
        <v>50</v>
      </c>
      <c r="B89" s="92"/>
      <c r="C89" s="66">
        <f ca="1">J97</f>
        <v>13</v>
      </c>
      <c r="D89" s="65">
        <f ca="1">((100/H85)*C89)/100</f>
        <v>1</v>
      </c>
      <c r="E89" s="116"/>
      <c r="F89" s="117"/>
      <c r="G89" s="116"/>
      <c r="H89" s="121"/>
      <c r="I89" s="14" t="s">
        <v>99</v>
      </c>
      <c r="J89" s="24">
        <f ca="1">H85</f>
        <v>13</v>
      </c>
    </row>
    <row r="90" spans="1:13" ht="15.75" customHeight="1" x14ac:dyDescent="0.25">
      <c r="A90" s="91" t="s">
        <v>128</v>
      </c>
      <c r="B90" s="92"/>
      <c r="C90" s="64">
        <v>14</v>
      </c>
      <c r="D90" s="65">
        <f ca="1">((100/(D85+F85+H85))*C90)/100</f>
        <v>1</v>
      </c>
      <c r="E90" s="116"/>
      <c r="F90" s="117"/>
      <c r="G90" s="116"/>
      <c r="H90" s="121"/>
      <c r="I90" s="14" t="s">
        <v>100</v>
      </c>
      <c r="J90" s="25">
        <f ca="1">(IF(B85&gt;1,(H85/(B85+2)),H85/4))</f>
        <v>3.25</v>
      </c>
    </row>
    <row r="91" spans="1:13" ht="15.75" customHeight="1" x14ac:dyDescent="0.25">
      <c r="A91" s="91" t="s">
        <v>135</v>
      </c>
      <c r="B91" s="92" t="s">
        <v>129</v>
      </c>
      <c r="C91" s="64">
        <v>13</v>
      </c>
      <c r="D91" s="65">
        <f ca="1">((100/H85)*C91)/100</f>
        <v>1</v>
      </c>
      <c r="E91" s="116"/>
      <c r="F91" s="117"/>
      <c r="G91" s="116"/>
      <c r="H91" s="121"/>
      <c r="I91" s="14" t="s">
        <v>101</v>
      </c>
      <c r="J91" s="25">
        <f ca="1">(IF(B85&gt;1,(H85/(B85+2)+J90),H85/4+J90))</f>
        <v>6.5</v>
      </c>
    </row>
    <row r="92" spans="1:13" ht="15.75" customHeight="1" x14ac:dyDescent="0.25">
      <c r="A92" s="91" t="s">
        <v>136</v>
      </c>
      <c r="B92" s="92" t="s">
        <v>129</v>
      </c>
      <c r="C92" s="64">
        <v>12</v>
      </c>
      <c r="D92" s="65">
        <f ca="1">((100/H85)*C92)/100</f>
        <v>0.92307692307692302</v>
      </c>
      <c r="E92" s="116"/>
      <c r="F92" s="117"/>
      <c r="G92" s="116"/>
      <c r="H92" s="121"/>
      <c r="I92" s="14" t="s">
        <v>145</v>
      </c>
      <c r="J92" s="25">
        <f>(IF(B85&gt;1,(H85/(B85+2)+J91),0))</f>
        <v>0</v>
      </c>
    </row>
    <row r="93" spans="1:13" ht="15" customHeight="1" x14ac:dyDescent="0.25">
      <c r="A93" s="91" t="s">
        <v>134</v>
      </c>
      <c r="B93" s="92" t="s">
        <v>131</v>
      </c>
      <c r="C93" s="64">
        <v>11</v>
      </c>
      <c r="D93" s="65">
        <f ca="1">((100/(H85))*C93)/100</f>
        <v>0.84615384615384615</v>
      </c>
      <c r="E93" s="116"/>
      <c r="F93" s="117"/>
      <c r="G93" s="116"/>
      <c r="H93" s="121"/>
      <c r="I93" s="14" t="s">
        <v>142</v>
      </c>
      <c r="J93" s="25">
        <f>(IF(B85&gt;2,(H85/(B85+2)+J92),0))</f>
        <v>0</v>
      </c>
    </row>
    <row r="94" spans="1:13" ht="15.75" customHeight="1" x14ac:dyDescent="0.25">
      <c r="A94" s="91" t="s">
        <v>130</v>
      </c>
      <c r="B94" s="92" t="s">
        <v>130</v>
      </c>
      <c r="C94" s="64">
        <v>5</v>
      </c>
      <c r="D94" s="65">
        <f ca="1">((100/H85)*C94)/100</f>
        <v>0.38461538461538458</v>
      </c>
      <c r="E94" s="116"/>
      <c r="F94" s="117"/>
      <c r="G94" s="116"/>
      <c r="H94" s="121"/>
      <c r="I94" s="14" t="s">
        <v>143</v>
      </c>
      <c r="J94" s="26">
        <f>(IF(B85&gt;3,(H85/(B85+2)+J93),0))</f>
        <v>0</v>
      </c>
    </row>
    <row r="95" spans="1:13" ht="15.75" customHeight="1" x14ac:dyDescent="0.25">
      <c r="A95" s="91" t="s">
        <v>137</v>
      </c>
      <c r="B95" s="92"/>
      <c r="C95" s="64">
        <v>0</v>
      </c>
      <c r="D95" s="65">
        <f ca="1">((100/H85)*C95)/100</f>
        <v>0</v>
      </c>
      <c r="E95" s="116"/>
      <c r="F95" s="117"/>
      <c r="G95" s="116"/>
      <c r="H95" s="121"/>
      <c r="I95" s="14" t="s">
        <v>144</v>
      </c>
      <c r="J95" s="25">
        <f>(IF(B85&gt;4,(H85/(B85+2)+J94),0))</f>
        <v>0</v>
      </c>
    </row>
    <row r="96" spans="1:13" ht="15.75" customHeight="1" x14ac:dyDescent="0.25">
      <c r="A96" s="91" t="s">
        <v>132</v>
      </c>
      <c r="B96" s="92" t="s">
        <v>132</v>
      </c>
      <c r="C96" s="64">
        <v>0</v>
      </c>
      <c r="D96" s="65">
        <f ca="1">((100/(H85))*C96)/100</f>
        <v>0</v>
      </c>
      <c r="E96" s="116"/>
      <c r="F96" s="117"/>
      <c r="G96" s="116"/>
      <c r="H96" s="121"/>
      <c r="I96" s="14" t="s">
        <v>146</v>
      </c>
      <c r="J96" s="25">
        <f ca="1">(IF(B85=1,(H85/(B85+3)+J91),IF(B85=0,(H85/4+J91),IF(B85&gt;1,0))))</f>
        <v>9.75</v>
      </c>
    </row>
    <row r="97" spans="1:13" ht="16.5" thickBot="1" x14ac:dyDescent="0.3">
      <c r="A97" s="111" t="s">
        <v>133</v>
      </c>
      <c r="B97" s="112"/>
      <c r="C97" s="67">
        <v>0</v>
      </c>
      <c r="D97" s="68">
        <f ca="1">((100/(H85))*C97)/100</f>
        <v>0</v>
      </c>
      <c r="E97" s="118"/>
      <c r="F97" s="119"/>
      <c r="G97" s="118"/>
      <c r="H97" s="122"/>
      <c r="I97" s="15" t="s">
        <v>102</v>
      </c>
      <c r="J97" s="27">
        <f ca="1">(IF(B85&gt;1.5,(H85/(B85+2)+J91+MAX(0,J92-J91)+MAX(0,J93-J92)+MAX(0,J94-J93)+MAX(0,J95-J94)+MAX(0,J96-J95)),IF(B85=1,(H85/(B85+3)+J96),IF(B85=0,H85/4+J96))))</f>
        <v>13</v>
      </c>
    </row>
    <row r="98" spans="1:13" ht="15.75" hidden="1" customHeight="1" x14ac:dyDescent="0.25">
      <c r="A98" s="124" t="s">
        <v>139</v>
      </c>
      <c r="B98" s="125"/>
      <c r="C98" s="126" t="s">
        <v>270</v>
      </c>
      <c r="D98" s="127"/>
      <c r="E98" s="127"/>
      <c r="F98" s="127"/>
      <c r="G98" s="127"/>
      <c r="H98" s="128"/>
      <c r="I98" s="41" t="str">
        <f ca="1">IF(D111=100%,"All work Completed. Possession granted to the Building.",IF(D110=100%,"All work Completed, Waiting for OC",I99&amp;""&amp;I100&amp;""&amp;J99&amp;""&amp;J98&amp;" "&amp;J100))</f>
        <v>Excavation, Plinth Completed, RCC upto 7 Slab Completed</v>
      </c>
      <c r="J98" s="42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RCC upto 7 Slab</v>
      </c>
    </row>
    <row r="99" spans="1:13" hidden="1" x14ac:dyDescent="0.25">
      <c r="A99" s="60" t="s">
        <v>141</v>
      </c>
      <c r="B99" s="61">
        <f>IF(AND(ISNUMBER(SEARCH("1B",C98))),1,IF(AND(ISNUMBER(SEARCH("2B",C98))),2,IF(AND(ISNUMBER(SEARCH("3B",C98))),3,IF(AND(ISNUMBER(SEARCH("4B",C98))),4,IF(ISNUMBER(SEARCH("5B",C98)),5,0)))))</f>
        <v>1</v>
      </c>
      <c r="C99" s="61" t="s">
        <v>71</v>
      </c>
      <c r="D99" s="61">
        <v>1</v>
      </c>
      <c r="E99" s="61" t="s">
        <v>70</v>
      </c>
      <c r="F99" s="61">
        <v>0</v>
      </c>
      <c r="G99" s="62" t="s">
        <v>79</v>
      </c>
      <c r="H99" s="63">
        <f ca="1">--TRIM(RIGHT(SUBSTITUTE(LEFT(C98,_xlfn.AGGREGATE(16,6,FIND({0,1,2,3,4,5,6,7,8,9},C98,ROW(INDIRECT("1:"&amp;LEN(C98)))),1))," ",REPT(" ",LEN(C98))),LEN(C98)))</f>
        <v>13</v>
      </c>
      <c r="I99" s="43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</v>
      </c>
      <c r="J99" s="44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  <c r="K99" s="17"/>
      <c r="L99" s="17"/>
      <c r="M99" s="17"/>
    </row>
    <row r="100" spans="1:13" hidden="1" x14ac:dyDescent="0.25">
      <c r="A100" s="129" t="s">
        <v>89</v>
      </c>
      <c r="B100" s="130"/>
      <c r="C100" s="131" t="str">
        <f ca="1">I98</f>
        <v>Excavation, Plinth Completed, RCC upto 7 Slab Completed</v>
      </c>
      <c r="D100" s="131"/>
      <c r="E100" s="131"/>
      <c r="F100" s="131"/>
      <c r="G100" s="131"/>
      <c r="H100" s="132"/>
      <c r="I100" s="43" t="str">
        <f ca="1">IF(I99&lt;&gt;""," Completed","")</f>
        <v xml:space="preserve"> Completed</v>
      </c>
      <c r="J100" s="44" t="str">
        <f ca="1">IF(J98&lt;&gt;"","Completed","")</f>
        <v>Completed</v>
      </c>
    </row>
    <row r="101" spans="1:13" ht="15.75" hidden="1" customHeight="1" x14ac:dyDescent="0.25">
      <c r="A101" s="91" t="s">
        <v>49</v>
      </c>
      <c r="B101" s="92"/>
      <c r="C101" s="64" t="s">
        <v>138</v>
      </c>
      <c r="D101" s="64" t="s">
        <v>82</v>
      </c>
      <c r="E101" s="92" t="s">
        <v>84</v>
      </c>
      <c r="F101" s="92"/>
      <c r="G101" s="92" t="s">
        <v>83</v>
      </c>
      <c r="H101" s="93"/>
      <c r="I101" s="14" t="s">
        <v>140</v>
      </c>
      <c r="J101" s="23">
        <f ca="1">H99*25%</f>
        <v>3.25</v>
      </c>
    </row>
    <row r="102" spans="1:13" hidden="1" x14ac:dyDescent="0.25">
      <c r="A102" s="91" t="s">
        <v>127</v>
      </c>
      <c r="B102" s="92"/>
      <c r="C102" s="64">
        <f ca="1">J103</f>
        <v>13</v>
      </c>
      <c r="D102" s="65">
        <f ca="1">((100/H99)*C102)/100</f>
        <v>1</v>
      </c>
      <c r="E102" s="114">
        <f ca="1">(((C103/H99*10)+(40/(D99+F99+H99)*C104)+(7.5/(H99)*C105)+(7.5/(H99)*C106)+(10/H99*C107)+(10/H99*C108)+(5/H99*C109)+(5/H99*C110)+(5/H99*C111))/100)</f>
        <v>0.3</v>
      </c>
      <c r="F102" s="115"/>
      <c r="G102" s="114">
        <f ca="1">((((C102/H99)*20)+((C103/H99)*25)+(30/(H99+F99+D99)*C104)+(5/H99*C105)+(5/H99*C106)+(5/H99*C107)+(5/H99*C108)+(0/H99*C109)+(0/H99*C110)+(5/H99*C111))/100)</f>
        <v>0.6</v>
      </c>
      <c r="H102" s="120"/>
      <c r="I102" s="14" t="s">
        <v>98</v>
      </c>
      <c r="J102" s="24">
        <f ca="1">H99*50%</f>
        <v>6.5</v>
      </c>
    </row>
    <row r="103" spans="1:13" hidden="1" x14ac:dyDescent="0.25">
      <c r="A103" s="91" t="s">
        <v>50</v>
      </c>
      <c r="B103" s="92"/>
      <c r="C103" s="66">
        <f ca="1">J111</f>
        <v>13</v>
      </c>
      <c r="D103" s="65">
        <f ca="1">((100/H99)*C103)/100</f>
        <v>1</v>
      </c>
      <c r="E103" s="116"/>
      <c r="F103" s="117"/>
      <c r="G103" s="116"/>
      <c r="H103" s="121"/>
      <c r="I103" s="14" t="s">
        <v>99</v>
      </c>
      <c r="J103" s="24">
        <f ca="1">H99</f>
        <v>13</v>
      </c>
    </row>
    <row r="104" spans="1:13" ht="15.75" hidden="1" customHeight="1" x14ac:dyDescent="0.25">
      <c r="A104" s="91" t="s">
        <v>128</v>
      </c>
      <c r="B104" s="92"/>
      <c r="C104" s="64">
        <v>7</v>
      </c>
      <c r="D104" s="65">
        <f ca="1">((100/(D99+F99+H99))*C104)/100</f>
        <v>0.5</v>
      </c>
      <c r="E104" s="116"/>
      <c r="F104" s="117"/>
      <c r="G104" s="116"/>
      <c r="H104" s="121"/>
      <c r="I104" s="14" t="s">
        <v>100</v>
      </c>
      <c r="J104" s="25">
        <f ca="1">(IF(B99&gt;1,(H99/(B99+2)),H99/4))</f>
        <v>3.25</v>
      </c>
    </row>
    <row r="105" spans="1:13" ht="15.75" hidden="1" customHeight="1" x14ac:dyDescent="0.25">
      <c r="A105" s="91" t="s">
        <v>135</v>
      </c>
      <c r="B105" s="92" t="s">
        <v>129</v>
      </c>
      <c r="C105" s="64">
        <v>0</v>
      </c>
      <c r="D105" s="65">
        <f ca="1">((100/H99)*C105)/100</f>
        <v>0</v>
      </c>
      <c r="E105" s="116"/>
      <c r="F105" s="117"/>
      <c r="G105" s="116"/>
      <c r="H105" s="121"/>
      <c r="I105" s="14" t="s">
        <v>101</v>
      </c>
      <c r="J105" s="25">
        <f ca="1">(IF(B99&gt;1,(H99/(B99+2)+J104),H99/4+J104))</f>
        <v>6.5</v>
      </c>
    </row>
    <row r="106" spans="1:13" ht="15.75" hidden="1" customHeight="1" x14ac:dyDescent="0.25">
      <c r="A106" s="91" t="s">
        <v>136</v>
      </c>
      <c r="B106" s="92" t="s">
        <v>129</v>
      </c>
      <c r="C106" s="64">
        <v>0</v>
      </c>
      <c r="D106" s="65">
        <f ca="1">((100/H99)*C106)/100</f>
        <v>0</v>
      </c>
      <c r="E106" s="116"/>
      <c r="F106" s="117"/>
      <c r="G106" s="116"/>
      <c r="H106" s="121"/>
      <c r="I106" s="14" t="s">
        <v>145</v>
      </c>
      <c r="J106" s="25">
        <f>(IF(B99&gt;1,(H99/(B99+2)+J105),0))</f>
        <v>0</v>
      </c>
    </row>
    <row r="107" spans="1:13" ht="15" hidden="1" customHeight="1" x14ac:dyDescent="0.25">
      <c r="A107" s="91" t="s">
        <v>134</v>
      </c>
      <c r="B107" s="92" t="s">
        <v>131</v>
      </c>
      <c r="C107" s="64">
        <v>0</v>
      </c>
      <c r="D107" s="65">
        <f ca="1">((100/(H99))*C107)/100</f>
        <v>0</v>
      </c>
      <c r="E107" s="116"/>
      <c r="F107" s="117"/>
      <c r="G107" s="116"/>
      <c r="H107" s="121"/>
      <c r="I107" s="14" t="s">
        <v>142</v>
      </c>
      <c r="J107" s="25">
        <f>(IF(B99&gt;2,(H99/(B99+2)+J106),0))</f>
        <v>0</v>
      </c>
    </row>
    <row r="108" spans="1:13" ht="15.75" hidden="1" customHeight="1" x14ac:dyDescent="0.25">
      <c r="A108" s="91" t="s">
        <v>130</v>
      </c>
      <c r="B108" s="92" t="s">
        <v>130</v>
      </c>
      <c r="C108" s="64">
        <v>0</v>
      </c>
      <c r="D108" s="65">
        <f ca="1">((100/H99)*C108)/100</f>
        <v>0</v>
      </c>
      <c r="E108" s="116"/>
      <c r="F108" s="117"/>
      <c r="G108" s="116"/>
      <c r="H108" s="121"/>
      <c r="I108" s="14" t="s">
        <v>143</v>
      </c>
      <c r="J108" s="26">
        <f>(IF(B99&gt;3,(H99/(B99+2)+J107),0))</f>
        <v>0</v>
      </c>
    </row>
    <row r="109" spans="1:13" ht="15.75" hidden="1" customHeight="1" x14ac:dyDescent="0.25">
      <c r="A109" s="91" t="s">
        <v>137</v>
      </c>
      <c r="B109" s="92"/>
      <c r="C109" s="64">
        <v>0</v>
      </c>
      <c r="D109" s="65">
        <f ca="1">((100/H99)*C109)/100</f>
        <v>0</v>
      </c>
      <c r="E109" s="116"/>
      <c r="F109" s="117"/>
      <c r="G109" s="116"/>
      <c r="H109" s="121"/>
      <c r="I109" s="14" t="s">
        <v>144</v>
      </c>
      <c r="J109" s="25">
        <f>(IF(B99&gt;4,(H99/(B99+2)+J108),0))</f>
        <v>0</v>
      </c>
    </row>
    <row r="110" spans="1:13" ht="15.75" hidden="1" customHeight="1" x14ac:dyDescent="0.25">
      <c r="A110" s="91" t="s">
        <v>132</v>
      </c>
      <c r="B110" s="92" t="s">
        <v>132</v>
      </c>
      <c r="C110" s="64">
        <v>0</v>
      </c>
      <c r="D110" s="65">
        <f ca="1">((100/(H99))*C110)/100</f>
        <v>0</v>
      </c>
      <c r="E110" s="116"/>
      <c r="F110" s="117"/>
      <c r="G110" s="116"/>
      <c r="H110" s="121"/>
      <c r="I110" s="14" t="s">
        <v>146</v>
      </c>
      <c r="J110" s="25">
        <f ca="1">(IF(B99=1,(H99/(B99+3)+J105),IF(B99=0,(H99/4+J105),IF(B99&gt;1,0))))</f>
        <v>9.75</v>
      </c>
    </row>
    <row r="111" spans="1:13" ht="16.5" hidden="1" thickBot="1" x14ac:dyDescent="0.3">
      <c r="A111" s="244" t="s">
        <v>133</v>
      </c>
      <c r="B111" s="245"/>
      <c r="C111" s="73">
        <v>0</v>
      </c>
      <c r="D111" s="74">
        <f ca="1">((100/(H99))*C111)/100</f>
        <v>0</v>
      </c>
      <c r="E111" s="116"/>
      <c r="F111" s="117"/>
      <c r="G111" s="116"/>
      <c r="H111" s="121"/>
      <c r="I111" s="15" t="s">
        <v>102</v>
      </c>
      <c r="J111" s="27">
        <f ca="1">(IF(B99&gt;1.5,(H99/(B99+2)+J105+MAX(0,J106-J105)+MAX(0,J107-J106)+MAX(0,J108-J107)+MAX(0,J109-J108)+MAX(0,J110-J109)),IF(B99=1,(H99/(B99+3)+J110),IF(B99=0,H99/4+J110))))</f>
        <v>13</v>
      </c>
    </row>
    <row r="112" spans="1:13" ht="15.75" hidden="1" customHeight="1" x14ac:dyDescent="0.25">
      <c r="A112" s="235" t="s">
        <v>267</v>
      </c>
      <c r="B112" s="236"/>
      <c r="C112" s="239">
        <f ca="1">AVERAGE(E88,E102)</f>
        <v>0.53365384615384615</v>
      </c>
      <c r="D112" s="236"/>
      <c r="E112" s="240" t="s">
        <v>268</v>
      </c>
      <c r="F112" s="240"/>
      <c r="G112" s="240">
        <f ca="1">AVERAGE(G88,G102)</f>
        <v>0.75384615384615383</v>
      </c>
      <c r="H112" s="242"/>
      <c r="I112" s="14" t="s">
        <v>146</v>
      </c>
      <c r="J112" s="25">
        <f>(IF(B101=1,(H101/(B101+3)+J107),IF(B101=0,(H101/4+J107),IF(B101&gt;1,0))))</f>
        <v>0</v>
      </c>
    </row>
    <row r="113" spans="1:10" ht="16.5" hidden="1" thickBot="1" x14ac:dyDescent="0.3">
      <c r="A113" s="237"/>
      <c r="B113" s="238"/>
      <c r="C113" s="238"/>
      <c r="D113" s="238"/>
      <c r="E113" s="241"/>
      <c r="F113" s="241"/>
      <c r="G113" s="241"/>
      <c r="H113" s="243"/>
      <c r="I113" s="15" t="s">
        <v>102</v>
      </c>
      <c r="J113" s="27">
        <f>(IF(B101&gt;1.5,(H101/(B101+2)+J107+MAX(0,J108-J107)+MAX(0,J109-J108)+MAX(0,J110-J109)+MAX(0,J111-J110)+MAX(0,J112-J111)),IF(B101=1,(H101/(B101+3)+J112),IF(B101=0,H101/4+J112))))</f>
        <v>0</v>
      </c>
    </row>
    <row r="114" spans="1:10" ht="15.75" customHeight="1" x14ac:dyDescent="0.25">
      <c r="A114" s="217" t="s">
        <v>139</v>
      </c>
      <c r="B114" s="218"/>
      <c r="C114" s="219" t="str">
        <f>D62</f>
        <v>D Wing = 1B + G + 1st to 13th Floor</v>
      </c>
      <c r="D114" s="220"/>
      <c r="E114" s="220"/>
      <c r="F114" s="220"/>
      <c r="G114" s="220"/>
      <c r="H114" s="221"/>
      <c r="I114" s="41" t="str">
        <f ca="1">IF(D127=100%,"All work Completed. Possession granted to the Building.",IF(D126=100%,"All work Completed, Waiting for OC",I115&amp;""&amp;I116&amp;""&amp;J115&amp;""&amp;J114&amp;" "&amp;J116))</f>
        <v>Excavation, Plinth, RCC Slab, Brickwork Completed, Internal Plaster upto 11 Floor, External Plaster upto 7 Floor, Flooring upto 2 Floor Completed</v>
      </c>
      <c r="J114" s="42" t="str">
        <f ca="1">(IF(C120=(D115+F115+H115),"",IF(C120&gt;0,", RCC upto "&amp;C120&amp;" Slab","")))&amp;(IF(C121=H115,"",IF(C121&gt;0,", Brickwork upto "&amp;C121&amp;" Floor","")))&amp;(IF(C122=H115,"",IF(C122&gt;0,", Internal Plaster upto "&amp;C122&amp;" Floor","")))&amp;(IF(C123=H115,"",IF(C123&gt;0,", External Plaster upto "&amp;C123&amp;" Floor","")))&amp;(IF(C124=H115,"",IF(C124&gt;0,", Flooring upto "&amp;C124&amp;" Floor","")))&amp;(IF(C125=H115,"",IF(C125&gt;0,", Painting upto "&amp;C125&amp;" Floor","")))&amp;(IF(C126=H115,"",IF(C126&gt;0,", Finishing upto "&amp;C126&amp;" Floor","")))&amp;(IF(C127=H115,"",IF(C127&gt;0,", Possession upto "&amp;C127&amp;" Floor","")))</f>
        <v>, Internal Plaster upto 11 Floor, External Plaster upto 7 Floor, Flooring upto 2 Floor</v>
      </c>
    </row>
    <row r="115" spans="1:10" x14ac:dyDescent="0.25">
      <c r="A115" s="60" t="s">
        <v>141</v>
      </c>
      <c r="B115" s="61">
        <f>IF(AND(ISNUMBER(SEARCH("1B",C114))),1,IF(AND(ISNUMBER(SEARCH("2B",C114))),2,IF(AND(ISNUMBER(SEARCH("3B",C114))),3,IF(AND(ISNUMBER(SEARCH("4B",C114))),4,IF(ISNUMBER(SEARCH("5B",C114)),5,0)))))</f>
        <v>1</v>
      </c>
      <c r="C115" s="61" t="s">
        <v>71</v>
      </c>
      <c r="D115" s="61">
        <v>1</v>
      </c>
      <c r="E115" s="61" t="s">
        <v>70</v>
      </c>
      <c r="F115" s="61">
        <v>0</v>
      </c>
      <c r="G115" s="62" t="s">
        <v>79</v>
      </c>
      <c r="H115" s="63">
        <f ca="1">--TRIM(RIGHT(SUBSTITUTE(LEFT(C114,_xlfn.AGGREGATE(16,6,FIND({0,1,2,3,4,5,6,7,8,9},C114,ROW(INDIRECT("1:"&amp;LEN(C114)))),1))," ",REPT(" ",LEN(C114))),LEN(C114)))</f>
        <v>13</v>
      </c>
      <c r="I115" s="43" t="str">
        <f ca="1">IF(D118=100%,"Excavation","")&amp;IF(D119=100%,", Plinth","")&amp;IF(D120=100%,", RCC Slab","")&amp;IF(D121=100%,", Brickwork","")&amp;IF(D122=100%,", Internal Plaster","")&amp;IF(D123=100%,", External Plaster","")&amp;IF(D124=100%,", Flooring","")&amp;IF(D125=100%,", Painting","")&amp;IF(D126=100%,", Building common Amenities","")</f>
        <v>Excavation, Plinth, RCC Slab, Brickwork</v>
      </c>
      <c r="J115" s="44" t="str">
        <f ca="1">(IF(C118=0,"Work not yet Started.",IF(D118=25%,"Piling work in process",IF(D118=50%,"Excavation work in process",IF(D118=100%,"","0")))))&amp;(IF(C119=0%,"",IF(C119=J120,", Footing work is process",IF(C119=J121,", Footing work Completed",IF(C119=J122,", 1st Basement Completed",IF(C119=J123,", 1st &amp; 2nd Basement Completed",IF(C119=J124,", 1st to 3rd Basement Completed",IF(C119=J125,", 1st to 4th Basement Completed",IF(C119=J126,", Plinth work is process",IF(C119=J127,"","0"))))))))))</f>
        <v/>
      </c>
    </row>
    <row r="116" spans="1:10" ht="30.75" customHeight="1" x14ac:dyDescent="0.25">
      <c r="A116" s="129" t="s">
        <v>89</v>
      </c>
      <c r="B116" s="130"/>
      <c r="C116" s="131" t="str">
        <f ca="1">I114</f>
        <v>Excavation, Plinth, RCC Slab, Brickwork Completed, Internal Plaster upto 11 Floor, External Plaster upto 7 Floor, Flooring upto 2 Floor Completed</v>
      </c>
      <c r="D116" s="131"/>
      <c r="E116" s="131"/>
      <c r="F116" s="131"/>
      <c r="G116" s="131"/>
      <c r="H116" s="132"/>
      <c r="I116" s="43" t="str">
        <f ca="1">IF(I115&lt;&gt;""," Completed","")</f>
        <v xml:space="preserve"> Completed</v>
      </c>
      <c r="J116" s="44" t="str">
        <f ca="1">IF(J114&lt;&gt;"","Completed","")</f>
        <v>Completed</v>
      </c>
    </row>
    <row r="117" spans="1:10" ht="15.75" customHeight="1" x14ac:dyDescent="0.25">
      <c r="A117" s="91" t="s">
        <v>49</v>
      </c>
      <c r="B117" s="92"/>
      <c r="C117" s="64" t="s">
        <v>138</v>
      </c>
      <c r="D117" s="64" t="s">
        <v>82</v>
      </c>
      <c r="E117" s="92" t="s">
        <v>84</v>
      </c>
      <c r="F117" s="92"/>
      <c r="G117" s="92" t="s">
        <v>83</v>
      </c>
      <c r="H117" s="93"/>
      <c r="I117" s="14" t="s">
        <v>140</v>
      </c>
      <c r="J117" s="23">
        <f ca="1">H115*25%</f>
        <v>3.25</v>
      </c>
    </row>
    <row r="118" spans="1:10" s="28" customFormat="1" x14ac:dyDescent="0.25">
      <c r="A118" s="91" t="s">
        <v>127</v>
      </c>
      <c r="B118" s="92"/>
      <c r="C118" s="64">
        <f ca="1">J119</f>
        <v>13</v>
      </c>
      <c r="D118" s="65">
        <f ca="1">((100/H115)*C118)/100</f>
        <v>1</v>
      </c>
      <c r="E118" s="114">
        <f ca="1">(((C119/H115*10)+(40/(D115+F115+H115)*C120)+(7.5/(H115)*C121)+(7.5/(H115)*C122)+(10/H115*C123)+(10/H115*C124)+(5/H115*C125)+(5/H115*C126)+(5/H115*C127))/100)</f>
        <v>0.70769230769230762</v>
      </c>
      <c r="F118" s="115"/>
      <c r="G118" s="114">
        <f ca="1">((((C118/H115)*20)+((C119/H115)*25)+(30/(H115+F115+D115)*C120)+(5/H115*C121)+(5/H115*C122)+(5/H115*C123)+(5/H115*C124)+(0/H115*C125)+(0/H115*C126)+(5/H115*C127))/100)</f>
        <v>0.87692307692307692</v>
      </c>
      <c r="H118" s="120"/>
      <c r="I118" s="14" t="s">
        <v>98</v>
      </c>
      <c r="J118" s="24">
        <f ca="1">H115*50%</f>
        <v>6.5</v>
      </c>
    </row>
    <row r="119" spans="1:10" s="28" customFormat="1" x14ac:dyDescent="0.25">
      <c r="A119" s="91" t="s">
        <v>50</v>
      </c>
      <c r="B119" s="92"/>
      <c r="C119" s="66">
        <f ca="1">J127</f>
        <v>13</v>
      </c>
      <c r="D119" s="65">
        <f ca="1">((100/H115)*C119)/100</f>
        <v>1</v>
      </c>
      <c r="E119" s="116"/>
      <c r="F119" s="117"/>
      <c r="G119" s="116"/>
      <c r="H119" s="121"/>
      <c r="I119" s="14" t="s">
        <v>99</v>
      </c>
      <c r="J119" s="24">
        <f ca="1">H115</f>
        <v>13</v>
      </c>
    </row>
    <row r="120" spans="1:10" s="28" customFormat="1" ht="15.75" customHeight="1" x14ac:dyDescent="0.25">
      <c r="A120" s="91" t="s">
        <v>128</v>
      </c>
      <c r="B120" s="92"/>
      <c r="C120" s="64">
        <v>14</v>
      </c>
      <c r="D120" s="65">
        <f ca="1">((100/(D115+F115+H115))*C120)/100</f>
        <v>1</v>
      </c>
      <c r="E120" s="116"/>
      <c r="F120" s="117"/>
      <c r="G120" s="116"/>
      <c r="H120" s="121"/>
      <c r="I120" s="14" t="s">
        <v>100</v>
      </c>
      <c r="J120" s="25">
        <f ca="1">(IF(B115&gt;1,(H115/(B115+2)),H115/4))</f>
        <v>3.25</v>
      </c>
    </row>
    <row r="121" spans="1:10" s="28" customFormat="1" ht="15.75" customHeight="1" x14ac:dyDescent="0.25">
      <c r="A121" s="91" t="s">
        <v>135</v>
      </c>
      <c r="B121" s="92" t="s">
        <v>129</v>
      </c>
      <c r="C121" s="64">
        <v>13</v>
      </c>
      <c r="D121" s="65">
        <f ca="1">((100/H115)*C121)/100</f>
        <v>1</v>
      </c>
      <c r="E121" s="116"/>
      <c r="F121" s="117"/>
      <c r="G121" s="116"/>
      <c r="H121" s="121"/>
      <c r="I121" s="14" t="s">
        <v>101</v>
      </c>
      <c r="J121" s="25">
        <f ca="1">(IF(B115&gt;1,(H115/(B115+2)+J120),H115/4+J120))</f>
        <v>6.5</v>
      </c>
    </row>
    <row r="122" spans="1:10" s="28" customFormat="1" ht="15.75" customHeight="1" x14ac:dyDescent="0.25">
      <c r="A122" s="91" t="s">
        <v>136</v>
      </c>
      <c r="B122" s="92" t="s">
        <v>129</v>
      </c>
      <c r="C122" s="64">
        <v>11</v>
      </c>
      <c r="D122" s="65">
        <f ca="1">((100/H115)*C122)/100</f>
        <v>0.84615384615384615</v>
      </c>
      <c r="E122" s="116"/>
      <c r="F122" s="117"/>
      <c r="G122" s="116"/>
      <c r="H122" s="121"/>
      <c r="I122" s="14" t="s">
        <v>145</v>
      </c>
      <c r="J122" s="25">
        <f>(IF(B115&gt;1,(H115/(B115+2)+J121),0))</f>
        <v>0</v>
      </c>
    </row>
    <row r="123" spans="1:10" s="28" customFormat="1" ht="15.75" customHeight="1" x14ac:dyDescent="0.25">
      <c r="A123" s="91" t="s">
        <v>134</v>
      </c>
      <c r="B123" s="92" t="s">
        <v>131</v>
      </c>
      <c r="C123" s="64">
        <v>7</v>
      </c>
      <c r="D123" s="65">
        <f ca="1">((100/(H115))*C123)/100</f>
        <v>0.53846153846153844</v>
      </c>
      <c r="E123" s="116"/>
      <c r="F123" s="117"/>
      <c r="G123" s="116"/>
      <c r="H123" s="121"/>
      <c r="I123" s="14" t="s">
        <v>142</v>
      </c>
      <c r="J123" s="25">
        <f>(IF(B115&gt;2,(H115/(B115+2)+J122),0))</f>
        <v>0</v>
      </c>
    </row>
    <row r="124" spans="1:10" s="28" customFormat="1" ht="15.75" customHeight="1" x14ac:dyDescent="0.25">
      <c r="A124" s="91" t="s">
        <v>130</v>
      </c>
      <c r="B124" s="92" t="s">
        <v>130</v>
      </c>
      <c r="C124" s="64">
        <v>2</v>
      </c>
      <c r="D124" s="65">
        <f ca="1">((100/H115)*C124)/100</f>
        <v>0.15384615384615385</v>
      </c>
      <c r="E124" s="116"/>
      <c r="F124" s="117"/>
      <c r="G124" s="116"/>
      <c r="H124" s="121"/>
      <c r="I124" s="14" t="s">
        <v>143</v>
      </c>
      <c r="J124" s="26">
        <f>(IF(B115&gt;3,(H115/(B115+2)+J123),0))</f>
        <v>0</v>
      </c>
    </row>
    <row r="125" spans="1:10" s="28" customFormat="1" ht="15.75" customHeight="1" x14ac:dyDescent="0.25">
      <c r="A125" s="91" t="s">
        <v>137</v>
      </c>
      <c r="B125" s="92"/>
      <c r="C125" s="64">
        <v>0</v>
      </c>
      <c r="D125" s="65">
        <f ca="1">((100/H115)*C125)/100</f>
        <v>0</v>
      </c>
      <c r="E125" s="116"/>
      <c r="F125" s="117"/>
      <c r="G125" s="116"/>
      <c r="H125" s="121"/>
      <c r="I125" s="14" t="s">
        <v>144</v>
      </c>
      <c r="J125" s="25">
        <f>(IF(B115&gt;4,(H115/(B115+2)+J124),0))</f>
        <v>0</v>
      </c>
    </row>
    <row r="126" spans="1:10" ht="15.75" customHeight="1" x14ac:dyDescent="0.25">
      <c r="A126" s="91" t="s">
        <v>132</v>
      </c>
      <c r="B126" s="92" t="s">
        <v>132</v>
      </c>
      <c r="C126" s="64">
        <v>0</v>
      </c>
      <c r="D126" s="65">
        <f ca="1">((100/(H115))*C126)/100</f>
        <v>0</v>
      </c>
      <c r="E126" s="116"/>
      <c r="F126" s="117"/>
      <c r="G126" s="116"/>
      <c r="H126" s="121"/>
      <c r="I126" s="14" t="s">
        <v>146</v>
      </c>
      <c r="J126" s="25">
        <f ca="1">(IF(B115=1,(H115/(B115+3)+J121),IF(B115=0,(H115/4+J121),IF(B115&gt;1,0))))</f>
        <v>9.75</v>
      </c>
    </row>
    <row r="127" spans="1:10" s="29" customFormat="1" ht="16.5" thickBot="1" x14ac:dyDescent="0.3">
      <c r="A127" s="111" t="s">
        <v>133</v>
      </c>
      <c r="B127" s="112"/>
      <c r="C127" s="67">
        <v>0</v>
      </c>
      <c r="D127" s="68">
        <f ca="1">((100/(H115))*C127)/100</f>
        <v>0</v>
      </c>
      <c r="E127" s="118"/>
      <c r="F127" s="119"/>
      <c r="G127" s="118"/>
      <c r="H127" s="122"/>
      <c r="I127" s="15" t="s">
        <v>102</v>
      </c>
      <c r="J127" s="27">
        <f ca="1">(IF(B115&gt;1.5,(H115/(B115+2)+J121+MAX(0,J122-J121)+MAX(0,J123-J122)+MAX(0,J124-J123)+MAX(0,J125-J124)+MAX(0,J126-J125)),IF(B115=1,(H115/(B115+3)+J126),IF(B115=0,H115/4+J126))))</f>
        <v>13</v>
      </c>
    </row>
    <row r="128" spans="1:10" s="30" customFormat="1" ht="15.75" customHeight="1" x14ac:dyDescent="0.25">
      <c r="A128" s="110" t="s">
        <v>155</v>
      </c>
      <c r="B128" s="110"/>
      <c r="C128" s="110"/>
      <c r="D128" s="110"/>
      <c r="E128" s="110"/>
      <c r="F128" s="84" t="s">
        <v>159</v>
      </c>
      <c r="G128" s="84"/>
      <c r="H128" s="84"/>
      <c r="I128" s="16"/>
      <c r="J128" s="16"/>
    </row>
    <row r="129" spans="1:14" s="30" customFormat="1" ht="15.75" customHeight="1" x14ac:dyDescent="0.25">
      <c r="A129" s="86" t="s">
        <v>157</v>
      </c>
      <c r="B129" s="86"/>
      <c r="C129" s="86"/>
      <c r="D129" s="86"/>
      <c r="E129" s="86"/>
      <c r="F129" s="113">
        <v>19000</v>
      </c>
      <c r="G129" s="113"/>
      <c r="H129" s="113"/>
      <c r="I129" s="16"/>
      <c r="J129" s="16"/>
    </row>
    <row r="130" spans="1:14" s="30" customFormat="1" x14ac:dyDescent="0.25">
      <c r="A130" s="86" t="s">
        <v>156</v>
      </c>
      <c r="B130" s="86"/>
      <c r="C130" s="86"/>
      <c r="D130" s="86"/>
      <c r="E130" s="86"/>
      <c r="F130" s="113">
        <v>40000</v>
      </c>
      <c r="G130" s="113"/>
      <c r="H130" s="113"/>
      <c r="I130" s="71" t="s">
        <v>264</v>
      </c>
      <c r="J130" s="71"/>
      <c r="K130" s="72"/>
      <c r="L130" s="72"/>
    </row>
    <row r="131" spans="1:14" s="30" customFormat="1" x14ac:dyDescent="0.25">
      <c r="A131" s="86" t="s">
        <v>158</v>
      </c>
      <c r="B131" s="86"/>
      <c r="C131" s="86"/>
      <c r="D131" s="86"/>
      <c r="E131" s="86"/>
      <c r="F131" s="113">
        <v>24000</v>
      </c>
      <c r="G131" s="113"/>
      <c r="H131" s="113"/>
      <c r="I131" s="16"/>
      <c r="J131" s="16"/>
    </row>
    <row r="132" spans="1:14" s="30" customFormat="1" hidden="1" x14ac:dyDescent="0.25">
      <c r="A132" s="86" t="s">
        <v>173</v>
      </c>
      <c r="B132" s="86"/>
      <c r="C132" s="86"/>
      <c r="D132" s="86"/>
      <c r="E132" s="86"/>
      <c r="F132" s="113"/>
      <c r="G132" s="113"/>
      <c r="H132" s="113"/>
      <c r="I132" s="28"/>
      <c r="J132" s="28"/>
    </row>
    <row r="133" spans="1:14" s="30" customFormat="1" x14ac:dyDescent="0.25">
      <c r="A133" s="86" t="s">
        <v>263</v>
      </c>
      <c r="B133" s="86"/>
      <c r="C133" s="86"/>
      <c r="D133" s="86"/>
      <c r="E133" s="86"/>
      <c r="F133" s="113">
        <v>120000</v>
      </c>
      <c r="G133" s="113"/>
      <c r="H133" s="113"/>
      <c r="I133" s="28"/>
      <c r="J133" s="28"/>
    </row>
    <row r="134" spans="1:14" s="30" customFormat="1" ht="15.75" hidden="1" customHeight="1" x14ac:dyDescent="0.25">
      <c r="A134" s="86" t="s">
        <v>94</v>
      </c>
      <c r="B134" s="86"/>
      <c r="C134" s="86"/>
      <c r="D134" s="86"/>
      <c r="E134" s="86"/>
      <c r="F134" s="113"/>
      <c r="G134" s="113"/>
      <c r="H134" s="113"/>
      <c r="I134" s="28"/>
      <c r="J134" s="28"/>
    </row>
    <row r="135" spans="1:14" s="30" customFormat="1" hidden="1" x14ac:dyDescent="0.25">
      <c r="A135" s="86" t="s">
        <v>160</v>
      </c>
      <c r="B135" s="86"/>
      <c r="C135" s="86"/>
      <c r="D135" s="86"/>
      <c r="E135" s="86"/>
      <c r="F135" s="113"/>
      <c r="G135" s="113"/>
      <c r="H135" s="113"/>
      <c r="I135" s="28"/>
      <c r="J135" s="28"/>
    </row>
    <row r="136" spans="1:14" s="30" customFormat="1" hidden="1" x14ac:dyDescent="0.25">
      <c r="A136" s="86" t="s">
        <v>95</v>
      </c>
      <c r="B136" s="86"/>
      <c r="C136" s="86"/>
      <c r="D136" s="86"/>
      <c r="E136" s="86"/>
      <c r="F136" s="113"/>
      <c r="G136" s="113"/>
      <c r="H136" s="113"/>
      <c r="I136" s="28"/>
      <c r="J136" s="28"/>
    </row>
    <row r="137" spans="1:14" s="30" customFormat="1" hidden="1" x14ac:dyDescent="0.25">
      <c r="A137" s="86" t="s">
        <v>96</v>
      </c>
      <c r="B137" s="86"/>
      <c r="C137" s="86"/>
      <c r="D137" s="86"/>
      <c r="E137" s="86"/>
      <c r="F137" s="113"/>
      <c r="G137" s="113"/>
      <c r="H137" s="113"/>
      <c r="I137" s="28"/>
      <c r="J137" s="28"/>
    </row>
    <row r="138" spans="1:14" s="30" customFormat="1" x14ac:dyDescent="0.25">
      <c r="A138" s="86" t="s">
        <v>262</v>
      </c>
      <c r="B138" s="86"/>
      <c r="C138" s="86"/>
      <c r="D138" s="86"/>
      <c r="E138" s="86"/>
      <c r="F138" s="113">
        <v>90000</v>
      </c>
      <c r="G138" s="113"/>
      <c r="H138" s="113"/>
      <c r="I138" s="28"/>
      <c r="J138" s="28"/>
    </row>
    <row r="139" spans="1:14" s="29" customFormat="1" x14ac:dyDescent="0.25">
      <c r="A139" s="86" t="s">
        <v>97</v>
      </c>
      <c r="B139" s="86"/>
      <c r="C139" s="86"/>
      <c r="D139" s="86"/>
      <c r="E139" s="86"/>
      <c r="F139" s="113">
        <v>50000</v>
      </c>
      <c r="G139" s="113"/>
      <c r="H139" s="113"/>
      <c r="I139" s="28"/>
      <c r="J139" s="28"/>
    </row>
    <row r="140" spans="1:14" x14ac:dyDescent="0.25">
      <c r="A140" s="86" t="s">
        <v>51</v>
      </c>
      <c r="B140" s="86"/>
      <c r="C140" s="86"/>
      <c r="D140" s="86"/>
      <c r="E140" s="86"/>
      <c r="F140" s="113">
        <v>800000</v>
      </c>
      <c r="G140" s="113"/>
      <c r="H140" s="113"/>
      <c r="K140" s="47"/>
      <c r="L140" s="47"/>
    </row>
    <row r="141" spans="1:14" x14ac:dyDescent="0.25">
      <c r="A141" s="140" t="s">
        <v>52</v>
      </c>
      <c r="B141" s="140"/>
      <c r="C141" s="140"/>
      <c r="D141" s="140"/>
      <c r="E141" s="140"/>
      <c r="F141" s="113">
        <f>F129*0.8</f>
        <v>15200</v>
      </c>
      <c r="G141" s="113"/>
      <c r="H141" s="113"/>
      <c r="I141" s="29"/>
      <c r="J141" s="29"/>
    </row>
    <row r="142" spans="1:14" s="32" customFormat="1" x14ac:dyDescent="0.25">
      <c r="A142" s="139" t="s">
        <v>230</v>
      </c>
      <c r="B142" s="139"/>
      <c r="C142" s="139"/>
      <c r="D142" s="139"/>
      <c r="E142" s="139"/>
      <c r="F142" s="139"/>
      <c r="G142" s="139"/>
      <c r="H142" s="139"/>
      <c r="I142" s="30"/>
      <c r="J142" s="30"/>
    </row>
    <row r="143" spans="1:14" s="32" customFormat="1" x14ac:dyDescent="0.25">
      <c r="A143" s="85" t="s">
        <v>53</v>
      </c>
      <c r="B143" s="85"/>
      <c r="C143" s="77" t="s">
        <v>77</v>
      </c>
      <c r="D143" s="77"/>
      <c r="E143" s="135" t="s">
        <v>54</v>
      </c>
      <c r="F143" s="135"/>
      <c r="G143" s="85" t="s">
        <v>55</v>
      </c>
      <c r="H143" s="85"/>
      <c r="I143" s="30"/>
      <c r="J143" s="30"/>
    </row>
    <row r="144" spans="1:14" s="32" customFormat="1" x14ac:dyDescent="0.25">
      <c r="A144" s="83" t="s">
        <v>231</v>
      </c>
      <c r="B144" s="83"/>
      <c r="C144" s="79">
        <f>COUNT(D168:D171)</f>
        <v>4</v>
      </c>
      <c r="D144" s="80"/>
      <c r="E144" s="81">
        <f>SUM(D168:D171)</f>
        <v>677.76279479999994</v>
      </c>
      <c r="F144" s="82"/>
      <c r="G144" s="81">
        <f>SUM(F168:F171)</f>
        <v>1084.42047168</v>
      </c>
      <c r="H144" s="82"/>
      <c r="I144" s="30"/>
      <c r="J144" s="30"/>
      <c r="L144" s="136"/>
      <c r="M144" s="136"/>
      <c r="N144" s="31"/>
    </row>
    <row r="145" spans="1:14" s="32" customFormat="1" x14ac:dyDescent="0.25">
      <c r="A145" s="83" t="s">
        <v>234</v>
      </c>
      <c r="B145" s="83"/>
      <c r="C145" s="79">
        <f>COUNT(D178:D185)</f>
        <v>8</v>
      </c>
      <c r="D145" s="80"/>
      <c r="E145" s="81">
        <f>SUM(D178:D185)</f>
        <v>1443.4394831999998</v>
      </c>
      <c r="F145" s="82"/>
      <c r="G145" s="81">
        <f>SUM(F178:F185)</f>
        <v>2309.5031731200002</v>
      </c>
      <c r="H145" s="82"/>
      <c r="I145" s="30"/>
      <c r="J145" s="30"/>
      <c r="L145" s="136"/>
      <c r="M145" s="136"/>
      <c r="N145" s="31"/>
    </row>
    <row r="146" spans="1:14" s="32" customFormat="1" x14ac:dyDescent="0.25">
      <c r="A146" s="139" t="s">
        <v>149</v>
      </c>
      <c r="B146" s="139"/>
      <c r="C146" s="76">
        <f>SUM(C144:D145)</f>
        <v>12</v>
      </c>
      <c r="D146" s="77"/>
      <c r="E146" s="76">
        <f>SUM(E144:F145)</f>
        <v>2121.2022779999998</v>
      </c>
      <c r="F146" s="77"/>
      <c r="G146" s="76">
        <f>SUM(G144:H145)</f>
        <v>3393.9236448000001</v>
      </c>
      <c r="H146" s="77"/>
      <c r="I146" s="30"/>
      <c r="J146" s="30"/>
      <c r="L146" s="136"/>
      <c r="M146" s="136"/>
      <c r="N146" s="31"/>
    </row>
    <row r="147" spans="1:14" s="32" customFormat="1" x14ac:dyDescent="0.25">
      <c r="A147" s="139" t="s">
        <v>232</v>
      </c>
      <c r="B147" s="139"/>
      <c r="C147" s="139"/>
      <c r="D147" s="139"/>
      <c r="E147" s="139"/>
      <c r="F147" s="139"/>
      <c r="G147" s="139"/>
      <c r="H147" s="139"/>
      <c r="I147" s="30"/>
      <c r="J147" s="30"/>
      <c r="L147" s="136"/>
      <c r="M147" s="136"/>
      <c r="N147" s="31"/>
    </row>
    <row r="148" spans="1:14" s="32" customFormat="1" x14ac:dyDescent="0.25">
      <c r="A148" s="85" t="s">
        <v>53</v>
      </c>
      <c r="B148" s="85"/>
      <c r="C148" s="77" t="s">
        <v>77</v>
      </c>
      <c r="D148" s="77"/>
      <c r="E148" s="135" t="s">
        <v>54</v>
      </c>
      <c r="F148" s="135"/>
      <c r="G148" s="85" t="s">
        <v>55</v>
      </c>
      <c r="H148" s="85"/>
      <c r="I148" s="30"/>
      <c r="J148" s="30"/>
      <c r="K148" s="46"/>
      <c r="L148" s="46"/>
      <c r="M148" s="46"/>
      <c r="N148" s="31"/>
    </row>
    <row r="149" spans="1:14" x14ac:dyDescent="0.25">
      <c r="A149" s="83" t="s">
        <v>231</v>
      </c>
      <c r="B149" s="83"/>
      <c r="C149" s="79">
        <f>COUNT(D173:D174)</f>
        <v>2</v>
      </c>
      <c r="D149" s="80"/>
      <c r="E149" s="81">
        <f>SUM(D173:D174)</f>
        <v>1313.6385599999999</v>
      </c>
      <c r="F149" s="82"/>
      <c r="G149" s="81">
        <f>SUM(F173:F174)</f>
        <v>2101.8216959999995</v>
      </c>
      <c r="H149" s="82"/>
      <c r="I149" s="30"/>
      <c r="J149" s="30"/>
    </row>
    <row r="150" spans="1:14" s="32" customFormat="1" x14ac:dyDescent="0.25">
      <c r="A150" s="83" t="s">
        <v>233</v>
      </c>
      <c r="B150" s="83"/>
      <c r="C150" s="79">
        <f>COUNT(D187)</f>
        <v>1</v>
      </c>
      <c r="D150" s="80"/>
      <c r="E150" s="81">
        <f>SUM(D187)</f>
        <v>1321.60392</v>
      </c>
      <c r="F150" s="82"/>
      <c r="G150" s="81">
        <f>SUM(F187)</f>
        <v>2114.566272</v>
      </c>
      <c r="H150" s="82"/>
      <c r="I150" s="30"/>
      <c r="J150" s="30"/>
    </row>
    <row r="151" spans="1:14" s="32" customFormat="1" x14ac:dyDescent="0.25">
      <c r="A151" s="139" t="s">
        <v>149</v>
      </c>
      <c r="B151" s="139"/>
      <c r="C151" s="76">
        <f>SUM(C149:D150)</f>
        <v>3</v>
      </c>
      <c r="D151" s="77"/>
      <c r="E151" s="76">
        <f>SUM(E149:F150)</f>
        <v>2635.2424799999999</v>
      </c>
      <c r="F151" s="77"/>
      <c r="G151" s="76">
        <f>SUM(G149:H150)</f>
        <v>4216.3879679999991</v>
      </c>
      <c r="H151" s="77"/>
      <c r="I151" s="30"/>
      <c r="J151" s="30"/>
    </row>
    <row r="152" spans="1:14" s="32" customFormat="1" x14ac:dyDescent="0.25">
      <c r="A152" s="139" t="s">
        <v>235</v>
      </c>
      <c r="B152" s="139"/>
      <c r="C152" s="139"/>
      <c r="D152" s="139"/>
      <c r="E152" s="139"/>
      <c r="F152" s="139"/>
      <c r="G152" s="139"/>
      <c r="H152" s="139"/>
      <c r="I152" s="30"/>
      <c r="J152" s="30"/>
      <c r="L152" s="136"/>
      <c r="M152" s="136"/>
      <c r="N152" s="31"/>
    </row>
    <row r="153" spans="1:14" s="32" customFormat="1" x14ac:dyDescent="0.25">
      <c r="A153" s="85" t="s">
        <v>53</v>
      </c>
      <c r="B153" s="85"/>
      <c r="C153" s="77" t="s">
        <v>77</v>
      </c>
      <c r="D153" s="77"/>
      <c r="E153" s="135" t="s">
        <v>54</v>
      </c>
      <c r="F153" s="135"/>
      <c r="G153" s="85" t="s">
        <v>55</v>
      </c>
      <c r="H153" s="85"/>
      <c r="I153" s="29"/>
      <c r="J153" s="29"/>
      <c r="L153" s="136"/>
      <c r="M153" s="136"/>
      <c r="N153" s="31"/>
    </row>
    <row r="154" spans="1:14" s="32" customFormat="1" x14ac:dyDescent="0.25">
      <c r="A154" s="83" t="s">
        <v>231</v>
      </c>
      <c r="B154" s="83"/>
      <c r="C154" s="80">
        <f>COUNT(D199:D202)+COUNT(D204:D208)+COUNT(D210:D214)*9+COUNT(D216:D218)</f>
        <v>57</v>
      </c>
      <c r="D154" s="80"/>
      <c r="E154" s="81">
        <f>SUM(D199:D202)+SUM(D204:D208)+SUM(D210:D214)*9+SUM(D216:D218)</f>
        <v>24774.530040000001</v>
      </c>
      <c r="F154" s="81"/>
      <c r="G154" s="81">
        <f>SUM(F199:F202)+SUM(F204:F208)+SUM(F210:F214)*9+SUM(F216:F218)</f>
        <v>37161.795059999997</v>
      </c>
      <c r="H154" s="141"/>
      <c r="I154" s="47"/>
      <c r="J154" s="47"/>
      <c r="L154" s="136"/>
      <c r="M154" s="136"/>
      <c r="N154" s="31"/>
    </row>
    <row r="155" spans="1:14" s="32" customFormat="1" x14ac:dyDescent="0.25">
      <c r="A155" s="83" t="s">
        <v>234</v>
      </c>
      <c r="B155" s="83"/>
      <c r="C155" s="80">
        <f>COUNT(D223:D224)+COUNT(D228:D231)+COUNT(D233:D236)*9+COUNT(D239:D241)</f>
        <v>45</v>
      </c>
      <c r="D155" s="80"/>
      <c r="E155" s="81">
        <f>SUM(D223:D224)+SUM(D228:D231)+SUM(D233:D236)*9+SUM(D239:D241)</f>
        <v>22693.52592</v>
      </c>
      <c r="F155" s="81"/>
      <c r="G155" s="81">
        <f>SUM(F223:F224)+SUM(F228:F231)+SUM(F233:F236)*9+SUM(F239:F241)</f>
        <v>34040.28888</v>
      </c>
      <c r="H155" s="81"/>
      <c r="I155" s="16"/>
      <c r="J155" s="16"/>
      <c r="L155" s="136"/>
      <c r="M155" s="136"/>
      <c r="N155" s="31"/>
    </row>
    <row r="156" spans="1:14" s="32" customFormat="1" hidden="1" x14ac:dyDescent="0.25">
      <c r="A156" s="83" t="s">
        <v>236</v>
      </c>
      <c r="B156" s="83"/>
      <c r="C156" s="79">
        <f>COUNT(D244:D246)</f>
        <v>3</v>
      </c>
      <c r="D156" s="80"/>
      <c r="E156" s="81">
        <f>SUM(D244:D246)</f>
        <v>1572.5127599999998</v>
      </c>
      <c r="F156" s="81"/>
      <c r="G156" s="81">
        <f>SUM(F244:F246)</f>
        <v>2358.7691399999999</v>
      </c>
      <c r="H156" s="81"/>
      <c r="L156" s="136"/>
      <c r="M156" s="136"/>
    </row>
    <row r="157" spans="1:14" s="32" customFormat="1" x14ac:dyDescent="0.25">
      <c r="A157" s="83" t="s">
        <v>237</v>
      </c>
      <c r="B157" s="83"/>
      <c r="C157" s="80">
        <f>COUNT(D254:D255)+COUNT(D259:D260)+COUNT(D262:D265)+COUNT(D267:D270)*9+COUNT(D272:D273,D275)</f>
        <v>47</v>
      </c>
      <c r="D157" s="80"/>
      <c r="E157" s="81">
        <f>SUM(D254:D255)+SUM(D259:D260)+SUM(D262:D265)+SUM(D267:D270)*9+SUM(D272:D273,D275)</f>
        <v>25803.460800000004</v>
      </c>
      <c r="F157" s="81"/>
      <c r="G157" s="81">
        <f>SUM(F254:F255)+SUM(F259:F260)+SUM(F262:F265)+SUM(F267:F270)*9+SUM(F272:F273,F275)</f>
        <v>38705.191199999994</v>
      </c>
      <c r="H157" s="81"/>
      <c r="J157" s="31"/>
      <c r="N157" s="31"/>
    </row>
    <row r="158" spans="1:14" s="32" customFormat="1" ht="16.5" thickBot="1" x14ac:dyDescent="0.3">
      <c r="A158" s="137" t="s">
        <v>149</v>
      </c>
      <c r="B158" s="137"/>
      <c r="C158" s="214">
        <f>SUM(C154+C155+C157)</f>
        <v>149</v>
      </c>
      <c r="D158" s="214"/>
      <c r="E158" s="138">
        <f>SUM(E154+E155+E157)</f>
        <v>73271.516759999999</v>
      </c>
      <c r="F158" s="138"/>
      <c r="G158" s="138">
        <f>SUM(G154+G155+G157)</f>
        <v>109907.27513999998</v>
      </c>
      <c r="H158" s="138"/>
      <c r="I158" s="31"/>
      <c r="N158" s="31"/>
    </row>
    <row r="159" spans="1:14" s="32" customFormat="1" ht="16.5" thickBot="1" x14ac:dyDescent="0.3">
      <c r="A159" s="222" t="s">
        <v>165</v>
      </c>
      <c r="B159" s="223"/>
      <c r="C159" s="224">
        <f>C146+C151+C158</f>
        <v>164</v>
      </c>
      <c r="D159" s="225"/>
      <c r="E159" s="224">
        <f>E146+E151+E158</f>
        <v>78027.961517999996</v>
      </c>
      <c r="F159" s="224"/>
      <c r="G159" s="224">
        <f t="shared" ref="G159" si="0">G146+G151+G158</f>
        <v>117517.58675279998</v>
      </c>
      <c r="H159" s="224"/>
      <c r="I159" s="31"/>
      <c r="N159" s="31"/>
    </row>
    <row r="160" spans="1:14" s="32" customFormat="1" x14ac:dyDescent="0.25">
      <c r="A160" s="84" t="s">
        <v>56</v>
      </c>
      <c r="B160" s="84"/>
      <c r="C160" s="84"/>
      <c r="D160" s="84"/>
      <c r="E160" s="84"/>
      <c r="F160" s="84"/>
      <c r="G160" s="84"/>
      <c r="H160" s="84"/>
      <c r="I160" s="31"/>
      <c r="N160" s="31"/>
    </row>
    <row r="161" spans="1:14" s="32" customFormat="1" ht="15.75" customHeight="1" x14ac:dyDescent="0.25">
      <c r="A161" s="177" t="s">
        <v>172</v>
      </c>
      <c r="B161" s="177"/>
      <c r="C161" s="177"/>
      <c r="D161" s="177"/>
      <c r="E161" s="177"/>
      <c r="F161" s="177"/>
      <c r="G161" s="177"/>
      <c r="H161" s="177"/>
      <c r="I161" s="31"/>
      <c r="N161" s="31"/>
    </row>
    <row r="162" spans="1:14" s="32" customFormat="1" ht="33.75" customHeight="1" x14ac:dyDescent="0.25">
      <c r="A162" s="133" t="s">
        <v>118</v>
      </c>
      <c r="B162" s="133" t="s">
        <v>117</v>
      </c>
      <c r="C162" s="133" t="s">
        <v>57</v>
      </c>
      <c r="D162" s="133" t="s">
        <v>58</v>
      </c>
      <c r="E162" s="208" t="s">
        <v>154</v>
      </c>
      <c r="F162" s="38" t="s">
        <v>148</v>
      </c>
      <c r="G162" s="210" t="s">
        <v>60</v>
      </c>
      <c r="H162" s="215"/>
      <c r="I162" s="78"/>
      <c r="J162" s="46"/>
    </row>
    <row r="163" spans="1:14" s="32" customFormat="1" ht="15.75" customHeight="1" x14ac:dyDescent="0.25">
      <c r="A163" s="134"/>
      <c r="B163" s="134"/>
      <c r="C163" s="134"/>
      <c r="D163" s="134"/>
      <c r="E163" s="209"/>
      <c r="F163" s="13">
        <v>0.6</v>
      </c>
      <c r="G163" s="212"/>
      <c r="H163" s="213"/>
      <c r="I163" s="78"/>
      <c r="J163" s="16"/>
    </row>
    <row r="164" spans="1:14" s="32" customFormat="1" ht="15.75" customHeight="1" x14ac:dyDescent="0.25">
      <c r="A164" s="107" t="s">
        <v>198</v>
      </c>
      <c r="B164" s="108"/>
      <c r="C164" s="108"/>
      <c r="D164" s="108"/>
      <c r="E164" s="108"/>
      <c r="F164" s="108"/>
      <c r="G164" s="108"/>
      <c r="H164" s="109"/>
      <c r="I164" s="31"/>
    </row>
    <row r="165" spans="1:14" s="32" customFormat="1" ht="15.75" customHeight="1" x14ac:dyDescent="0.25">
      <c r="A165" s="107" t="s">
        <v>199</v>
      </c>
      <c r="B165" s="108"/>
      <c r="C165" s="108"/>
      <c r="D165" s="108"/>
      <c r="E165" s="108"/>
      <c r="F165" s="108"/>
      <c r="G165" s="108"/>
      <c r="H165" s="109"/>
      <c r="I165" s="31"/>
    </row>
    <row r="166" spans="1:14" s="32" customFormat="1" ht="15.75" customHeight="1" x14ac:dyDescent="0.25">
      <c r="A166" s="107" t="s">
        <v>197</v>
      </c>
      <c r="B166" s="108"/>
      <c r="C166" s="108"/>
      <c r="D166" s="108"/>
      <c r="E166" s="108"/>
      <c r="F166" s="108"/>
      <c r="G166" s="108"/>
      <c r="H166" s="109"/>
    </row>
    <row r="167" spans="1:14" s="32" customFormat="1" ht="15.75" customHeight="1" x14ac:dyDescent="0.25">
      <c r="A167" s="107" t="s">
        <v>200</v>
      </c>
      <c r="B167" s="108"/>
      <c r="C167" s="108"/>
      <c r="D167" s="108"/>
      <c r="E167" s="108"/>
      <c r="F167" s="108"/>
      <c r="G167" s="108"/>
      <c r="H167" s="109"/>
    </row>
    <row r="168" spans="1:14" s="32" customFormat="1" ht="15.75" customHeight="1" x14ac:dyDescent="0.25">
      <c r="A168" s="94">
        <v>1</v>
      </c>
      <c r="B168" s="96"/>
      <c r="C168" s="37" t="s">
        <v>201</v>
      </c>
      <c r="D168" s="37">
        <f>21.29*10.764</f>
        <v>229.16555999999997</v>
      </c>
      <c r="E168" s="37">
        <v>0</v>
      </c>
      <c r="F168" s="37">
        <f>(D168+E168)*(($F$163)+1)</f>
        <v>366.664896</v>
      </c>
      <c r="G168" s="98" t="str">
        <f>A167</f>
        <v>Ground Floor For Commerical, Meter Room &amp; Parking</v>
      </c>
      <c r="H168" s="100"/>
      <c r="I168" s="31">
        <f>(((4.21+3.39)/2)*4.75+((1.77+1.96)/2)*0.97+1.2*1.9)</f>
        <v>22.139050000000001</v>
      </c>
    </row>
    <row r="169" spans="1:14" s="32" customFormat="1" ht="15.75" customHeight="1" x14ac:dyDescent="0.25">
      <c r="A169" s="94">
        <f t="shared" ref="A169:A171" si="1">A168+1</f>
        <v>2</v>
      </c>
      <c r="B169" s="96"/>
      <c r="C169" s="37" t="s">
        <v>201</v>
      </c>
      <c r="D169" s="37">
        <f>13.72*10.764</f>
        <v>147.68207999999998</v>
      </c>
      <c r="E169" s="37">
        <v>0</v>
      </c>
      <c r="F169" s="37">
        <f>(D169+E169)*(($F$163)+1)</f>
        <v>236.29132799999999</v>
      </c>
      <c r="G169" s="105"/>
      <c r="H169" s="106"/>
      <c r="I169" s="31">
        <f>(((4.76+4.23)/2)*3.05)</f>
        <v>13.70975</v>
      </c>
    </row>
    <row r="170" spans="1:14" s="32" customFormat="1" ht="15.75" customHeight="1" x14ac:dyDescent="0.25">
      <c r="A170" s="94">
        <f t="shared" si="1"/>
        <v>3</v>
      </c>
      <c r="B170" s="96"/>
      <c r="C170" s="37" t="s">
        <v>201</v>
      </c>
      <c r="D170" s="37">
        <f>13.58*10.764</f>
        <v>146.17511999999999</v>
      </c>
      <c r="E170" s="37">
        <v>0</v>
      </c>
      <c r="F170" s="37">
        <f>(D170+E170)*(($F$163)+1)</f>
        <v>233.88019199999999</v>
      </c>
      <c r="G170" s="105"/>
      <c r="H170" s="106"/>
      <c r="I170" s="31">
        <f>(((3.95+3.52)/2)*2.67+1.35*1.47+1.2*0.9)</f>
        <v>13.036950000000001</v>
      </c>
    </row>
    <row r="171" spans="1:14" s="32" customFormat="1" x14ac:dyDescent="0.25">
      <c r="A171" s="94">
        <f t="shared" si="1"/>
        <v>4</v>
      </c>
      <c r="B171" s="96"/>
      <c r="C171" s="37" t="s">
        <v>201</v>
      </c>
      <c r="D171" s="70">
        <f>(((4.38+3.9)/2)*2.68+1.35*1.63+1.2*0.9)*10.764</f>
        <v>154.74003479999999</v>
      </c>
      <c r="E171" s="37">
        <v>0</v>
      </c>
      <c r="F171" s="37">
        <f>(D171+E171)*(($F$163)+1)</f>
        <v>247.58405568000001</v>
      </c>
      <c r="G171" s="101"/>
      <c r="H171" s="103"/>
      <c r="I171" s="58" t="s">
        <v>238</v>
      </c>
      <c r="J171" s="58"/>
    </row>
    <row r="172" spans="1:14" s="32" customFormat="1" x14ac:dyDescent="0.25">
      <c r="A172" s="107" t="s">
        <v>224</v>
      </c>
      <c r="B172" s="108"/>
      <c r="C172" s="108"/>
      <c r="D172" s="108"/>
      <c r="E172" s="108"/>
      <c r="F172" s="108"/>
      <c r="G172" s="108"/>
      <c r="H172" s="109"/>
      <c r="I172" s="31"/>
    </row>
    <row r="173" spans="1:14" s="32" customFormat="1" x14ac:dyDescent="0.25">
      <c r="A173" s="94">
        <v>1</v>
      </c>
      <c r="B173" s="96"/>
      <c r="C173" s="37" t="s">
        <v>208</v>
      </c>
      <c r="D173" s="37">
        <f>(95.32)*10.764</f>
        <v>1026.0244799999998</v>
      </c>
      <c r="E173" s="37">
        <v>0</v>
      </c>
      <c r="F173" s="37">
        <f>(D173+E173)*(($F$163)+1)</f>
        <v>1641.6391679999997</v>
      </c>
      <c r="G173" s="98" t="str">
        <f>A172</f>
        <v>1st Floor For Part Office &amp; Parking</v>
      </c>
      <c r="H173" s="100"/>
      <c r="I173" s="31">
        <f>(5.5*3.5+4.6*5+5.62*1.6+4.4*1.9+3.4*2.75+5*5.8+1.35*2.15+2.07*1.35)</f>
        <v>103.649</v>
      </c>
    </row>
    <row r="174" spans="1:14" s="32" customFormat="1" x14ac:dyDescent="0.25">
      <c r="A174" s="94">
        <f t="shared" ref="A174" si="2">A173+1</f>
        <v>2</v>
      </c>
      <c r="B174" s="96"/>
      <c r="C174" s="37" t="s">
        <v>207</v>
      </c>
      <c r="D174" s="37">
        <f>(26.72)*10.764</f>
        <v>287.61407999999994</v>
      </c>
      <c r="E174" s="37">
        <v>0</v>
      </c>
      <c r="F174" s="37">
        <f>(D174+E174)*(($F$163)+1)</f>
        <v>460.18252799999993</v>
      </c>
      <c r="G174" s="105"/>
      <c r="H174" s="106"/>
      <c r="I174" s="31">
        <f>(4.92*3.05+3.5*2.3+1.35*2)</f>
        <v>25.755999999999997</v>
      </c>
    </row>
    <row r="175" spans="1:14" s="32" customFormat="1" x14ac:dyDescent="0.25">
      <c r="A175" s="107" t="s">
        <v>202</v>
      </c>
      <c r="B175" s="108"/>
      <c r="C175" s="108"/>
      <c r="D175" s="108"/>
      <c r="E175" s="108"/>
      <c r="F175" s="108"/>
      <c r="G175" s="108"/>
      <c r="H175" s="109"/>
      <c r="I175" s="31"/>
    </row>
    <row r="176" spans="1:14" s="32" customFormat="1" x14ac:dyDescent="0.25">
      <c r="A176" s="107" t="s">
        <v>197</v>
      </c>
      <c r="B176" s="108"/>
      <c r="C176" s="108"/>
      <c r="D176" s="108"/>
      <c r="E176" s="108"/>
      <c r="F176" s="108"/>
      <c r="G176" s="108"/>
      <c r="H176" s="109"/>
      <c r="I176" s="31"/>
    </row>
    <row r="177" spans="1:10" s="32" customFormat="1" x14ac:dyDescent="0.25">
      <c r="A177" s="107" t="s">
        <v>200</v>
      </c>
      <c r="B177" s="108"/>
      <c r="C177" s="108"/>
      <c r="D177" s="108"/>
      <c r="E177" s="108"/>
      <c r="F177" s="108"/>
      <c r="G177" s="108"/>
      <c r="H177" s="109"/>
      <c r="I177" s="31"/>
    </row>
    <row r="178" spans="1:10" s="30" customFormat="1" x14ac:dyDescent="0.25">
      <c r="A178" s="94">
        <v>5</v>
      </c>
      <c r="B178" s="96"/>
      <c r="C178" s="37" t="s">
        <v>201</v>
      </c>
      <c r="D178" s="70">
        <f>(((4.28+3.9)/2)*2.67+1.27*0.9+1.17*0.25)*10.764</f>
        <v>132.99783120000001</v>
      </c>
      <c r="E178" s="37">
        <v>0</v>
      </c>
      <c r="F178" s="37">
        <f t="shared" ref="F178:F185" si="3">(D178+E178)*(($F$163)+1)</f>
        <v>212.79652992000001</v>
      </c>
      <c r="G178" s="98" t="str">
        <f>A177</f>
        <v>Ground Floor For Commerical, Meter Room &amp; Parking</v>
      </c>
      <c r="H178" s="100"/>
      <c r="I178" s="58" t="s">
        <v>238</v>
      </c>
      <c r="J178" s="58"/>
    </row>
    <row r="179" spans="1:10" s="30" customFormat="1" x14ac:dyDescent="0.25">
      <c r="A179" s="94">
        <v>6</v>
      </c>
      <c r="B179" s="96"/>
      <c r="C179" s="37" t="s">
        <v>201</v>
      </c>
      <c r="D179" s="70">
        <f>(((4.9+4.55)/2)*2.68)*10.764</f>
        <v>136.30453199999999</v>
      </c>
      <c r="E179" s="37">
        <v>0</v>
      </c>
      <c r="F179" s="37">
        <f t="shared" si="3"/>
        <v>218.0872512</v>
      </c>
      <c r="G179" s="105"/>
      <c r="H179" s="106"/>
      <c r="I179" s="58" t="s">
        <v>238</v>
      </c>
      <c r="J179" s="58"/>
    </row>
    <row r="180" spans="1:10" s="30" customFormat="1" x14ac:dyDescent="0.25">
      <c r="A180" s="94">
        <v>7</v>
      </c>
      <c r="B180" s="96"/>
      <c r="C180" s="37" t="s">
        <v>201</v>
      </c>
      <c r="D180" s="37">
        <f>16.11*10.764</f>
        <v>173.40803999999997</v>
      </c>
      <c r="E180" s="37">
        <v>0</v>
      </c>
      <c r="F180" s="37">
        <f t="shared" si="3"/>
        <v>277.45286399999998</v>
      </c>
      <c r="G180" s="105"/>
      <c r="H180" s="106"/>
      <c r="I180" s="51">
        <f>(((5.68+5.32)/2)*3.33)</f>
        <v>18.315000000000001</v>
      </c>
      <c r="J180" s="32"/>
    </row>
    <row r="181" spans="1:10" s="30" customFormat="1" x14ac:dyDescent="0.25">
      <c r="A181" s="94">
        <v>8</v>
      </c>
      <c r="B181" s="96"/>
      <c r="C181" s="37" t="s">
        <v>201</v>
      </c>
      <c r="D181" s="37">
        <f>18.31*10.764</f>
        <v>197.08883999999998</v>
      </c>
      <c r="E181" s="37">
        <v>0</v>
      </c>
      <c r="F181" s="37">
        <f t="shared" si="3"/>
        <v>315.34214399999996</v>
      </c>
      <c r="G181" s="105"/>
      <c r="H181" s="106"/>
      <c r="I181" s="31">
        <f>(((5.68+5.32)/2)*3.33)</f>
        <v>18.315000000000001</v>
      </c>
      <c r="J181" s="32"/>
    </row>
    <row r="182" spans="1:10" s="30" customFormat="1" ht="15.75" customHeight="1" x14ac:dyDescent="0.25">
      <c r="A182" s="94">
        <v>9</v>
      </c>
      <c r="B182" s="96"/>
      <c r="C182" s="37" t="s">
        <v>201</v>
      </c>
      <c r="D182" s="37">
        <f>24.29*10.764</f>
        <v>261.45756</v>
      </c>
      <c r="E182" s="37">
        <v>0</v>
      </c>
      <c r="F182" s="37">
        <f t="shared" si="3"/>
        <v>418.33209600000004</v>
      </c>
      <c r="G182" s="105"/>
      <c r="H182" s="106"/>
      <c r="I182" s="51">
        <f>(((6.06+5.69)/2)*3.05+2.55*2.45)</f>
        <v>24.166249999999998</v>
      </c>
      <c r="J182" s="32"/>
    </row>
    <row r="183" spans="1:10" s="30" customFormat="1" x14ac:dyDescent="0.25">
      <c r="A183" s="94">
        <v>10</v>
      </c>
      <c r="B183" s="96"/>
      <c r="C183" s="37" t="s">
        <v>201</v>
      </c>
      <c r="D183" s="37">
        <f>19.37*10.764</f>
        <v>208.49868000000001</v>
      </c>
      <c r="E183" s="37">
        <v>0</v>
      </c>
      <c r="F183" s="37">
        <f t="shared" si="3"/>
        <v>333.59788800000001</v>
      </c>
      <c r="G183" s="105"/>
      <c r="H183" s="106"/>
      <c r="I183" s="51">
        <f>(((5.21+4.95)/2)*3.12+1.13*1.69+1.35*0.9)</f>
        <v>18.974299999999999</v>
      </c>
      <c r="J183" s="32"/>
    </row>
    <row r="184" spans="1:10" x14ac:dyDescent="0.25">
      <c r="A184" s="94">
        <v>11</v>
      </c>
      <c r="B184" s="96"/>
      <c r="C184" s="37" t="s">
        <v>201</v>
      </c>
      <c r="D184" s="37">
        <f>16.79*10.764</f>
        <v>180.72755999999998</v>
      </c>
      <c r="E184" s="37">
        <v>0</v>
      </c>
      <c r="F184" s="37">
        <f t="shared" si="3"/>
        <v>289.16409599999997</v>
      </c>
      <c r="G184" s="105"/>
      <c r="H184" s="106"/>
      <c r="I184" s="52">
        <f>(4.1*3.2+1.5*1.32+1.35*0.9)</f>
        <v>16.315000000000001</v>
      </c>
      <c r="J184" s="32"/>
    </row>
    <row r="185" spans="1:10" x14ac:dyDescent="0.25">
      <c r="A185" s="94">
        <v>12</v>
      </c>
      <c r="B185" s="96"/>
      <c r="C185" s="37" t="s">
        <v>201</v>
      </c>
      <c r="D185" s="37">
        <f>14.21*10.764</f>
        <v>152.95643999999999</v>
      </c>
      <c r="E185" s="37">
        <v>0</v>
      </c>
      <c r="F185" s="37">
        <f t="shared" si="3"/>
        <v>244.73030399999999</v>
      </c>
      <c r="G185" s="101"/>
      <c r="H185" s="103"/>
      <c r="I185" s="52">
        <f>(4.1*2.97+0.9*1.2)</f>
        <v>13.257</v>
      </c>
    </row>
    <row r="186" spans="1:10" x14ac:dyDescent="0.25">
      <c r="A186" s="107" t="s">
        <v>206</v>
      </c>
      <c r="B186" s="108"/>
      <c r="C186" s="108"/>
      <c r="D186" s="108"/>
      <c r="E186" s="108"/>
      <c r="F186" s="108"/>
      <c r="G186" s="108"/>
      <c r="H186" s="109"/>
      <c r="I186" s="45"/>
      <c r="J186" s="30"/>
    </row>
    <row r="187" spans="1:10" ht="15.75" customHeight="1" x14ac:dyDescent="0.25">
      <c r="A187" s="94">
        <v>1</v>
      </c>
      <c r="B187" s="96"/>
      <c r="C187" s="37" t="s">
        <v>208</v>
      </c>
      <c r="D187" s="51">
        <f>122.78*10.764</f>
        <v>1321.60392</v>
      </c>
      <c r="E187" s="37">
        <v>0</v>
      </c>
      <c r="F187" s="37">
        <f>(D187+E187)*(($F$163)+1)</f>
        <v>2114.566272</v>
      </c>
      <c r="G187" s="98" t="str">
        <f>A186</f>
        <v>1st Floor Foor Part Office &amp; Podium</v>
      </c>
      <c r="H187" s="99"/>
      <c r="I187" s="51">
        <f>(3.95*3.12+4.55*3.05+1.42*1.2+2.4*2.45+5*11+5.8*1.35+1.35*2.37+1.35*2.45+5*3.35)</f>
        <v>119.87250000000002</v>
      </c>
    </row>
    <row r="188" spans="1:10" hidden="1" x14ac:dyDescent="0.25">
      <c r="A188" s="107" t="s">
        <v>203</v>
      </c>
      <c r="B188" s="108"/>
      <c r="C188" s="108"/>
      <c r="D188" s="108"/>
      <c r="E188" s="108"/>
      <c r="F188" s="108"/>
      <c r="G188" s="108"/>
      <c r="H188" s="109"/>
      <c r="I188" s="45"/>
      <c r="J188" s="30"/>
    </row>
    <row r="189" spans="1:10" hidden="1" x14ac:dyDescent="0.25">
      <c r="A189" s="107" t="s">
        <v>197</v>
      </c>
      <c r="B189" s="108"/>
      <c r="C189" s="108"/>
      <c r="D189" s="108"/>
      <c r="E189" s="108"/>
      <c r="F189" s="108"/>
      <c r="G189" s="108"/>
      <c r="H189" s="109"/>
      <c r="I189" s="45"/>
      <c r="J189" s="30"/>
    </row>
    <row r="190" spans="1:10" hidden="1" x14ac:dyDescent="0.25">
      <c r="A190" s="107" t="s">
        <v>226</v>
      </c>
      <c r="B190" s="108"/>
      <c r="C190" s="108"/>
      <c r="D190" s="108"/>
      <c r="E190" s="108"/>
      <c r="F190" s="108"/>
      <c r="G190" s="108"/>
      <c r="H190" s="109"/>
      <c r="I190" s="45"/>
      <c r="J190" s="30"/>
    </row>
    <row r="191" spans="1:10" hidden="1" x14ac:dyDescent="0.25">
      <c r="A191" s="107" t="s">
        <v>225</v>
      </c>
      <c r="B191" s="108"/>
      <c r="C191" s="108"/>
      <c r="D191" s="108"/>
      <c r="E191" s="108"/>
      <c r="F191" s="108"/>
      <c r="G191" s="108"/>
      <c r="H191" s="109"/>
      <c r="I191" s="45"/>
      <c r="J191" s="30"/>
    </row>
    <row r="192" spans="1:10" x14ac:dyDescent="0.25">
      <c r="A192" s="94"/>
      <c r="B192" s="95"/>
      <c r="C192" s="95"/>
      <c r="D192" s="95"/>
      <c r="E192" s="95"/>
      <c r="F192" s="95"/>
      <c r="G192" s="95"/>
      <c r="H192" s="96"/>
      <c r="I192" s="54"/>
      <c r="J192" s="30"/>
    </row>
    <row r="193" spans="1:9" ht="31.5" x14ac:dyDescent="0.25">
      <c r="A193" s="210" t="s">
        <v>119</v>
      </c>
      <c r="B193" s="210" t="s">
        <v>120</v>
      </c>
      <c r="C193" s="133" t="s">
        <v>57</v>
      </c>
      <c r="D193" s="133" t="s">
        <v>58</v>
      </c>
      <c r="E193" s="208" t="s">
        <v>59</v>
      </c>
      <c r="F193" s="38" t="s">
        <v>148</v>
      </c>
      <c r="G193" s="210" t="s">
        <v>60</v>
      </c>
      <c r="H193" s="211"/>
      <c r="I193" s="55"/>
    </row>
    <row r="194" spans="1:9" ht="15" customHeight="1" x14ac:dyDescent="0.25">
      <c r="A194" s="212"/>
      <c r="B194" s="212"/>
      <c r="C194" s="134"/>
      <c r="D194" s="134"/>
      <c r="E194" s="209"/>
      <c r="F194" s="13">
        <v>0.5</v>
      </c>
      <c r="G194" s="212"/>
      <c r="H194" s="213"/>
      <c r="I194" s="55"/>
    </row>
    <row r="195" spans="1:9" ht="15.75" customHeight="1" x14ac:dyDescent="0.25">
      <c r="A195" s="107" t="s">
        <v>198</v>
      </c>
      <c r="B195" s="108"/>
      <c r="C195" s="108"/>
      <c r="D195" s="108"/>
      <c r="E195" s="108"/>
      <c r="F195" s="108"/>
      <c r="G195" s="108"/>
      <c r="H195" s="109"/>
      <c r="I195" s="55"/>
    </row>
    <row r="196" spans="1:9" ht="15.75" customHeight="1" x14ac:dyDescent="0.25">
      <c r="A196" s="107" t="s">
        <v>199</v>
      </c>
      <c r="B196" s="108"/>
      <c r="C196" s="108"/>
      <c r="D196" s="108"/>
      <c r="E196" s="108"/>
      <c r="F196" s="108"/>
      <c r="G196" s="108"/>
      <c r="H196" s="109"/>
    </row>
    <row r="197" spans="1:9" ht="15.75" customHeight="1" x14ac:dyDescent="0.25">
      <c r="A197" s="104" t="s">
        <v>223</v>
      </c>
      <c r="B197" s="104"/>
      <c r="C197" s="104"/>
      <c r="D197" s="104"/>
      <c r="E197" s="104"/>
      <c r="F197" s="104"/>
      <c r="G197" s="104"/>
      <c r="H197" s="104"/>
    </row>
    <row r="198" spans="1:9" ht="15.75" customHeight="1" x14ac:dyDescent="0.25">
      <c r="A198" s="97">
        <v>1</v>
      </c>
      <c r="B198" s="97"/>
      <c r="C198" s="94" t="s">
        <v>227</v>
      </c>
      <c r="D198" s="95"/>
      <c r="E198" s="95"/>
      <c r="F198" s="96"/>
      <c r="G198" s="98" t="str">
        <f>A197</f>
        <v>2nd Floor For Part Residential &amp; Parking</v>
      </c>
      <c r="H198" s="100"/>
    </row>
    <row r="199" spans="1:9" ht="15.75" customHeight="1" x14ac:dyDescent="0.25">
      <c r="A199" s="97">
        <v>2</v>
      </c>
      <c r="B199" s="97"/>
      <c r="C199" s="37" t="s">
        <v>209</v>
      </c>
      <c r="D199" s="53">
        <f>41.21*10.764</f>
        <v>443.58443999999997</v>
      </c>
      <c r="E199" s="37">
        <v>0</v>
      </c>
      <c r="F199" s="37">
        <f>D199*(($F$194)+1)+(IF(E199&lt;101,E199,IF(E199&lt;201,E199/2,IF(E199&lt;=301,E199/3,E199/4))))</f>
        <v>665.3766599999999</v>
      </c>
      <c r="G199" s="105"/>
      <c r="H199" s="106"/>
    </row>
    <row r="200" spans="1:9" ht="15.75" customHeight="1" x14ac:dyDescent="0.25">
      <c r="A200" s="97">
        <f>A199+1</f>
        <v>3</v>
      </c>
      <c r="B200" s="97"/>
      <c r="C200" s="37" t="s">
        <v>211</v>
      </c>
      <c r="D200" s="53">
        <f>29.16*10.764</f>
        <v>313.87824000000001</v>
      </c>
      <c r="E200" s="37">
        <v>0</v>
      </c>
      <c r="F200" s="37">
        <f>D200*(($F$194)+1)+(IF(E200&lt;101,E200,IF(E200&lt;201,E200/2,IF(E200&lt;=301,E200/3,E200/4))))</f>
        <v>470.81736000000001</v>
      </c>
      <c r="G200" s="105"/>
      <c r="H200" s="106"/>
    </row>
    <row r="201" spans="1:9" ht="15.75" customHeight="1" x14ac:dyDescent="0.25">
      <c r="A201" s="97">
        <f>A200+1</f>
        <v>4</v>
      </c>
      <c r="B201" s="97"/>
      <c r="C201" s="37" t="s">
        <v>211</v>
      </c>
      <c r="D201" s="53">
        <f>29.16*10.764</f>
        <v>313.87824000000001</v>
      </c>
      <c r="E201" s="37">
        <v>0</v>
      </c>
      <c r="F201" s="37">
        <f>D201*(($F$194)+1)+(IF(E201&lt;101,E201,IF(E201&lt;201,E201/2,IF(E201&lt;=301,E201/3,E201/4))))</f>
        <v>470.81736000000001</v>
      </c>
      <c r="G201" s="105"/>
      <c r="H201" s="106"/>
    </row>
    <row r="202" spans="1:9" ht="15.75" customHeight="1" x14ac:dyDescent="0.25">
      <c r="A202" s="97">
        <f>A201+1</f>
        <v>5</v>
      </c>
      <c r="B202" s="97"/>
      <c r="C202" s="37" t="s">
        <v>209</v>
      </c>
      <c r="D202" s="53">
        <f>41.67*10.764</f>
        <v>448.53587999999996</v>
      </c>
      <c r="E202" s="37">
        <v>0</v>
      </c>
      <c r="F202" s="37">
        <f>D202*(($F$194)+1)+(IF(E202&lt;101,E202,IF(E202&lt;201,E202/2,IF(E202&lt;=301,E202/3,E202/4))))</f>
        <v>672.80381999999997</v>
      </c>
      <c r="G202" s="101"/>
      <c r="H202" s="103"/>
    </row>
    <row r="203" spans="1:9" x14ac:dyDescent="0.25">
      <c r="A203" s="104" t="s">
        <v>213</v>
      </c>
      <c r="B203" s="104"/>
      <c r="C203" s="104"/>
      <c r="D203" s="104"/>
      <c r="E203" s="104"/>
      <c r="F203" s="104"/>
      <c r="G203" s="104"/>
      <c r="H203" s="104"/>
    </row>
    <row r="204" spans="1:9" x14ac:dyDescent="0.25">
      <c r="A204" s="97">
        <v>1</v>
      </c>
      <c r="B204" s="97"/>
      <c r="C204" s="37" t="s">
        <v>212</v>
      </c>
      <c r="D204" s="53">
        <f>(61.64*10.764)</f>
        <v>663.49295999999993</v>
      </c>
      <c r="E204" s="37">
        <v>0</v>
      </c>
      <c r="F204" s="37">
        <f>D204*(($F$194)+1)+(IF(E204&lt;101,E204,IF(E204&lt;201,E204/2,IF(E204&lt;=301,E204/3,E204/4))))</f>
        <v>995.23943999999983</v>
      </c>
      <c r="G204" s="98" t="str">
        <f>A203</f>
        <v>3rd Floor For Residential</v>
      </c>
      <c r="H204" s="100"/>
      <c r="I204" s="19">
        <f>(3.2*5.35+0.5*2.4+2.1*2.88+3.05*3.5+3.2*3.95+2.05*1.35+2.29*1.35+2.88*0.9+2.07*0.9)</f>
        <v>57.997</v>
      </c>
    </row>
    <row r="205" spans="1:9" x14ac:dyDescent="0.25">
      <c r="A205" s="97">
        <v>2</v>
      </c>
      <c r="B205" s="97"/>
      <c r="C205" s="37" t="s">
        <v>209</v>
      </c>
      <c r="D205" s="53">
        <f>41.21*10.764</f>
        <v>443.58443999999997</v>
      </c>
      <c r="E205" s="37">
        <v>0</v>
      </c>
      <c r="F205" s="37">
        <f>D205*(($F$194)+1)+(IF(E205&lt;101,E205,IF(E205&lt;201,E205/2,IF(E205&lt;=301,E205/3,E205/4))))</f>
        <v>665.3766599999999</v>
      </c>
      <c r="G205" s="105"/>
      <c r="H205" s="106"/>
      <c r="I205" s="19">
        <f>(3.05*5+2.15*3.5+3.05*3.5+1.35*2.15+2.07*1.35)</f>
        <v>39.146999999999991</v>
      </c>
    </row>
    <row r="206" spans="1:9" ht="15.75" customHeight="1" x14ac:dyDescent="0.25">
      <c r="A206" s="97">
        <f>A205+1</f>
        <v>3</v>
      </c>
      <c r="B206" s="97"/>
      <c r="C206" s="37" t="s">
        <v>211</v>
      </c>
      <c r="D206" s="53">
        <f>29.16*10.764</f>
        <v>313.87824000000001</v>
      </c>
      <c r="E206" s="37">
        <v>0</v>
      </c>
      <c r="F206" s="37">
        <f>D206*(($F$194)+1)+(IF(E206&lt;101,E206,IF(E206&lt;201,E206/2,IF(E206&lt;=301,E206/3,E206/4))))</f>
        <v>470.81736000000001</v>
      </c>
      <c r="G206" s="105"/>
      <c r="H206" s="106"/>
      <c r="I206" s="19">
        <f>(2.9*4.92+2.75*3.4+1.37*0.6+2.15*1.45)</f>
        <v>27.557499999999997</v>
      </c>
    </row>
    <row r="207" spans="1:9" x14ac:dyDescent="0.25">
      <c r="A207" s="97">
        <f>A206+1</f>
        <v>4</v>
      </c>
      <c r="B207" s="97"/>
      <c r="C207" s="37" t="s">
        <v>211</v>
      </c>
      <c r="D207" s="53">
        <f>29.16*10.764</f>
        <v>313.87824000000001</v>
      </c>
      <c r="E207" s="37">
        <v>0</v>
      </c>
      <c r="F207" s="37">
        <f>D207*(($F$194)+1)+(IF(E207&lt;101,E207,IF(E207&lt;201,E207/2,IF(E207&lt;=301,E207/3,E207/4))))</f>
        <v>470.81736000000001</v>
      </c>
      <c r="G207" s="105"/>
      <c r="H207" s="106"/>
      <c r="I207" s="19">
        <f>(5*2.9+1.45*0.6+3.4*2.75+1.45*2.1)</f>
        <v>27.765000000000001</v>
      </c>
    </row>
    <row r="208" spans="1:9" x14ac:dyDescent="0.25">
      <c r="A208" s="97">
        <f>A207+1</f>
        <v>5</v>
      </c>
      <c r="B208" s="97"/>
      <c r="C208" s="37" t="s">
        <v>209</v>
      </c>
      <c r="D208" s="53">
        <f>41.67*10.764</f>
        <v>448.53587999999996</v>
      </c>
      <c r="E208" s="37">
        <v>0</v>
      </c>
      <c r="F208" s="37">
        <f>D208*(($F$194)+1)+(IF(E208&lt;101,E208,IF(E208&lt;201,E208/2,IF(E208&lt;=301,E208/3,E208/4))))</f>
        <v>672.80381999999997</v>
      </c>
      <c r="G208" s="101"/>
      <c r="H208" s="103"/>
      <c r="I208" s="19">
        <f>(4.92*3.05+3.5*2.15+3.5*3.2+1.35*2.15+1.35*2.07)</f>
        <v>39.427999999999997</v>
      </c>
    </row>
    <row r="209" spans="1:9" x14ac:dyDescent="0.25">
      <c r="A209" s="104" t="s">
        <v>217</v>
      </c>
      <c r="B209" s="104"/>
      <c r="C209" s="104"/>
      <c r="D209" s="104"/>
      <c r="E209" s="104"/>
      <c r="F209" s="104"/>
      <c r="G209" s="104"/>
      <c r="H209" s="104"/>
    </row>
    <row r="210" spans="1:9" x14ac:dyDescent="0.25">
      <c r="A210" s="97">
        <v>1</v>
      </c>
      <c r="B210" s="97"/>
      <c r="C210" s="37" t="s">
        <v>212</v>
      </c>
      <c r="D210" s="53">
        <f>(61.64*10.764)</f>
        <v>663.49295999999993</v>
      </c>
      <c r="E210" s="37">
        <v>0</v>
      </c>
      <c r="F210" s="37">
        <f>D210*(($F$194)+1)+(IF(E210&lt;101,E210,IF(E210&lt;201,E210/2,IF(E210&lt;=301,E210/3,E210/4))))</f>
        <v>995.23943999999983</v>
      </c>
      <c r="G210" s="98" t="str">
        <f>A209</f>
        <v>4th to 7th &amp; 9th to 13th Floor For Residential</v>
      </c>
      <c r="H210" s="100"/>
    </row>
    <row r="211" spans="1:9" x14ac:dyDescent="0.25">
      <c r="A211" s="97">
        <v>2</v>
      </c>
      <c r="B211" s="97"/>
      <c r="C211" s="37" t="s">
        <v>209</v>
      </c>
      <c r="D211" s="53">
        <f>41.21*10.764</f>
        <v>443.58443999999997</v>
      </c>
      <c r="E211" s="37">
        <v>0</v>
      </c>
      <c r="F211" s="37">
        <f>D211*(($F$194)+1)+(IF(E211&lt;101,E211,IF(E211&lt;201,E211/2,IF(E211&lt;=301,E211/3,E211/4))))</f>
        <v>665.3766599999999</v>
      </c>
      <c r="G211" s="105"/>
      <c r="H211" s="106"/>
    </row>
    <row r="212" spans="1:9" x14ac:dyDescent="0.25">
      <c r="A212" s="97">
        <f>A211+1</f>
        <v>3</v>
      </c>
      <c r="B212" s="97"/>
      <c r="C212" s="37" t="s">
        <v>211</v>
      </c>
      <c r="D212" s="53">
        <f>29.16*10.764</f>
        <v>313.87824000000001</v>
      </c>
      <c r="E212" s="37">
        <v>0</v>
      </c>
      <c r="F212" s="37">
        <f>D212*(($F$194)+1)+(IF(E212&lt;101,E212,IF(E212&lt;201,E212/2,IF(E212&lt;=301,E212/3,E212/4))))</f>
        <v>470.81736000000001</v>
      </c>
      <c r="G212" s="105"/>
      <c r="H212" s="106"/>
    </row>
    <row r="213" spans="1:9" x14ac:dyDescent="0.25">
      <c r="A213" s="97">
        <f>A212+1</f>
        <v>4</v>
      </c>
      <c r="B213" s="97"/>
      <c r="C213" s="37" t="s">
        <v>211</v>
      </c>
      <c r="D213" s="53">
        <f>29.16*10.764</f>
        <v>313.87824000000001</v>
      </c>
      <c r="E213" s="37">
        <v>0</v>
      </c>
      <c r="F213" s="37">
        <f>D213*(($F$194)+1)+(IF(E213&lt;101,E213,IF(E213&lt;201,E213/2,IF(E213&lt;=301,E213/3,E213/4))))</f>
        <v>470.81736000000001</v>
      </c>
      <c r="G213" s="105"/>
      <c r="H213" s="106"/>
    </row>
    <row r="214" spans="1:9" x14ac:dyDescent="0.25">
      <c r="A214" s="97">
        <f>A213+1</f>
        <v>5</v>
      </c>
      <c r="B214" s="97"/>
      <c r="C214" s="37" t="s">
        <v>209</v>
      </c>
      <c r="D214" s="53">
        <f>41.67*10.764</f>
        <v>448.53587999999996</v>
      </c>
      <c r="E214" s="37">
        <v>0</v>
      </c>
      <c r="F214" s="37">
        <f>D214*(($F$194)+1)+(IF(E214&lt;101,E214,IF(E214&lt;201,E214/2,IF(E214&lt;=301,E214/3,E214/4))))</f>
        <v>672.80381999999997</v>
      </c>
      <c r="G214" s="101"/>
      <c r="H214" s="103"/>
      <c r="I214" s="17"/>
    </row>
    <row r="215" spans="1:9" x14ac:dyDescent="0.25">
      <c r="A215" s="104" t="s">
        <v>215</v>
      </c>
      <c r="B215" s="104"/>
      <c r="C215" s="104"/>
      <c r="D215" s="104"/>
      <c r="E215" s="104"/>
      <c r="F215" s="104"/>
      <c r="G215" s="104"/>
      <c r="H215" s="104"/>
    </row>
    <row r="216" spans="1:9" x14ac:dyDescent="0.25">
      <c r="A216" s="97">
        <v>1</v>
      </c>
      <c r="B216" s="97"/>
      <c r="C216" s="37" t="s">
        <v>212</v>
      </c>
      <c r="D216" s="53">
        <f>(61.64*10.764)</f>
        <v>663.49295999999993</v>
      </c>
      <c r="E216" s="37">
        <v>0</v>
      </c>
      <c r="F216" s="37">
        <f>D216*(($F$194)+1)+(IF(E216&lt;101,E216,IF(E216&lt;201,E216/2,IF(E216&lt;=301,E216/3,E216/4))))</f>
        <v>995.23943999999983</v>
      </c>
      <c r="G216" s="98" t="str">
        <f>A215</f>
        <v>8th Floor For (Part Refuge area)</v>
      </c>
      <c r="H216" s="100"/>
    </row>
    <row r="217" spans="1:9" x14ac:dyDescent="0.25">
      <c r="A217" s="97">
        <v>2</v>
      </c>
      <c r="B217" s="97"/>
      <c r="C217" s="37" t="s">
        <v>209</v>
      </c>
      <c r="D217" s="53">
        <f>41.21*10.764</f>
        <v>443.58443999999997</v>
      </c>
      <c r="E217" s="37">
        <v>0</v>
      </c>
      <c r="F217" s="37">
        <f>D217*(($F$194)+1)+(IF(E217&lt;101,E217,IF(E217&lt;201,E217/2,IF(E217&lt;=301,E217/3,E217/4))))</f>
        <v>665.3766599999999</v>
      </c>
      <c r="G217" s="105"/>
      <c r="H217" s="106"/>
    </row>
    <row r="218" spans="1:9" x14ac:dyDescent="0.25">
      <c r="A218" s="97">
        <f>A217+1</f>
        <v>3</v>
      </c>
      <c r="B218" s="97"/>
      <c r="C218" s="37" t="s">
        <v>211</v>
      </c>
      <c r="D218" s="53">
        <f>29.16*10.764</f>
        <v>313.87824000000001</v>
      </c>
      <c r="E218" s="37">
        <v>0</v>
      </c>
      <c r="F218" s="37">
        <f>D218*(($F$194)+1)+(IF(E218&lt;101,E218,IF(E218&lt;201,E218/2,IF(E218&lt;=301,E218/3,E218/4))))</f>
        <v>470.81736000000001</v>
      </c>
      <c r="G218" s="105"/>
      <c r="H218" s="106"/>
    </row>
    <row r="219" spans="1:9" x14ac:dyDescent="0.25">
      <c r="A219" s="97">
        <f>A218+1</f>
        <v>4</v>
      </c>
      <c r="B219" s="97"/>
      <c r="C219" s="98" t="s">
        <v>216</v>
      </c>
      <c r="D219" s="99"/>
      <c r="E219" s="99"/>
      <c r="F219" s="100"/>
      <c r="G219" s="105"/>
      <c r="H219" s="106"/>
    </row>
    <row r="220" spans="1:9" x14ac:dyDescent="0.25">
      <c r="A220" s="97">
        <f>A219+1</f>
        <v>5</v>
      </c>
      <c r="B220" s="97"/>
      <c r="C220" s="101"/>
      <c r="D220" s="102"/>
      <c r="E220" s="102"/>
      <c r="F220" s="103"/>
      <c r="G220" s="101"/>
      <c r="H220" s="103"/>
    </row>
    <row r="221" spans="1:9" x14ac:dyDescent="0.25">
      <c r="A221" s="107" t="s">
        <v>202</v>
      </c>
      <c r="B221" s="108"/>
      <c r="C221" s="108"/>
      <c r="D221" s="108"/>
      <c r="E221" s="108"/>
      <c r="F221" s="108"/>
      <c r="G221" s="108"/>
      <c r="H221" s="109"/>
    </row>
    <row r="222" spans="1:9" x14ac:dyDescent="0.25">
      <c r="A222" s="104" t="s">
        <v>223</v>
      </c>
      <c r="B222" s="104"/>
      <c r="C222" s="104"/>
      <c r="D222" s="104"/>
      <c r="E222" s="104"/>
      <c r="F222" s="104"/>
      <c r="G222" s="104"/>
      <c r="H222" s="104"/>
    </row>
    <row r="223" spans="1:9" x14ac:dyDescent="0.25">
      <c r="A223" s="97">
        <v>1</v>
      </c>
      <c r="B223" s="97"/>
      <c r="C223" s="37" t="s">
        <v>209</v>
      </c>
      <c r="D223" s="37">
        <f>41.74*10.764</f>
        <v>449.28935999999999</v>
      </c>
      <c r="E223" s="37">
        <v>0</v>
      </c>
      <c r="F223" s="37">
        <f>D223*(($F$194)+1)+(IF(E223&lt;101,E223,IF(E223&lt;201,E223/2,IF(E223&lt;=301,E223/3,E223/4))))</f>
        <v>673.93403999999998</v>
      </c>
      <c r="G223" s="98" t="str">
        <f>A222</f>
        <v>2nd Floor For Part Residential &amp; Parking</v>
      </c>
      <c r="H223" s="100"/>
    </row>
    <row r="224" spans="1:9" x14ac:dyDescent="0.25">
      <c r="A224" s="97">
        <f>A223+1</f>
        <v>2</v>
      </c>
      <c r="B224" s="97"/>
      <c r="C224" s="37" t="s">
        <v>212</v>
      </c>
      <c r="D224" s="37">
        <f>60.48*10.764</f>
        <v>651.00671999999997</v>
      </c>
      <c r="E224" s="37">
        <v>0</v>
      </c>
      <c r="F224" s="37">
        <f>D224*(($F$194)+1)+(IF(E224&lt;101,E224,IF(E224&lt;201,E224/2,IF(E224&lt;=301,E224/3,E224/4))))</f>
        <v>976.51008000000002</v>
      </c>
      <c r="G224" s="105"/>
      <c r="H224" s="106"/>
    </row>
    <row r="225" spans="1:9" ht="15.75" customHeight="1" x14ac:dyDescent="0.25">
      <c r="A225" s="97">
        <v>3</v>
      </c>
      <c r="B225" s="97"/>
      <c r="C225" s="98" t="s">
        <v>218</v>
      </c>
      <c r="D225" s="99"/>
      <c r="E225" s="99"/>
      <c r="F225" s="100"/>
      <c r="G225" s="105"/>
      <c r="H225" s="106"/>
    </row>
    <row r="226" spans="1:9" ht="15.75" customHeight="1" x14ac:dyDescent="0.25">
      <c r="A226" s="97">
        <f>A225+1</f>
        <v>4</v>
      </c>
      <c r="B226" s="97"/>
      <c r="C226" s="101"/>
      <c r="D226" s="102"/>
      <c r="E226" s="102"/>
      <c r="F226" s="103"/>
      <c r="G226" s="101"/>
      <c r="H226" s="103"/>
    </row>
    <row r="227" spans="1:9" x14ac:dyDescent="0.25">
      <c r="A227" s="104" t="s">
        <v>214</v>
      </c>
      <c r="B227" s="104"/>
      <c r="C227" s="104"/>
      <c r="D227" s="104"/>
      <c r="E227" s="104"/>
      <c r="F227" s="104"/>
      <c r="G227" s="104"/>
      <c r="H227" s="104"/>
    </row>
    <row r="228" spans="1:9" ht="15.75" customHeight="1" x14ac:dyDescent="0.25">
      <c r="A228" s="97">
        <v>1</v>
      </c>
      <c r="B228" s="97"/>
      <c r="C228" s="37" t="s">
        <v>209</v>
      </c>
      <c r="D228" s="37">
        <f>41.74*10.764</f>
        <v>449.28935999999999</v>
      </c>
      <c r="E228" s="37">
        <v>0</v>
      </c>
      <c r="F228" s="37">
        <f>D228*(($F$194)+1)+(IF(E228&lt;101,E228,IF(E228&lt;201,E228/2,IF(E228&lt;=301,E228/3,E228/4))))</f>
        <v>673.93403999999998</v>
      </c>
      <c r="G228" s="98" t="str">
        <f>A227</f>
        <v xml:space="preserve">3rd Floor For Residential </v>
      </c>
      <c r="H228" s="100"/>
    </row>
    <row r="229" spans="1:9" ht="15.75" customHeight="1" x14ac:dyDescent="0.25">
      <c r="A229" s="97">
        <f>A228+1</f>
        <v>2</v>
      </c>
      <c r="B229" s="97"/>
      <c r="C229" s="37" t="s">
        <v>212</v>
      </c>
      <c r="D229" s="37">
        <f>60.48*10.764</f>
        <v>651.00671999999997</v>
      </c>
      <c r="E229" s="37">
        <v>0</v>
      </c>
      <c r="F229" s="37">
        <f>D229*(($F$194)+1)+(IF(E229&lt;101,E229,IF(E229&lt;201,E229/2,IF(E229&lt;=301,E229/3,E229/4))))</f>
        <v>976.51008000000002</v>
      </c>
      <c r="G229" s="105"/>
      <c r="H229" s="106"/>
    </row>
    <row r="230" spans="1:9" ht="15.75" customHeight="1" x14ac:dyDescent="0.25">
      <c r="A230" s="97">
        <f>A229+1</f>
        <v>3</v>
      </c>
      <c r="B230" s="97"/>
      <c r="C230" s="37" t="s">
        <v>209</v>
      </c>
      <c r="D230" s="37">
        <f>41.52*10.764</f>
        <v>446.92128000000002</v>
      </c>
      <c r="E230" s="37">
        <v>0</v>
      </c>
      <c r="F230" s="37">
        <f>D230*(($F$194)+1)+(IF(E230&lt;101,E230,IF(E230&lt;201,E230/2,IF(E230&lt;=301,E230/3,E230/4))))</f>
        <v>670.38192000000004</v>
      </c>
      <c r="G230" s="105"/>
      <c r="H230" s="106"/>
    </row>
    <row r="231" spans="1:9" ht="15.75" customHeight="1" x14ac:dyDescent="0.25">
      <c r="A231" s="97">
        <f>A230+1</f>
        <v>4</v>
      </c>
      <c r="B231" s="97"/>
      <c r="C231" s="37" t="s">
        <v>209</v>
      </c>
      <c r="D231" s="37">
        <f>41.74*10.764</f>
        <v>449.28935999999999</v>
      </c>
      <c r="E231" s="37">
        <v>0</v>
      </c>
      <c r="F231" s="37">
        <f>D231*(($F$194)+1)+(IF(E231&lt;101,E231,IF(E231&lt;201,E231/2,IF(E231&lt;=301,E231/3,E231/4))))</f>
        <v>673.93403999999998</v>
      </c>
      <c r="G231" s="101"/>
      <c r="H231" s="103"/>
    </row>
    <row r="232" spans="1:9" ht="15.75" customHeight="1" x14ac:dyDescent="0.25">
      <c r="A232" s="104" t="s">
        <v>221</v>
      </c>
      <c r="B232" s="104"/>
      <c r="C232" s="104"/>
      <c r="D232" s="104"/>
      <c r="E232" s="104"/>
      <c r="F232" s="104"/>
      <c r="G232" s="104"/>
      <c r="H232" s="104"/>
    </row>
    <row r="233" spans="1:9" x14ac:dyDescent="0.25">
      <c r="A233" s="97">
        <v>1</v>
      </c>
      <c r="B233" s="97"/>
      <c r="C233" s="37" t="s">
        <v>209</v>
      </c>
      <c r="D233" s="37">
        <f>41.74*10.764</f>
        <v>449.28935999999999</v>
      </c>
      <c r="E233" s="37">
        <v>0</v>
      </c>
      <c r="F233" s="37">
        <f>D233*(($F$194)+1)+(IF(E233&lt;101,E233,IF(E233&lt;201,E233/2,IF(E233&lt;=301,E233/3,E233/4))))</f>
        <v>673.93403999999998</v>
      </c>
      <c r="G233" s="98" t="str">
        <f>A232</f>
        <v>4th to 7th &amp; 9th to 13th Floor</v>
      </c>
      <c r="H233" s="100"/>
      <c r="I233" s="19">
        <f>(5*3.05+3.5*2.15+3.5*3.2+2.15*1.35+1.35*2)</f>
        <v>39.577500000000001</v>
      </c>
    </row>
    <row r="234" spans="1:9" x14ac:dyDescent="0.25">
      <c r="A234" s="97">
        <f>A233+1</f>
        <v>2</v>
      </c>
      <c r="B234" s="97"/>
      <c r="C234" s="37" t="s">
        <v>212</v>
      </c>
      <c r="D234" s="37">
        <f>60.48*10.764</f>
        <v>651.00671999999997</v>
      </c>
      <c r="E234" s="37">
        <v>0</v>
      </c>
      <c r="F234" s="37">
        <f>D234*(($F$194)+1)+(IF(E234&lt;101,E234,IF(E234&lt;201,E234/2,IF(E234&lt;=301,E234/3,E234/4))))</f>
        <v>976.51008000000002</v>
      </c>
      <c r="G234" s="105"/>
      <c r="H234" s="106"/>
      <c r="I234" s="19">
        <f>(5*3.35+2.4*1.35+2.4*2.45+3.5*3.05+3.95*3.2+1.35*2.37+1.35*2.45+0.9*2.1)</f>
        <v>57.582000000000001</v>
      </c>
    </row>
    <row r="235" spans="1:9" x14ac:dyDescent="0.25">
      <c r="A235" s="97">
        <f>A234+1</f>
        <v>3</v>
      </c>
      <c r="B235" s="97"/>
      <c r="C235" s="37" t="s">
        <v>209</v>
      </c>
      <c r="D235" s="37">
        <f>41.52*10.764</f>
        <v>446.92128000000002</v>
      </c>
      <c r="E235" s="37">
        <v>0</v>
      </c>
      <c r="F235" s="37">
        <f>D235*(($F$194)+1)+(IF(E235&lt;101,E235,IF(E235&lt;201,E235/2,IF(E235&lt;=301,E235/3,E235/4))))</f>
        <v>670.38192000000004</v>
      </c>
      <c r="G235" s="105"/>
      <c r="H235" s="106"/>
      <c r="I235" s="19">
        <f>(5*3.05+3.5*2.15+3.5*3.2+1.35*2.07+1.35*2.15)</f>
        <v>39.671999999999997</v>
      </c>
    </row>
    <row r="236" spans="1:9" x14ac:dyDescent="0.25">
      <c r="A236" s="97">
        <f>A235+1</f>
        <v>4</v>
      </c>
      <c r="B236" s="97"/>
      <c r="C236" s="37" t="s">
        <v>209</v>
      </c>
      <c r="D236" s="37">
        <f>41.74*10.764</f>
        <v>449.28935999999999</v>
      </c>
      <c r="E236" s="37">
        <v>0</v>
      </c>
      <c r="F236" s="37">
        <f>D236*(($F$194)+1)+(IF(E236&lt;101,E236,IF(E236&lt;201,E236/2,IF(E236&lt;=301,E236/3,E236/4))))</f>
        <v>673.93403999999998</v>
      </c>
      <c r="G236" s="101"/>
      <c r="H236" s="103"/>
      <c r="I236" s="19">
        <f>(5*3.05+3.5*2.15+3.5*3.2+1.35*2.07+1.35*2.15)</f>
        <v>39.671999999999997</v>
      </c>
    </row>
    <row r="237" spans="1:9" ht="15.75" customHeight="1" x14ac:dyDescent="0.25">
      <c r="A237" s="104" t="s">
        <v>215</v>
      </c>
      <c r="B237" s="104"/>
      <c r="C237" s="104"/>
      <c r="D237" s="104"/>
      <c r="E237" s="104"/>
      <c r="F237" s="104"/>
      <c r="G237" s="104"/>
      <c r="H237" s="104"/>
    </row>
    <row r="238" spans="1:9" x14ac:dyDescent="0.25">
      <c r="A238" s="97">
        <v>1</v>
      </c>
      <c r="B238" s="97"/>
      <c r="C238" s="94" t="s">
        <v>216</v>
      </c>
      <c r="D238" s="95"/>
      <c r="E238" s="95"/>
      <c r="F238" s="96"/>
      <c r="G238" s="98" t="str">
        <f>A237</f>
        <v>8th Floor For (Part Refuge area)</v>
      </c>
      <c r="H238" s="100"/>
    </row>
    <row r="239" spans="1:9" x14ac:dyDescent="0.25">
      <c r="A239" s="97">
        <f>A238+1</f>
        <v>2</v>
      </c>
      <c r="B239" s="97"/>
      <c r="C239" s="37" t="s">
        <v>229</v>
      </c>
      <c r="D239" s="37">
        <f>68*10.764</f>
        <v>731.952</v>
      </c>
      <c r="E239" s="37">
        <v>0</v>
      </c>
      <c r="F239" s="37">
        <f>D239*(($F$194)+1)+(IF(E239&lt;101,E239,IF(E239&lt;201,E239/2,IF(E239&lt;=301,E239/3,E239/4))))</f>
        <v>1097.9279999999999</v>
      </c>
      <c r="G239" s="105"/>
      <c r="H239" s="106"/>
      <c r="I239" s="19">
        <f>(5*3.35+2.4*1.35+2.45*3.05+2.4*2.45+3.5*3.05+3.95*3.2+1.35*2.37+1.35*2.45+0.9*2.1)</f>
        <v>65.05449999999999</v>
      </c>
    </row>
    <row r="240" spans="1:9" ht="15.75" customHeight="1" x14ac:dyDescent="0.25">
      <c r="A240" s="97">
        <f>A239+1</f>
        <v>3</v>
      </c>
      <c r="B240" s="97"/>
      <c r="C240" s="37" t="s">
        <v>209</v>
      </c>
      <c r="D240" s="37">
        <f>41.52*10.764</f>
        <v>446.92128000000002</v>
      </c>
      <c r="E240" s="37">
        <v>0</v>
      </c>
      <c r="F240" s="37">
        <f>D240*(($F$194)+1)+(IF(E240&lt;101,E240,IF(E240&lt;201,E240/2,IF(E240&lt;=301,E240/3,E240/4))))</f>
        <v>670.38192000000004</v>
      </c>
      <c r="G240" s="105"/>
      <c r="H240" s="106"/>
    </row>
    <row r="241" spans="1:9" ht="15.75" customHeight="1" x14ac:dyDescent="0.25">
      <c r="A241" s="97">
        <f>A240+1</f>
        <v>4</v>
      </c>
      <c r="B241" s="97"/>
      <c r="C241" s="37" t="s">
        <v>209</v>
      </c>
      <c r="D241" s="37">
        <f>41.74*10.764</f>
        <v>449.28935999999999</v>
      </c>
      <c r="E241" s="37">
        <v>0</v>
      </c>
      <c r="F241" s="37">
        <f>D241*(($F$194)+1)+(IF(E241&lt;101,E241,IF(E241&lt;201,E241/2,IF(E241&lt;=301,E241/3,E241/4))))</f>
        <v>673.93403999999998</v>
      </c>
      <c r="G241" s="101"/>
      <c r="H241" s="103"/>
    </row>
    <row r="242" spans="1:9" hidden="1" x14ac:dyDescent="0.25">
      <c r="A242" s="107" t="s">
        <v>203</v>
      </c>
      <c r="B242" s="108"/>
      <c r="C242" s="108"/>
      <c r="D242" s="108"/>
      <c r="E242" s="108"/>
      <c r="F242" s="108"/>
      <c r="G242" s="108"/>
      <c r="H242" s="109"/>
    </row>
    <row r="243" spans="1:9" hidden="1" x14ac:dyDescent="0.25">
      <c r="A243" s="104" t="s">
        <v>228</v>
      </c>
      <c r="B243" s="104"/>
      <c r="C243" s="104"/>
      <c r="D243" s="104"/>
      <c r="E243" s="104"/>
      <c r="F243" s="104"/>
      <c r="G243" s="104"/>
      <c r="H243" s="104"/>
    </row>
    <row r="244" spans="1:9" hidden="1" x14ac:dyDescent="0.25">
      <c r="A244" s="97">
        <v>1</v>
      </c>
      <c r="B244" s="97"/>
      <c r="C244" s="37" t="s">
        <v>212</v>
      </c>
      <c r="D244" s="37">
        <f>62.98*10.764</f>
        <v>677.91671999999994</v>
      </c>
      <c r="E244" s="37">
        <v>0</v>
      </c>
      <c r="F244" s="37">
        <f>D244*(($F$194)+1)+(IF(E244&lt;101,E244,IF(E244&lt;201,E244/2,IF(E244&lt;=301,E244/3,E244/4))))</f>
        <v>1016.8750799999999</v>
      </c>
      <c r="G244" s="98" t="str">
        <f>A243</f>
        <v>2nd Floor For Residential</v>
      </c>
      <c r="H244" s="100"/>
      <c r="I244" s="56">
        <f>(5*3.35+2.35*1.3+2.53*2.4+3.05*2.97+3.95*3.2+1.35*2.45+1.35*2.37+0.9*4.45+0.45*3.05)</f>
        <v>59.46</v>
      </c>
    </row>
    <row r="245" spans="1:9" hidden="1" x14ac:dyDescent="0.25">
      <c r="A245" s="97">
        <f>A244+1</f>
        <v>2</v>
      </c>
      <c r="B245" s="97"/>
      <c r="C245" s="37" t="s">
        <v>209</v>
      </c>
      <c r="D245" s="37">
        <f>41.37*10.764</f>
        <v>445.30667999999997</v>
      </c>
      <c r="E245" s="37">
        <v>0</v>
      </c>
      <c r="F245" s="37">
        <f>D245*(($F$194)+1)+(IF(E245&lt;101,E245,IF(E245&lt;201,E245/2,IF(E245&lt;=301,E245/3,E245/4))))</f>
        <v>667.96001999999999</v>
      </c>
      <c r="G245" s="105"/>
      <c r="H245" s="106"/>
      <c r="I245" s="56">
        <f>(3.05*5+2.15*3.5+3.5*3.05+2.15*1.35+2.3*1.27)</f>
        <v>39.273499999999991</v>
      </c>
    </row>
    <row r="246" spans="1:9" hidden="1" x14ac:dyDescent="0.25">
      <c r="A246" s="97">
        <f>A245+1</f>
        <v>3</v>
      </c>
      <c r="B246" s="97"/>
      <c r="C246" s="37" t="s">
        <v>209</v>
      </c>
      <c r="D246" s="37">
        <f>41.74*10.764</f>
        <v>449.28935999999999</v>
      </c>
      <c r="E246" s="37">
        <v>0</v>
      </c>
      <c r="F246" s="37">
        <f>D246*(($F$194)+1)+(IF(E246&lt;101,E246,IF(E246&lt;201,E246/2,IF(E246&lt;=301,E246/3,E246/4))))</f>
        <v>673.93403999999998</v>
      </c>
      <c r="G246" s="101"/>
      <c r="H246" s="103"/>
      <c r="I246" s="56">
        <f>(3.05*5+2.15*3.5+3.2*3.5+2.07*1.35+2.07*1.35)</f>
        <v>39.564</v>
      </c>
    </row>
    <row r="247" spans="1:9" ht="15.75" hidden="1" customHeight="1" x14ac:dyDescent="0.25">
      <c r="A247" s="104" t="s">
        <v>219</v>
      </c>
      <c r="B247" s="104"/>
      <c r="C247" s="104"/>
      <c r="D247" s="104"/>
      <c r="E247" s="104"/>
      <c r="F247" s="104"/>
      <c r="G247" s="104"/>
      <c r="H247" s="104"/>
    </row>
    <row r="248" spans="1:9" ht="15.75" customHeight="1" x14ac:dyDescent="0.25">
      <c r="A248" s="107" t="s">
        <v>204</v>
      </c>
      <c r="B248" s="108"/>
      <c r="C248" s="108"/>
      <c r="D248" s="108"/>
      <c r="E248" s="108"/>
      <c r="F248" s="108"/>
      <c r="G248" s="108"/>
      <c r="H248" s="109"/>
    </row>
    <row r="249" spans="1:9" ht="15.75" customHeight="1" x14ac:dyDescent="0.25">
      <c r="A249" s="107" t="s">
        <v>197</v>
      </c>
      <c r="B249" s="108"/>
      <c r="C249" s="108"/>
      <c r="D249" s="108"/>
      <c r="E249" s="108"/>
      <c r="F249" s="108"/>
      <c r="G249" s="108"/>
      <c r="H249" s="109"/>
    </row>
    <row r="250" spans="1:9" ht="15.75" customHeight="1" x14ac:dyDescent="0.25">
      <c r="A250" s="107" t="s">
        <v>205</v>
      </c>
      <c r="B250" s="108"/>
      <c r="C250" s="108"/>
      <c r="D250" s="108"/>
      <c r="E250" s="108"/>
      <c r="F250" s="108"/>
      <c r="G250" s="108"/>
      <c r="H250" s="109"/>
    </row>
    <row r="251" spans="1:9" x14ac:dyDescent="0.25">
      <c r="A251" s="107" t="s">
        <v>222</v>
      </c>
      <c r="B251" s="108"/>
      <c r="C251" s="108"/>
      <c r="D251" s="108"/>
      <c r="E251" s="108"/>
      <c r="F251" s="108"/>
      <c r="G251" s="108"/>
      <c r="H251" s="109"/>
    </row>
    <row r="252" spans="1:9" x14ac:dyDescent="0.25">
      <c r="A252" s="94">
        <v>1</v>
      </c>
      <c r="B252" s="96"/>
      <c r="C252" s="98" t="s">
        <v>220</v>
      </c>
      <c r="D252" s="99"/>
      <c r="E252" s="99"/>
      <c r="F252" s="100"/>
      <c r="G252" s="98" t="str">
        <f>A251</f>
        <v>1st Floor For Part Residential, Fitness center &amp; Parking</v>
      </c>
      <c r="H252" s="100"/>
    </row>
    <row r="253" spans="1:9" x14ac:dyDescent="0.25">
      <c r="A253" s="94">
        <f t="shared" ref="A253:A255" si="4">A252+1</f>
        <v>2</v>
      </c>
      <c r="B253" s="96"/>
      <c r="C253" s="101"/>
      <c r="D253" s="102"/>
      <c r="E253" s="102"/>
      <c r="F253" s="103"/>
      <c r="G253" s="105"/>
      <c r="H253" s="106"/>
    </row>
    <row r="254" spans="1:9" x14ac:dyDescent="0.25">
      <c r="A254" s="94">
        <v>3</v>
      </c>
      <c r="B254" s="96"/>
      <c r="C254" s="37" t="s">
        <v>209</v>
      </c>
      <c r="D254" s="37">
        <f>41.65*10.764</f>
        <v>448.32059999999996</v>
      </c>
      <c r="E254" s="37">
        <v>0</v>
      </c>
      <c r="F254" s="37">
        <f>D254*(($F$194)+1)+(IF(E254&lt;101,E254,IF(E254&lt;201,E254/2,IF(E254&lt;=301,E254/3,E254/4))))</f>
        <v>672.48089999999991</v>
      </c>
      <c r="G254" s="105"/>
      <c r="H254" s="189"/>
      <c r="I254" s="57"/>
    </row>
    <row r="255" spans="1:9" x14ac:dyDescent="0.25">
      <c r="A255" s="94">
        <f t="shared" si="4"/>
        <v>4</v>
      </c>
      <c r="B255" s="96"/>
      <c r="C255" s="37" t="s">
        <v>209</v>
      </c>
      <c r="D255" s="37">
        <f>41.86*10.764</f>
        <v>450.58103999999997</v>
      </c>
      <c r="E255" s="37">
        <v>0</v>
      </c>
      <c r="F255" s="37">
        <f>D255*(($F$194)+1)+(IF(E255&lt;101,E255,IF(E255&lt;201,E255/2,IF(E255&lt;=301,E255/3,E255/4))))</f>
        <v>675.87155999999993</v>
      </c>
      <c r="G255" s="101"/>
      <c r="H255" s="103"/>
    </row>
    <row r="256" spans="1:9" x14ac:dyDescent="0.25">
      <c r="A256" s="104" t="s">
        <v>210</v>
      </c>
      <c r="B256" s="104"/>
      <c r="C256" s="104"/>
      <c r="D256" s="104"/>
      <c r="E256" s="104"/>
      <c r="F256" s="104"/>
      <c r="G256" s="104"/>
      <c r="H256" s="104"/>
    </row>
    <row r="257" spans="1:9" ht="15.75" customHeight="1" x14ac:dyDescent="0.25">
      <c r="A257" s="94">
        <v>1</v>
      </c>
      <c r="B257" s="96"/>
      <c r="C257" s="98" t="s">
        <v>218</v>
      </c>
      <c r="D257" s="99"/>
      <c r="E257" s="99"/>
      <c r="F257" s="100"/>
      <c r="G257" s="98" t="str">
        <f>A256</f>
        <v>2nd Floor For Part Residential &amp; Podium</v>
      </c>
      <c r="H257" s="100"/>
    </row>
    <row r="258" spans="1:9" x14ac:dyDescent="0.25">
      <c r="A258" s="94">
        <f t="shared" ref="A258:A260" si="5">A257+1</f>
        <v>2</v>
      </c>
      <c r="B258" s="96"/>
      <c r="C258" s="101"/>
      <c r="D258" s="102"/>
      <c r="E258" s="102"/>
      <c r="F258" s="103"/>
      <c r="G258" s="105"/>
      <c r="H258" s="106"/>
    </row>
    <row r="259" spans="1:9" x14ac:dyDescent="0.25">
      <c r="A259" s="94">
        <v>3</v>
      </c>
      <c r="B259" s="96"/>
      <c r="C259" s="37" t="s">
        <v>209</v>
      </c>
      <c r="D259" s="37">
        <f>41.65*10.764</f>
        <v>448.32059999999996</v>
      </c>
      <c r="E259" s="37">
        <v>0</v>
      </c>
      <c r="F259" s="37">
        <f>D259*(($F$194)+1)+(IF(E259&lt;101,E259,IF(E259&lt;201,E259/2,IF(E259&lt;=301,E259/3,E259/4))))</f>
        <v>672.48089999999991</v>
      </c>
      <c r="G259" s="105"/>
      <c r="H259" s="106"/>
    </row>
    <row r="260" spans="1:9" x14ac:dyDescent="0.25">
      <c r="A260" s="94">
        <f t="shared" si="5"/>
        <v>4</v>
      </c>
      <c r="B260" s="96"/>
      <c r="C260" s="37" t="s">
        <v>209</v>
      </c>
      <c r="D260" s="37">
        <f>41.86*10.764</f>
        <v>450.58103999999997</v>
      </c>
      <c r="E260" s="37">
        <v>0</v>
      </c>
      <c r="F260" s="37">
        <f>D260*(($F$194)+1)+(IF(E260&lt;101,E260,IF(E260&lt;201,E260/2,IF(E260&lt;=301,E260/3,E260/4))))</f>
        <v>675.87155999999993</v>
      </c>
      <c r="G260" s="101"/>
      <c r="H260" s="103"/>
    </row>
    <row r="261" spans="1:9" x14ac:dyDescent="0.25">
      <c r="A261" s="104" t="s">
        <v>214</v>
      </c>
      <c r="B261" s="104"/>
      <c r="C261" s="104"/>
      <c r="D261" s="104"/>
      <c r="E261" s="104"/>
      <c r="F261" s="104"/>
      <c r="G261" s="104"/>
      <c r="H261" s="104"/>
    </row>
    <row r="262" spans="1:9" ht="15.75" customHeight="1" x14ac:dyDescent="0.25">
      <c r="A262" s="94">
        <v>1</v>
      </c>
      <c r="B262" s="96"/>
      <c r="C262" s="37" t="s">
        <v>212</v>
      </c>
      <c r="D262" s="37">
        <f>62.88*10.764</f>
        <v>676.84032000000002</v>
      </c>
      <c r="E262" s="37">
        <v>0</v>
      </c>
      <c r="F262" s="37">
        <f>D262*(($F$194)+1)+(IF(E262&lt;101,E262,IF(E262&lt;201,E262/2,IF(E262&lt;=301,E262/3,E262/4))))</f>
        <v>1015.26048</v>
      </c>
      <c r="G262" s="98" t="str">
        <f>A261</f>
        <v xml:space="preserve">3rd Floor For Residential </v>
      </c>
      <c r="H262" s="100"/>
      <c r="I262" s="19">
        <f>(3.35*5+1.3*2.4+2.4*2.45+3.05*3.5+3.2*3.95+1.85*0.9+2.37*1.35+2.37*1.35+2.6*0.9)</f>
        <v>59.469000000000001</v>
      </c>
    </row>
    <row r="263" spans="1:9" x14ac:dyDescent="0.25">
      <c r="A263" s="94">
        <f t="shared" ref="A263:A265" si="6">A262+1</f>
        <v>2</v>
      </c>
      <c r="B263" s="96"/>
      <c r="C263" s="37" t="s">
        <v>212</v>
      </c>
      <c r="D263" s="37">
        <f>60.14*10.764</f>
        <v>647.34695999999997</v>
      </c>
      <c r="E263" s="37">
        <v>0</v>
      </c>
      <c r="F263" s="37">
        <f>D263*(($F$194)+1)+(IF(E263&lt;101,E263,IF(E263&lt;201,E263/2,IF(E263&lt;=301,E263/3,E263/4))))</f>
        <v>971.02044000000001</v>
      </c>
      <c r="G263" s="105"/>
      <c r="H263" s="106"/>
      <c r="I263" s="19">
        <f>(3.35*5+1.31*2.4+2.45*2.4+3.05*3.5+3.2*3.95+0.99*0.9+0.99*0.9+1.35*2.45+2.45*1.35)</f>
        <v>57.48599999999999</v>
      </c>
    </row>
    <row r="264" spans="1:9" x14ac:dyDescent="0.25">
      <c r="A264" s="94">
        <v>3</v>
      </c>
      <c r="B264" s="96"/>
      <c r="C264" s="37" t="s">
        <v>209</v>
      </c>
      <c r="D264" s="37">
        <f>41.65*10.764</f>
        <v>448.32059999999996</v>
      </c>
      <c r="E264" s="37">
        <v>0</v>
      </c>
      <c r="F264" s="37">
        <f>D264*(($F$194)+1)+(IF(E264&lt;101,E264,IF(E264&lt;201,E264/2,IF(E264&lt;=301,E264/3,E264/4))))</f>
        <v>672.48089999999991</v>
      </c>
      <c r="G264" s="105"/>
      <c r="H264" s="106"/>
      <c r="I264" s="19">
        <f>(3.05*5+2.15*3.5+3.2*3.5+2.07*1.35+2*1.35)</f>
        <v>39.469500000000004</v>
      </c>
    </row>
    <row r="265" spans="1:9" x14ac:dyDescent="0.25">
      <c r="A265" s="94">
        <f t="shared" si="6"/>
        <v>4</v>
      </c>
      <c r="B265" s="96"/>
      <c r="C265" s="37" t="s">
        <v>209</v>
      </c>
      <c r="D265" s="37">
        <f>41.86*10.764</f>
        <v>450.58103999999997</v>
      </c>
      <c r="E265" s="37">
        <v>0</v>
      </c>
      <c r="F265" s="37">
        <f>D265*(($F$194)+1)+(IF(E265&lt;101,E265,IF(E265&lt;201,E265/2,IF(E265&lt;=301,E265/3,E265/4))))</f>
        <v>675.87155999999993</v>
      </c>
      <c r="G265" s="101"/>
      <c r="H265" s="103"/>
      <c r="I265" s="19">
        <f>(3.05*5+2.15*3.5+3.2*3.5+2.07*1.35+2*1.35)</f>
        <v>39.469500000000004</v>
      </c>
    </row>
    <row r="266" spans="1:9" x14ac:dyDescent="0.25">
      <c r="A266" s="104" t="s">
        <v>221</v>
      </c>
      <c r="B266" s="104"/>
      <c r="C266" s="104"/>
      <c r="D266" s="104"/>
      <c r="E266" s="104"/>
      <c r="F266" s="104"/>
      <c r="G266" s="104"/>
      <c r="H266" s="104"/>
    </row>
    <row r="267" spans="1:9" x14ac:dyDescent="0.25">
      <c r="A267" s="94">
        <v>1</v>
      </c>
      <c r="B267" s="96"/>
      <c r="C267" s="37" t="s">
        <v>212</v>
      </c>
      <c r="D267" s="37">
        <f>62.88*10.764</f>
        <v>676.84032000000002</v>
      </c>
      <c r="E267" s="37">
        <v>0</v>
      </c>
      <c r="F267" s="37">
        <f>D267*(($F$194)+1)+(IF(E267&lt;101,E267,IF(E267&lt;201,E267/2,IF(E267&lt;=301,E267/3,E267/4))))</f>
        <v>1015.26048</v>
      </c>
      <c r="G267" s="98" t="str">
        <f>A266</f>
        <v>4th to 7th &amp; 9th to 13th Floor</v>
      </c>
      <c r="H267" s="100"/>
    </row>
    <row r="268" spans="1:9" x14ac:dyDescent="0.25">
      <c r="A268" s="94">
        <f t="shared" ref="A268:A270" si="7">A267+1</f>
        <v>2</v>
      </c>
      <c r="B268" s="96"/>
      <c r="C268" s="37" t="s">
        <v>212</v>
      </c>
      <c r="D268" s="37">
        <f>60.14*10.764</f>
        <v>647.34695999999997</v>
      </c>
      <c r="E268" s="37">
        <v>0</v>
      </c>
      <c r="F268" s="37">
        <f>D268*(($F$194)+1)+(IF(E268&lt;101,E268,IF(E268&lt;201,E268/2,IF(E268&lt;=301,E268/3,E268/4))))</f>
        <v>971.02044000000001</v>
      </c>
      <c r="G268" s="105"/>
      <c r="H268" s="106"/>
    </row>
    <row r="269" spans="1:9" x14ac:dyDescent="0.25">
      <c r="A269" s="94">
        <v>3</v>
      </c>
      <c r="B269" s="96"/>
      <c r="C269" s="37" t="s">
        <v>209</v>
      </c>
      <c r="D269" s="37">
        <f>41.65*10.764</f>
        <v>448.32059999999996</v>
      </c>
      <c r="E269" s="37">
        <v>0</v>
      </c>
      <c r="F269" s="37">
        <f>D269*(($F$194)+1)+(IF(E269&lt;101,E269,IF(E269&lt;201,E269/2,IF(E269&lt;=301,E269/3,E269/4))))</f>
        <v>672.48089999999991</v>
      </c>
      <c r="G269" s="105"/>
      <c r="H269" s="106"/>
    </row>
    <row r="270" spans="1:9" x14ac:dyDescent="0.25">
      <c r="A270" s="94">
        <f t="shared" si="7"/>
        <v>4</v>
      </c>
      <c r="B270" s="96"/>
      <c r="C270" s="37" t="s">
        <v>209</v>
      </c>
      <c r="D270" s="37">
        <f>41.86*10.764</f>
        <v>450.58103999999997</v>
      </c>
      <c r="E270" s="37">
        <v>0</v>
      </c>
      <c r="F270" s="37">
        <f>D270*(($F$194)+1)+(IF(E270&lt;101,E270,IF(E270&lt;201,E270/2,IF(E270&lt;=301,E270/3,E270/4))))</f>
        <v>675.87155999999993</v>
      </c>
      <c r="G270" s="101"/>
      <c r="H270" s="103"/>
    </row>
    <row r="271" spans="1:9" x14ac:dyDescent="0.25">
      <c r="A271" s="104" t="s">
        <v>215</v>
      </c>
      <c r="B271" s="104"/>
      <c r="C271" s="104"/>
      <c r="D271" s="104"/>
      <c r="E271" s="104"/>
      <c r="F271" s="104"/>
      <c r="G271" s="104"/>
      <c r="H271" s="104"/>
    </row>
    <row r="272" spans="1:9" x14ac:dyDescent="0.25">
      <c r="A272" s="94">
        <v>1</v>
      </c>
      <c r="B272" s="96"/>
      <c r="C272" s="37" t="s">
        <v>212</v>
      </c>
      <c r="D272" s="37">
        <f>62.88*10.764</f>
        <v>676.84032000000002</v>
      </c>
      <c r="E272" s="37">
        <v>0</v>
      </c>
      <c r="F272" s="37">
        <f>D272*(($F$194)+1)+(IF(E272&lt;101,E272,IF(E272&lt;201,E272/2,IF(E272&lt;=301,E272/3,E272/4))))</f>
        <v>1015.26048</v>
      </c>
      <c r="G272" s="98" t="str">
        <f>A271</f>
        <v>8th Floor For (Part Refuge area)</v>
      </c>
      <c r="H272" s="100"/>
    </row>
    <row r="273" spans="1:9" x14ac:dyDescent="0.25">
      <c r="A273" s="94">
        <f t="shared" ref="A273:A275" si="8">A272+1</f>
        <v>2</v>
      </c>
      <c r="B273" s="96"/>
      <c r="C273" s="37" t="s">
        <v>212</v>
      </c>
      <c r="D273" s="37">
        <f>60.14*10.764</f>
        <v>647.34695999999997</v>
      </c>
      <c r="E273" s="37">
        <v>0</v>
      </c>
      <c r="F273" s="37">
        <f>D273*(($F$194)+1)+(IF(E273&lt;101,E273,IF(E273&lt;201,E273/2,IF(E273&lt;=301,E273/3,E273/4))))</f>
        <v>971.02044000000001</v>
      </c>
      <c r="G273" s="105"/>
      <c r="H273" s="106"/>
    </row>
    <row r="274" spans="1:9" x14ac:dyDescent="0.25">
      <c r="A274" s="94">
        <v>3</v>
      </c>
      <c r="B274" s="96"/>
      <c r="C274" s="94" t="s">
        <v>216</v>
      </c>
      <c r="D274" s="95"/>
      <c r="E274" s="95"/>
      <c r="F274" s="96"/>
      <c r="G274" s="105"/>
      <c r="H274" s="106"/>
    </row>
    <row r="275" spans="1:9" x14ac:dyDescent="0.25">
      <c r="A275" s="94">
        <f t="shared" si="8"/>
        <v>4</v>
      </c>
      <c r="B275" s="96"/>
      <c r="C275" s="37" t="s">
        <v>209</v>
      </c>
      <c r="D275" s="37">
        <f>41.86*10.764</f>
        <v>450.58103999999997</v>
      </c>
      <c r="E275" s="37">
        <v>0</v>
      </c>
      <c r="F275" s="37">
        <f>D275*(($F$194)+1)+(IF(E275&lt;101,E275,IF(E275&lt;201,E275/2,IF(E275&lt;=301,E275/3,E275/4))))</f>
        <v>675.87155999999993</v>
      </c>
      <c r="G275" s="101"/>
      <c r="H275" s="103"/>
    </row>
    <row r="276" spans="1:9" x14ac:dyDescent="0.25">
      <c r="A276" s="188" t="s">
        <v>68</v>
      </c>
      <c r="B276" s="188"/>
      <c r="C276" s="188"/>
      <c r="D276" s="188"/>
      <c r="E276" s="188"/>
      <c r="F276" s="188"/>
      <c r="G276" s="188"/>
      <c r="H276" s="188"/>
    </row>
    <row r="277" spans="1:9" x14ac:dyDescent="0.25">
      <c r="A277" s="40" t="s">
        <v>152</v>
      </c>
      <c r="B277" s="190" t="s">
        <v>274</v>
      </c>
      <c r="C277" s="191"/>
      <c r="D277" s="191"/>
      <c r="E277" s="191"/>
      <c r="F277" s="191"/>
      <c r="G277" s="191"/>
      <c r="H277" s="192"/>
      <c r="I277" s="16" t="s">
        <v>269</v>
      </c>
    </row>
    <row r="278" spans="1:9" x14ac:dyDescent="0.25">
      <c r="A278" s="40" t="s">
        <v>152</v>
      </c>
      <c r="B278" s="190" t="str">
        <f>(IF(F193="Saleable area Loading :","We have considered Saleable area of Flats as per our Calculation.","We considered Saleable area of Flat as per Builder area Sheet."))</f>
        <v>We have considered Saleable area of Flats as per our Calculation.</v>
      </c>
      <c r="C278" s="191"/>
      <c r="D278" s="191"/>
      <c r="E278" s="191"/>
      <c r="F278" s="191"/>
      <c r="G278" s="191"/>
      <c r="H278" s="192"/>
    </row>
    <row r="279" spans="1:9" x14ac:dyDescent="0.25">
      <c r="A279" s="40" t="s">
        <v>152</v>
      </c>
      <c r="B279" s="190" t="str">
        <f>(IF(F162="Saleable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9" s="191"/>
      <c r="D279" s="191"/>
      <c r="E279" s="191"/>
      <c r="F279" s="191"/>
      <c r="G279" s="191"/>
      <c r="H279" s="192"/>
    </row>
    <row r="280" spans="1:9" x14ac:dyDescent="0.25">
      <c r="A280" s="40" t="s">
        <v>152</v>
      </c>
      <c r="B280" s="185" t="s">
        <v>122</v>
      </c>
      <c r="C280" s="186"/>
      <c r="D280" s="186"/>
      <c r="E280" s="186"/>
      <c r="F280" s="186"/>
      <c r="G280" s="186"/>
      <c r="H280" s="187"/>
    </row>
    <row r="281" spans="1:9" x14ac:dyDescent="0.25">
      <c r="A281" s="40" t="s">
        <v>152</v>
      </c>
      <c r="B281" s="185" t="s">
        <v>246</v>
      </c>
      <c r="C281" s="186"/>
      <c r="D281" s="186"/>
      <c r="E281" s="186"/>
      <c r="F281" s="186"/>
      <c r="G281" s="186"/>
      <c r="H281" s="187"/>
    </row>
    <row r="282" spans="1:9" x14ac:dyDescent="0.25">
      <c r="A282" s="40" t="s">
        <v>152</v>
      </c>
      <c r="B282" s="185" t="s">
        <v>151</v>
      </c>
      <c r="C282" s="186"/>
      <c r="D282" s="186"/>
      <c r="E282" s="186"/>
      <c r="F282" s="186"/>
      <c r="G282" s="186"/>
      <c r="H282" s="187"/>
    </row>
    <row r="283" spans="1:9" x14ac:dyDescent="0.25">
      <c r="A283" s="40" t="s">
        <v>152</v>
      </c>
      <c r="B283" s="185" t="s">
        <v>123</v>
      </c>
      <c r="C283" s="186"/>
      <c r="D283" s="186"/>
      <c r="E283" s="186"/>
      <c r="F283" s="186"/>
      <c r="G283" s="186"/>
      <c r="H283" s="187"/>
    </row>
    <row r="284" spans="1:9" ht="32.25" customHeight="1" x14ac:dyDescent="0.25">
      <c r="A284" s="40" t="s">
        <v>152</v>
      </c>
      <c r="B284" s="185" t="s">
        <v>153</v>
      </c>
      <c r="C284" s="186"/>
      <c r="D284" s="186"/>
      <c r="E284" s="186"/>
      <c r="F284" s="186"/>
      <c r="G284" s="186"/>
      <c r="H284" s="187"/>
    </row>
    <row r="285" spans="1:9" x14ac:dyDescent="0.25">
      <c r="A285" s="40" t="s">
        <v>152</v>
      </c>
      <c r="B285" s="185" t="s">
        <v>124</v>
      </c>
      <c r="C285" s="186"/>
      <c r="D285" s="186"/>
      <c r="E285" s="186"/>
      <c r="F285" s="186"/>
      <c r="G285" s="186"/>
      <c r="H285" s="187"/>
    </row>
    <row r="286" spans="1:9" x14ac:dyDescent="0.25">
      <c r="A286" s="40" t="s">
        <v>152</v>
      </c>
      <c r="B286" s="185" t="s">
        <v>261</v>
      </c>
      <c r="C286" s="186"/>
      <c r="D286" s="186"/>
      <c r="E286" s="186"/>
      <c r="F286" s="186"/>
      <c r="G286" s="186"/>
      <c r="H286" s="187"/>
    </row>
    <row r="287" spans="1:9" ht="31.5" customHeight="1" x14ac:dyDescent="0.25">
      <c r="A287" s="40" t="s">
        <v>152</v>
      </c>
      <c r="B287" s="190" t="s">
        <v>257</v>
      </c>
      <c r="C287" s="191"/>
      <c r="D287" s="191"/>
      <c r="E287" s="191"/>
      <c r="F287" s="191"/>
      <c r="G287" s="191"/>
      <c r="H287" s="192"/>
    </row>
    <row r="288" spans="1:9" x14ac:dyDescent="0.25">
      <c r="A288" s="182" t="s">
        <v>61</v>
      </c>
      <c r="B288" s="183"/>
      <c r="C288" s="183"/>
      <c r="D288" s="183"/>
      <c r="E288" s="183"/>
      <c r="F288" s="183"/>
      <c r="G288" s="183"/>
      <c r="H288" s="184"/>
    </row>
    <row r="289" spans="1:8" x14ac:dyDescent="0.25">
      <c r="A289" s="179" t="s">
        <v>62</v>
      </c>
      <c r="B289" s="180"/>
      <c r="C289" s="180"/>
      <c r="D289" s="180"/>
      <c r="E289" s="180"/>
      <c r="F289" s="180"/>
      <c r="G289" s="180"/>
      <c r="H289" s="181"/>
    </row>
    <row r="290" spans="1:8" x14ac:dyDescent="0.25">
      <c r="A290" s="205" t="s">
        <v>63</v>
      </c>
      <c r="B290" s="206"/>
      <c r="C290" s="206"/>
      <c r="D290" s="206"/>
      <c r="E290" s="206"/>
      <c r="F290" s="206"/>
      <c r="G290" s="206"/>
      <c r="H290" s="207"/>
    </row>
    <row r="291" spans="1:8" x14ac:dyDescent="0.25">
      <c r="A291" s="179" t="s">
        <v>64</v>
      </c>
      <c r="B291" s="180"/>
      <c r="C291" s="180"/>
      <c r="D291" s="180"/>
      <c r="E291" s="180"/>
      <c r="F291" s="180"/>
      <c r="G291" s="180"/>
      <c r="H291" s="181"/>
    </row>
    <row r="292" spans="1:8" ht="15.75" customHeight="1" x14ac:dyDescent="0.25">
      <c r="A292" s="179" t="s">
        <v>65</v>
      </c>
      <c r="B292" s="180"/>
      <c r="C292" s="180"/>
      <c r="D292" s="180"/>
      <c r="E292" s="180"/>
      <c r="F292" s="180"/>
      <c r="G292" s="180"/>
      <c r="H292" s="181"/>
    </row>
    <row r="293" spans="1:8" ht="15.75" customHeight="1" x14ac:dyDescent="0.25">
      <c r="A293" s="179" t="s">
        <v>125</v>
      </c>
      <c r="B293" s="180"/>
      <c r="C293" s="180"/>
      <c r="D293" s="180"/>
      <c r="E293" s="180"/>
      <c r="F293" s="180"/>
      <c r="G293" s="180"/>
      <c r="H293" s="181"/>
    </row>
    <row r="294" spans="1:8" x14ac:dyDescent="0.25">
      <c r="A294" s="156" t="s">
        <v>126</v>
      </c>
      <c r="B294" s="157"/>
      <c r="C294" s="157"/>
      <c r="D294" s="157"/>
      <c r="E294" s="157"/>
      <c r="F294" s="157"/>
      <c r="G294" s="157"/>
      <c r="H294" s="158"/>
    </row>
    <row r="295" spans="1:8" x14ac:dyDescent="0.25">
      <c r="A295" s="202" t="s">
        <v>76</v>
      </c>
      <c r="B295" s="202"/>
      <c r="C295" s="202" t="s">
        <v>272</v>
      </c>
      <c r="D295" s="202"/>
      <c r="E295" s="202" t="s">
        <v>104</v>
      </c>
      <c r="F295" s="202"/>
      <c r="G295" s="203" t="s">
        <v>275</v>
      </c>
      <c r="H295" s="204"/>
    </row>
    <row r="296" spans="1:8" x14ac:dyDescent="0.25">
      <c r="A296" s="193" t="s">
        <v>78</v>
      </c>
      <c r="B296" s="194"/>
      <c r="C296" s="194"/>
      <c r="D296" s="194"/>
      <c r="E296" s="194"/>
      <c r="F296" s="194"/>
      <c r="G296" s="194"/>
      <c r="H296" s="195"/>
    </row>
    <row r="297" spans="1:8" x14ac:dyDescent="0.25">
      <c r="A297" s="196"/>
      <c r="B297" s="197"/>
      <c r="C297" s="197"/>
      <c r="D297" s="197"/>
      <c r="E297" s="197"/>
      <c r="F297" s="197"/>
      <c r="G297" s="197"/>
      <c r="H297" s="198"/>
    </row>
    <row r="298" spans="1:8" x14ac:dyDescent="0.25">
      <c r="A298" s="196"/>
      <c r="B298" s="197"/>
      <c r="C298" s="197"/>
      <c r="D298" s="197"/>
      <c r="E298" s="197"/>
      <c r="F298" s="197"/>
      <c r="G298" s="197"/>
      <c r="H298" s="198"/>
    </row>
    <row r="299" spans="1:8" x14ac:dyDescent="0.25">
      <c r="A299" s="199"/>
      <c r="B299" s="200"/>
      <c r="C299" s="200"/>
      <c r="D299" s="200"/>
      <c r="E299" s="200"/>
      <c r="F299" s="200"/>
      <c r="G299" s="200"/>
      <c r="H299" s="201"/>
    </row>
    <row r="300" spans="1:8" x14ac:dyDescent="0.25">
      <c r="A300" s="33" t="s">
        <v>66</v>
      </c>
      <c r="B300" s="34"/>
      <c r="C300" s="34"/>
      <c r="D300" s="33" t="str">
        <f>E8</f>
        <v>Crescent Nexus Ascent</v>
      </c>
      <c r="F300" s="34"/>
      <c r="G300" s="34"/>
      <c r="H300" s="34"/>
    </row>
    <row r="301" spans="1:8" x14ac:dyDescent="0.25">
      <c r="A301" s="34"/>
      <c r="B301" s="34"/>
      <c r="C301" s="34"/>
      <c r="D301" s="34"/>
      <c r="E301" s="34"/>
      <c r="F301" s="34"/>
      <c r="G301" s="34"/>
      <c r="H301" s="34"/>
    </row>
    <row r="302" spans="1:8" x14ac:dyDescent="0.25">
      <c r="A302" s="34"/>
      <c r="B302" s="34"/>
      <c r="C302" s="34"/>
      <c r="D302" s="34"/>
      <c r="E302" s="34"/>
      <c r="F302" s="34"/>
      <c r="G302" s="34"/>
      <c r="H302" s="34"/>
    </row>
    <row r="346" spans="1:1" hidden="1" x14ac:dyDescent="0.25"/>
    <row r="347" spans="1:1" hidden="1" x14ac:dyDescent="0.25"/>
    <row r="348" spans="1:1" hidden="1" x14ac:dyDescent="0.25"/>
    <row r="349" spans="1:1" x14ac:dyDescent="0.25">
      <c r="A349" s="36" t="s">
        <v>163</v>
      </c>
    </row>
    <row r="393" spans="1:1" x14ac:dyDescent="0.25">
      <c r="A393" s="36" t="s">
        <v>67</v>
      </c>
    </row>
  </sheetData>
  <mergeCells count="505">
    <mergeCell ref="I10:L10"/>
    <mergeCell ref="A112:B113"/>
    <mergeCell ref="C112:D113"/>
    <mergeCell ref="E112:F113"/>
    <mergeCell ref="G112:H113"/>
    <mergeCell ref="A98:B98"/>
    <mergeCell ref="C98:H98"/>
    <mergeCell ref="A100:B100"/>
    <mergeCell ref="C100:H100"/>
    <mergeCell ref="A101:B101"/>
    <mergeCell ref="E101:F101"/>
    <mergeCell ref="G101:H101"/>
    <mergeCell ref="A102:B102"/>
    <mergeCell ref="E102:F111"/>
    <mergeCell ref="G102:H111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88:B88"/>
    <mergeCell ref="E88:F97"/>
    <mergeCell ref="G88:H97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B286:H286"/>
    <mergeCell ref="B287:H287"/>
    <mergeCell ref="A203:H203"/>
    <mergeCell ref="A242:H242"/>
    <mergeCell ref="A243:H243"/>
    <mergeCell ref="A244:B244"/>
    <mergeCell ref="A245:B245"/>
    <mergeCell ref="A246:B246"/>
    <mergeCell ref="A256:H256"/>
    <mergeCell ref="A257:B257"/>
    <mergeCell ref="C257:F258"/>
    <mergeCell ref="A258:B258"/>
    <mergeCell ref="G257:H260"/>
    <mergeCell ref="A228:B228"/>
    <mergeCell ref="A229:B229"/>
    <mergeCell ref="A230:B230"/>
    <mergeCell ref="A231:B231"/>
    <mergeCell ref="B283:H283"/>
    <mergeCell ref="B279:H279"/>
    <mergeCell ref="A248:H248"/>
    <mergeCell ref="A249:H249"/>
    <mergeCell ref="A250:H250"/>
    <mergeCell ref="A215:H215"/>
    <mergeCell ref="G216:H220"/>
    <mergeCell ref="A174:B174"/>
    <mergeCell ref="G173:H174"/>
    <mergeCell ref="A186:H186"/>
    <mergeCell ref="A187:B187"/>
    <mergeCell ref="G187:H187"/>
    <mergeCell ref="A191:H191"/>
    <mergeCell ref="A214:B214"/>
    <mergeCell ref="C193:C194"/>
    <mergeCell ref="G168:H171"/>
    <mergeCell ref="A188:H188"/>
    <mergeCell ref="A189:H189"/>
    <mergeCell ref="A196:H196"/>
    <mergeCell ref="A190:H190"/>
    <mergeCell ref="G178:H185"/>
    <mergeCell ref="A195:H195"/>
    <mergeCell ref="B193:B194"/>
    <mergeCell ref="A200:B200"/>
    <mergeCell ref="A201:B201"/>
    <mergeCell ref="A212:B212"/>
    <mergeCell ref="A213:B213"/>
    <mergeCell ref="I59:L59"/>
    <mergeCell ref="A46:D46"/>
    <mergeCell ref="A73:B73"/>
    <mergeCell ref="A76:B76"/>
    <mergeCell ref="A72:B72"/>
    <mergeCell ref="A70:B70"/>
    <mergeCell ref="C70:H70"/>
    <mergeCell ref="A78:B78"/>
    <mergeCell ref="A65:C65"/>
    <mergeCell ref="D65:H65"/>
    <mergeCell ref="A66:C66"/>
    <mergeCell ref="D66:H66"/>
    <mergeCell ref="C52:H52"/>
    <mergeCell ref="D62:H62"/>
    <mergeCell ref="A60:C62"/>
    <mergeCell ref="A50:B50"/>
    <mergeCell ref="D67:H67"/>
    <mergeCell ref="A75:B75"/>
    <mergeCell ref="E74:F83"/>
    <mergeCell ref="G74:H83"/>
    <mergeCell ref="A82:B82"/>
    <mergeCell ref="A83:B83"/>
    <mergeCell ref="D64:H64"/>
    <mergeCell ref="J45:N45"/>
    <mergeCell ref="A114:B114"/>
    <mergeCell ref="C114:H114"/>
    <mergeCell ref="A116:B116"/>
    <mergeCell ref="C116:H116"/>
    <mergeCell ref="A119:B119"/>
    <mergeCell ref="F34:H34"/>
    <mergeCell ref="F33:H33"/>
    <mergeCell ref="A159:B159"/>
    <mergeCell ref="C159:D159"/>
    <mergeCell ref="E159:F159"/>
    <mergeCell ref="G159:H159"/>
    <mergeCell ref="E42:H42"/>
    <mergeCell ref="A42:D42"/>
    <mergeCell ref="A79:B79"/>
    <mergeCell ref="A49:B49"/>
    <mergeCell ref="C49:E49"/>
    <mergeCell ref="G49:H49"/>
    <mergeCell ref="G53:H53"/>
    <mergeCell ref="D57:H57"/>
    <mergeCell ref="C53:E53"/>
    <mergeCell ref="D60:H60"/>
    <mergeCell ref="A117:B117"/>
    <mergeCell ref="E117:F117"/>
    <mergeCell ref="F131:H131"/>
    <mergeCell ref="A136:E136"/>
    <mergeCell ref="F136:H136"/>
    <mergeCell ref="C143:D143"/>
    <mergeCell ref="A139:E139"/>
    <mergeCell ref="A164:H164"/>
    <mergeCell ref="A165:H165"/>
    <mergeCell ref="A146:B146"/>
    <mergeCell ref="C146:D146"/>
    <mergeCell ref="E146:F146"/>
    <mergeCell ref="C158:D158"/>
    <mergeCell ref="A161:H161"/>
    <mergeCell ref="G144:H144"/>
    <mergeCell ref="A135:E135"/>
    <mergeCell ref="E162:E163"/>
    <mergeCell ref="G162:H163"/>
    <mergeCell ref="E143:F143"/>
    <mergeCell ref="C162:C163"/>
    <mergeCell ref="A220:B220"/>
    <mergeCell ref="A237:H237"/>
    <mergeCell ref="A238:B238"/>
    <mergeCell ref="A216:B216"/>
    <mergeCell ref="A224:B224"/>
    <mergeCell ref="A223:B223"/>
    <mergeCell ref="A193:A194"/>
    <mergeCell ref="A227:H227"/>
    <mergeCell ref="A247:H247"/>
    <mergeCell ref="A198:B198"/>
    <mergeCell ref="C198:F198"/>
    <mergeCell ref="A204:B204"/>
    <mergeCell ref="G204:H208"/>
    <mergeCell ref="G238:H241"/>
    <mergeCell ref="C219:F220"/>
    <mergeCell ref="C238:F238"/>
    <mergeCell ref="A219:B219"/>
    <mergeCell ref="G198:H202"/>
    <mergeCell ref="A205:B205"/>
    <mergeCell ref="A206:B206"/>
    <mergeCell ref="A207:B207"/>
    <mergeCell ref="A208:B208"/>
    <mergeCell ref="A202:B202"/>
    <mergeCell ref="A211:B211"/>
    <mergeCell ref="A296:H299"/>
    <mergeCell ref="A295:B295"/>
    <mergeCell ref="E295:F295"/>
    <mergeCell ref="C295:D295"/>
    <mergeCell ref="G295:H295"/>
    <mergeCell ref="A142:H142"/>
    <mergeCell ref="A140:E140"/>
    <mergeCell ref="F140:H140"/>
    <mergeCell ref="A141:E141"/>
    <mergeCell ref="F141:H141"/>
    <mergeCell ref="A197:H197"/>
    <mergeCell ref="A154:B154"/>
    <mergeCell ref="A217:B217"/>
    <mergeCell ref="A144:B144"/>
    <mergeCell ref="A291:H291"/>
    <mergeCell ref="A152:H152"/>
    <mergeCell ref="A293:H293"/>
    <mergeCell ref="A290:H290"/>
    <mergeCell ref="A199:B199"/>
    <mergeCell ref="A153:B153"/>
    <mergeCell ref="D193:D194"/>
    <mergeCell ref="E193:E194"/>
    <mergeCell ref="G193:H194"/>
    <mergeCell ref="A251:H251"/>
    <mergeCell ref="A294:H294"/>
    <mergeCell ref="A292:H292"/>
    <mergeCell ref="A288:H288"/>
    <mergeCell ref="A255:B255"/>
    <mergeCell ref="B281:H281"/>
    <mergeCell ref="A276:H276"/>
    <mergeCell ref="A268:B268"/>
    <mergeCell ref="A269:B269"/>
    <mergeCell ref="A270:B270"/>
    <mergeCell ref="G252:H255"/>
    <mergeCell ref="A252:B252"/>
    <mergeCell ref="A253:B253"/>
    <mergeCell ref="C252:F253"/>
    <mergeCell ref="A272:B272"/>
    <mergeCell ref="B277:H277"/>
    <mergeCell ref="B278:H278"/>
    <mergeCell ref="B280:H280"/>
    <mergeCell ref="A274:B274"/>
    <mergeCell ref="A275:B275"/>
    <mergeCell ref="A289:H289"/>
    <mergeCell ref="B285:H285"/>
    <mergeCell ref="A254:B254"/>
    <mergeCell ref="B284:H284"/>
    <mergeCell ref="B282:H282"/>
    <mergeCell ref="A167:H167"/>
    <mergeCell ref="C151:D151"/>
    <mergeCell ref="E151:F151"/>
    <mergeCell ref="G151:H151"/>
    <mergeCell ref="A155:B155"/>
    <mergeCell ref="C155:D155"/>
    <mergeCell ref="E155:F155"/>
    <mergeCell ref="G155:H155"/>
    <mergeCell ref="G158:H158"/>
    <mergeCell ref="A232:H232"/>
    <mergeCell ref="A233:B233"/>
    <mergeCell ref="G233:H236"/>
    <mergeCell ref="A234:B234"/>
    <mergeCell ref="A235:B235"/>
    <mergeCell ref="A175:H175"/>
    <mergeCell ref="A218:B218"/>
    <mergeCell ref="A137:E137"/>
    <mergeCell ref="A176:H176"/>
    <mergeCell ref="A177:H177"/>
    <mergeCell ref="A171:B171"/>
    <mergeCell ref="A170:B170"/>
    <mergeCell ref="A192:H192"/>
    <mergeCell ref="A178:B178"/>
    <mergeCell ref="A179:B179"/>
    <mergeCell ref="A180:B180"/>
    <mergeCell ref="A181:B181"/>
    <mergeCell ref="A182:B182"/>
    <mergeCell ref="A183:B183"/>
    <mergeCell ref="A184:B184"/>
    <mergeCell ref="G228:H231"/>
    <mergeCell ref="A185:B185"/>
    <mergeCell ref="A172:H172"/>
    <mergeCell ref="A173:B17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E45:H45"/>
    <mergeCell ref="E46:H46"/>
    <mergeCell ref="A44:D44"/>
    <mergeCell ref="A77:B77"/>
    <mergeCell ref="E73:F73"/>
    <mergeCell ref="A37:H37"/>
    <mergeCell ref="C72:H72"/>
    <mergeCell ref="C54:H54"/>
    <mergeCell ref="A48:B48"/>
    <mergeCell ref="C48:H48"/>
    <mergeCell ref="A67:C67"/>
    <mergeCell ref="A36:B36"/>
    <mergeCell ref="C36:E36"/>
    <mergeCell ref="A41:D41"/>
    <mergeCell ref="E41:H41"/>
    <mergeCell ref="A40:H40"/>
    <mergeCell ref="A63:C63"/>
    <mergeCell ref="A64:C64"/>
    <mergeCell ref="D63:H63"/>
    <mergeCell ref="F36:H36"/>
    <mergeCell ref="D61:H61"/>
    <mergeCell ref="C50:E50"/>
    <mergeCell ref="A51:B51"/>
    <mergeCell ref="C51:E51"/>
    <mergeCell ref="G51:H51"/>
    <mergeCell ref="A52:B52"/>
    <mergeCell ref="A53:B53"/>
    <mergeCell ref="A54:B54"/>
    <mergeCell ref="A55:B55"/>
    <mergeCell ref="C55:E55"/>
    <mergeCell ref="A56:H56"/>
    <mergeCell ref="A57:C57"/>
    <mergeCell ref="A58:C58"/>
    <mergeCell ref="D58:H58"/>
    <mergeCell ref="G55:H55"/>
    <mergeCell ref="A267:B267"/>
    <mergeCell ref="G267:H270"/>
    <mergeCell ref="A38:B38"/>
    <mergeCell ref="C38:H38"/>
    <mergeCell ref="A45:D45"/>
    <mergeCell ref="L147:M147"/>
    <mergeCell ref="L146:M146"/>
    <mergeCell ref="L145:M145"/>
    <mergeCell ref="L144:M144"/>
    <mergeCell ref="A81:B81"/>
    <mergeCell ref="C154:D154"/>
    <mergeCell ref="E154:F154"/>
    <mergeCell ref="G154:H154"/>
    <mergeCell ref="F135:H135"/>
    <mergeCell ref="A129:E129"/>
    <mergeCell ref="A47:H47"/>
    <mergeCell ref="D59:H59"/>
    <mergeCell ref="A59:C59"/>
    <mergeCell ref="G50:H50"/>
    <mergeCell ref="A80:B80"/>
    <mergeCell ref="E145:F145"/>
    <mergeCell ref="A43:D43"/>
    <mergeCell ref="E43:H43"/>
    <mergeCell ref="E44:H44"/>
    <mergeCell ref="L156:M156"/>
    <mergeCell ref="A133:E133"/>
    <mergeCell ref="A158:B158"/>
    <mergeCell ref="E158:F158"/>
    <mergeCell ref="F132:H132"/>
    <mergeCell ref="L153:M153"/>
    <mergeCell ref="L154:M154"/>
    <mergeCell ref="L155:M155"/>
    <mergeCell ref="L152:M152"/>
    <mergeCell ref="A147:H147"/>
    <mergeCell ref="A148:B148"/>
    <mergeCell ref="C148:D148"/>
    <mergeCell ref="E148:F148"/>
    <mergeCell ref="G148:H148"/>
    <mergeCell ref="A149:B149"/>
    <mergeCell ref="C149:D149"/>
    <mergeCell ref="E149:F149"/>
    <mergeCell ref="G149:H149"/>
    <mergeCell ref="A150:B150"/>
    <mergeCell ref="A143:B143"/>
    <mergeCell ref="G145:H145"/>
    <mergeCell ref="A151:B151"/>
    <mergeCell ref="C145:D145"/>
    <mergeCell ref="F138:H138"/>
    <mergeCell ref="F130:H130"/>
    <mergeCell ref="A130:E130"/>
    <mergeCell ref="D162:D163"/>
    <mergeCell ref="A132:E132"/>
    <mergeCell ref="A168:B168"/>
    <mergeCell ref="A169:B169"/>
    <mergeCell ref="A209:H209"/>
    <mergeCell ref="A210:B210"/>
    <mergeCell ref="G210:H214"/>
    <mergeCell ref="A131:E131"/>
    <mergeCell ref="A166:H166"/>
    <mergeCell ref="E153:F153"/>
    <mergeCell ref="E144:F144"/>
    <mergeCell ref="B162:B163"/>
    <mergeCell ref="A162:A163"/>
    <mergeCell ref="F133:H133"/>
    <mergeCell ref="A145:B145"/>
    <mergeCell ref="F139:H139"/>
    <mergeCell ref="F137:H137"/>
    <mergeCell ref="G143:H143"/>
    <mergeCell ref="A138:E138"/>
    <mergeCell ref="C144:D144"/>
    <mergeCell ref="A134:E134"/>
    <mergeCell ref="F134:H134"/>
    <mergeCell ref="A128:E128"/>
    <mergeCell ref="A126:B126"/>
    <mergeCell ref="A127:B127"/>
    <mergeCell ref="F129:H129"/>
    <mergeCell ref="A118:B118"/>
    <mergeCell ref="E118:F127"/>
    <mergeCell ref="G118:H127"/>
    <mergeCell ref="A69:C69"/>
    <mergeCell ref="D69:H69"/>
    <mergeCell ref="A120:B120"/>
    <mergeCell ref="A121:B121"/>
    <mergeCell ref="A122:B122"/>
    <mergeCell ref="A123:B123"/>
    <mergeCell ref="A124:B124"/>
    <mergeCell ref="A125:B125"/>
    <mergeCell ref="F128:H128"/>
    <mergeCell ref="G117:H117"/>
    <mergeCell ref="A84:B84"/>
    <mergeCell ref="C84:H84"/>
    <mergeCell ref="A86:B86"/>
    <mergeCell ref="C86:H86"/>
    <mergeCell ref="A87:B87"/>
    <mergeCell ref="E87:F87"/>
    <mergeCell ref="G87:H87"/>
    <mergeCell ref="C274:F274"/>
    <mergeCell ref="A225:B225"/>
    <mergeCell ref="A226:B226"/>
    <mergeCell ref="C225:F226"/>
    <mergeCell ref="A271:H271"/>
    <mergeCell ref="G272:H275"/>
    <mergeCell ref="A221:H221"/>
    <mergeCell ref="A222:H222"/>
    <mergeCell ref="A259:B259"/>
    <mergeCell ref="A260:B260"/>
    <mergeCell ref="A261:H261"/>
    <mergeCell ref="A262:B262"/>
    <mergeCell ref="G262:H265"/>
    <mergeCell ref="A263:B263"/>
    <mergeCell ref="A264:B264"/>
    <mergeCell ref="A265:B265"/>
    <mergeCell ref="A273:B273"/>
    <mergeCell ref="A239:B239"/>
    <mergeCell ref="A240:B240"/>
    <mergeCell ref="A241:B241"/>
    <mergeCell ref="G223:H226"/>
    <mergeCell ref="G244:H246"/>
    <mergeCell ref="A236:B236"/>
    <mergeCell ref="A266:H266"/>
    <mergeCell ref="J33:L33"/>
    <mergeCell ref="J36:L36"/>
    <mergeCell ref="G146:H146"/>
    <mergeCell ref="I162:I163"/>
    <mergeCell ref="C150:D150"/>
    <mergeCell ref="E150:F150"/>
    <mergeCell ref="G150:H150"/>
    <mergeCell ref="A156:B156"/>
    <mergeCell ref="C156:D156"/>
    <mergeCell ref="E156:F156"/>
    <mergeCell ref="G156:H156"/>
    <mergeCell ref="A157:B157"/>
    <mergeCell ref="C157:D157"/>
    <mergeCell ref="E157:F157"/>
    <mergeCell ref="G157:H157"/>
    <mergeCell ref="A160:H160"/>
    <mergeCell ref="C153:D153"/>
    <mergeCell ref="G153:H153"/>
    <mergeCell ref="A39:B39"/>
    <mergeCell ref="C39:H39"/>
    <mergeCell ref="A68:C68"/>
    <mergeCell ref="D68:H68"/>
    <mergeCell ref="A74:B74"/>
    <mergeCell ref="G73:H73"/>
  </mergeCells>
  <dataValidations count="8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62:E163" xr:uid="{00000000-0002-0000-0000-000003000000}">
      <formula1>"Attached Loft area,Attached Terrace area,Attached Mezzanine area"</formula1>
    </dataValidation>
    <dataValidation type="list" allowBlank="1" showInputMessage="1" showErrorMessage="1" sqref="F163 F194" xr:uid="{00000000-0002-0000-0000-000004000000}">
      <formula1>"45%,50%,55%,60%"</formula1>
    </dataValidation>
    <dataValidation type="list" allowBlank="1" showInputMessage="1" showErrorMessage="1" sqref="G295:H295" xr:uid="{00000000-0002-0000-0000-000005000000}">
      <formula1>"Gaurav Panchal, Kunal Kadam,Shruti Tathare,Shruti Fule,Pooja Kawale,Mansee Mohite,Anjali Kamble, Hitakshi Mhatre, Sachin Sawant"</formula1>
    </dataValidation>
    <dataValidation type="list" allowBlank="1" showInputMessage="1" showErrorMessage="1" sqref="F128:H128" xr:uid="{00000000-0002-0000-0000-000006000000}">
      <formula1>"On Saleable Area,On Builtup Area,On Carpet Area,On Plot Area"</formula1>
    </dataValidation>
    <dataValidation type="list" allowBlank="1" showInputMessage="1" showErrorMessage="1" sqref="F140:H140" xr:uid="{00000000-0002-0000-0000-000007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7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13" max="16383" man="1"/>
    <brk id="299" max="7" man="1"/>
    <brk id="348" max="7" man="1"/>
    <brk id="392" max="7" man="1"/>
  </rowBreaks>
  <colBreaks count="1" manualBreakCount="1">
    <brk id="8" max="1048575" man="1"/>
  </col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46" t="s">
        <v>105</v>
      </c>
      <c r="C3" s="246"/>
      <c r="D3" s="246"/>
      <c r="E3" s="246"/>
      <c r="F3" s="246"/>
      <c r="G3" s="246"/>
      <c r="H3" s="246"/>
    </row>
    <row r="4" spans="1:9" x14ac:dyDescent="0.25">
      <c r="A4" s="2"/>
      <c r="B4" s="3" t="s">
        <v>106</v>
      </c>
      <c r="C4" s="3" t="s">
        <v>107</v>
      </c>
      <c r="D4" s="3" t="s">
        <v>69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2025-09-13T10:19:32Z</cp:lastPrinted>
  <dcterms:created xsi:type="dcterms:W3CDTF">2019-07-16T09:29:46Z</dcterms:created>
  <dcterms:modified xsi:type="dcterms:W3CDTF">2025-09-13T10:20:22Z</dcterms:modified>
</cp:coreProperties>
</file>