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20490" windowHeight="68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8" i="1" l="1"/>
  <c r="J77" i="1"/>
  <c r="J76" i="1"/>
  <c r="J75" i="1"/>
  <c r="H68" i="1"/>
  <c r="J73" i="1" l="1"/>
  <c r="J74" i="1" s="1"/>
  <c r="J79" i="1" s="1"/>
  <c r="J80" i="1" s="1"/>
  <c r="C72" i="1" s="1"/>
  <c r="D79" i="1"/>
  <c r="D77" i="1"/>
  <c r="D75" i="1"/>
  <c r="J71" i="1"/>
  <c r="J67" i="1"/>
  <c r="J69" i="1" s="1"/>
  <c r="D73" i="1"/>
  <c r="J72" i="1"/>
  <c r="C71" i="1" s="1"/>
  <c r="J70" i="1"/>
  <c r="D80" i="1"/>
  <c r="D78" i="1"/>
  <c r="D76" i="1"/>
  <c r="D74" i="1"/>
  <c r="D163" i="1"/>
  <c r="F163" i="1" s="1"/>
  <c r="D162" i="1"/>
  <c r="F162" i="1" s="1"/>
  <c r="D159" i="1"/>
  <c r="F159" i="1" s="1"/>
  <c r="D158" i="1"/>
  <c r="F158" i="1" s="1"/>
  <c r="D157" i="1"/>
  <c r="F157" i="1" s="1"/>
  <c r="D156" i="1"/>
  <c r="D153" i="1"/>
  <c r="F153" i="1" s="1"/>
  <c r="J153" i="1" s="1"/>
  <c r="D152" i="1"/>
  <c r="F152" i="1" s="1"/>
  <c r="J152" i="1" s="1"/>
  <c r="D151" i="1"/>
  <c r="D145" i="1"/>
  <c r="F145" i="1" s="1"/>
  <c r="D144" i="1"/>
  <c r="F144" i="1" s="1"/>
  <c r="D143" i="1"/>
  <c r="F143" i="1" s="1"/>
  <c r="D142" i="1"/>
  <c r="F142" i="1" s="1"/>
  <c r="D141" i="1"/>
  <c r="F141" i="1" s="1"/>
  <c r="D140" i="1"/>
  <c r="F140" i="1" s="1"/>
  <c r="D139" i="1"/>
  <c r="D138" i="1"/>
  <c r="D137" i="1"/>
  <c r="D136" i="1"/>
  <c r="G162" i="1"/>
  <c r="G156" i="1"/>
  <c r="G151" i="1"/>
  <c r="A162" i="1"/>
  <c r="A151" i="1"/>
  <c r="A156" i="1"/>
  <c r="E127" i="1" l="1"/>
  <c r="C128" i="1"/>
  <c r="F156" i="1"/>
  <c r="E71" i="1"/>
  <c r="D72" i="1"/>
  <c r="G71" i="1"/>
  <c r="D65" i="1" s="1"/>
  <c r="D71" i="1"/>
  <c r="C123" i="1"/>
  <c r="C126" i="1"/>
  <c r="C129" i="1" s="1"/>
  <c r="C127" i="1"/>
  <c r="F151" i="1"/>
  <c r="J151" i="1" s="1"/>
  <c r="G128" i="1"/>
  <c r="G127" i="1"/>
  <c r="E123" i="1"/>
  <c r="E126" i="1"/>
  <c r="E128" i="1"/>
  <c r="C14" i="1"/>
  <c r="A157" i="1"/>
  <c r="A152" i="1"/>
  <c r="A163" i="1"/>
  <c r="I68" i="1" l="1"/>
  <c r="I69" i="1" s="1"/>
  <c r="J68" i="1"/>
  <c r="E129" i="1"/>
  <c r="G126" i="1"/>
  <c r="G129" i="1" s="1"/>
  <c r="E29" i="1"/>
  <c r="A153" i="1"/>
  <c r="A158" i="1"/>
  <c r="I67" i="1" l="1"/>
  <c r="C69" i="1" s="1"/>
  <c r="F166" i="1"/>
  <c r="F167" i="1"/>
  <c r="F168" i="1"/>
  <c r="F165" i="1"/>
  <c r="A166" i="1"/>
  <c r="A167" i="1" s="1"/>
  <c r="A168" i="1" s="1"/>
  <c r="G165" i="1"/>
  <c r="A159" i="1"/>
  <c r="F120" i="1" l="1"/>
  <c r="F137" i="1" l="1"/>
  <c r="I137" i="1" s="1"/>
  <c r="F138" i="1"/>
  <c r="F139" i="1"/>
  <c r="F136" i="1"/>
  <c r="G123" i="1" l="1"/>
  <c r="I136" i="1"/>
  <c r="B195" i="1"/>
  <c r="A182" i="1"/>
  <c r="A176" i="1"/>
  <c r="A188" i="1"/>
  <c r="F192" i="1" l="1"/>
  <c r="F191" i="1"/>
  <c r="F190" i="1"/>
  <c r="F189" i="1"/>
  <c r="F188" i="1"/>
  <c r="F186" i="1"/>
  <c r="F185" i="1"/>
  <c r="F184" i="1"/>
  <c r="F183" i="1"/>
  <c r="F182" i="1"/>
  <c r="F180" i="1"/>
  <c r="F179" i="1"/>
  <c r="F178" i="1"/>
  <c r="F177" i="1"/>
  <c r="F176" i="1"/>
  <c r="F174" i="1"/>
  <c r="F173" i="1"/>
  <c r="F171" i="1"/>
  <c r="F170" i="1"/>
  <c r="F172" i="1"/>
  <c r="A177" i="1"/>
  <c r="A189" i="1"/>
  <c r="A183" i="1"/>
  <c r="B196" i="1" l="1"/>
  <c r="A178" i="1"/>
  <c r="A184" i="1"/>
  <c r="A190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5" i="1"/>
  <c r="G188" i="1"/>
  <c r="G182" i="1"/>
  <c r="G176" i="1"/>
  <c r="G170" i="1"/>
  <c r="A170" i="1"/>
  <c r="A171" i="1" s="1"/>
  <c r="A172" i="1" s="1"/>
  <c r="A173" i="1" s="1"/>
  <c r="A174" i="1" s="1"/>
  <c r="A137" i="1"/>
  <c r="A138" i="1" s="1"/>
  <c r="A139" i="1" s="1"/>
  <c r="A140" i="1" s="1"/>
  <c r="A141" i="1" s="1"/>
  <c r="A142" i="1" s="1"/>
  <c r="A143" i="1" s="1"/>
  <c r="A144" i="1" s="1"/>
  <c r="A145" i="1" s="1"/>
  <c r="G136" i="1"/>
  <c r="J106" i="1"/>
  <c r="J105" i="1"/>
  <c r="J104" i="1"/>
  <c r="J103" i="1"/>
  <c r="C95" i="1"/>
  <c r="J92" i="1"/>
  <c r="J91" i="1"/>
  <c r="J90" i="1"/>
  <c r="J89" i="1"/>
  <c r="D54" i="1"/>
  <c r="G49" i="1"/>
  <c r="G50" i="1" s="1"/>
  <c r="C49" i="1"/>
  <c r="E42" i="1"/>
  <c r="E43" i="1" s="1"/>
  <c r="E26" i="1"/>
  <c r="E24" i="1"/>
  <c r="E7" i="1"/>
  <c r="E3" i="1"/>
  <c r="A179" i="1"/>
  <c r="H82" i="1"/>
  <c r="A191" i="1"/>
  <c r="H96" i="1"/>
  <c r="A185" i="1"/>
  <c r="D61" i="1" l="1"/>
  <c r="D94" i="1"/>
  <c r="D92" i="1"/>
  <c r="D91" i="1"/>
  <c r="D90" i="1"/>
  <c r="D88" i="1"/>
  <c r="J81" i="1"/>
  <c r="D93" i="1"/>
  <c r="D89" i="1"/>
  <c r="J85" i="1"/>
  <c r="J86" i="1"/>
  <c r="C85" i="1" s="1"/>
  <c r="J84" i="1"/>
  <c r="J87" i="1"/>
  <c r="J88" i="1" s="1"/>
  <c r="J93" i="1" s="1"/>
  <c r="J94" i="1" s="1"/>
  <c r="C86" i="1" s="1"/>
  <c r="J95" i="1"/>
  <c r="J97" i="1" s="1"/>
  <c r="J99" i="1"/>
  <c r="D108" i="1"/>
  <c r="D106" i="1"/>
  <c r="D104" i="1"/>
  <c r="D102" i="1"/>
  <c r="J100" i="1"/>
  <c r="C99" i="1" s="1"/>
  <c r="J98" i="1"/>
  <c r="J101" i="1"/>
  <c r="J102" i="1" s="1"/>
  <c r="J107" i="1" s="1"/>
  <c r="J108" i="1" s="1"/>
  <c r="C100" i="1" s="1"/>
  <c r="D107" i="1"/>
  <c r="D105" i="1"/>
  <c r="D103" i="1"/>
  <c r="A186" i="1"/>
  <c r="A192" i="1"/>
  <c r="A180" i="1"/>
  <c r="D101" i="1" l="1"/>
  <c r="D99" i="1"/>
  <c r="D87" i="1"/>
  <c r="J83" i="1"/>
  <c r="E85" i="1"/>
  <c r="D86" i="1"/>
  <c r="G85" i="1"/>
  <c r="D66" i="1" s="1"/>
  <c r="D85" i="1"/>
  <c r="E99" i="1"/>
  <c r="D100" i="1"/>
  <c r="G99" i="1"/>
  <c r="I82" i="1" l="1"/>
  <c r="J82" i="1"/>
  <c r="I96" i="1"/>
  <c r="J96" i="1"/>
  <c r="F66" i="1"/>
  <c r="I83" i="1" l="1"/>
  <c r="I81" i="1" s="1"/>
  <c r="C83" i="1" s="1"/>
  <c r="I97" i="1"/>
  <c r="I95" i="1" s="1"/>
  <c r="C97" i="1" s="1"/>
</calcChain>
</file>

<file path=xl/sharedStrings.xml><?xml version="1.0" encoding="utf-8"?>
<sst xmlns="http://schemas.openxmlformats.org/spreadsheetml/2006/main" count="355" uniqueCount="226">
  <si>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</si>
  <si>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</si>
  <si>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</si>
  <si>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</si>
  <si>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</si>
  <si>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</si>
  <si>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</si>
  <si>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</si>
  <si>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</si>
  <si>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</si>
  <si>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</si>
  <si>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</si>
  <si>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</si>
  <si>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</si>
  <si>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</si>
  <si>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</si>
  <si>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</si>
  <si>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</si>
  <si>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</si>
  <si>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</si>
  <si>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</si>
  <si>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</si>
  <si>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</si>
  <si>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</si>
  <si>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</si>
  <si>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</si>
  <si>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</si>
  <si>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</si>
  <si>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</si>
  <si>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</si>
  <si>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</si>
  <si>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</si>
  <si>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</si>
  <si>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</si>
  <si>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</si>
  <si>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</si>
  <si>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</si>
  <si>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</si>
  <si>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</si>
  <si>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</si>
  <si>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</si>
  <si>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</si>
  <si>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</si>
  <si>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</si>
  <si>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</si>
  <si>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</si>
  <si>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</si>
  <si>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</si>
  <si>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</si>
  <si>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</si>
  <si>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</si>
  <si>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</si>
  <si>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</si>
  <si>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</si>
  <si>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</si>
  <si>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</si>
  <si>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</si>
  <si>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</si>
  <si>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</si>
  <si>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</si>
  <si>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</si>
  <si>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</si>
  <si>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</si>
  <si>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</si>
  <si>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</si>
  <si>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</si>
  <si>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</si>
  <si>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</si>
  <si>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</si>
  <si>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</si>
  <si>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</si>
  <si>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</si>
  <si>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</si>
  <si>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</si>
  <si>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</si>
  <si>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</si>
  <si>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</si>
  <si>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</si>
  <si>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</si>
  <si>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</si>
  <si>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</si>
  <si>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</si>
  <si>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</si>
  <si>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</si>
  <si>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</si>
  <si>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</si>
  <si>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</si>
  <si>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</si>
  <si>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</si>
  <si>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</si>
  <si>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</si>
  <si>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</si>
  <si>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</si>
  <si>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</si>
  <si>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</si>
  <si>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</si>
  <si>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</si>
  <si>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</si>
  <si>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</si>
  <si>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</si>
  <si>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</si>
  <si>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</si>
  <si>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</si>
  <si>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</si>
  <si>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</si>
  <si>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</si>
  <si>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</si>
  <si>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</si>
  <si>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</si>
  <si>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</si>
  <si>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</si>
  <si>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</si>
  <si>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</si>
  <si>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</si>
  <si>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</si>
  <si>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</si>
  <si>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</si>
  <si>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</si>
  <si>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</si>
  <si>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</si>
  <si>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</si>
  <si>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</si>
  <si>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</si>
  <si>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</si>
  <si>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</si>
  <si>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</si>
  <si>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</si>
  <si>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</si>
  <si>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</si>
  <si>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</si>
  <si>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</si>
  <si>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</si>
  <si>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</si>
  <si>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</si>
  <si>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</si>
  <si>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</si>
  <si>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</si>
  <si>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</si>
  <si>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</si>
  <si>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</si>
  <si>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</si>
  <si>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</si>
  <si>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</si>
  <si>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</si>
  <si>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</si>
  <si>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</si>
  <si>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</si>
  <si>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</si>
  <si>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</si>
  <si>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</si>
  <si>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</si>
  <si>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</si>
  <si>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</si>
  <si>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</si>
  <si>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</si>
  <si>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</si>
  <si>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</si>
  <si>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</si>
  <si>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</si>
  <si>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</si>
  <si>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</si>
  <si>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</si>
  <si>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</si>
  <si>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</si>
  <si>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</si>
  <si>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</si>
  <si>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</si>
  <si>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</si>
  <si>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</si>
  <si>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</si>
  <si>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</si>
  <si>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</si>
  <si>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</si>
  <si>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</si>
  <si>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</si>
  <si>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</si>
  <si>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</si>
  <si>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</si>
  <si>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Badlapur</t>
  </si>
  <si>
    <t>Eco Luxuria Pride</t>
  </si>
  <si>
    <t>Eco Luxuria Developers Private Limited</t>
  </si>
  <si>
    <t>Wing A, B &amp; C</t>
  </si>
  <si>
    <t>P52000029150</t>
  </si>
  <si>
    <t>Survey No</t>
  </si>
  <si>
    <t>19/2A, Plot No.1 &amp; 2</t>
  </si>
  <si>
    <t>Mudre</t>
  </si>
  <si>
    <t>Guru Nagar</t>
  </si>
  <si>
    <t>Guru Nagar Road</t>
  </si>
  <si>
    <t>Raigad</t>
  </si>
  <si>
    <t>Karjat</t>
  </si>
  <si>
    <t>Karjat East</t>
  </si>
  <si>
    <t>Gurukul Society</t>
  </si>
  <si>
    <t>1.7 KM from Karjat Railway Station</t>
  </si>
  <si>
    <t>Bungalows</t>
  </si>
  <si>
    <t>Houses</t>
  </si>
  <si>
    <t>Gurunagar Road</t>
  </si>
  <si>
    <t>https://goo.gl/maps/fH32XAXZPrqSUohF7</t>
  </si>
  <si>
    <t>01 Building - 3 Wings</t>
  </si>
  <si>
    <t>Karjat Municipal Council</t>
  </si>
  <si>
    <t>S.R-19/20-21</t>
  </si>
  <si>
    <t>BD/KT-1/S.R.19/2021</t>
  </si>
  <si>
    <t>A, B &amp; C Wing = G + 1st to 7th Floor</t>
  </si>
  <si>
    <t>B Wing = G + 1st to 7th Floor</t>
  </si>
  <si>
    <t>C Wing = G + 1st to 7th Floor</t>
  </si>
  <si>
    <t>Society Formation, Water, Electricity Connection Charges</t>
  </si>
  <si>
    <t>Shop</t>
  </si>
  <si>
    <t>Wing A + B</t>
  </si>
  <si>
    <t>Ground Floor For Part Commercial &amp; Part Parking</t>
  </si>
  <si>
    <t>Wing A</t>
  </si>
  <si>
    <t>1st to 7th Floor For Residential</t>
  </si>
  <si>
    <t>Wing B</t>
  </si>
  <si>
    <t>Wing C</t>
  </si>
  <si>
    <t>Shops (Wing A + B)</t>
  </si>
  <si>
    <t>Flats - 63, Shops - 10</t>
  </si>
  <si>
    <t>Approved Plans, CC, Sale Plans, Cost Sheet</t>
  </si>
  <si>
    <t>Mr.Sadashiv Patil 7709142578</t>
  </si>
  <si>
    <t>Office No. 1031, Wing J, Akshar Business Park, Plot No. 03 Sector 25, Near APMC Market,
Vashi, Navi Mumbai, Maharashtra 400703 TEL: 022-46090378/79/80                                                                                                     E mail : vsjcapf@gmail.com. Web site : www.vsjadon.com</t>
  </si>
  <si>
    <t>Naynesh Sunil Lovanshi</t>
  </si>
  <si>
    <t>Latitude,Longitude</t>
  </si>
  <si>
    <t>18.91669,73.330398</t>
  </si>
  <si>
    <t>Miss. Lata Thorat 9623726402</t>
  </si>
  <si>
    <t>As per RERA - 31/12/2025</t>
  </si>
  <si>
    <t>Ms. Kaveri Patil 9172941188</t>
  </si>
  <si>
    <t>Gaurav Panchal</t>
  </si>
  <si>
    <t xml:space="preserve">A Wing = G + 1st to 7th Floor
C Wing = G + 1st to 7th Floor
</t>
  </si>
  <si>
    <t>Wing A &amp; C = Finishing work is in process at the time of Visit.
Wing B = All work completed.  Provide 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</si>
</sst>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21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403407</xdr:colOff>
      <xdr:row>300</xdr:row>
      <xdr:rowOff>56030</xdr:rowOff>
    </xdr:from>
    <xdr:to>
      <xdr:col>7</xdr:col>
      <xdr:colOff>522189</xdr:colOff>
      <xdr:row>319</xdr:row>
      <xdr:rowOff>186021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3407" y="59760971"/>
          <a:ext cx="6248400" cy="39624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403407</xdr:colOff>
      <xdr:row>320</xdr:row>
      <xdr:rowOff>136713</xdr:rowOff>
    </xdr:from>
    <xdr:to>
      <xdr:col>7</xdr:col>
      <xdr:colOff>522189</xdr:colOff>
      <xdr:row>338</xdr:row>
      <xdr:rowOff>167641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3407" y="59206953"/>
          <a:ext cx="5963322" cy="359708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168085</xdr:colOff>
      <xdr:row>258</xdr:row>
      <xdr:rowOff>89648</xdr:rowOff>
    </xdr:from>
    <xdr:to>
      <xdr:col>7</xdr:col>
      <xdr:colOff>758467</xdr:colOff>
      <xdr:row>283</xdr:row>
      <xdr:rowOff>87000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085" y="48409413"/>
          <a:ext cx="6720000" cy="50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</xdr:col>
      <xdr:colOff>100853</xdr:colOff>
      <xdr:row>273</xdr:row>
      <xdr:rowOff>100853</xdr:rowOff>
    </xdr:from>
    <xdr:ext cx="650306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918882" y="51446206"/>
          <a:ext cx="650306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ysClr val="windowText" lastClr="000000"/>
              </a:solidFill>
            </a:rPr>
            <a:t>WING A</a:t>
          </a:r>
        </a:p>
      </xdr:txBody>
    </xdr:sp>
    <xdr:clientData/>
  </xdr:oneCellAnchor>
  <xdr:oneCellAnchor>
    <xdr:from>
      <xdr:col>5</xdr:col>
      <xdr:colOff>331694</xdr:colOff>
      <xdr:row>272</xdr:row>
      <xdr:rowOff>40341</xdr:rowOff>
    </xdr:from>
    <xdr:ext cx="643894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4780429" y="51183988"/>
          <a:ext cx="64389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ysClr val="windowText" lastClr="000000"/>
              </a:solidFill>
            </a:rPr>
            <a:t>WING B</a:t>
          </a:r>
        </a:p>
      </xdr:txBody>
    </xdr:sp>
    <xdr:clientData/>
  </xdr:oneCellAnchor>
  <xdr:oneCellAnchor>
    <xdr:from>
      <xdr:col>3</xdr:col>
      <xdr:colOff>573742</xdr:colOff>
      <xdr:row>267</xdr:row>
      <xdr:rowOff>147917</xdr:rowOff>
    </xdr:from>
    <xdr:ext cx="639470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173507" y="50283035"/>
          <a:ext cx="63947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ysClr val="windowText" lastClr="000000"/>
              </a:solidFill>
            </a:rPr>
            <a:t>WING C</a:t>
          </a:r>
        </a:p>
      </xdr:txBody>
    </xdr:sp>
    <xdr:clientData/>
  </xdr:oneCellAnchor>
  <xdr:oneCellAnchor>
    <xdr:from>
      <xdr:col>8</xdr:col>
      <xdr:colOff>365719</xdr:colOff>
      <xdr:row>215</xdr:row>
      <xdr:rowOff>180820</xdr:rowOff>
    </xdr:from>
    <xdr:ext cx="722442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865131" y="35983614"/>
          <a:ext cx="72244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C00000"/>
              </a:solidFill>
            </a:rPr>
            <a:t>Wing A</a:t>
          </a:r>
        </a:p>
      </xdr:txBody>
    </xdr:sp>
    <xdr:clientData/>
  </xdr:oneCellAnchor>
  <xdr:oneCellAnchor>
    <xdr:from>
      <xdr:col>12</xdr:col>
      <xdr:colOff>334625</xdr:colOff>
      <xdr:row>217</xdr:row>
      <xdr:rowOff>133709</xdr:rowOff>
    </xdr:from>
    <xdr:ext cx="714298" cy="311496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0173390" y="36339915"/>
          <a:ext cx="714298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C00000"/>
              </a:solidFill>
            </a:rPr>
            <a:t>Wing B</a:t>
          </a:r>
        </a:p>
      </xdr:txBody>
    </xdr:sp>
    <xdr:clientData/>
  </xdr:oneCellAnchor>
  <xdr:oneCellAnchor>
    <xdr:from>
      <xdr:col>11</xdr:col>
      <xdr:colOff>439655</xdr:colOff>
      <xdr:row>213</xdr:row>
      <xdr:rowOff>134321</xdr:rowOff>
    </xdr:from>
    <xdr:ext cx="708656" cy="31149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9583655" y="32198935"/>
          <a:ext cx="70865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C00000"/>
              </a:solidFill>
            </a:rPr>
            <a:t>Wing C</a:t>
          </a:r>
        </a:p>
      </xdr:txBody>
    </xdr:sp>
    <xdr:clientData/>
  </xdr:oneCellAnchor>
  <xdr:twoCellAnchor>
    <xdr:from>
      <xdr:col>2</xdr:col>
      <xdr:colOff>822614</xdr:colOff>
      <xdr:row>325</xdr:row>
      <xdr:rowOff>86591</xdr:rowOff>
    </xdr:from>
    <xdr:to>
      <xdr:col>5</xdr:col>
      <xdr:colOff>181841</xdr:colOff>
      <xdr:row>332</xdr:row>
      <xdr:rowOff>147205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2381250" y="54846682"/>
          <a:ext cx="1930977" cy="1454728"/>
        </a:xfrm>
        <a:prstGeom prst="rect">
          <a:avLst/>
        </a:prstGeom>
        <a:noFill/>
        <a:ln w="57150">
          <a:solidFill>
            <a:srgbClr val="FF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9</xdr:col>
      <xdr:colOff>365187</xdr:colOff>
      <xdr:row>199</xdr:row>
      <xdr:rowOff>198398</xdr:rowOff>
    </xdr:from>
    <xdr:ext cx="714298" cy="311496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8002505" y="32176421"/>
          <a:ext cx="714298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C00000"/>
              </a:solidFill>
            </a:rPr>
            <a:t>Wing B</a:t>
          </a:r>
        </a:p>
      </xdr:txBody>
    </xdr:sp>
    <xdr:clientData/>
  </xdr:oneCellAnchor>
  <xdr:twoCellAnchor>
    <xdr:from>
      <xdr:col>8</xdr:col>
      <xdr:colOff>487680</xdr:colOff>
      <xdr:row>214</xdr:row>
      <xdr:rowOff>30480</xdr:rowOff>
    </xdr:from>
    <xdr:to>
      <xdr:col>15</xdr:col>
      <xdr:colOff>705203</xdr:colOff>
      <xdr:row>250</xdr:row>
      <xdr:rowOff>100740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GrpSpPr/>
      </xdr:nvGrpSpPr>
      <xdr:grpSpPr>
        <a:xfrm>
          <a:off x="6974205" y="35882580"/>
          <a:ext cx="5837273" cy="7261635"/>
          <a:chOff x="126357" y="182880"/>
          <a:chExt cx="6001103" cy="7194960"/>
        </a:xfrm>
      </xdr:grpSpPr>
      <xdr:pic>
        <xdr:nvPicPr>
          <xdr:cNvPr id="19" name="Picture 18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94062" y="5577840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11160" y="5577840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39429" y="288036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xmlns="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82892" y="288036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xmlns="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82893" y="18288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xmlns="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6357" y="18288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xmlns="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39429" y="18288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xmlns="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6357" y="288036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4" name="TextBox 11">
            <a:extLst>
              <a:ext uri="{FF2B5EF4-FFF2-40B4-BE49-F238E27FC236}">
                <a16:creationId xmlns:a16="http://schemas.microsoft.com/office/drawing/2014/main" xmlns="" id="{00000000-0008-0000-0000-000022000000}"/>
              </a:ext>
            </a:extLst>
          </xdr:cNvPr>
          <xdr:cNvSpPr txBox="1"/>
        </xdr:nvSpPr>
        <xdr:spPr>
          <a:xfrm>
            <a:off x="818501" y="2895600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B</a:t>
            </a:r>
            <a:endParaRPr lang="en-IN" b="1"/>
          </a:p>
        </xdr:txBody>
      </xdr:sp>
      <xdr:sp macro="" textlink="">
        <xdr:nvSpPr>
          <xdr:cNvPr id="35" name="TextBox 13">
            <a:extLst>
              <a:ext uri="{FF2B5EF4-FFF2-40B4-BE49-F238E27FC236}">
                <a16:creationId xmlns:a16="http://schemas.microsoft.com/office/drawing/2014/main" xmlns="" id="{00000000-0008-0000-0000-000023000000}"/>
              </a:ext>
            </a:extLst>
          </xdr:cNvPr>
          <xdr:cNvSpPr txBox="1"/>
        </xdr:nvSpPr>
        <xdr:spPr>
          <a:xfrm>
            <a:off x="5144737" y="186452"/>
            <a:ext cx="85792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C</a:t>
            </a:r>
            <a:endParaRPr lang="en-IN" b="1"/>
          </a:p>
        </xdr:txBody>
      </xdr:sp>
      <xdr:sp macro="" textlink="">
        <xdr:nvSpPr>
          <xdr:cNvPr id="36" name="TextBox 14">
            <a:extLst>
              <a:ext uri="{FF2B5EF4-FFF2-40B4-BE49-F238E27FC236}">
                <a16:creationId xmlns:a16="http://schemas.microsoft.com/office/drawing/2014/main" xmlns="" id="{00000000-0008-0000-0000-000024000000}"/>
              </a:ext>
            </a:extLst>
          </xdr:cNvPr>
          <xdr:cNvSpPr txBox="1"/>
        </xdr:nvSpPr>
        <xdr:spPr>
          <a:xfrm>
            <a:off x="2620057" y="216932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B</a:t>
            </a:r>
            <a:endParaRPr lang="en-IN" b="1"/>
          </a:p>
        </xdr:txBody>
      </xdr:sp>
      <xdr:sp macro="" textlink="">
        <xdr:nvSpPr>
          <xdr:cNvPr id="37" name="TextBox 15">
            <a:extLst>
              <a:ext uri="{FF2B5EF4-FFF2-40B4-BE49-F238E27FC236}">
                <a16:creationId xmlns:a16="http://schemas.microsoft.com/office/drawing/2014/main" xmlns="" id="{00000000-0008-0000-0000-000025000000}"/>
              </a:ext>
            </a:extLst>
          </xdr:cNvPr>
          <xdr:cNvSpPr txBox="1"/>
        </xdr:nvSpPr>
        <xdr:spPr>
          <a:xfrm>
            <a:off x="1138827" y="2333548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A</a:t>
            </a:r>
            <a:endParaRPr lang="en-IN" b="1"/>
          </a:p>
        </xdr:txBody>
      </xdr:sp>
    </xdr:grpSp>
    <xdr:clientData/>
  </xdr:twoCellAnchor>
  <xdr:twoCellAnchor>
    <xdr:from>
      <xdr:col>8</xdr:col>
      <xdr:colOff>474345</xdr:colOff>
      <xdr:row>215</xdr:row>
      <xdr:rowOff>112395</xdr:rowOff>
    </xdr:from>
    <xdr:to>
      <xdr:col>15</xdr:col>
      <xdr:colOff>769759</xdr:colOff>
      <xdr:row>252</xdr:row>
      <xdr:rowOff>20752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72699E77-BCF4-C38B-EE01-9CE3A4ACC498}"/>
            </a:ext>
          </a:extLst>
        </xdr:cNvPr>
        <xdr:cNvGrpSpPr/>
      </xdr:nvGrpSpPr>
      <xdr:grpSpPr>
        <a:xfrm>
          <a:off x="6960870" y="36164520"/>
          <a:ext cx="5915164" cy="7299757"/>
          <a:chOff x="270829" y="261049"/>
          <a:chExt cx="6063754" cy="7233082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8BE4511A-6ACA-2E98-0B01-EB3CC986FE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55669" y="261049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F82FEC84-B487-6C31-E43D-3BF9CE46D3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46552" y="261049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xmlns="" id="{56183F59-71EA-ED02-B971-AEBBBEB554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0829" y="261049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xmlns="" id="{B1A3FC9E-44CE-BB30-0022-35D2F85749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22960" y="297759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xmlns="" id="{77DDF97C-F818-AF9A-9FAE-FF75FC4FAA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94421" y="297759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xmlns="" id="{5D61544C-B00B-F4B3-435A-14A901CD6A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94421" y="5694131"/>
            <a:ext cx="1348591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xmlns="" id="{B6CFA20A-B939-BCBE-8845-CFD0E5A1A1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2400" y="5694131"/>
            <a:ext cx="1348591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2" name="TextBox 22">
            <a:extLst>
              <a:ext uri="{FF2B5EF4-FFF2-40B4-BE49-F238E27FC236}">
                <a16:creationId xmlns:a16="http://schemas.microsoft.com/office/drawing/2014/main" xmlns="" id="{7C699DFF-C894-AAFC-6769-1366763D6A93}"/>
              </a:ext>
            </a:extLst>
          </xdr:cNvPr>
          <xdr:cNvSpPr txBox="1"/>
        </xdr:nvSpPr>
        <xdr:spPr>
          <a:xfrm>
            <a:off x="5390567" y="261049"/>
            <a:ext cx="723275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C</a:t>
            </a:r>
            <a:endParaRPr lang="en-IN" sz="1400" b="1"/>
          </a:p>
        </xdr:txBody>
      </xdr:sp>
      <xdr:sp macro="" textlink="">
        <xdr:nvSpPr>
          <xdr:cNvPr id="23" name="TextBox 23">
            <a:extLst>
              <a:ext uri="{FF2B5EF4-FFF2-40B4-BE49-F238E27FC236}">
                <a16:creationId xmlns:a16="http://schemas.microsoft.com/office/drawing/2014/main" xmlns="" id="{28DF8FC2-012D-465B-CC2F-2B27A27C1A43}"/>
              </a:ext>
            </a:extLst>
          </xdr:cNvPr>
          <xdr:cNvSpPr txBox="1"/>
        </xdr:nvSpPr>
        <xdr:spPr>
          <a:xfrm>
            <a:off x="3345441" y="414937"/>
            <a:ext cx="715260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B</a:t>
            </a:r>
            <a:endParaRPr lang="en-IN" sz="1400" b="1"/>
          </a:p>
        </xdr:txBody>
      </xdr:sp>
      <xdr:sp macro="" textlink="">
        <xdr:nvSpPr>
          <xdr:cNvPr id="24" name="TextBox 24">
            <a:extLst>
              <a:ext uri="{FF2B5EF4-FFF2-40B4-BE49-F238E27FC236}">
                <a16:creationId xmlns:a16="http://schemas.microsoft.com/office/drawing/2014/main" xmlns="" id="{A871DDD6-C5AE-0290-D3A6-3B45803643C8}"/>
              </a:ext>
            </a:extLst>
          </xdr:cNvPr>
          <xdr:cNvSpPr txBox="1"/>
        </xdr:nvSpPr>
        <xdr:spPr>
          <a:xfrm>
            <a:off x="961322" y="261049"/>
            <a:ext cx="723275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A</a:t>
            </a:r>
            <a:endParaRPr lang="en-IN" sz="1400" b="1"/>
          </a:p>
        </xdr:txBody>
      </xdr:sp>
    </xdr:grpSp>
    <xdr:clientData/>
  </xdr:twoCellAnchor>
  <xdr:twoCellAnchor>
    <xdr:from>
      <xdr:col>0</xdr:col>
      <xdr:colOff>66675</xdr:colOff>
      <xdr:row>215</xdr:row>
      <xdr:rowOff>76200</xdr:rowOff>
    </xdr:from>
    <xdr:to>
      <xdr:col>7</xdr:col>
      <xdr:colOff>747331</xdr:colOff>
      <xdr:row>255</xdr:row>
      <xdr:rowOff>28575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xmlns="" id="{413AAF74-E895-4D85-87EA-052A8C5C0535}"/>
            </a:ext>
          </a:extLst>
        </xdr:cNvPr>
        <xdr:cNvGrpSpPr/>
      </xdr:nvGrpSpPr>
      <xdr:grpSpPr>
        <a:xfrm>
          <a:off x="66675" y="36128325"/>
          <a:ext cx="6376606" cy="7943850"/>
          <a:chOff x="264285" y="281882"/>
          <a:chExt cx="6376606" cy="8580236"/>
        </a:xfrm>
      </xdr:grpSpPr>
      <xdr:grpSp>
        <xdr:nvGrpSpPr>
          <xdr:cNvPr id="39" name="Group 38">
            <a:extLst>
              <a:ext uri="{FF2B5EF4-FFF2-40B4-BE49-F238E27FC236}">
                <a16:creationId xmlns:a16="http://schemas.microsoft.com/office/drawing/2014/main" xmlns="" id="{11CDA684-5978-4D74-AB19-A74F04BD6BDC}"/>
              </a:ext>
            </a:extLst>
          </xdr:cNvPr>
          <xdr:cNvGrpSpPr/>
        </xdr:nvGrpSpPr>
        <xdr:grpSpPr>
          <a:xfrm>
            <a:off x="264285" y="281882"/>
            <a:ext cx="6376606" cy="8580236"/>
            <a:chOff x="264285" y="281882"/>
            <a:chExt cx="6376606" cy="8580236"/>
          </a:xfrm>
        </xdr:grpSpPr>
        <xdr:pic>
          <xdr:nvPicPr>
            <xdr:cNvPr id="49" name="Picture 48">
              <a:extLst>
                <a:ext uri="{FF2B5EF4-FFF2-40B4-BE49-F238E27FC236}">
                  <a16:creationId xmlns:a16="http://schemas.microsoft.com/office/drawing/2014/main" xmlns="" id="{24B9CC71-E90E-4CB6-AA55-6EAF2C30065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4285" y="281882"/>
              <a:ext cx="2022890" cy="27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0" name="Picture 49">
              <a:extLst>
                <a:ext uri="{FF2B5EF4-FFF2-40B4-BE49-F238E27FC236}">
                  <a16:creationId xmlns:a16="http://schemas.microsoft.com/office/drawing/2014/main" xmlns="" id="{8EBE93BD-4965-4943-8F58-52C051FFD02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41142" y="281882"/>
              <a:ext cx="2022891" cy="27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1" name="Picture 50">
              <a:extLst>
                <a:ext uri="{FF2B5EF4-FFF2-40B4-BE49-F238E27FC236}">
                  <a16:creationId xmlns:a16="http://schemas.microsoft.com/office/drawing/2014/main" xmlns="" id="{DD7CD6EA-BBCB-462A-81C0-3A052940BEE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4599" y="3151341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2" name="Picture 51">
              <a:extLst>
                <a:ext uri="{FF2B5EF4-FFF2-40B4-BE49-F238E27FC236}">
                  <a16:creationId xmlns:a16="http://schemas.microsoft.com/office/drawing/2014/main" xmlns="" id="{5A4413C7-6C4B-4F75-9CFF-B49236F784B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618000" y="281882"/>
              <a:ext cx="2022891" cy="27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3" name="Picture 52">
              <a:extLst>
                <a:ext uri="{FF2B5EF4-FFF2-40B4-BE49-F238E27FC236}">
                  <a16:creationId xmlns:a16="http://schemas.microsoft.com/office/drawing/2014/main" xmlns="" id="{28F56ACB-5F01-4201-B529-4A9216804FF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157438" y="3151341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4" name="Picture 53">
              <a:extLst>
                <a:ext uri="{FF2B5EF4-FFF2-40B4-BE49-F238E27FC236}">
                  <a16:creationId xmlns:a16="http://schemas.microsoft.com/office/drawing/2014/main" xmlns="" id="{3FD50156-A397-4E72-957A-479130EE38C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29825" y="3151341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5" name="Picture 54">
              <a:extLst>
                <a:ext uri="{FF2B5EF4-FFF2-40B4-BE49-F238E27FC236}">
                  <a16:creationId xmlns:a16="http://schemas.microsoft.com/office/drawing/2014/main" xmlns="" id="{7BC5F23E-EF40-4B9D-9E42-6592D0E92A7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02212" y="3151341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6" name="Picture 55">
              <a:extLst>
                <a:ext uri="{FF2B5EF4-FFF2-40B4-BE49-F238E27FC236}">
                  <a16:creationId xmlns:a16="http://schemas.microsoft.com/office/drawing/2014/main" xmlns="" id="{2DC6C762-2F0A-4F6A-99B8-8A188AB9246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53618" y="5262119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7" name="Picture 56">
              <a:extLst>
                <a:ext uri="{FF2B5EF4-FFF2-40B4-BE49-F238E27FC236}">
                  <a16:creationId xmlns:a16="http://schemas.microsoft.com/office/drawing/2014/main" xmlns="" id="{88DEA0E3-7D93-4BA2-853B-30F06941EA9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45864" y="5262119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8" name="Picture 57">
              <a:extLst>
                <a:ext uri="{FF2B5EF4-FFF2-40B4-BE49-F238E27FC236}">
                  <a16:creationId xmlns:a16="http://schemas.microsoft.com/office/drawing/2014/main" xmlns="" id="{4CA3D4E3-9863-455B-87E6-33DC45FFA48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42192" y="5262119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9" name="Picture 58">
              <a:extLst>
                <a:ext uri="{FF2B5EF4-FFF2-40B4-BE49-F238E27FC236}">
                  <a16:creationId xmlns:a16="http://schemas.microsoft.com/office/drawing/2014/main" xmlns="" id="{09788B76-6B5B-426F-9E4B-54E8A029569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038520" y="5262119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0" name="Picture 59">
              <a:extLst>
                <a:ext uri="{FF2B5EF4-FFF2-40B4-BE49-F238E27FC236}">
                  <a16:creationId xmlns:a16="http://schemas.microsoft.com/office/drawing/2014/main" xmlns="" id="{0566F7A7-111F-4C7D-94EB-637B5B2A4FA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871172" y="7242118"/>
              <a:ext cx="1213734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1" name="Picture 60">
              <a:extLst>
                <a:ext uri="{FF2B5EF4-FFF2-40B4-BE49-F238E27FC236}">
                  <a16:creationId xmlns:a16="http://schemas.microsoft.com/office/drawing/2014/main" xmlns="" id="{0D5EA752-13B8-448E-9C24-9B974CAD719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41433" y="7242118"/>
              <a:ext cx="1213734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2" name="Picture 61">
              <a:extLst>
                <a:ext uri="{FF2B5EF4-FFF2-40B4-BE49-F238E27FC236}">
                  <a16:creationId xmlns:a16="http://schemas.microsoft.com/office/drawing/2014/main" xmlns="" id="{9EE4D377-3E3E-414D-9FA7-BF6753FC995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00911" y="7242118"/>
              <a:ext cx="1213734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xmlns="" id="{6D460138-FB17-42BF-ABEB-84D861F573E1}"/>
              </a:ext>
            </a:extLst>
          </xdr:cNvPr>
          <xdr:cNvSpPr/>
        </xdr:nvSpPr>
        <xdr:spPr>
          <a:xfrm>
            <a:off x="352354" y="410614"/>
            <a:ext cx="875561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A</a:t>
            </a:r>
            <a:endParaRPr lang="en-IN" b="1"/>
          </a:p>
        </xdr:txBody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xmlns="" id="{5A6C14D4-5034-4EF1-A333-A2D7EB46DDCA}"/>
              </a:ext>
            </a:extLst>
          </xdr:cNvPr>
          <xdr:cNvSpPr/>
        </xdr:nvSpPr>
        <xdr:spPr>
          <a:xfrm>
            <a:off x="2933675" y="414223"/>
            <a:ext cx="865943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B</a:t>
            </a:r>
            <a:endParaRPr lang="en-IN" b="1"/>
          </a:p>
        </xdr:txBody>
      </xdr:sp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xmlns="" id="{D668F227-E128-4A5B-B592-465776CBE393}"/>
              </a:ext>
            </a:extLst>
          </xdr:cNvPr>
          <xdr:cNvSpPr/>
        </xdr:nvSpPr>
        <xdr:spPr>
          <a:xfrm>
            <a:off x="5455167" y="410614"/>
            <a:ext cx="857927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C</a:t>
            </a:r>
            <a:endParaRPr lang="en-IN" b="1"/>
          </a:p>
        </xdr:txBody>
      </xdr:sp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xmlns="" id="{64477DCA-580E-4AD2-A2EC-B6AF60736D7A}"/>
              </a:ext>
            </a:extLst>
          </xdr:cNvPr>
          <xdr:cNvSpPr/>
        </xdr:nvSpPr>
        <xdr:spPr>
          <a:xfrm>
            <a:off x="2396693" y="5311340"/>
            <a:ext cx="857927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C</a:t>
            </a:r>
            <a:endParaRPr lang="en-IN" b="1"/>
          </a:p>
        </xdr:txBody>
      </xdr:sp>
      <xdr:sp macro="" textlink="">
        <xdr:nvSpPr>
          <xdr:cNvPr id="45" name="Rectangle 44">
            <a:extLst>
              <a:ext uri="{FF2B5EF4-FFF2-40B4-BE49-F238E27FC236}">
                <a16:creationId xmlns:a16="http://schemas.microsoft.com/office/drawing/2014/main" xmlns="" id="{6ADB8AB0-7685-47F1-A2D3-D4E5EAD97C49}"/>
              </a:ext>
            </a:extLst>
          </xdr:cNvPr>
          <xdr:cNvSpPr/>
        </xdr:nvSpPr>
        <xdr:spPr>
          <a:xfrm>
            <a:off x="846766" y="5314949"/>
            <a:ext cx="875561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A</a:t>
            </a:r>
            <a:endParaRPr lang="en-IN" b="1"/>
          </a:p>
        </xdr:txBody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xmlns="" id="{4D8E121E-1883-4DBA-95A5-C494A6604B9C}"/>
              </a:ext>
            </a:extLst>
          </xdr:cNvPr>
          <xdr:cNvSpPr/>
        </xdr:nvSpPr>
        <xdr:spPr>
          <a:xfrm>
            <a:off x="2199296" y="3189416"/>
            <a:ext cx="875561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A</a:t>
            </a:r>
            <a:endParaRPr lang="en-IN" b="1"/>
          </a:p>
        </xdr:txBody>
      </xdr:sp>
      <xdr:sp macro="" textlink="">
        <xdr:nvSpPr>
          <xdr:cNvPr id="47" name="Rectangle 46">
            <a:extLst>
              <a:ext uri="{FF2B5EF4-FFF2-40B4-BE49-F238E27FC236}">
                <a16:creationId xmlns:a16="http://schemas.microsoft.com/office/drawing/2014/main" xmlns="" id="{B4EC1873-7890-4D53-9B46-C42647217D3C}"/>
              </a:ext>
            </a:extLst>
          </xdr:cNvPr>
          <xdr:cNvSpPr/>
        </xdr:nvSpPr>
        <xdr:spPr>
          <a:xfrm>
            <a:off x="3965990" y="3336007"/>
            <a:ext cx="865943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B</a:t>
            </a:r>
            <a:endParaRPr lang="en-IN" b="1"/>
          </a:p>
        </xdr:txBody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xmlns="" id="{EDC0D495-24DF-42BD-9BC0-07C5F6EC5146}"/>
              </a:ext>
            </a:extLst>
          </xdr:cNvPr>
          <xdr:cNvSpPr/>
        </xdr:nvSpPr>
        <xdr:spPr>
          <a:xfrm>
            <a:off x="5476091" y="3393148"/>
            <a:ext cx="857927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C</a:t>
            </a:r>
            <a:endParaRPr lang="en-IN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fH32XAXZPrqSUohF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99"/>
  <sheetViews>
    <sheetView tabSelected="1" view="pageBreakPreview" topLeftCell="A163" zoomScaleNormal="100" zoomScaleSheetLayoutView="100" zoomScalePageLayoutView="115" workbookViewId="0">
      <selection activeCell="L195" sqref="L195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1.8554687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12" ht="46.5" customHeight="1" x14ac:dyDescent="0.25">
      <c r="A1" s="163" t="s">
        <v>216</v>
      </c>
      <c r="B1" s="163"/>
      <c r="C1" s="163"/>
      <c r="D1" s="163"/>
      <c r="E1" s="163"/>
      <c r="F1" s="163"/>
      <c r="G1" s="163"/>
      <c r="H1" s="163"/>
    </row>
    <row r="2" spans="1:12" ht="16.5" customHeight="1" x14ac:dyDescent="0.25">
      <c r="A2" s="164" t="s">
        <v>0</v>
      </c>
      <c r="B2" s="164"/>
      <c r="C2" s="164"/>
      <c r="D2" s="164"/>
      <c r="E2" s="164"/>
      <c r="F2" s="164"/>
      <c r="G2" s="164"/>
      <c r="H2" s="164"/>
    </row>
    <row r="3" spans="1:12" x14ac:dyDescent="0.25">
      <c r="A3" s="59" t="s">
        <v>1</v>
      </c>
      <c r="B3" s="59"/>
      <c r="C3" s="59"/>
      <c r="D3" s="59"/>
      <c r="E3" s="59" t="str">
        <f ca="1">TEXT(TODAY(),"DD/MM/YYYY")</f>
        <v>17/09/2025</v>
      </c>
      <c r="F3" s="59"/>
      <c r="G3" s="59"/>
      <c r="H3" s="59"/>
    </row>
    <row r="4" spans="1:12" ht="15" customHeight="1" x14ac:dyDescent="0.25">
      <c r="A4" s="59" t="s">
        <v>2</v>
      </c>
      <c r="B4" s="59"/>
      <c r="C4" s="59"/>
      <c r="D4" s="59"/>
      <c r="E4" s="59" t="s">
        <v>178</v>
      </c>
      <c r="F4" s="59"/>
      <c r="G4" s="59"/>
      <c r="H4" s="59"/>
    </row>
    <row r="5" spans="1:12" x14ac:dyDescent="0.25">
      <c r="A5" s="59" t="s">
        <v>3</v>
      </c>
      <c r="B5" s="59"/>
      <c r="C5" s="59"/>
      <c r="D5" s="59"/>
      <c r="E5" s="162">
        <v>45913</v>
      </c>
      <c r="F5" s="59"/>
      <c r="G5" s="59"/>
      <c r="H5" s="59"/>
    </row>
    <row r="6" spans="1:12" ht="16.5" customHeight="1" x14ac:dyDescent="0.25">
      <c r="A6" s="59" t="s">
        <v>4</v>
      </c>
      <c r="B6" s="59"/>
      <c r="C6" s="59"/>
      <c r="D6" s="59"/>
      <c r="E6" s="59" t="s">
        <v>180</v>
      </c>
      <c r="F6" s="59"/>
      <c r="G6" s="59"/>
      <c r="H6" s="59"/>
    </row>
    <row r="7" spans="1:12" ht="15" customHeight="1" x14ac:dyDescent="0.25">
      <c r="A7" s="59" t="s">
        <v>5</v>
      </c>
      <c r="B7" s="59"/>
      <c r="C7" s="59"/>
      <c r="D7" s="59"/>
      <c r="E7" s="59" t="str">
        <f>E6</f>
        <v>Eco Luxuria Developers Private Limited</v>
      </c>
      <c r="F7" s="59"/>
      <c r="G7" s="59"/>
      <c r="H7" s="59"/>
    </row>
    <row r="8" spans="1:12" x14ac:dyDescent="0.25">
      <c r="A8" s="59" t="s">
        <v>6</v>
      </c>
      <c r="B8" s="59"/>
      <c r="C8" s="59"/>
      <c r="D8" s="59"/>
      <c r="E8" s="128" t="s">
        <v>179</v>
      </c>
      <c r="F8" s="128"/>
      <c r="G8" s="128"/>
      <c r="H8" s="128"/>
    </row>
    <row r="9" spans="1:12" x14ac:dyDescent="0.25">
      <c r="A9" s="59" t="s">
        <v>175</v>
      </c>
      <c r="B9" s="59"/>
      <c r="C9" s="59"/>
      <c r="D9" s="59"/>
      <c r="E9" s="59" t="s">
        <v>215</v>
      </c>
      <c r="F9" s="59"/>
      <c r="G9" s="59"/>
      <c r="H9" s="59"/>
    </row>
    <row r="10" spans="1:12" x14ac:dyDescent="0.25">
      <c r="A10" s="59" t="s">
        <v>176</v>
      </c>
      <c r="B10" s="59"/>
      <c r="C10" s="59"/>
      <c r="D10" s="59"/>
      <c r="E10" s="59" t="s">
        <v>222</v>
      </c>
      <c r="F10" s="59"/>
      <c r="G10" s="59"/>
      <c r="H10" s="59"/>
      <c r="I10" s="59" t="s">
        <v>220</v>
      </c>
      <c r="J10" s="59"/>
      <c r="K10" s="59"/>
      <c r="L10" s="59"/>
    </row>
    <row r="11" spans="1:12" x14ac:dyDescent="0.25">
      <c r="A11" s="59" t="s">
        <v>7</v>
      </c>
      <c r="B11" s="59"/>
      <c r="C11" s="59"/>
      <c r="D11" s="59"/>
      <c r="E11" s="59" t="s">
        <v>181</v>
      </c>
      <c r="F11" s="59"/>
      <c r="G11" s="59"/>
      <c r="H11" s="59"/>
    </row>
    <row r="12" spans="1:12" ht="18" customHeight="1" x14ac:dyDescent="0.25">
      <c r="A12" s="67" t="s">
        <v>8</v>
      </c>
      <c r="B12" s="67"/>
      <c r="C12" s="67"/>
      <c r="D12" s="67"/>
      <c r="E12" s="147" t="s">
        <v>214</v>
      </c>
      <c r="F12" s="147"/>
      <c r="G12" s="147"/>
      <c r="H12" s="147"/>
    </row>
    <row r="13" spans="1:12" x14ac:dyDescent="0.25">
      <c r="A13" s="67" t="s">
        <v>9</v>
      </c>
      <c r="B13" s="67"/>
      <c r="C13" s="67"/>
      <c r="D13" s="67"/>
      <c r="E13" s="147" t="s">
        <v>182</v>
      </c>
      <c r="F13" s="59"/>
      <c r="G13" s="59"/>
      <c r="H13" s="59"/>
    </row>
    <row r="14" spans="1:12" ht="32.25" customHeight="1" x14ac:dyDescent="0.25">
      <c r="A14" s="130" t="s">
        <v>10</v>
      </c>
      <c r="B14" s="130"/>
      <c r="C14" s="13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Eco Luxuria Pride, Survey No.19/2A, Plot No.1 &amp; 2, near Gurukul Society, Guru Nagar Road, Guru Nagar, Mudre, Karjat East, Karjat, Raigad - 410201.</v>
      </c>
      <c r="D14" s="130"/>
      <c r="E14" s="130"/>
      <c r="F14" s="130"/>
      <c r="G14" s="130"/>
      <c r="H14" s="130"/>
    </row>
    <row r="15" spans="1:12" x14ac:dyDescent="0.25">
      <c r="A15" s="147" t="s">
        <v>183</v>
      </c>
      <c r="B15" s="147"/>
      <c r="C15" s="147" t="s">
        <v>184</v>
      </c>
      <c r="D15" s="147"/>
      <c r="E15" s="147"/>
      <c r="F15" s="147"/>
      <c r="G15" s="147"/>
      <c r="H15" s="147"/>
    </row>
    <row r="16" spans="1:12" ht="15.75" customHeight="1" x14ac:dyDescent="0.25">
      <c r="A16" s="147" t="s">
        <v>174</v>
      </c>
      <c r="B16" s="147"/>
      <c r="C16" s="147" t="s">
        <v>186</v>
      </c>
      <c r="D16" s="147"/>
      <c r="E16" s="147"/>
      <c r="F16" s="147"/>
      <c r="G16" s="147"/>
      <c r="H16" s="147"/>
    </row>
    <row r="17" spans="1:8" ht="15.75" customHeight="1" x14ac:dyDescent="0.25">
      <c r="A17" s="130" t="s">
        <v>11</v>
      </c>
      <c r="B17" s="130"/>
      <c r="C17" s="59" t="s">
        <v>187</v>
      </c>
      <c r="D17" s="59"/>
      <c r="E17" s="130" t="s">
        <v>75</v>
      </c>
      <c r="F17" s="130"/>
      <c r="G17" s="147" t="s">
        <v>185</v>
      </c>
      <c r="H17" s="147"/>
    </row>
    <row r="18" spans="1:8" x14ac:dyDescent="0.25">
      <c r="A18" s="67" t="s">
        <v>13</v>
      </c>
      <c r="B18" s="67"/>
      <c r="C18" s="147" t="s">
        <v>190</v>
      </c>
      <c r="D18" s="147"/>
      <c r="E18" s="130" t="s">
        <v>12</v>
      </c>
      <c r="F18" s="130"/>
      <c r="G18" s="161" t="s">
        <v>188</v>
      </c>
      <c r="H18" s="161"/>
    </row>
    <row r="19" spans="1:8" x14ac:dyDescent="0.25">
      <c r="A19" s="67" t="s">
        <v>76</v>
      </c>
      <c r="B19" s="67"/>
      <c r="C19" s="147" t="s">
        <v>189</v>
      </c>
      <c r="D19" s="147"/>
      <c r="E19" s="130" t="s">
        <v>14</v>
      </c>
      <c r="F19" s="130"/>
      <c r="G19" s="147">
        <v>410201</v>
      </c>
      <c r="H19" s="147"/>
    </row>
    <row r="20" spans="1:8" ht="32.25" customHeight="1" x14ac:dyDescent="0.25">
      <c r="A20" s="67" t="s">
        <v>127</v>
      </c>
      <c r="B20" s="67"/>
      <c r="C20" s="147" t="s">
        <v>191</v>
      </c>
      <c r="D20" s="147"/>
      <c r="E20" s="130" t="s">
        <v>15</v>
      </c>
      <c r="F20" s="130"/>
      <c r="G20" s="147" t="s">
        <v>192</v>
      </c>
      <c r="H20" s="147"/>
    </row>
    <row r="21" spans="1:8" ht="15" customHeight="1" x14ac:dyDescent="0.25">
      <c r="A21" s="130" t="s">
        <v>79</v>
      </c>
      <c r="B21" s="130"/>
      <c r="C21" s="130"/>
      <c r="D21" s="130"/>
      <c r="E21" s="59" t="s">
        <v>16</v>
      </c>
      <c r="F21" s="59"/>
      <c r="G21" s="59"/>
      <c r="H21" s="59"/>
    </row>
    <row r="22" spans="1:8" ht="18.75" customHeight="1" x14ac:dyDescent="0.25">
      <c r="A22" s="130"/>
      <c r="B22" s="130"/>
      <c r="C22" s="130"/>
      <c r="D22" s="130"/>
      <c r="E22" s="59"/>
      <c r="F22" s="59"/>
      <c r="G22" s="59"/>
      <c r="H22" s="59"/>
    </row>
    <row r="23" spans="1:8" ht="15" customHeight="1" x14ac:dyDescent="0.25">
      <c r="A23" s="130" t="s">
        <v>17</v>
      </c>
      <c r="B23" s="130"/>
      <c r="C23" s="130"/>
      <c r="D23" s="130"/>
      <c r="E23" s="147" t="s">
        <v>18</v>
      </c>
      <c r="F23" s="147"/>
      <c r="G23" s="147"/>
      <c r="H23" s="147"/>
    </row>
    <row r="24" spans="1:8" ht="15" customHeight="1" x14ac:dyDescent="0.25">
      <c r="A24" s="67" t="s">
        <v>19</v>
      </c>
      <c r="B24" s="67"/>
      <c r="C24" s="67"/>
      <c r="D24" s="67"/>
      <c r="E24" s="147" t="str">
        <f>IF(AND(G18="Mumbai"),"Upper Class","Middle Class")</f>
        <v>Middle Class</v>
      </c>
      <c r="F24" s="147"/>
      <c r="G24" s="147"/>
      <c r="H24" s="147"/>
    </row>
    <row r="25" spans="1:8" x14ac:dyDescent="0.25">
      <c r="A25" s="67" t="s">
        <v>20</v>
      </c>
      <c r="B25" s="67"/>
      <c r="C25" s="67"/>
      <c r="D25" s="67"/>
      <c r="E25" s="147" t="s">
        <v>21</v>
      </c>
      <c r="F25" s="147"/>
      <c r="G25" s="147"/>
      <c r="H25" s="147"/>
    </row>
    <row r="26" spans="1:8" ht="15.75" customHeight="1" x14ac:dyDescent="0.25">
      <c r="A26" s="67" t="s">
        <v>22</v>
      </c>
      <c r="B26" s="67"/>
      <c r="C26" s="67"/>
      <c r="D26" s="67"/>
      <c r="E26" s="147" t="str">
        <f>IF(AND(G18="Mumbai"),"Developed","Developing")</f>
        <v>Developing</v>
      </c>
      <c r="F26" s="147"/>
      <c r="G26" s="147"/>
      <c r="H26" s="147"/>
    </row>
    <row r="27" spans="1:8" x14ac:dyDescent="0.25">
      <c r="A27" s="67" t="s">
        <v>23</v>
      </c>
      <c r="B27" s="67"/>
      <c r="C27" s="67"/>
      <c r="D27" s="67"/>
      <c r="E27" s="147" t="s">
        <v>24</v>
      </c>
      <c r="F27" s="147"/>
      <c r="G27" s="147"/>
      <c r="H27" s="147"/>
    </row>
    <row r="28" spans="1:8" ht="15.75" customHeight="1" x14ac:dyDescent="0.25">
      <c r="A28" s="67" t="s">
        <v>84</v>
      </c>
      <c r="B28" s="67"/>
      <c r="C28" s="67"/>
      <c r="D28" s="67"/>
      <c r="E28" s="147" t="s">
        <v>85</v>
      </c>
      <c r="F28" s="147"/>
      <c r="G28" s="147"/>
      <c r="H28" s="147"/>
    </row>
    <row r="29" spans="1:8" ht="15" customHeight="1" x14ac:dyDescent="0.25">
      <c r="A29" s="67" t="s">
        <v>33</v>
      </c>
      <c r="B29" s="67"/>
      <c r="C29" s="67"/>
      <c r="D29" s="67"/>
      <c r="E29" s="147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47"/>
      <c r="G29" s="147"/>
      <c r="H29" s="147"/>
    </row>
    <row r="30" spans="1:8" ht="15.75" customHeight="1" x14ac:dyDescent="0.25">
      <c r="A30" s="67" t="s">
        <v>96</v>
      </c>
      <c r="B30" s="67"/>
      <c r="C30" s="67"/>
      <c r="D30" s="67"/>
      <c r="E30" s="147" t="s">
        <v>34</v>
      </c>
      <c r="F30" s="147"/>
      <c r="G30" s="147"/>
      <c r="H30" s="147"/>
    </row>
    <row r="31" spans="1:8" s="22" customFormat="1" x14ac:dyDescent="0.25">
      <c r="A31" s="160" t="s">
        <v>97</v>
      </c>
      <c r="B31" s="160"/>
      <c r="C31" s="159" t="s">
        <v>29</v>
      </c>
      <c r="D31" s="159"/>
      <c r="E31" s="159"/>
      <c r="F31" s="159" t="s">
        <v>31</v>
      </c>
      <c r="G31" s="159"/>
      <c r="H31" s="159"/>
    </row>
    <row r="32" spans="1:8" s="22" customFormat="1" x14ac:dyDescent="0.25">
      <c r="A32" s="142" t="s">
        <v>25</v>
      </c>
      <c r="B32" s="142" t="s">
        <v>30</v>
      </c>
      <c r="C32" s="143" t="s">
        <v>30</v>
      </c>
      <c r="D32" s="143"/>
      <c r="E32" s="143"/>
      <c r="F32" s="143" t="s">
        <v>191</v>
      </c>
      <c r="G32" s="143"/>
      <c r="H32" s="143"/>
    </row>
    <row r="33" spans="1:8" x14ac:dyDescent="0.25">
      <c r="A33" s="142" t="s">
        <v>26</v>
      </c>
      <c r="B33" s="142" t="s">
        <v>30</v>
      </c>
      <c r="C33" s="143" t="s">
        <v>30</v>
      </c>
      <c r="D33" s="143"/>
      <c r="E33" s="143"/>
      <c r="F33" s="143" t="s">
        <v>193</v>
      </c>
      <c r="G33" s="143"/>
      <c r="H33" s="143"/>
    </row>
    <row r="34" spans="1:8" s="22" customFormat="1" x14ac:dyDescent="0.25">
      <c r="A34" s="142" t="s">
        <v>28</v>
      </c>
      <c r="B34" s="142" t="s">
        <v>30</v>
      </c>
      <c r="C34" s="143" t="s">
        <v>30</v>
      </c>
      <c r="D34" s="143"/>
      <c r="E34" s="143"/>
      <c r="F34" s="143" t="s">
        <v>194</v>
      </c>
      <c r="G34" s="143"/>
      <c r="H34" s="143"/>
    </row>
    <row r="35" spans="1:8" x14ac:dyDescent="0.25">
      <c r="A35" s="142" t="s">
        <v>27</v>
      </c>
      <c r="B35" s="142" t="s">
        <v>30</v>
      </c>
      <c r="C35" s="143" t="s">
        <v>30</v>
      </c>
      <c r="D35" s="143"/>
      <c r="E35" s="143"/>
      <c r="F35" s="143" t="s">
        <v>195</v>
      </c>
      <c r="G35" s="143"/>
      <c r="H35" s="143"/>
    </row>
    <row r="36" spans="1:8" x14ac:dyDescent="0.25">
      <c r="A36" s="67" t="s">
        <v>32</v>
      </c>
      <c r="B36" s="67"/>
      <c r="C36" s="67"/>
      <c r="D36" s="67"/>
      <c r="E36" s="67"/>
      <c r="F36" s="67"/>
      <c r="G36" s="67"/>
      <c r="H36" s="67"/>
    </row>
    <row r="37" spans="1:8" ht="15.75" customHeight="1" x14ac:dyDescent="0.25">
      <c r="A37" s="67" t="s">
        <v>218</v>
      </c>
      <c r="B37" s="67"/>
      <c r="C37" s="190" t="s">
        <v>219</v>
      </c>
      <c r="D37" s="191"/>
      <c r="E37" s="191"/>
      <c r="F37" s="191"/>
      <c r="G37" s="191"/>
      <c r="H37" s="192"/>
    </row>
    <row r="38" spans="1:8" x14ac:dyDescent="0.25">
      <c r="A38" s="67" t="s">
        <v>173</v>
      </c>
      <c r="B38" s="67"/>
      <c r="C38" s="146" t="s">
        <v>196</v>
      </c>
      <c r="D38" s="147"/>
      <c r="E38" s="147"/>
      <c r="F38" s="147"/>
      <c r="G38" s="147"/>
      <c r="H38" s="147"/>
    </row>
    <row r="39" spans="1:8" x14ac:dyDescent="0.25">
      <c r="A39" s="145" t="s">
        <v>35</v>
      </c>
      <c r="B39" s="145"/>
      <c r="C39" s="145"/>
      <c r="D39" s="145"/>
      <c r="E39" s="145"/>
      <c r="F39" s="145"/>
      <c r="G39" s="145"/>
      <c r="H39" s="145"/>
    </row>
    <row r="40" spans="1:8" x14ac:dyDescent="0.25">
      <c r="A40" s="67" t="s">
        <v>36</v>
      </c>
      <c r="B40" s="67"/>
      <c r="C40" s="67"/>
      <c r="D40" s="67"/>
      <c r="E40" s="144">
        <v>1359</v>
      </c>
      <c r="F40" s="144"/>
      <c r="G40" s="144"/>
      <c r="H40" s="144"/>
    </row>
    <row r="41" spans="1:8" x14ac:dyDescent="0.25">
      <c r="A41" s="67" t="s">
        <v>37</v>
      </c>
      <c r="B41" s="67"/>
      <c r="C41" s="67"/>
      <c r="D41" s="67"/>
      <c r="E41" s="158">
        <v>1.1000000000000001</v>
      </c>
      <c r="F41" s="158"/>
      <c r="G41" s="158"/>
      <c r="H41" s="158"/>
    </row>
    <row r="42" spans="1:8" x14ac:dyDescent="0.25">
      <c r="A42" s="67" t="s">
        <v>38</v>
      </c>
      <c r="B42" s="67"/>
      <c r="C42" s="67"/>
      <c r="D42" s="67"/>
      <c r="E42" s="158">
        <f>E44/E40-E41</f>
        <v>1.1477336276674026</v>
      </c>
      <c r="F42" s="158"/>
      <c r="G42" s="158"/>
      <c r="H42" s="158"/>
    </row>
    <row r="43" spans="1:8" x14ac:dyDescent="0.25">
      <c r="A43" s="67" t="s">
        <v>39</v>
      </c>
      <c r="B43" s="67"/>
      <c r="C43" s="67"/>
      <c r="D43" s="67"/>
      <c r="E43" s="158">
        <f>E41+E42</f>
        <v>2.2477336276674027</v>
      </c>
      <c r="F43" s="158"/>
      <c r="G43" s="158"/>
      <c r="H43" s="158"/>
    </row>
    <row r="44" spans="1:8" x14ac:dyDescent="0.25">
      <c r="A44" s="67" t="s">
        <v>95</v>
      </c>
      <c r="B44" s="67"/>
      <c r="C44" s="67"/>
      <c r="D44" s="67"/>
      <c r="E44" s="129">
        <v>3054.67</v>
      </c>
      <c r="F44" s="129"/>
      <c r="G44" s="129"/>
      <c r="H44" s="129"/>
    </row>
    <row r="45" spans="1:8" x14ac:dyDescent="0.25">
      <c r="A45" s="59" t="s">
        <v>40</v>
      </c>
      <c r="B45" s="59"/>
      <c r="C45" s="59"/>
      <c r="D45" s="59"/>
      <c r="E45" s="59" t="s">
        <v>197</v>
      </c>
      <c r="F45" s="59"/>
      <c r="G45" s="59"/>
      <c r="H45" s="59"/>
    </row>
    <row r="46" spans="1:8" x14ac:dyDescent="0.25">
      <c r="A46" s="128" t="s">
        <v>41</v>
      </c>
      <c r="B46" s="128"/>
      <c r="C46" s="128"/>
      <c r="D46" s="128"/>
      <c r="E46" s="128"/>
      <c r="F46" s="128"/>
      <c r="G46" s="128"/>
      <c r="H46" s="128"/>
    </row>
    <row r="47" spans="1:8" ht="33.75" customHeight="1" x14ac:dyDescent="0.25">
      <c r="A47" s="76" t="s">
        <v>161</v>
      </c>
      <c r="B47" s="77"/>
      <c r="C47" s="78" t="s">
        <v>198</v>
      </c>
      <c r="D47" s="79"/>
      <c r="E47" s="79"/>
      <c r="F47" s="79"/>
      <c r="G47" s="79"/>
      <c r="H47" s="80"/>
    </row>
    <row r="48" spans="1:8" ht="15.75" customHeight="1" x14ac:dyDescent="0.25">
      <c r="A48" s="84" t="s">
        <v>42</v>
      </c>
      <c r="B48" s="86"/>
      <c r="C48" s="84" t="s">
        <v>199</v>
      </c>
      <c r="D48" s="85"/>
      <c r="E48" s="86"/>
      <c r="F48" s="18" t="s">
        <v>43</v>
      </c>
      <c r="G48" s="152">
        <v>44286</v>
      </c>
      <c r="H48" s="86"/>
    </row>
    <row r="49" spans="1:14" x14ac:dyDescent="0.25">
      <c r="A49" s="84" t="s">
        <v>44</v>
      </c>
      <c r="B49" s="86"/>
      <c r="C49" s="84" t="str">
        <f>C48</f>
        <v>S.R-19/20-21</v>
      </c>
      <c r="D49" s="85"/>
      <c r="E49" s="86"/>
      <c r="F49" s="18" t="s">
        <v>43</v>
      </c>
      <c r="G49" s="152">
        <f>G48</f>
        <v>44286</v>
      </c>
      <c r="H49" s="153"/>
    </row>
    <row r="50" spans="1:14" s="23" customFormat="1" ht="15.75" customHeight="1" x14ac:dyDescent="0.25">
      <c r="A50" s="154" t="s">
        <v>165</v>
      </c>
      <c r="B50" s="155"/>
      <c r="C50" s="84" t="s">
        <v>200</v>
      </c>
      <c r="D50" s="85"/>
      <c r="E50" s="86"/>
      <c r="F50" s="18" t="s">
        <v>43</v>
      </c>
      <c r="G50" s="152">
        <f>G49</f>
        <v>44286</v>
      </c>
      <c r="H50" s="153"/>
    </row>
    <row r="51" spans="1:14" s="23" customFormat="1" ht="15.75" customHeight="1" x14ac:dyDescent="0.25">
      <c r="A51" s="156"/>
      <c r="B51" s="157"/>
      <c r="C51" s="84" t="s">
        <v>201</v>
      </c>
      <c r="D51" s="85"/>
      <c r="E51" s="85"/>
      <c r="F51" s="85"/>
      <c r="G51" s="85"/>
      <c r="H51" s="86"/>
    </row>
    <row r="52" spans="1:14" x14ac:dyDescent="0.25">
      <c r="A52" s="196" t="s">
        <v>45</v>
      </c>
      <c r="B52" s="197"/>
      <c r="C52" s="196" t="s">
        <v>107</v>
      </c>
      <c r="D52" s="198"/>
      <c r="E52" s="197"/>
      <c r="F52" s="46" t="s">
        <v>43</v>
      </c>
      <c r="G52" s="188" t="s">
        <v>30</v>
      </c>
      <c r="H52" s="189"/>
    </row>
    <row r="53" spans="1:14" x14ac:dyDescent="0.25">
      <c r="A53" s="169" t="s">
        <v>47</v>
      </c>
      <c r="B53" s="169"/>
      <c r="C53" s="169"/>
      <c r="D53" s="169"/>
      <c r="E53" s="169"/>
      <c r="F53" s="169"/>
      <c r="G53" s="169"/>
      <c r="H53" s="169"/>
    </row>
    <row r="54" spans="1:14" x14ac:dyDescent="0.25">
      <c r="A54" s="130" t="s">
        <v>94</v>
      </c>
      <c r="B54" s="130"/>
      <c r="C54" s="130"/>
      <c r="D54" s="67">
        <f>E44</f>
        <v>3054.67</v>
      </c>
      <c r="E54" s="67"/>
      <c r="F54" s="67"/>
      <c r="G54" s="67"/>
      <c r="H54" s="67"/>
    </row>
    <row r="55" spans="1:14" x14ac:dyDescent="0.25">
      <c r="A55" s="147" t="s">
        <v>48</v>
      </c>
      <c r="B55" s="59"/>
      <c r="C55" s="59"/>
      <c r="D55" s="59" t="s">
        <v>213</v>
      </c>
      <c r="E55" s="59"/>
      <c r="F55" s="59"/>
      <c r="G55" s="59"/>
      <c r="H55" s="59"/>
      <c r="I55" s="24"/>
    </row>
    <row r="56" spans="1:14" x14ac:dyDescent="0.25">
      <c r="A56" s="149" t="s">
        <v>49</v>
      </c>
      <c r="B56" s="150"/>
      <c r="C56" s="151"/>
      <c r="D56" s="135" t="s">
        <v>201</v>
      </c>
      <c r="E56" s="148"/>
      <c r="F56" s="148"/>
      <c r="G56" s="148"/>
      <c r="H56" s="148"/>
    </row>
    <row r="57" spans="1:14" ht="15.75" customHeight="1" x14ac:dyDescent="0.25">
      <c r="A57" s="149" t="s">
        <v>92</v>
      </c>
      <c r="B57" s="150"/>
      <c r="C57" s="150"/>
      <c r="D57" s="135" t="s">
        <v>201</v>
      </c>
      <c r="E57" s="148"/>
      <c r="F57" s="148"/>
      <c r="G57" s="148"/>
      <c r="H57" s="148"/>
    </row>
    <row r="58" spans="1:14" ht="15.75" hidden="1" customHeight="1" x14ac:dyDescent="0.25">
      <c r="A58" s="171"/>
      <c r="B58" s="172"/>
      <c r="C58" s="172"/>
      <c r="D58" s="175" t="s">
        <v>202</v>
      </c>
      <c r="E58" s="176"/>
      <c r="F58" s="176"/>
      <c r="G58" s="176"/>
      <c r="H58" s="177"/>
    </row>
    <row r="59" spans="1:14" ht="15.75" hidden="1" customHeight="1" x14ac:dyDescent="0.25">
      <c r="A59" s="173"/>
      <c r="B59" s="174"/>
      <c r="C59" s="174"/>
      <c r="D59" s="178" t="s">
        <v>203</v>
      </c>
      <c r="E59" s="179"/>
      <c r="F59" s="179"/>
      <c r="G59" s="179"/>
      <c r="H59" s="180"/>
    </row>
    <row r="60" spans="1:14" ht="15.75" customHeight="1" x14ac:dyDescent="0.25">
      <c r="A60" s="67" t="s">
        <v>46</v>
      </c>
      <c r="B60" s="67"/>
      <c r="C60" s="67"/>
      <c r="D60" s="130" t="s">
        <v>221</v>
      </c>
      <c r="E60" s="130"/>
      <c r="F60" s="130"/>
      <c r="G60" s="130"/>
      <c r="H60" s="130"/>
      <c r="J60" s="25"/>
      <c r="K60" s="24"/>
      <c r="N60" s="24"/>
    </row>
    <row r="61" spans="1:14" ht="15.75" customHeight="1" x14ac:dyDescent="0.25">
      <c r="A61" s="67" t="s">
        <v>90</v>
      </c>
      <c r="B61" s="67"/>
      <c r="C61" s="67"/>
      <c r="D61" s="185" t="str">
        <f>(IF(G52="NA","60 Years After Completion",IF(G52&lt;&gt;"NA",""&amp;60-ROUNDDOWN((E3-G52)/360,0)&amp;" Years"," ")))</f>
        <v>60 Years After Completion</v>
      </c>
      <c r="E61" s="185"/>
      <c r="F61" s="185"/>
      <c r="G61" s="185"/>
      <c r="H61" s="185"/>
      <c r="N61" s="24"/>
    </row>
    <row r="62" spans="1:14" ht="15.75" customHeight="1" x14ac:dyDescent="0.25">
      <c r="A62" s="67" t="s">
        <v>91</v>
      </c>
      <c r="B62" s="67"/>
      <c r="C62" s="67"/>
      <c r="D62" s="130" t="s">
        <v>24</v>
      </c>
      <c r="E62" s="130"/>
      <c r="F62" s="130"/>
      <c r="G62" s="130"/>
      <c r="H62" s="130"/>
      <c r="J62" s="26"/>
      <c r="K62" s="26"/>
    </row>
    <row r="63" spans="1:14" ht="15" hidden="1" customHeight="1" x14ac:dyDescent="0.25">
      <c r="A63" s="67" t="s">
        <v>77</v>
      </c>
      <c r="B63" s="67"/>
      <c r="C63" s="67"/>
      <c r="D63" s="133" t="s">
        <v>156</v>
      </c>
      <c r="E63" s="133"/>
      <c r="F63" s="133"/>
      <c r="G63" s="133"/>
      <c r="H63" s="133"/>
    </row>
    <row r="64" spans="1:14" x14ac:dyDescent="0.25">
      <c r="A64" s="130" t="s">
        <v>157</v>
      </c>
      <c r="B64" s="130"/>
      <c r="C64" s="130"/>
      <c r="D64" s="130" t="s">
        <v>30</v>
      </c>
      <c r="E64" s="130"/>
      <c r="F64" s="130"/>
      <c r="G64" s="130"/>
      <c r="H64" s="130"/>
      <c r="I64" s="27"/>
      <c r="J64" s="27"/>
      <c r="K64" s="27"/>
      <c r="L64" s="27"/>
      <c r="M64" s="27"/>
      <c r="N64" s="27"/>
    </row>
    <row r="65" spans="1:10" ht="15.75" customHeight="1" x14ac:dyDescent="0.25">
      <c r="A65" s="186" t="s">
        <v>89</v>
      </c>
      <c r="B65" s="186"/>
      <c r="C65" s="186"/>
      <c r="D65" s="135" t="str">
        <f ca="1">(IF(G71&gt;95%,"Nothing",IF(G71&gt;0%,"Cement, Aggregate, Steel, etc",IF(G71=0%,"Work not yet Started"))))</f>
        <v>Cement, Aggregate, Steel, etc</v>
      </c>
      <c r="E65" s="135"/>
      <c r="F65" s="135"/>
      <c r="G65" s="135"/>
      <c r="H65" s="135"/>
      <c r="J65" s="26"/>
    </row>
    <row r="66" spans="1:10" ht="33.75" customHeight="1" thickBot="1" x14ac:dyDescent="0.3">
      <c r="A66" s="134" t="s">
        <v>120</v>
      </c>
      <c r="B66" s="134"/>
      <c r="C66" s="134"/>
      <c r="D66" s="135" t="str">
        <f ca="1">(IF(D65="Nothing","Yes",IF(D65="Cement, Aggregate, Steel, etc","Under Construction",IF(D65="Work not yet Started","Work not yet Started"))))</f>
        <v>Under Construction</v>
      </c>
      <c r="E66" s="135"/>
      <c r="F66" s="135" t="str">
        <f ca="1">(IF(D65="Nothing","Yes",IF(D65="Cement, Aggregate, Steel, etc","Under Construction",IF(D65="Work not yet Started","Work not yet Started"))))</f>
        <v>Under Construction</v>
      </c>
      <c r="G66" s="135"/>
      <c r="H66" s="135"/>
    </row>
    <row r="67" spans="1:10" ht="33" customHeight="1" x14ac:dyDescent="0.25">
      <c r="A67" s="105" t="s">
        <v>146</v>
      </c>
      <c r="B67" s="106"/>
      <c r="C67" s="107" t="s">
        <v>224</v>
      </c>
      <c r="D67" s="108"/>
      <c r="E67" s="108"/>
      <c r="F67" s="108"/>
      <c r="G67" s="108"/>
      <c r="H67" s="109"/>
      <c r="I67" s="48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Plaster, Flooring, Painting Completed, Finishing upto 6 Floor Completed</v>
      </c>
      <c r="J67" s="49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Finishing upto 6 Floor</v>
      </c>
    </row>
    <row r="68" spans="1:10" x14ac:dyDescent="0.25">
      <c r="A68" s="16" t="s">
        <v>148</v>
      </c>
      <c r="B68" s="53">
        <v>0</v>
      </c>
      <c r="C68" s="53" t="s">
        <v>74</v>
      </c>
      <c r="D68" s="53">
        <v>1</v>
      </c>
      <c r="E68" s="53" t="s">
        <v>73</v>
      </c>
      <c r="F68" s="53">
        <v>0</v>
      </c>
      <c r="G68" s="53" t="s">
        <v>83</v>
      </c>
      <c r="H68" s="17">
        <f ca="1">--TRIM(RIGHT(SUBSTITUTE(LEFT(C67,_xlfn.AGGREGATE(16,6,FIND({0,1,2,3,4,5,6,7,8,9},C67,ROW(INDIRECT("1:"&amp;LEN(C67)))),1))," ",REPT(" ",LEN(C67))),LEN(C67)))</f>
        <v>7</v>
      </c>
      <c r="I68" s="50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Plaster, Flooring, Painting</v>
      </c>
      <c r="J68" s="51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4.9" customHeight="1" x14ac:dyDescent="0.25">
      <c r="A69" s="127" t="s">
        <v>93</v>
      </c>
      <c r="B69" s="128"/>
      <c r="C69" s="131" t="str">
        <f ca="1">I67</f>
        <v>Excavation, Plinth, RCC Slab, Brickwork, Internal Plaster, External Plaster, Flooring, Painting Completed, Finishing upto 6 Floor Completed</v>
      </c>
      <c r="D69" s="131"/>
      <c r="E69" s="131"/>
      <c r="F69" s="131"/>
      <c r="G69" s="131"/>
      <c r="H69" s="132"/>
      <c r="I69" s="50" t="str">
        <f ca="1">IF(I68&lt;&gt;""," Completed","")</f>
        <v xml:space="preserve"> Completed</v>
      </c>
      <c r="J69" s="51" t="str">
        <f ca="1">IF(J67&lt;&gt;"","Completed","")</f>
        <v>Completed</v>
      </c>
    </row>
    <row r="70" spans="1:10" ht="15.75" customHeight="1" x14ac:dyDescent="0.25">
      <c r="A70" s="60" t="s">
        <v>50</v>
      </c>
      <c r="B70" s="61"/>
      <c r="C70" s="54" t="s">
        <v>145</v>
      </c>
      <c r="D70" s="54" t="s">
        <v>86</v>
      </c>
      <c r="E70" s="61" t="s">
        <v>88</v>
      </c>
      <c r="F70" s="61"/>
      <c r="G70" s="61" t="s">
        <v>87</v>
      </c>
      <c r="H70" s="187"/>
      <c r="I70" s="14" t="s">
        <v>147</v>
      </c>
      <c r="J70" s="28">
        <f ca="1">H68*25%</f>
        <v>1.75</v>
      </c>
    </row>
    <row r="71" spans="1:10" x14ac:dyDescent="0.25">
      <c r="A71" s="60" t="s">
        <v>134</v>
      </c>
      <c r="B71" s="61"/>
      <c r="C71" s="54">
        <f ca="1">J72</f>
        <v>7</v>
      </c>
      <c r="D71" s="55">
        <f ca="1">((100/H68)*C71)/100</f>
        <v>1</v>
      </c>
      <c r="E71" s="136">
        <f ca="1">(((C72/H68*10)+(40/(D68+F68+H68)*C73)+(7.5/(H68)*C74)+(7.5/(H68)*C75)+(10/H68*C76)+(10/H68*C77)+(5/H68*C78)+(5/H68*C79)+(5/H68*C80))/100)</f>
        <v>0.94285714285714295</v>
      </c>
      <c r="F71" s="137"/>
      <c r="G71" s="136">
        <f ca="1">((((C71/H68)*20)+((C72/H68)*25)+(30/(H68+F68+D68)*C73)+(5/H68*C74)+(5/H68*C75)+(5/H68*C76)+(5/H68*C77)+(0/H68*C78)+(0/H68*C79)+(5/H68*C80))/100)</f>
        <v>0.95</v>
      </c>
      <c r="H71" s="182"/>
      <c r="I71" s="14" t="s">
        <v>102</v>
      </c>
      <c r="J71" s="29">
        <f ca="1">H68*50%</f>
        <v>3.5</v>
      </c>
    </row>
    <row r="72" spans="1:10" x14ac:dyDescent="0.25">
      <c r="A72" s="60" t="s">
        <v>51</v>
      </c>
      <c r="B72" s="61"/>
      <c r="C72" s="54">
        <f ca="1">J80</f>
        <v>7</v>
      </c>
      <c r="D72" s="55">
        <f ca="1">((100/H68)*C72)/100</f>
        <v>1</v>
      </c>
      <c r="E72" s="138"/>
      <c r="F72" s="139"/>
      <c r="G72" s="138"/>
      <c r="H72" s="183"/>
      <c r="I72" s="14" t="s">
        <v>103</v>
      </c>
      <c r="J72" s="29">
        <f ca="1">H68</f>
        <v>7</v>
      </c>
    </row>
    <row r="73" spans="1:10" ht="15.75" customHeight="1" x14ac:dyDescent="0.25">
      <c r="A73" s="60" t="s">
        <v>135</v>
      </c>
      <c r="B73" s="61"/>
      <c r="C73" s="54">
        <v>8</v>
      </c>
      <c r="D73" s="55">
        <f ca="1">((100/(D68+F68+H68))*C73)/100</f>
        <v>1</v>
      </c>
      <c r="E73" s="138"/>
      <c r="F73" s="139"/>
      <c r="G73" s="138"/>
      <c r="H73" s="183"/>
      <c r="I73" s="14" t="s">
        <v>104</v>
      </c>
      <c r="J73" s="30">
        <f ca="1">(IF(B68&gt;1,(H68/(B68+2)),H68/4))</f>
        <v>1.75</v>
      </c>
    </row>
    <row r="74" spans="1:10" ht="15.75" customHeight="1" x14ac:dyDescent="0.25">
      <c r="A74" s="60" t="s">
        <v>142</v>
      </c>
      <c r="B74" s="61" t="s">
        <v>136</v>
      </c>
      <c r="C74" s="54">
        <v>7</v>
      </c>
      <c r="D74" s="55">
        <f ca="1">((100/H68)*C74)/100</f>
        <v>1</v>
      </c>
      <c r="E74" s="138"/>
      <c r="F74" s="139"/>
      <c r="G74" s="138"/>
      <c r="H74" s="183"/>
      <c r="I74" s="14" t="s">
        <v>105</v>
      </c>
      <c r="J74" s="30">
        <f ca="1">(IF(B68&gt;1,(H68/(B68+2)+J73),H68/4+J73))</f>
        <v>3.5</v>
      </c>
    </row>
    <row r="75" spans="1:10" ht="15.75" customHeight="1" x14ac:dyDescent="0.25">
      <c r="A75" s="60" t="s">
        <v>143</v>
      </c>
      <c r="B75" s="61" t="s">
        <v>136</v>
      </c>
      <c r="C75" s="54">
        <v>7</v>
      </c>
      <c r="D75" s="55">
        <f ca="1">((100/H68)*C75)/100</f>
        <v>1</v>
      </c>
      <c r="E75" s="138"/>
      <c r="F75" s="139"/>
      <c r="G75" s="138"/>
      <c r="H75" s="183"/>
      <c r="I75" s="14" t="s">
        <v>154</v>
      </c>
      <c r="J75" s="30">
        <f>(IF(B68&gt;1,(H68/(B68+2)+J74),0))</f>
        <v>0</v>
      </c>
    </row>
    <row r="76" spans="1:10" ht="15" customHeight="1" x14ac:dyDescent="0.25">
      <c r="A76" s="60" t="s">
        <v>141</v>
      </c>
      <c r="B76" s="61" t="s">
        <v>138</v>
      </c>
      <c r="C76" s="54">
        <v>7</v>
      </c>
      <c r="D76" s="55">
        <f ca="1">((100/(H68))*C76)/100</f>
        <v>1</v>
      </c>
      <c r="E76" s="138"/>
      <c r="F76" s="139"/>
      <c r="G76" s="138"/>
      <c r="H76" s="183"/>
      <c r="I76" s="14" t="s">
        <v>149</v>
      </c>
      <c r="J76" s="30">
        <f>(IF(B68&gt;2,(H68/(B68+2)+J75),0))</f>
        <v>0</v>
      </c>
    </row>
    <row r="77" spans="1:10" ht="15.75" customHeight="1" x14ac:dyDescent="0.25">
      <c r="A77" s="60" t="s">
        <v>137</v>
      </c>
      <c r="B77" s="61" t="s">
        <v>137</v>
      </c>
      <c r="C77" s="54">
        <v>7</v>
      </c>
      <c r="D77" s="55">
        <f ca="1">((100/H68)*C77)/100</f>
        <v>1</v>
      </c>
      <c r="E77" s="138"/>
      <c r="F77" s="139"/>
      <c r="G77" s="138"/>
      <c r="H77" s="183"/>
      <c r="I77" s="14" t="s">
        <v>150</v>
      </c>
      <c r="J77" s="31">
        <f>(IF(B68&gt;3,(H68/(B68+2)+J76),0))</f>
        <v>0</v>
      </c>
    </row>
    <row r="78" spans="1:10" ht="15.75" customHeight="1" x14ac:dyDescent="0.25">
      <c r="A78" s="60" t="s">
        <v>144</v>
      </c>
      <c r="B78" s="61"/>
      <c r="C78" s="54">
        <v>7</v>
      </c>
      <c r="D78" s="55">
        <f ca="1">((100/H68)*C78)/100</f>
        <v>1</v>
      </c>
      <c r="E78" s="138"/>
      <c r="F78" s="139"/>
      <c r="G78" s="138"/>
      <c r="H78" s="183"/>
      <c r="I78" s="14" t="s">
        <v>151</v>
      </c>
      <c r="J78" s="30">
        <f>(IF(B68&gt;4,(H68/(B68+2)+J77),0))</f>
        <v>0</v>
      </c>
    </row>
    <row r="79" spans="1:10" ht="15.75" customHeight="1" x14ac:dyDescent="0.25">
      <c r="A79" s="60" t="s">
        <v>139</v>
      </c>
      <c r="B79" s="61" t="s">
        <v>139</v>
      </c>
      <c r="C79" s="54">
        <v>6</v>
      </c>
      <c r="D79" s="55">
        <f ca="1">((100/(H68))*C79)/100</f>
        <v>0.85714285714285721</v>
      </c>
      <c r="E79" s="138"/>
      <c r="F79" s="139"/>
      <c r="G79" s="138"/>
      <c r="H79" s="183"/>
      <c r="I79" s="14" t="s">
        <v>155</v>
      </c>
      <c r="J79" s="30">
        <f ca="1">(IF(B68=1,(H68/(B68+3)+J74),IF(B68=0,(H68/4+J74),IF(B68&gt;1,0))))</f>
        <v>5.25</v>
      </c>
    </row>
    <row r="80" spans="1:10" ht="16.5" thickBot="1" x14ac:dyDescent="0.3">
      <c r="A80" s="62" t="s">
        <v>140</v>
      </c>
      <c r="B80" s="63"/>
      <c r="C80" s="56">
        <v>0</v>
      </c>
      <c r="D80" s="57">
        <f ca="1">((100/(H68))*C80)/100</f>
        <v>0</v>
      </c>
      <c r="E80" s="140"/>
      <c r="F80" s="141"/>
      <c r="G80" s="140"/>
      <c r="H80" s="184"/>
      <c r="I80" s="15" t="s">
        <v>106</v>
      </c>
      <c r="J80" s="32">
        <f ca="1">(IF(B68&gt;1.5,(H68/(B68+2)+J74+MAX(0,J75-J74)+MAX(0,J76-J75)+MAX(0,J77-J76)+MAX(0,J78-J77)+MAX(0,J79-J78)),IF(B68=1,(H68/(B68+3)+J79),IF(B68=0,H68/4+J79))))</f>
        <v>7</v>
      </c>
    </row>
    <row r="81" spans="1:10" ht="15.75" customHeight="1" x14ac:dyDescent="0.25">
      <c r="A81" s="105" t="s">
        <v>146</v>
      </c>
      <c r="B81" s="106"/>
      <c r="C81" s="107" t="s">
        <v>202</v>
      </c>
      <c r="D81" s="108"/>
      <c r="E81" s="108"/>
      <c r="F81" s="108"/>
      <c r="G81" s="108"/>
      <c r="H81" s="109"/>
      <c r="I81" s="48" t="str">
        <f ca="1">IF(D94=100%,"All work Completed. Possession granted to the Building.",IF(D93=100%,"All work Completed, Waiting for OC",I82&amp;""&amp;I83&amp;""&amp;J82&amp;""&amp;J81&amp;" "&amp;J83))</f>
        <v>All work Completed. Possession granted to the Building.</v>
      </c>
      <c r="J81" s="49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/>
      </c>
    </row>
    <row r="82" spans="1:10" x14ac:dyDescent="0.25">
      <c r="A82" s="16" t="s">
        <v>148</v>
      </c>
      <c r="B82" s="53">
        <v>0</v>
      </c>
      <c r="C82" s="53" t="s">
        <v>74</v>
      </c>
      <c r="D82" s="53">
        <v>1</v>
      </c>
      <c r="E82" s="53" t="s">
        <v>73</v>
      </c>
      <c r="F82" s="53">
        <v>0</v>
      </c>
      <c r="G82" s="53" t="s">
        <v>83</v>
      </c>
      <c r="H82" s="17">
        <f ca="1">--TRIM(RIGHT(SUBSTITUTE(LEFT(C81,_xlfn.AGGREGATE(16,6,FIND({0,1,2,3,4,5,6,7,8,9},C81,ROW(INDIRECT("1:"&amp;LEN(C81)))),1))," ",REPT(" ",LEN(C81))),LEN(C81)))</f>
        <v>7</v>
      </c>
      <c r="I82" s="50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Plaster, External Plaster, Flooring, Painting, Building common Amenities</v>
      </c>
      <c r="J82" s="51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5.25" customHeight="1" x14ac:dyDescent="0.25">
      <c r="A83" s="127" t="s">
        <v>93</v>
      </c>
      <c r="B83" s="128"/>
      <c r="C83" s="131" t="str">
        <f ca="1">I81</f>
        <v>All work Completed. Possession granted to the Building.</v>
      </c>
      <c r="D83" s="131"/>
      <c r="E83" s="131"/>
      <c r="F83" s="131"/>
      <c r="G83" s="131"/>
      <c r="H83" s="132"/>
      <c r="I83" s="50" t="str">
        <f ca="1">IF(I82&lt;&gt;""," Completed","")</f>
        <v xml:space="preserve"> Completed</v>
      </c>
      <c r="J83" s="51" t="str">
        <f ca="1">IF(J81&lt;&gt;"","Completed","")</f>
        <v/>
      </c>
    </row>
    <row r="84" spans="1:10" ht="15.75" customHeight="1" x14ac:dyDescent="0.25">
      <c r="A84" s="60" t="s">
        <v>50</v>
      </c>
      <c r="B84" s="61"/>
      <c r="C84" s="54" t="s">
        <v>145</v>
      </c>
      <c r="D84" s="54" t="s">
        <v>86</v>
      </c>
      <c r="E84" s="61" t="s">
        <v>88</v>
      </c>
      <c r="F84" s="61"/>
      <c r="G84" s="61" t="s">
        <v>87</v>
      </c>
      <c r="H84" s="187"/>
      <c r="I84" s="14" t="s">
        <v>147</v>
      </c>
      <c r="J84" s="28">
        <f ca="1">H82*25%</f>
        <v>1.75</v>
      </c>
    </row>
    <row r="85" spans="1:10" x14ac:dyDescent="0.25">
      <c r="A85" s="60" t="s">
        <v>134</v>
      </c>
      <c r="B85" s="61"/>
      <c r="C85" s="54">
        <f ca="1">J86</f>
        <v>7</v>
      </c>
      <c r="D85" s="55">
        <f ca="1">((100/H82)*C85)/100</f>
        <v>1</v>
      </c>
      <c r="E85" s="136">
        <f ca="1">(((C86/H82*10)+(40/(D82+F82+H82)*C87)+(7.5/(H82)*C88)+(7.5/(H82)*C89)+(10/H82*C90)+(10/H82*C91)+(5/H82*C92)+(5/H82*C93)+(5/H82*C94))/100)</f>
        <v>1</v>
      </c>
      <c r="F85" s="137"/>
      <c r="G85" s="136">
        <f ca="1">((((C85/H82)*20)+((C86/H82)*25)+(30/(H82+F82+D82)*C87)+(5/H82*C88)+(5/H82*C89)+(5/H82*C90)+(5/H82*C91)+(0/H82*C92)+(0/H82*C93)+(5/H82*C94))/100)</f>
        <v>1</v>
      </c>
      <c r="H85" s="182"/>
      <c r="I85" s="14" t="s">
        <v>102</v>
      </c>
      <c r="J85" s="29">
        <f ca="1">H82*50%</f>
        <v>3.5</v>
      </c>
    </row>
    <row r="86" spans="1:10" x14ac:dyDescent="0.25">
      <c r="A86" s="60" t="s">
        <v>51</v>
      </c>
      <c r="B86" s="61"/>
      <c r="C86" s="54">
        <f ca="1">J94</f>
        <v>7</v>
      </c>
      <c r="D86" s="55">
        <f ca="1">((100/H82)*C86)/100</f>
        <v>1</v>
      </c>
      <c r="E86" s="138"/>
      <c r="F86" s="139"/>
      <c r="G86" s="138"/>
      <c r="H86" s="183"/>
      <c r="I86" s="14" t="s">
        <v>103</v>
      </c>
      <c r="J86" s="29">
        <f ca="1">H82</f>
        <v>7</v>
      </c>
    </row>
    <row r="87" spans="1:10" ht="15.75" customHeight="1" x14ac:dyDescent="0.25">
      <c r="A87" s="60" t="s">
        <v>135</v>
      </c>
      <c r="B87" s="61"/>
      <c r="C87" s="54">
        <v>8</v>
      </c>
      <c r="D87" s="55">
        <f ca="1">((100/(D82+F82+H82))*C87)/100</f>
        <v>1</v>
      </c>
      <c r="E87" s="138"/>
      <c r="F87" s="139"/>
      <c r="G87" s="138"/>
      <c r="H87" s="183"/>
      <c r="I87" s="14" t="s">
        <v>104</v>
      </c>
      <c r="J87" s="30">
        <f ca="1">(IF(B82&gt;1,(H82/(B82+2)),H82/4))</f>
        <v>1.75</v>
      </c>
    </row>
    <row r="88" spans="1:10" ht="15.75" customHeight="1" x14ac:dyDescent="0.25">
      <c r="A88" s="60" t="s">
        <v>142</v>
      </c>
      <c r="B88" s="61" t="s">
        <v>136</v>
      </c>
      <c r="C88" s="54">
        <v>7</v>
      </c>
      <c r="D88" s="55">
        <f ca="1">((100/H82)*C88)/100</f>
        <v>1</v>
      </c>
      <c r="E88" s="138"/>
      <c r="F88" s="139"/>
      <c r="G88" s="138"/>
      <c r="H88" s="183"/>
      <c r="I88" s="14" t="s">
        <v>105</v>
      </c>
      <c r="J88" s="30">
        <f ca="1">(IF(B82&gt;1,(H82/(B82+2)+J87),H82/4+J87))</f>
        <v>3.5</v>
      </c>
    </row>
    <row r="89" spans="1:10" ht="15.75" customHeight="1" x14ac:dyDescent="0.25">
      <c r="A89" s="60" t="s">
        <v>143</v>
      </c>
      <c r="B89" s="61" t="s">
        <v>136</v>
      </c>
      <c r="C89" s="54">
        <v>7</v>
      </c>
      <c r="D89" s="55">
        <f ca="1">((100/H82)*C89)/100</f>
        <v>1</v>
      </c>
      <c r="E89" s="138"/>
      <c r="F89" s="139"/>
      <c r="G89" s="138"/>
      <c r="H89" s="183"/>
      <c r="I89" s="14" t="s">
        <v>154</v>
      </c>
      <c r="J89" s="30">
        <f>(IF(B82&gt;1,(H82/(B82+2)+J88),0))</f>
        <v>0</v>
      </c>
    </row>
    <row r="90" spans="1:10" ht="15" customHeight="1" x14ac:dyDescent="0.25">
      <c r="A90" s="60" t="s">
        <v>141</v>
      </c>
      <c r="B90" s="61" t="s">
        <v>138</v>
      </c>
      <c r="C90" s="54">
        <v>7</v>
      </c>
      <c r="D90" s="55">
        <f ca="1">((100/(H82))*C90)/100</f>
        <v>1</v>
      </c>
      <c r="E90" s="138"/>
      <c r="F90" s="139"/>
      <c r="G90" s="138"/>
      <c r="H90" s="183"/>
      <c r="I90" s="14" t="s">
        <v>149</v>
      </c>
      <c r="J90" s="30">
        <f>(IF(B82&gt;2,(H82/(B82+2)+J89),0))</f>
        <v>0</v>
      </c>
    </row>
    <row r="91" spans="1:10" ht="15.75" customHeight="1" x14ac:dyDescent="0.25">
      <c r="A91" s="60" t="s">
        <v>137</v>
      </c>
      <c r="B91" s="61" t="s">
        <v>137</v>
      </c>
      <c r="C91" s="54">
        <v>7</v>
      </c>
      <c r="D91" s="55">
        <f ca="1">((100/H82)*C91)/100</f>
        <v>1</v>
      </c>
      <c r="E91" s="138"/>
      <c r="F91" s="139"/>
      <c r="G91" s="138"/>
      <c r="H91" s="183"/>
      <c r="I91" s="14" t="s">
        <v>150</v>
      </c>
      <c r="J91" s="31">
        <f>(IF(B82&gt;3,(H82/(B82+2)+J90),0))</f>
        <v>0</v>
      </c>
    </row>
    <row r="92" spans="1:10" ht="15.75" customHeight="1" x14ac:dyDescent="0.25">
      <c r="A92" s="60" t="s">
        <v>144</v>
      </c>
      <c r="B92" s="61"/>
      <c r="C92" s="54">
        <v>7</v>
      </c>
      <c r="D92" s="55">
        <f ca="1">((100/H82)*C92)/100</f>
        <v>1</v>
      </c>
      <c r="E92" s="138"/>
      <c r="F92" s="139"/>
      <c r="G92" s="138"/>
      <c r="H92" s="183"/>
      <c r="I92" s="14" t="s">
        <v>151</v>
      </c>
      <c r="J92" s="30">
        <f>(IF(B82&gt;4,(H82/(B82+2)+J91),0))</f>
        <v>0</v>
      </c>
    </row>
    <row r="93" spans="1:10" ht="15.75" customHeight="1" x14ac:dyDescent="0.25">
      <c r="A93" s="60" t="s">
        <v>139</v>
      </c>
      <c r="B93" s="61" t="s">
        <v>139</v>
      </c>
      <c r="C93" s="54">
        <v>7</v>
      </c>
      <c r="D93" s="55">
        <f ca="1">((100/(H82))*C93)/100</f>
        <v>1</v>
      </c>
      <c r="E93" s="138"/>
      <c r="F93" s="139"/>
      <c r="G93" s="138"/>
      <c r="H93" s="183"/>
      <c r="I93" s="14" t="s">
        <v>155</v>
      </c>
      <c r="J93" s="30">
        <f ca="1">(IF(B82=1,(H82/(B82+3)+J88),IF(B82=0,(H82/4+J88),IF(B82&gt;1,0))))</f>
        <v>5.25</v>
      </c>
    </row>
    <row r="94" spans="1:10" ht="16.5" thickBot="1" x14ac:dyDescent="0.3">
      <c r="A94" s="62" t="s">
        <v>140</v>
      </c>
      <c r="B94" s="63"/>
      <c r="C94" s="56">
        <v>7</v>
      </c>
      <c r="D94" s="57">
        <f ca="1">((100/(H82))*C94)/100</f>
        <v>1</v>
      </c>
      <c r="E94" s="140"/>
      <c r="F94" s="141"/>
      <c r="G94" s="140"/>
      <c r="H94" s="184"/>
      <c r="I94" s="15" t="s">
        <v>106</v>
      </c>
      <c r="J94" s="32">
        <f ca="1">(IF(B82&gt;1.5,(H82/(B82+2)+J88+MAX(0,J89-J88)+MAX(0,J90-J89)+MAX(0,J91-J90)+MAX(0,J92-J91)+MAX(0,J93-J92)),IF(B82=1,(H82/(B82+3)+J93),IF(B82=0,H82/4+J93))))</f>
        <v>7</v>
      </c>
    </row>
    <row r="95" spans="1:10" ht="15.75" hidden="1" customHeight="1" x14ac:dyDescent="0.25">
      <c r="A95" s="105" t="s">
        <v>146</v>
      </c>
      <c r="B95" s="106"/>
      <c r="C95" s="107" t="str">
        <f>D59</f>
        <v>C Wing = G + 1st to 7th Floor</v>
      </c>
      <c r="D95" s="108"/>
      <c r="E95" s="108"/>
      <c r="F95" s="108"/>
      <c r="G95" s="108"/>
      <c r="H95" s="109"/>
      <c r="I95" s="48" t="str">
        <f ca="1">IF(D108=100%,"All work Completed. Possession granted to the Building.",IF(D107=100%,"All work Completed, Waiting for OC",I96&amp;""&amp;I97&amp;""&amp;J96&amp;""&amp;J95&amp;" "&amp;J97))</f>
        <v>Excavation, Plinth, RCC Slab, Brickwork, Internal Plaster, External Plaster, Flooring, Painting Completed, Finishing upto 6 Floor Completed</v>
      </c>
      <c r="J95" s="49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>, Finishing upto 6 Floor</v>
      </c>
    </row>
    <row r="96" spans="1:10" hidden="1" x14ac:dyDescent="0.25">
      <c r="A96" s="16" t="s">
        <v>148</v>
      </c>
      <c r="B96" s="53">
        <v>0</v>
      </c>
      <c r="C96" s="53" t="s">
        <v>74</v>
      </c>
      <c r="D96" s="53">
        <v>1</v>
      </c>
      <c r="E96" s="53" t="s">
        <v>73</v>
      </c>
      <c r="F96" s="53">
        <v>0</v>
      </c>
      <c r="G96" s="53" t="s">
        <v>83</v>
      </c>
      <c r="H96" s="17">
        <f ca="1">--TRIM(RIGHT(SUBSTITUTE(LEFT(C95,_xlfn.AGGREGATE(16,6,FIND({0,1,2,3,4,5,6,7,8,9},C95,ROW(INDIRECT("1:"&amp;LEN(C95)))),1))," ",REPT(" ",LEN(C95))),LEN(C95)))</f>
        <v>7</v>
      </c>
      <c r="I96" s="50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Plinth, RCC Slab, Brickwork, Internal Plaster, External Plaster, Flooring, Painting</v>
      </c>
      <c r="J96" s="51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0" ht="31.5" hidden="1" customHeight="1" x14ac:dyDescent="0.25">
      <c r="A97" s="127" t="s">
        <v>93</v>
      </c>
      <c r="B97" s="128"/>
      <c r="C97" s="131" t="str">
        <f ca="1">(IF($G$52="NA",I95,"All work Completed. OC Received."))</f>
        <v>Excavation, Plinth, RCC Slab, Brickwork, Internal Plaster, External Plaster, Flooring, Painting Completed, Finishing upto 6 Floor Completed</v>
      </c>
      <c r="D97" s="131"/>
      <c r="E97" s="131"/>
      <c r="F97" s="131"/>
      <c r="G97" s="131"/>
      <c r="H97" s="132"/>
      <c r="I97" s="50" t="str">
        <f ca="1">IF(I96&lt;&gt;""," Completed","")</f>
        <v xml:space="preserve"> Completed</v>
      </c>
      <c r="J97" s="51" t="str">
        <f ca="1">IF(J95&lt;&gt;"","Completed","")</f>
        <v>Completed</v>
      </c>
    </row>
    <row r="98" spans="1:10" ht="15.75" hidden="1" customHeight="1" x14ac:dyDescent="0.25">
      <c r="A98" s="69" t="s">
        <v>50</v>
      </c>
      <c r="B98" s="70"/>
      <c r="C98" s="44" t="s">
        <v>145</v>
      </c>
      <c r="D98" s="44" t="s">
        <v>86</v>
      </c>
      <c r="E98" s="70" t="s">
        <v>88</v>
      </c>
      <c r="F98" s="70"/>
      <c r="G98" s="70" t="s">
        <v>87</v>
      </c>
      <c r="H98" s="72"/>
      <c r="I98" s="14" t="s">
        <v>147</v>
      </c>
      <c r="J98" s="28">
        <f ca="1">H96*25%</f>
        <v>1.75</v>
      </c>
    </row>
    <row r="99" spans="1:10" hidden="1" x14ac:dyDescent="0.25">
      <c r="A99" s="69" t="s">
        <v>134</v>
      </c>
      <c r="B99" s="70"/>
      <c r="C99" s="44">
        <f ca="1">J100</f>
        <v>7</v>
      </c>
      <c r="D99" s="19">
        <f ca="1">((100/H96)*C99)/100</f>
        <v>1</v>
      </c>
      <c r="E99" s="114">
        <f ca="1">(((C100/H96*10)+(40/(D96+F96+H96)*C101)+(7.5/(H96)*C102)+(7.5/(H96)*C103)+(10/H96*C104)+(10/H96*C105)+(5/H96*C106)+(5/H96*C107)+(5/H96*C108))/100)</f>
        <v>0.94285714285714295</v>
      </c>
      <c r="F99" s="115"/>
      <c r="G99" s="114">
        <f ca="1">((((C99/H96)*20)+((C100/H96)*25)+(30/(H96+F96+D96)*C101)+(5/H96*C102)+(5/H96*C103)+(5/H96*C104)+(5/H96*C105)+(0/H96*C106)+(0/H96*C107)+(5/H96*C108))/100)</f>
        <v>0.95</v>
      </c>
      <c r="H99" s="122"/>
      <c r="I99" s="14" t="s">
        <v>102</v>
      </c>
      <c r="J99" s="29">
        <f ca="1">H96*50%</f>
        <v>3.5</v>
      </c>
    </row>
    <row r="100" spans="1:10" hidden="1" x14ac:dyDescent="0.25">
      <c r="A100" s="69" t="s">
        <v>51</v>
      </c>
      <c r="B100" s="70"/>
      <c r="C100" s="44">
        <f ca="1">J108</f>
        <v>7</v>
      </c>
      <c r="D100" s="19">
        <f ca="1">((100/H96)*C100)/100</f>
        <v>1</v>
      </c>
      <c r="E100" s="116"/>
      <c r="F100" s="117"/>
      <c r="G100" s="116"/>
      <c r="H100" s="123"/>
      <c r="I100" s="14" t="s">
        <v>103</v>
      </c>
      <c r="J100" s="29">
        <f ca="1">H96</f>
        <v>7</v>
      </c>
    </row>
    <row r="101" spans="1:10" ht="15.75" hidden="1" customHeight="1" x14ac:dyDescent="0.25">
      <c r="A101" s="69" t="s">
        <v>135</v>
      </c>
      <c r="B101" s="70"/>
      <c r="C101" s="44">
        <v>8</v>
      </c>
      <c r="D101" s="19">
        <f ca="1">((100/(D96+F96+H96))*C101)/100</f>
        <v>1</v>
      </c>
      <c r="E101" s="116"/>
      <c r="F101" s="117"/>
      <c r="G101" s="116"/>
      <c r="H101" s="123"/>
      <c r="I101" s="14" t="s">
        <v>104</v>
      </c>
      <c r="J101" s="30">
        <f ca="1">(IF(B96&gt;1,(H96/(B96+2)),H96/4))</f>
        <v>1.75</v>
      </c>
    </row>
    <row r="102" spans="1:10" ht="15.75" hidden="1" customHeight="1" x14ac:dyDescent="0.25">
      <c r="A102" s="69" t="s">
        <v>142</v>
      </c>
      <c r="B102" s="70" t="s">
        <v>136</v>
      </c>
      <c r="C102" s="44">
        <v>7</v>
      </c>
      <c r="D102" s="19">
        <f ca="1">((100/H96)*C102)/100</f>
        <v>1</v>
      </c>
      <c r="E102" s="116"/>
      <c r="F102" s="117"/>
      <c r="G102" s="116"/>
      <c r="H102" s="123"/>
      <c r="I102" s="14" t="s">
        <v>105</v>
      </c>
      <c r="J102" s="30">
        <f ca="1">(IF(B96&gt;1,(H96/(B96+2)+J101),H96/4+J101))</f>
        <v>3.5</v>
      </c>
    </row>
    <row r="103" spans="1:10" ht="15.75" hidden="1" customHeight="1" x14ac:dyDescent="0.25">
      <c r="A103" s="69" t="s">
        <v>143</v>
      </c>
      <c r="B103" s="70" t="s">
        <v>136</v>
      </c>
      <c r="C103" s="44">
        <v>7</v>
      </c>
      <c r="D103" s="19">
        <f ca="1">((100/H96)*C103)/100</f>
        <v>1</v>
      </c>
      <c r="E103" s="116"/>
      <c r="F103" s="117"/>
      <c r="G103" s="116"/>
      <c r="H103" s="123"/>
      <c r="I103" s="14" t="s">
        <v>154</v>
      </c>
      <c r="J103" s="30">
        <f>(IF(B96&gt;1,(H96/(B96+2)+J102),0))</f>
        <v>0</v>
      </c>
    </row>
    <row r="104" spans="1:10" ht="15" hidden="1" customHeight="1" x14ac:dyDescent="0.25">
      <c r="A104" s="69" t="s">
        <v>141</v>
      </c>
      <c r="B104" s="70" t="s">
        <v>138</v>
      </c>
      <c r="C104" s="54">
        <v>7</v>
      </c>
      <c r="D104" s="19">
        <f ca="1">((100/(H96))*C104)/100</f>
        <v>1</v>
      </c>
      <c r="E104" s="116"/>
      <c r="F104" s="117"/>
      <c r="G104" s="116"/>
      <c r="H104" s="123"/>
      <c r="I104" s="14" t="s">
        <v>149</v>
      </c>
      <c r="J104" s="30">
        <f>(IF(B96&gt;2,(H96/(B96+2)+J103),0))</f>
        <v>0</v>
      </c>
    </row>
    <row r="105" spans="1:10" ht="15.75" hidden="1" customHeight="1" x14ac:dyDescent="0.25">
      <c r="A105" s="69" t="s">
        <v>137</v>
      </c>
      <c r="B105" s="70" t="s">
        <v>137</v>
      </c>
      <c r="C105" s="54">
        <v>7</v>
      </c>
      <c r="D105" s="19">
        <f ca="1">((100/H96)*C105)/100</f>
        <v>1</v>
      </c>
      <c r="E105" s="116"/>
      <c r="F105" s="117"/>
      <c r="G105" s="116"/>
      <c r="H105" s="123"/>
      <c r="I105" s="14" t="s">
        <v>150</v>
      </c>
      <c r="J105" s="31">
        <f>(IF(B96&gt;3,(H96/(B96+2)+J104),0))</f>
        <v>0</v>
      </c>
    </row>
    <row r="106" spans="1:10" ht="15.75" hidden="1" customHeight="1" x14ac:dyDescent="0.25">
      <c r="A106" s="69" t="s">
        <v>144</v>
      </c>
      <c r="B106" s="70"/>
      <c r="C106" s="54">
        <v>7</v>
      </c>
      <c r="D106" s="19">
        <f ca="1">((100/H96)*C106)/100</f>
        <v>1</v>
      </c>
      <c r="E106" s="116"/>
      <c r="F106" s="117"/>
      <c r="G106" s="116"/>
      <c r="H106" s="123"/>
      <c r="I106" s="14" t="s">
        <v>151</v>
      </c>
      <c r="J106" s="30">
        <f>(IF(B96&gt;4,(H96/(B96+2)+J105),0))</f>
        <v>0</v>
      </c>
    </row>
    <row r="107" spans="1:10" ht="15.75" hidden="1" customHeight="1" x14ac:dyDescent="0.25">
      <c r="A107" s="69" t="s">
        <v>139</v>
      </c>
      <c r="B107" s="70" t="s">
        <v>139</v>
      </c>
      <c r="C107" s="54">
        <v>6</v>
      </c>
      <c r="D107" s="19">
        <f ca="1">((100/(H96))*C107)/100</f>
        <v>0.85714285714285721</v>
      </c>
      <c r="E107" s="116"/>
      <c r="F107" s="117"/>
      <c r="G107" s="116"/>
      <c r="H107" s="123"/>
      <c r="I107" s="14" t="s">
        <v>155</v>
      </c>
      <c r="J107" s="30">
        <f ca="1">(IF(B96=1,(H96/(B96+3)+J102),IF(B96=0,(H96/4+J102),IF(B96&gt;1,0))))</f>
        <v>5.25</v>
      </c>
    </row>
    <row r="108" spans="1:10" ht="16.5" hidden="1" thickBot="1" x14ac:dyDescent="0.3">
      <c r="A108" s="194" t="s">
        <v>140</v>
      </c>
      <c r="B108" s="195"/>
      <c r="C108" s="45">
        <v>0</v>
      </c>
      <c r="D108" s="20">
        <f ca="1">((100/(H96))*C108)/100</f>
        <v>0</v>
      </c>
      <c r="E108" s="118"/>
      <c r="F108" s="119"/>
      <c r="G108" s="118"/>
      <c r="H108" s="124"/>
      <c r="I108" s="15" t="s">
        <v>106</v>
      </c>
      <c r="J108" s="32">
        <f ca="1">(IF(B96&gt;1.5,(H96/(B96+2)+J102+MAX(0,J103-J102)+MAX(0,J104-J103)+MAX(0,J105-J104)+MAX(0,J106-J105)+MAX(0,J107-J106)),IF(B96=1,(H96/(B96+3)+J107),IF(B96=0,H96/4+J107))))</f>
        <v>7</v>
      </c>
    </row>
    <row r="109" spans="1:10" x14ac:dyDescent="0.25">
      <c r="A109" s="71" t="s">
        <v>167</v>
      </c>
      <c r="B109" s="71"/>
      <c r="C109" s="71"/>
      <c r="D109" s="71"/>
      <c r="E109" s="71"/>
      <c r="F109" s="120" t="s">
        <v>172</v>
      </c>
      <c r="G109" s="120"/>
      <c r="H109" s="120"/>
    </row>
    <row r="110" spans="1:10" x14ac:dyDescent="0.25">
      <c r="A110" s="67" t="s">
        <v>170</v>
      </c>
      <c r="B110" s="67"/>
      <c r="C110" s="67"/>
      <c r="D110" s="67"/>
      <c r="E110" s="67"/>
      <c r="F110" s="68">
        <v>3400</v>
      </c>
      <c r="G110" s="68"/>
      <c r="H110" s="68"/>
    </row>
    <row r="111" spans="1:10" x14ac:dyDescent="0.25">
      <c r="A111" s="67" t="s">
        <v>169</v>
      </c>
      <c r="B111" s="67"/>
      <c r="C111" s="67"/>
      <c r="D111" s="67"/>
      <c r="E111" s="67"/>
      <c r="F111" s="68">
        <v>6500</v>
      </c>
      <c r="G111" s="68"/>
      <c r="H111" s="68"/>
    </row>
    <row r="112" spans="1:10" hidden="1" x14ac:dyDescent="0.25">
      <c r="A112" s="67" t="s">
        <v>171</v>
      </c>
      <c r="B112" s="67"/>
      <c r="C112" s="67"/>
      <c r="D112" s="67"/>
      <c r="E112" s="67"/>
      <c r="F112" s="68"/>
      <c r="G112" s="68"/>
      <c r="H112" s="68"/>
    </row>
    <row r="113" spans="1:10" s="33" customFormat="1" hidden="1" x14ac:dyDescent="0.25">
      <c r="A113" s="67" t="s">
        <v>168</v>
      </c>
      <c r="B113" s="67"/>
      <c r="C113" s="67"/>
      <c r="D113" s="67"/>
      <c r="E113" s="67"/>
      <c r="F113" s="68"/>
      <c r="G113" s="68"/>
      <c r="H113" s="68"/>
    </row>
    <row r="114" spans="1:10" s="33" customFormat="1" x14ac:dyDescent="0.25">
      <c r="A114" s="67" t="s">
        <v>98</v>
      </c>
      <c r="B114" s="67"/>
      <c r="C114" s="67"/>
      <c r="D114" s="67"/>
      <c r="E114" s="67"/>
      <c r="F114" s="68">
        <v>200000</v>
      </c>
      <c r="G114" s="68"/>
      <c r="H114" s="68"/>
    </row>
    <row r="115" spans="1:10" s="33" customFormat="1" hidden="1" x14ac:dyDescent="0.25">
      <c r="A115" s="67" t="s">
        <v>99</v>
      </c>
      <c r="B115" s="67"/>
      <c r="C115" s="67"/>
      <c r="D115" s="67"/>
      <c r="E115" s="67"/>
      <c r="F115" s="68"/>
      <c r="G115" s="68"/>
      <c r="H115" s="68"/>
    </row>
    <row r="116" spans="1:10" s="33" customFormat="1" hidden="1" x14ac:dyDescent="0.25">
      <c r="A116" s="67" t="s">
        <v>100</v>
      </c>
      <c r="B116" s="67"/>
      <c r="C116" s="67"/>
      <c r="D116" s="67"/>
      <c r="E116" s="67"/>
      <c r="F116" s="68"/>
      <c r="G116" s="68"/>
      <c r="H116" s="68"/>
    </row>
    <row r="117" spans="1:10" s="33" customFormat="1" hidden="1" x14ac:dyDescent="0.25">
      <c r="A117" s="67" t="s">
        <v>101</v>
      </c>
      <c r="B117" s="67"/>
      <c r="C117" s="67"/>
      <c r="D117" s="67"/>
      <c r="E117" s="67"/>
      <c r="F117" s="68"/>
      <c r="G117" s="68"/>
      <c r="H117" s="68"/>
    </row>
    <row r="118" spans="1:10" s="33" customFormat="1" x14ac:dyDescent="0.25">
      <c r="A118" s="67" t="s">
        <v>204</v>
      </c>
      <c r="B118" s="67"/>
      <c r="C118" s="67"/>
      <c r="D118" s="67"/>
      <c r="E118" s="67"/>
      <c r="F118" s="68">
        <v>60000</v>
      </c>
      <c r="G118" s="68"/>
      <c r="H118" s="68"/>
    </row>
    <row r="119" spans="1:10" x14ac:dyDescent="0.25">
      <c r="A119" s="67" t="s">
        <v>52</v>
      </c>
      <c r="B119" s="67"/>
      <c r="C119" s="67"/>
      <c r="D119" s="67"/>
      <c r="E119" s="67"/>
      <c r="F119" s="68">
        <v>150000</v>
      </c>
      <c r="G119" s="68"/>
      <c r="H119" s="68"/>
      <c r="J119" s="37"/>
    </row>
    <row r="120" spans="1:10" s="34" customFormat="1" x14ac:dyDescent="0.25">
      <c r="A120" s="145" t="s">
        <v>53</v>
      </c>
      <c r="B120" s="145"/>
      <c r="C120" s="145"/>
      <c r="D120" s="145"/>
      <c r="E120" s="145"/>
      <c r="F120" s="68">
        <f>F110*0.8</f>
        <v>2720</v>
      </c>
      <c r="G120" s="68"/>
      <c r="H120" s="68"/>
    </row>
    <row r="121" spans="1:10" s="35" customFormat="1" ht="15.75" customHeight="1" x14ac:dyDescent="0.25">
      <c r="A121" s="121" t="s">
        <v>78</v>
      </c>
      <c r="B121" s="121"/>
      <c r="C121" s="121"/>
      <c r="D121" s="121"/>
      <c r="E121" s="121"/>
      <c r="F121" s="121"/>
      <c r="G121" s="121"/>
      <c r="H121" s="121"/>
    </row>
    <row r="122" spans="1:10" s="35" customFormat="1" ht="15.75" customHeight="1" x14ac:dyDescent="0.25">
      <c r="A122" s="181" t="s">
        <v>54</v>
      </c>
      <c r="B122" s="181"/>
      <c r="C122" s="125" t="s">
        <v>81</v>
      </c>
      <c r="D122" s="125"/>
      <c r="E122" s="126" t="s">
        <v>55</v>
      </c>
      <c r="F122" s="126"/>
      <c r="G122" s="181" t="s">
        <v>56</v>
      </c>
      <c r="H122" s="181"/>
    </row>
    <row r="123" spans="1:10" s="35" customFormat="1" x14ac:dyDescent="0.25">
      <c r="A123" s="168" t="s">
        <v>212</v>
      </c>
      <c r="B123" s="168"/>
      <c r="C123" s="104">
        <f>COUNT(D136:D145)</f>
        <v>10</v>
      </c>
      <c r="D123" s="170"/>
      <c r="E123" s="104">
        <f>SUM(D136:D145)</f>
        <v>860.36651999999992</v>
      </c>
      <c r="F123" s="170"/>
      <c r="G123" s="104">
        <f>SUM(F136:F145)</f>
        <v>1333.5681059999999</v>
      </c>
      <c r="H123" s="170"/>
    </row>
    <row r="124" spans="1:10" s="35" customFormat="1" x14ac:dyDescent="0.25">
      <c r="A124" s="121" t="s">
        <v>72</v>
      </c>
      <c r="B124" s="121"/>
      <c r="C124" s="121"/>
      <c r="D124" s="121"/>
      <c r="E124" s="121"/>
      <c r="F124" s="121"/>
      <c r="G124" s="121"/>
      <c r="H124" s="121"/>
    </row>
    <row r="125" spans="1:10" s="35" customFormat="1" ht="15.75" customHeight="1" x14ac:dyDescent="0.25">
      <c r="A125" s="181" t="s">
        <v>54</v>
      </c>
      <c r="B125" s="181"/>
      <c r="C125" s="125" t="s">
        <v>81</v>
      </c>
      <c r="D125" s="125"/>
      <c r="E125" s="126" t="s">
        <v>55</v>
      </c>
      <c r="F125" s="126"/>
      <c r="G125" s="181" t="s">
        <v>56</v>
      </c>
      <c r="H125" s="181"/>
    </row>
    <row r="126" spans="1:10" s="35" customFormat="1" x14ac:dyDescent="0.25">
      <c r="A126" s="168" t="s">
        <v>208</v>
      </c>
      <c r="B126" s="168"/>
      <c r="C126" s="170">
        <f>COUNT(D151:D153)*7</f>
        <v>21</v>
      </c>
      <c r="D126" s="170"/>
      <c r="E126" s="104">
        <f>SUM(D151:D153)*7</f>
        <v>10341.889740000001</v>
      </c>
      <c r="F126" s="104"/>
      <c r="G126" s="104">
        <f>SUM(F151:F153)*7</f>
        <v>15512.834610000002</v>
      </c>
      <c r="H126" s="104"/>
    </row>
    <row r="127" spans="1:10" s="35" customFormat="1" x14ac:dyDescent="0.25">
      <c r="A127" s="168" t="s">
        <v>210</v>
      </c>
      <c r="B127" s="168"/>
      <c r="C127" s="170">
        <f>COUNT(D156:D159)*7</f>
        <v>28</v>
      </c>
      <c r="D127" s="170"/>
      <c r="E127" s="104">
        <f>SUM(D156:D159)*7</f>
        <v>12332.583900000001</v>
      </c>
      <c r="F127" s="104"/>
      <c r="G127" s="104">
        <f>SUM(F156:F159)*7</f>
        <v>18498.875849999997</v>
      </c>
      <c r="H127" s="104"/>
    </row>
    <row r="128" spans="1:10" s="35" customFormat="1" x14ac:dyDescent="0.25">
      <c r="A128" s="168" t="s">
        <v>211</v>
      </c>
      <c r="B128" s="168"/>
      <c r="C128" s="170">
        <f>COUNT(D162:D163)*7</f>
        <v>14</v>
      </c>
      <c r="D128" s="170"/>
      <c r="E128" s="104">
        <f>SUM(D162:D163)*7</f>
        <v>6105.0717000000004</v>
      </c>
      <c r="F128" s="104"/>
      <c r="G128" s="104">
        <f>SUM(F162:F163)*7</f>
        <v>9157.6075500000006</v>
      </c>
      <c r="H128" s="104"/>
    </row>
    <row r="129" spans="1:14" s="35" customFormat="1" x14ac:dyDescent="0.25">
      <c r="A129" s="121" t="s">
        <v>160</v>
      </c>
      <c r="B129" s="121"/>
      <c r="C129" s="125">
        <f>SUM(C126:D128)</f>
        <v>63</v>
      </c>
      <c r="D129" s="125"/>
      <c r="E129" s="83">
        <f t="shared" ref="E129" si="0">SUM(E126:F128)</f>
        <v>28779.545340000004</v>
      </c>
      <c r="F129" s="83"/>
      <c r="G129" s="83">
        <f t="shared" ref="G129" si="1">SUM(G126:H128)</f>
        <v>43169.318010000003</v>
      </c>
      <c r="H129" s="83"/>
    </row>
    <row r="130" spans="1:14" s="34" customFormat="1" x14ac:dyDescent="0.25">
      <c r="A130" s="164" t="s">
        <v>57</v>
      </c>
      <c r="B130" s="164"/>
      <c r="C130" s="164"/>
      <c r="D130" s="164"/>
      <c r="E130" s="164"/>
      <c r="F130" s="164"/>
      <c r="G130" s="164"/>
      <c r="H130" s="164"/>
    </row>
    <row r="131" spans="1:14" x14ac:dyDescent="0.25">
      <c r="A131" s="164" t="s">
        <v>58</v>
      </c>
      <c r="B131" s="164"/>
      <c r="C131" s="164"/>
      <c r="D131" s="164"/>
      <c r="E131" s="164"/>
      <c r="F131" s="164"/>
      <c r="G131" s="164"/>
      <c r="H131" s="164"/>
    </row>
    <row r="132" spans="1:14" ht="47.25" customHeight="1" x14ac:dyDescent="0.25">
      <c r="A132" s="81" t="s">
        <v>124</v>
      </c>
      <c r="B132" s="81" t="s">
        <v>123</v>
      </c>
      <c r="C132" s="81" t="s">
        <v>59</v>
      </c>
      <c r="D132" s="81" t="s">
        <v>60</v>
      </c>
      <c r="E132" s="110" t="s">
        <v>166</v>
      </c>
      <c r="F132" s="43" t="s">
        <v>158</v>
      </c>
      <c r="G132" s="88" t="s">
        <v>62</v>
      </c>
      <c r="H132" s="112"/>
    </row>
    <row r="133" spans="1:14" s="37" customFormat="1" x14ac:dyDescent="0.25">
      <c r="A133" s="82"/>
      <c r="B133" s="82"/>
      <c r="C133" s="82"/>
      <c r="D133" s="82"/>
      <c r="E133" s="111"/>
      <c r="F133" s="13">
        <v>0.55000000000000004</v>
      </c>
      <c r="G133" s="89"/>
      <c r="H133" s="113"/>
    </row>
    <row r="134" spans="1:14" s="37" customFormat="1" x14ac:dyDescent="0.25">
      <c r="A134" s="90" t="s">
        <v>206</v>
      </c>
      <c r="B134" s="91"/>
      <c r="C134" s="91"/>
      <c r="D134" s="91"/>
      <c r="E134" s="91"/>
      <c r="F134" s="91"/>
      <c r="G134" s="91"/>
      <c r="H134" s="92"/>
      <c r="J134" s="36"/>
    </row>
    <row r="135" spans="1:14" s="37" customFormat="1" x14ac:dyDescent="0.25">
      <c r="A135" s="90" t="s">
        <v>207</v>
      </c>
      <c r="B135" s="91"/>
      <c r="C135" s="91"/>
      <c r="D135" s="91"/>
      <c r="E135" s="91"/>
      <c r="F135" s="91"/>
      <c r="G135" s="91"/>
      <c r="H135" s="92"/>
      <c r="J135" s="36"/>
    </row>
    <row r="136" spans="1:14" s="37" customFormat="1" ht="15.75" customHeight="1" x14ac:dyDescent="0.25">
      <c r="A136" s="65">
        <v>1</v>
      </c>
      <c r="B136" s="66"/>
      <c r="C136" s="42" t="s">
        <v>205</v>
      </c>
      <c r="D136" s="58">
        <f>(9.3)*(10.764)</f>
        <v>100.1052</v>
      </c>
      <c r="E136" s="42">
        <v>0</v>
      </c>
      <c r="F136" s="42">
        <f>(D136+E136)*(($F$133)+1)</f>
        <v>155.16306</v>
      </c>
      <c r="G136" s="93" t="str">
        <f>A135</f>
        <v>Ground Floor For Part Commercial &amp; Part Parking</v>
      </c>
      <c r="H136" s="94"/>
      <c r="I136" s="36">
        <f>2050000/F136</f>
        <v>13211.907524896711</v>
      </c>
      <c r="L136" s="64"/>
      <c r="M136" s="64"/>
      <c r="N136" s="36"/>
    </row>
    <row r="137" spans="1:14" s="37" customFormat="1" ht="15.75" customHeight="1" x14ac:dyDescent="0.25">
      <c r="A137" s="65">
        <f t="shared" ref="A137:A145" si="2">A136+1</f>
        <v>2</v>
      </c>
      <c r="B137" s="66"/>
      <c r="C137" s="42" t="s">
        <v>205</v>
      </c>
      <c r="D137" s="58">
        <f>(6.98)*(10.764)</f>
        <v>75.132720000000006</v>
      </c>
      <c r="E137" s="42">
        <v>0</v>
      </c>
      <c r="F137" s="42">
        <f t="shared" ref="F137:F139" si="3">(D137+E137)*(($F$133)+1)</f>
        <v>116.45571600000001</v>
      </c>
      <c r="G137" s="95"/>
      <c r="H137" s="96"/>
      <c r="I137" s="36">
        <f>1445250/F137</f>
        <v>12410.29680329302</v>
      </c>
      <c r="L137" s="64"/>
      <c r="M137" s="64"/>
      <c r="N137" s="36"/>
    </row>
    <row r="138" spans="1:14" s="37" customFormat="1" ht="15.75" customHeight="1" x14ac:dyDescent="0.25">
      <c r="A138" s="65">
        <f t="shared" si="2"/>
        <v>3</v>
      </c>
      <c r="B138" s="66"/>
      <c r="C138" s="42" t="s">
        <v>205</v>
      </c>
      <c r="D138" s="58">
        <f>(9.3)*(10.764)</f>
        <v>100.1052</v>
      </c>
      <c r="E138" s="42">
        <v>0</v>
      </c>
      <c r="F138" s="42">
        <f t="shared" si="3"/>
        <v>155.16306</v>
      </c>
      <c r="G138" s="95"/>
      <c r="H138" s="96"/>
      <c r="I138" s="36"/>
      <c r="L138" s="64"/>
      <c r="M138" s="64"/>
      <c r="N138" s="36"/>
    </row>
    <row r="139" spans="1:14" s="37" customFormat="1" ht="15.75" customHeight="1" x14ac:dyDescent="0.25">
      <c r="A139" s="65">
        <f t="shared" si="2"/>
        <v>4</v>
      </c>
      <c r="B139" s="66"/>
      <c r="C139" s="42" t="s">
        <v>205</v>
      </c>
      <c r="D139" s="58">
        <f>(9.3)*(10.764)</f>
        <v>100.1052</v>
      </c>
      <c r="E139" s="42">
        <v>0</v>
      </c>
      <c r="F139" s="42">
        <f t="shared" si="3"/>
        <v>155.16306</v>
      </c>
      <c r="G139" s="95"/>
      <c r="H139" s="96"/>
      <c r="I139" s="36"/>
      <c r="L139" s="64"/>
      <c r="M139" s="64"/>
      <c r="N139" s="36"/>
    </row>
    <row r="140" spans="1:14" s="37" customFormat="1" ht="15.75" customHeight="1" x14ac:dyDescent="0.25">
      <c r="A140" s="65">
        <f t="shared" si="2"/>
        <v>5</v>
      </c>
      <c r="B140" s="66"/>
      <c r="C140" s="42" t="s">
        <v>205</v>
      </c>
      <c r="D140" s="58">
        <f>(6.98)*(10.764)</f>
        <v>75.132720000000006</v>
      </c>
      <c r="E140" s="42">
        <v>0</v>
      </c>
      <c r="F140" s="42">
        <f t="shared" ref="F140:F142" si="4">(D140+E140)*(($F$133)+1)</f>
        <v>116.45571600000001</v>
      </c>
      <c r="G140" s="95"/>
      <c r="H140" s="96"/>
      <c r="I140" s="36"/>
      <c r="L140" s="64"/>
      <c r="M140" s="64"/>
      <c r="N140" s="36"/>
    </row>
    <row r="141" spans="1:14" s="37" customFormat="1" ht="15.75" customHeight="1" x14ac:dyDescent="0.25">
      <c r="A141" s="65">
        <f t="shared" si="2"/>
        <v>6</v>
      </c>
      <c r="B141" s="66"/>
      <c r="C141" s="42" t="s">
        <v>205</v>
      </c>
      <c r="D141" s="58">
        <f>(9.3)*(10.764)</f>
        <v>100.1052</v>
      </c>
      <c r="E141" s="42">
        <v>0</v>
      </c>
      <c r="F141" s="42">
        <f t="shared" si="4"/>
        <v>155.16306</v>
      </c>
      <c r="G141" s="95"/>
      <c r="H141" s="96"/>
      <c r="I141" s="36"/>
      <c r="L141" s="64"/>
      <c r="M141" s="64"/>
      <c r="N141" s="36"/>
    </row>
    <row r="142" spans="1:14" s="37" customFormat="1" ht="15.75" customHeight="1" x14ac:dyDescent="0.25">
      <c r="A142" s="65">
        <f t="shared" si="2"/>
        <v>7</v>
      </c>
      <c r="B142" s="66"/>
      <c r="C142" s="42" t="s">
        <v>205</v>
      </c>
      <c r="D142" s="58">
        <f>(6.55)*(10.764)</f>
        <v>70.504199999999997</v>
      </c>
      <c r="E142" s="42">
        <v>0</v>
      </c>
      <c r="F142" s="42">
        <f t="shared" si="4"/>
        <v>109.28151</v>
      </c>
      <c r="G142" s="95"/>
      <c r="H142" s="96"/>
      <c r="I142" s="36"/>
      <c r="L142" s="64"/>
      <c r="M142" s="64"/>
      <c r="N142" s="36"/>
    </row>
    <row r="143" spans="1:14" s="37" customFormat="1" ht="15.75" customHeight="1" x14ac:dyDescent="0.25">
      <c r="A143" s="65">
        <f t="shared" si="2"/>
        <v>8</v>
      </c>
      <c r="B143" s="66"/>
      <c r="C143" s="42" t="s">
        <v>205</v>
      </c>
      <c r="D143" s="58">
        <f>(6.46)*(10.764)</f>
        <v>69.535439999999994</v>
      </c>
      <c r="E143" s="42">
        <v>0</v>
      </c>
      <c r="F143" s="42">
        <f t="shared" ref="F143:F145" si="5">(D143+E143)*(($F$133)+1)</f>
        <v>107.77993199999999</v>
      </c>
      <c r="G143" s="95"/>
      <c r="H143" s="96"/>
      <c r="I143" s="36"/>
      <c r="L143" s="64"/>
      <c r="M143" s="64"/>
      <c r="N143" s="36"/>
    </row>
    <row r="144" spans="1:14" s="37" customFormat="1" ht="15.75" customHeight="1" x14ac:dyDescent="0.25">
      <c r="A144" s="65">
        <f t="shared" si="2"/>
        <v>9</v>
      </c>
      <c r="B144" s="66"/>
      <c r="C144" s="42" t="s">
        <v>205</v>
      </c>
      <c r="D144" s="58">
        <f>(6.46)*(10.764)</f>
        <v>69.535439999999994</v>
      </c>
      <c r="E144" s="42">
        <v>0</v>
      </c>
      <c r="F144" s="42">
        <f t="shared" si="5"/>
        <v>107.77993199999999</v>
      </c>
      <c r="G144" s="95"/>
      <c r="H144" s="96"/>
      <c r="I144" s="36"/>
      <c r="L144" s="64"/>
      <c r="M144" s="64"/>
      <c r="N144" s="36"/>
    </row>
    <row r="145" spans="1:14" s="37" customFormat="1" ht="15.75" customHeight="1" x14ac:dyDescent="0.25">
      <c r="A145" s="65">
        <f t="shared" si="2"/>
        <v>10</v>
      </c>
      <c r="B145" s="66"/>
      <c r="C145" s="42" t="s">
        <v>205</v>
      </c>
      <c r="D145" s="58">
        <f>(9.3)*(10.764)</f>
        <v>100.1052</v>
      </c>
      <c r="E145" s="42">
        <v>0</v>
      </c>
      <c r="F145" s="42">
        <f t="shared" si="5"/>
        <v>155.16306</v>
      </c>
      <c r="G145" s="97"/>
      <c r="H145" s="98"/>
      <c r="I145" s="36"/>
      <c r="L145" s="64"/>
      <c r="M145" s="64"/>
      <c r="N145" s="36"/>
    </row>
    <row r="146" spans="1:14" s="37" customFormat="1" x14ac:dyDescent="0.25">
      <c r="A146" s="65"/>
      <c r="B146" s="102"/>
      <c r="C146" s="102"/>
      <c r="D146" s="102"/>
      <c r="E146" s="102"/>
      <c r="F146" s="102"/>
      <c r="G146" s="102"/>
      <c r="H146" s="66"/>
      <c r="I146" s="36"/>
      <c r="N146" s="36"/>
    </row>
    <row r="147" spans="1:14" ht="47.25" customHeight="1" x14ac:dyDescent="0.25">
      <c r="A147" s="88" t="s">
        <v>125</v>
      </c>
      <c r="B147" s="88" t="s">
        <v>126</v>
      </c>
      <c r="C147" s="81" t="s">
        <v>59</v>
      </c>
      <c r="D147" s="81" t="s">
        <v>60</v>
      </c>
      <c r="E147" s="110" t="s">
        <v>61</v>
      </c>
      <c r="F147" s="43" t="s">
        <v>158</v>
      </c>
      <c r="G147" s="88" t="s">
        <v>62</v>
      </c>
      <c r="H147" s="112"/>
      <c r="I147" s="36"/>
    </row>
    <row r="148" spans="1:14" s="37" customFormat="1" x14ac:dyDescent="0.25">
      <c r="A148" s="89"/>
      <c r="B148" s="89"/>
      <c r="C148" s="82"/>
      <c r="D148" s="82"/>
      <c r="E148" s="111"/>
      <c r="F148" s="13">
        <v>0.5</v>
      </c>
      <c r="G148" s="89"/>
      <c r="H148" s="113"/>
      <c r="I148" s="36"/>
    </row>
    <row r="149" spans="1:14" s="37" customFormat="1" x14ac:dyDescent="0.25">
      <c r="A149" s="90" t="s">
        <v>208</v>
      </c>
      <c r="B149" s="91"/>
      <c r="C149" s="91"/>
      <c r="D149" s="91"/>
      <c r="E149" s="91"/>
      <c r="F149" s="91"/>
      <c r="G149" s="91"/>
      <c r="H149" s="92"/>
      <c r="J149" s="36"/>
    </row>
    <row r="150" spans="1:14" s="37" customFormat="1" x14ac:dyDescent="0.25">
      <c r="A150" s="90" t="s">
        <v>209</v>
      </c>
      <c r="B150" s="91"/>
      <c r="C150" s="91"/>
      <c r="D150" s="91"/>
      <c r="E150" s="91"/>
      <c r="F150" s="91"/>
      <c r="G150" s="91"/>
      <c r="H150" s="92"/>
      <c r="I150" s="36"/>
    </row>
    <row r="151" spans="1:14" s="37" customFormat="1" ht="15.75" customHeight="1" x14ac:dyDescent="0.25">
      <c r="A151" s="65" t="str">
        <f ca="1">(SUMPRODUCT(MID(0&amp;(LEFT(A150,SUM(LEN(A150)-LEN(SUBSTITUTE(A150,{"0","1","2"},""))))), LARGE(INDEX(ISNUMBER(--MID((LEFT(A150,SUM(LEN(A150)-LEN(SUBSTITUTE(A150,{"0","1","2"},""))))), ROW(INDIRECT("1:"&amp;LEN((LEFT(A150,SUM(LEN(A150)-LEN(SUBSTITUTE(A150,{"0","1","2"},"")))))))), 1)) * ROW(INDIRECT("1:"&amp;LEN((LEFT(A150,SUM(LEN(A150)-LEN(SUBSTITUTE(A150,{"0","1","2"},"")))))))), 0), ROW(INDIRECT("1:"&amp;LEN((LEFT(A150,SUM(LEN(A150)-LEN(SUBSTITUTE(A150,{"0","1","2"},"")))))))))+1, 1) * 10^ROW(INDIRECT("1:"&amp;LEN((LEFT(A150,SUM(LEN(A150)-LEN(SUBSTITUTE(A150,{"0","1","2"},""))))))))/10))*100+1&amp;""&amp;" to "&amp;""&amp;(SUMPRODUCT(MID(0&amp;(--TRIM(RIGHT(SUBSTITUTE(LEFT(A150,_xlfn.AGGREGATE(16,6,FIND({0,1,2,3,4,5,6,7,8,9},A150,ROW(INDIRECT("1:"&amp;LEN(A150)))),1))," ",REPT(" ",LEN(A150))),LEN(A150)))), LARGE(INDEX(ISNUMBER(--MID((--TRIM(RIGHT(SUBSTITUTE(LEFT(A150,_xlfn.AGGREGATE(16,6,FIND({0,1,2,3,4,5,6,7,8,9},A150,ROW(INDIRECT("1:"&amp;LEN(A150)))),1))," ",REPT(" ",LEN(A150))),LEN(A150)))), ROW(INDIRECT("1:"&amp;LEN((--TRIM(RIGHT(SUBSTITUTE(LEFT(A150,_xlfn.AGGREGATE(16,6,FIND({0,1,2,3,4,5,6,7,8,9},A150,ROW(INDIRECT("1:"&amp;LEN(A150)))),1))," ",REPT(" ",LEN(A150))),LEN(A150))))))), 1)) * ROW(INDIRECT("1:"&amp;LEN((--TRIM(RIGHT(SUBSTITUTE(LEFT(A150,_xlfn.AGGREGATE(16,6,FIND({0,1,2,3,4,5,6,7,8,9},A150,ROW(INDIRECT("1:"&amp;LEN(A150)))),1))," ",REPT(" ",LEN(A150))),LEN(A150))))))), 0), ROW(INDIRECT("1:"&amp;LEN((--TRIM(RIGHT(SUBSTITUTE(LEFT(A150,_xlfn.AGGREGATE(16,6,FIND({0,1,2,3,4,5,6,7,8,9},A150,ROW(INDIRECT("1:"&amp;LEN(A150)))),1))," ",REPT(" ",LEN(A150))),LEN(A150))))))))+1, 1) * 10^ROW(INDIRECT("1:"&amp;LEN((--TRIM(RIGHT(SUBSTITUTE(LEFT(A150,_xlfn.AGGREGATE(16,6,FIND({0,1,2,3,4,5,6,7,8,9},A150,ROW(INDIRECT("1:"&amp;LEN(A150)))),1))," ",REPT(" ",LEN(A150))),LEN(A150)))))))/10))*100+1</f>
        <v>101 to 701</v>
      </c>
      <c r="B151" s="66"/>
      <c r="C151" s="52">
        <v>2</v>
      </c>
      <c r="D151" s="58">
        <f>(47.65+0.75*(5.57+3.2+3.05))*(10.764)</f>
        <v>608.32745999999997</v>
      </c>
      <c r="E151" s="42">
        <v>0</v>
      </c>
      <c r="F151" s="42">
        <f>D151*(($F$148)+1)+(IF(E151&lt;101,E151,IF(E151&lt;201,E151/2,IF(E151&lt;=301,E151/3,E151/4))))</f>
        <v>912.49118999999996</v>
      </c>
      <c r="G151" s="93" t="str">
        <f>A150</f>
        <v>1st to 7th Floor For Residential</v>
      </c>
      <c r="H151" s="94"/>
      <c r="I151" s="36"/>
      <c r="J151" s="36">
        <f>3033200/F151</f>
        <v>3324.0868878964193</v>
      </c>
    </row>
    <row r="152" spans="1:14" s="37" customFormat="1" ht="15.75" customHeight="1" x14ac:dyDescent="0.25">
      <c r="A152" s="65" t="str">
        <f ca="1">(SUMPRODUCT(MID(0&amp;(LEFT(A151,SUM(LEN(A151)-LEN(SUBSTITUTE(A151,{"0","1","2"},""))))), LARGE(INDEX(ISNUMBER(--MID((LEFT(A151,SUM(LEN(A151)-LEN(SUBSTITUTE(A151,{"0","1","2"},""))))), ROW(INDIRECT("1:"&amp;LEN((LEFT(A151,SUM(LEN(A151)-LEN(SUBSTITUTE(A151,{"0","1","2"},"")))))))), 1)) * ROW(INDIRECT("1:"&amp;LEN((LEFT(A151,SUM(LEN(A151)-LEN(SUBSTITUTE(A151,{"0","1","2"},"")))))))), 0), ROW(INDIRECT("1:"&amp;LEN((LEFT(A151,SUM(LEN(A151)-LEN(SUBSTITUTE(A151,{"0","1","2"},"")))))))))+1, 1) * 10^ROW(INDIRECT("1:"&amp;LEN((LEFT(A151,SUM(LEN(A151)-LEN(SUBSTITUTE(A151,{"0","1","2"},""))))))))/10))*1+1&amp;""&amp;" to "&amp;""&amp;(SUMPRODUCT(MID(0&amp;(--TRIM(RIGHT(SUBSTITUTE(LEFT(A151,_xlfn.AGGREGATE(16,6,FIND({0,1,2,3,4,5,6,7,8,9},A151,ROW(INDIRECT("1:"&amp;LEN(A151)))),1))," ",REPT(" ",LEN(A151))),LEN(A151)))), LARGE(INDEX(ISNUMBER(--MID((--TRIM(RIGHT(SUBSTITUTE(LEFT(A151,_xlfn.AGGREGATE(16,6,FIND({0,1,2,3,4,5,6,7,8,9},A151,ROW(INDIRECT("1:"&amp;LEN(A151)))),1))," ",REPT(" ",LEN(A151))),LEN(A151)))), ROW(INDIRECT("1:"&amp;LEN((--TRIM(RIGHT(SUBSTITUTE(LEFT(A151,_xlfn.AGGREGATE(16,6,FIND({0,1,2,3,4,5,6,7,8,9},A151,ROW(INDIRECT("1:"&amp;LEN(A151)))),1))," ",REPT(" ",LEN(A151))),LEN(A151))))))), 1)) * ROW(INDIRECT("1:"&amp;LEN((--TRIM(RIGHT(SUBSTITUTE(LEFT(A151,_xlfn.AGGREGATE(16,6,FIND({0,1,2,3,4,5,6,7,8,9},A151,ROW(INDIRECT("1:"&amp;LEN(A151)))),1))," ",REPT(" ",LEN(A151))),LEN(A151))))))), 0), ROW(INDIRECT("1:"&amp;LEN((--TRIM(RIGHT(SUBSTITUTE(LEFT(A151,_xlfn.AGGREGATE(16,6,FIND({0,1,2,3,4,5,6,7,8,9},A151,ROW(INDIRECT("1:"&amp;LEN(A151)))),1))," ",REPT(" ",LEN(A151))),LEN(A151))))))))+1, 1) * 10^ROW(INDIRECT("1:"&amp;LEN((--TRIM(RIGHT(SUBSTITUTE(LEFT(A151,_xlfn.AGGREGATE(16,6,FIND({0,1,2,3,4,5,6,7,8,9},A151,ROW(INDIRECT("1:"&amp;LEN(A151)))),1))," ",REPT(" ",LEN(A151))),LEN(A151)))))))/10))*1+1</f>
        <v>102 to 702</v>
      </c>
      <c r="B152" s="66"/>
      <c r="C152" s="52">
        <v>1</v>
      </c>
      <c r="D152" s="58">
        <f>(33.77+0.75*(2.6+5.9))*(10.764)</f>
        <v>432.12078000000002</v>
      </c>
      <c r="E152" s="42">
        <v>0</v>
      </c>
      <c r="F152" s="42">
        <f>D152*(($F$148)+1)+(IF(E152&lt;101,E152,IF(E152&lt;201,E152/2,IF(E152&lt;=301,E152/3,E152/4))))</f>
        <v>648.18117000000007</v>
      </c>
      <c r="G152" s="95"/>
      <c r="H152" s="96"/>
      <c r="I152" s="36"/>
      <c r="J152" s="36">
        <f>2201200/F152</f>
        <v>3395.9641252768879</v>
      </c>
    </row>
    <row r="153" spans="1:14" s="37" customFormat="1" ht="15.75" customHeight="1" x14ac:dyDescent="0.25">
      <c r="A153" s="65" t="str">
        <f ca="1">(SUMPRODUCT(MID(0&amp;(LEFT(A152,SUM(LEN(A152)-LEN(SUBSTITUTE(A152,{"0","1","2"},""))))), LARGE(INDEX(ISNUMBER(--MID((LEFT(A152,SUM(LEN(A152)-LEN(SUBSTITUTE(A152,{"0","1","2"},""))))), ROW(INDIRECT("1:"&amp;LEN((LEFT(A152,SUM(LEN(A152)-LEN(SUBSTITUTE(A152,{"0","1","2"},"")))))))), 1)) * ROW(INDIRECT("1:"&amp;LEN((LEFT(A152,SUM(LEN(A152)-LEN(SUBSTITUTE(A152,{"0","1","2"},"")))))))), 0), ROW(INDIRECT("1:"&amp;LEN((LEFT(A152,SUM(LEN(A152)-LEN(SUBSTITUTE(A152,{"0","1","2"},"")))))))))+1, 1) * 10^ROW(INDIRECT("1:"&amp;LEN((LEFT(A152,SUM(LEN(A152)-LEN(SUBSTITUTE(A152,{"0","1","2"},""))))))))/10))*1+1&amp;""&amp;" to "&amp;""&amp;(SUMPRODUCT(MID(0&amp;(--TRIM(RIGHT(SUBSTITUTE(LEFT(A152,_xlfn.AGGREGATE(16,6,FIND({0,1,2,3,4,5,6,7,8,9},A152,ROW(INDIRECT("1:"&amp;LEN(A152)))),1))," ",REPT(" ",LEN(A152))),LEN(A152)))), LARGE(INDEX(ISNUMBER(--MID((--TRIM(RIGHT(SUBSTITUTE(LEFT(A152,_xlfn.AGGREGATE(16,6,FIND({0,1,2,3,4,5,6,7,8,9},A152,ROW(INDIRECT("1:"&amp;LEN(A152)))),1))," ",REPT(" ",LEN(A152))),LEN(A152)))), ROW(INDIRECT("1:"&amp;LEN((--TRIM(RIGHT(SUBSTITUTE(LEFT(A152,_xlfn.AGGREGATE(16,6,FIND({0,1,2,3,4,5,6,7,8,9},A152,ROW(INDIRECT("1:"&amp;LEN(A152)))),1))," ",REPT(" ",LEN(A152))),LEN(A152))))))), 1)) * ROW(INDIRECT("1:"&amp;LEN((--TRIM(RIGHT(SUBSTITUTE(LEFT(A152,_xlfn.AGGREGATE(16,6,FIND({0,1,2,3,4,5,6,7,8,9},A152,ROW(INDIRECT("1:"&amp;LEN(A152)))),1))," ",REPT(" ",LEN(A152))),LEN(A152))))))), 0), ROW(INDIRECT("1:"&amp;LEN((--TRIM(RIGHT(SUBSTITUTE(LEFT(A152,_xlfn.AGGREGATE(16,6,FIND({0,1,2,3,4,5,6,7,8,9},A152,ROW(INDIRECT("1:"&amp;LEN(A152)))),1))," ",REPT(" ",LEN(A152))),LEN(A152))))))))+1, 1) * 10^ROW(INDIRECT("1:"&amp;LEN((--TRIM(RIGHT(SUBSTITUTE(LEFT(A152,_xlfn.AGGREGATE(16,6,FIND({0,1,2,3,4,5,6,7,8,9},A152,ROW(INDIRECT("1:"&amp;LEN(A152)))),1))," ",REPT(" ",LEN(A152))),LEN(A152)))))))/10))*1+1</f>
        <v>103 to 703</v>
      </c>
      <c r="B153" s="66"/>
      <c r="C153" s="52">
        <v>1</v>
      </c>
      <c r="D153" s="58">
        <f>(33.77+0.75*(3.2+5.9))*(10.764)</f>
        <v>436.96458000000001</v>
      </c>
      <c r="E153" s="42">
        <v>0</v>
      </c>
      <c r="F153" s="42">
        <f>D153*(($F$148)+1)+(IF(E153&lt;101,E153,IF(E153&lt;201,E153/2,IF(E153&lt;=301,E153/3,E153/4))))</f>
        <v>655.44686999999999</v>
      </c>
      <c r="G153" s="95"/>
      <c r="H153" s="96"/>
      <c r="I153" s="36"/>
      <c r="J153" s="36">
        <f>2281200/F153</f>
        <v>3480.373626622094</v>
      </c>
    </row>
    <row r="154" spans="1:14" s="37" customFormat="1" x14ac:dyDescent="0.25">
      <c r="A154" s="90" t="s">
        <v>210</v>
      </c>
      <c r="B154" s="91"/>
      <c r="C154" s="91"/>
      <c r="D154" s="91"/>
      <c r="E154" s="91"/>
      <c r="F154" s="91"/>
      <c r="G154" s="91"/>
      <c r="H154" s="92"/>
      <c r="J154" s="36"/>
    </row>
    <row r="155" spans="1:14" s="37" customFormat="1" x14ac:dyDescent="0.25">
      <c r="A155" s="90" t="s">
        <v>209</v>
      </c>
      <c r="B155" s="91"/>
      <c r="C155" s="91"/>
      <c r="D155" s="91"/>
      <c r="E155" s="91"/>
      <c r="F155" s="91"/>
      <c r="G155" s="91"/>
      <c r="H155" s="92"/>
      <c r="I155" s="36"/>
    </row>
    <row r="156" spans="1:14" s="37" customFormat="1" ht="15.75" customHeight="1" x14ac:dyDescent="0.25">
      <c r="A156" s="65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10^ROW(INDIRECT("1:"&amp;LEN((LEFT(A155,SUM(LEN(A155)-LEN(SUBSTITUTE(A155,{"0","1","2"},""))))))))/10))*100+1&amp;""&amp;" to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",LEN(A155))),LEN(A155)))))))/10))*100+1</f>
        <v>101 to 701</v>
      </c>
      <c r="B156" s="66"/>
      <c r="C156" s="52">
        <v>1</v>
      </c>
      <c r="D156" s="58">
        <f>(33.77+0.75*(3.2+5.79))*(10.764)</f>
        <v>436.07655</v>
      </c>
      <c r="E156" s="42">
        <v>0</v>
      </c>
      <c r="F156" s="42">
        <f>D156*(($F$148)+1)+(IF(E156&lt;101,E156,IF(E156&lt;201,E156/2,IF(E156&lt;=301,E156/3,E156/4))))</f>
        <v>654.114825</v>
      </c>
      <c r="G156" s="93" t="str">
        <f>A155</f>
        <v>1st to 7th Floor For Residential</v>
      </c>
      <c r="H156" s="94"/>
      <c r="I156" s="36"/>
    </row>
    <row r="157" spans="1:14" s="37" customFormat="1" ht="15.75" customHeight="1" x14ac:dyDescent="0.25">
      <c r="A157" s="65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to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102 to 702</v>
      </c>
      <c r="B157" s="66"/>
      <c r="C157" s="52">
        <v>1</v>
      </c>
      <c r="D157" s="58">
        <f>(33.77+0.75*(3.2+5.79))*(10.764)</f>
        <v>436.07655</v>
      </c>
      <c r="E157" s="42">
        <v>0</v>
      </c>
      <c r="F157" s="42">
        <f>D157*(($F$148)+1)+(IF(E157&lt;101,E157,IF(E157&lt;201,E157/2,IF(E157&lt;=301,E157/3,E157/4))))</f>
        <v>654.114825</v>
      </c>
      <c r="G157" s="95"/>
      <c r="H157" s="96"/>
      <c r="I157" s="36"/>
    </row>
    <row r="158" spans="1:14" s="37" customFormat="1" ht="15.75" customHeight="1" x14ac:dyDescent="0.25">
      <c r="A158" s="65" t="str">
        <f ca="1">(SUMPRODUCT(MID(0&amp;(LEFT(A157,SUM(LEN(A157)-LEN(SUBSTITUTE(A157,{"0","1","2"},""))))), LARGE(INDEX(ISNUMBER(--MID((LEFT(A157,SUM(LEN(A157)-LEN(SUBSTITUTE(A157,{"0","1","2"},""))))), ROW(INDIRECT("1:"&amp;LEN((LEFT(A157,SUM(LEN(A157)-LEN(SUBSTITUTE(A157,{"0","1","2"},"")))))))), 1)) * ROW(INDIRECT("1:"&amp;LEN((LEFT(A157,SUM(LEN(A157)-LEN(SUBSTITUTE(A157,{"0","1","2"},"")))))))), 0), ROW(INDIRECT("1:"&amp;LEN((LEFT(A157,SUM(LEN(A157)-LEN(SUBSTITUTE(A157,{"0","1","2"},"")))))))))+1, 1) * 10^ROW(INDIRECT("1:"&amp;LEN((LEFT(A157,SUM(LEN(A157)-LEN(SUBSTITUTE(A157,{"0","1","2"},""))))))))/10))*1+1&amp;""&amp;" to "&amp;""&amp;(SUMPRODUCT(MID(0&amp;(--TRIM(RIGHT(SUBSTITUTE(LEFT(A157,_xlfn.AGGREGATE(16,6,FIND({0,1,2,3,4,5,6,7,8,9},A157,ROW(INDIRECT("1:"&amp;LEN(A157)))),1)),"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",LEN(A157))),LEN(A157)))))))/10))*1+1</f>
        <v>103 to 703</v>
      </c>
      <c r="B158" s="66"/>
      <c r="C158" s="52">
        <v>1</v>
      </c>
      <c r="D158" s="58">
        <f>(35.23+0.75*(3.2+5.9))*(10.764)</f>
        <v>452.68001999999996</v>
      </c>
      <c r="E158" s="42">
        <v>0</v>
      </c>
      <c r="F158" s="42">
        <f>D158*(($F$148)+1)+(IF(E158&lt;101,E158,IF(E158&lt;201,E158/2,IF(E158&lt;=301,E158/3,E158/4))))</f>
        <v>679.02002999999991</v>
      </c>
      <c r="G158" s="95"/>
      <c r="H158" s="96"/>
      <c r="I158" s="36"/>
    </row>
    <row r="159" spans="1:14" s="37" customFormat="1" ht="15.75" customHeight="1" x14ac:dyDescent="0.25">
      <c r="A159" s="65" t="str">
        <f ca="1">(SUMPRODUCT(MID(0&amp;(LEFT(A158,SUM(LEN(A158)-LEN(SUBSTITUTE(A158,{"0","1","2"},""))))), LARGE(INDEX(ISNUMBER(--MID((LEFT(A158,SUM(LEN(A158)-LEN(SUBSTITUTE(A158,{"0","1","2"},""))))), ROW(INDIRECT("1:"&amp;LEN((LEFT(A158,SUM(LEN(A158)-LEN(SUBSTITUTE(A158,{"0","1","2"},"")))))))), 1)) * ROW(INDIRECT("1:"&amp;LEN((LEFT(A158,SUM(LEN(A158)-LEN(SUBSTITUTE(A158,{"0","1","2"},"")))))))), 0), ROW(INDIRECT("1:"&amp;LEN((LEFT(A158,SUM(LEN(A158)-LEN(SUBSTITUTE(A158,{"0","1","2"},"")))))))))+1, 1) * 10^ROW(INDIRECT("1:"&amp;LEN((LEFT(A158,SUM(LEN(A158)-LEN(SUBSTITUTE(A158,{"0","1","2"},""))))))))/10))*1+1&amp;""&amp;" to "&amp;""&amp;(SUMPRODUCT(MID(0&amp;(--TRIM(RIGHT(SUBSTITUTE(LEFT(A158,_xlfn.AGGREGATE(16,6,FIND({0,1,2,3,4,5,6,7,8,9},A158,ROW(INDIRECT("1:"&amp;LEN(A158)))),1))," ",REPT(" ",LEN(A158))),LEN(A158)))), LARGE(INDEX(ISNUMBER(--MID((--TRIM(RIGHT(SUBSTITUTE(LEFT(A158,_xlfn.AGGREGATE(16,6,FIND({0,1,2,3,4,5,6,7,8,9},A158,ROW(INDIRECT("1:"&amp;LEN(A158)))),1))," ",REPT(" ",LEN(A158))),LEN(A158)))), ROW(INDIRECT("1:"&amp;LEN((--TRIM(RIGHT(SUBSTITUTE(LEFT(A158,_xlfn.AGGREGATE(16,6,FIND({0,1,2,3,4,5,6,7,8,9},A158,ROW(INDIRECT("1:"&amp;LEN(A158)))),1))," ",REPT(" ",LEN(A158))),LEN(A158))))))), 1)) * ROW(INDIRECT("1:"&amp;LEN((--TRIM(RIGHT(SUBSTITUTE(LEFT(A158,_xlfn.AGGREGATE(16,6,FIND({0,1,2,3,4,5,6,7,8,9},A158,ROW(INDIRECT("1:"&amp;LEN(A158)))),1))," ",REPT(" ",LEN(A158))),LEN(A158))))))), 0), ROW(INDIRECT("1:"&amp;LEN((--TRIM(RIGHT(SUBSTITUTE(LEFT(A158,_xlfn.AGGREGATE(16,6,FIND({0,1,2,3,4,5,6,7,8,9},A158,ROW(INDIRECT("1:"&amp;LEN(A158)))),1))," ",REPT(" ",LEN(A158))),LEN(A158))))))))+1, 1) * 10^ROW(INDIRECT("1:"&amp;LEN((--TRIM(RIGHT(SUBSTITUTE(LEFT(A158,_xlfn.AGGREGATE(16,6,FIND({0,1,2,3,4,5,6,7,8,9},A158,ROW(INDIRECT("1:"&amp;LEN(A158)))),1))," ",REPT(" ",LEN(A158))),LEN(A158)))))))/10))*1+1</f>
        <v>104 to 704</v>
      </c>
      <c r="B159" s="66"/>
      <c r="C159" s="52">
        <v>1</v>
      </c>
      <c r="D159" s="58">
        <f>(33.77+0.75*(3.2+5.9))*(10.764)</f>
        <v>436.96458000000001</v>
      </c>
      <c r="E159" s="42">
        <v>0</v>
      </c>
      <c r="F159" s="42">
        <f>D159*(($F$148)+1)+(IF(E159&lt;101,E159,IF(E159&lt;201,E159/2,IF(E159&lt;=301,E159/3,E159/4))))</f>
        <v>655.44686999999999</v>
      </c>
      <c r="G159" s="97"/>
      <c r="H159" s="98"/>
      <c r="I159" s="36"/>
    </row>
    <row r="160" spans="1:14" s="37" customFormat="1" x14ac:dyDescent="0.25">
      <c r="A160" s="90" t="s">
        <v>211</v>
      </c>
      <c r="B160" s="91"/>
      <c r="C160" s="91"/>
      <c r="D160" s="91"/>
      <c r="E160" s="91"/>
      <c r="F160" s="91"/>
      <c r="G160" s="91"/>
      <c r="H160" s="92"/>
      <c r="J160" s="36"/>
    </row>
    <row r="161" spans="1:14" s="37" customFormat="1" x14ac:dyDescent="0.25">
      <c r="A161" s="90" t="s">
        <v>209</v>
      </c>
      <c r="B161" s="91"/>
      <c r="C161" s="91"/>
      <c r="D161" s="91"/>
      <c r="E161" s="91"/>
      <c r="F161" s="91"/>
      <c r="G161" s="91"/>
      <c r="H161" s="92"/>
      <c r="I161" s="36"/>
    </row>
    <row r="162" spans="1:14" s="37" customFormat="1" ht="15.75" customHeight="1" x14ac:dyDescent="0.25">
      <c r="A162" s="65" t="str">
        <f ca="1">(SUMPRODUCT(MID(0&amp;(LEFT(A161,SUM(LEN(A161)-LEN(SUBSTITUTE(A161,{"0","1","2"},""))))), LARGE(INDEX(ISNUMBER(--MID((LEFT(A161,SUM(LEN(A161)-LEN(SUBSTITUTE(A161,{"0","1","2"},""))))), ROW(INDIRECT("1:"&amp;LEN((LEFT(A161,SUM(LEN(A161)-LEN(SUBSTITUTE(A161,{"0","1","2"},"")))))))), 1)) * ROW(INDIRECT("1:"&amp;LEN((LEFT(A161,SUM(LEN(A161)-LEN(SUBSTITUTE(A161,{"0","1","2"},"")))))))), 0), ROW(INDIRECT("1:"&amp;LEN((LEFT(A161,SUM(LEN(A161)-LEN(SUBSTITUTE(A161,{"0","1","2"},"")))))))))+1, 1) * 10^ROW(INDIRECT("1:"&amp;LEN((LEFT(A161,SUM(LEN(A161)-LEN(SUBSTITUTE(A161,{"0","1","2"},""))))))))/10))*100+1&amp;""&amp;" to "&amp;""&amp;(SUMPRODUCT(MID(0&amp;(--TRIM(RIGHT(SUBSTITUTE(LEFT(A161,_xlfn.AGGREGATE(16,6,FIND({0,1,2,3,4,5,6,7,8,9},A161,ROW(INDIRECT("1:"&amp;LEN(A161)))),1))," ",REPT(" ",LEN(A161))),LEN(A161)))), LARGE(INDEX(ISNUMBER(--MID((--TRIM(RIGHT(SUBSTITUTE(LEFT(A161,_xlfn.AGGREGATE(16,6,FIND({0,1,2,3,4,5,6,7,8,9},A161,ROW(INDIRECT("1:"&amp;LEN(A161)))),1))," ",REPT(" ",LEN(A161))),LEN(A161)))), ROW(INDIRECT("1:"&amp;LEN((--TRIM(RIGHT(SUBSTITUTE(LEFT(A161,_xlfn.AGGREGATE(16,6,FIND({0,1,2,3,4,5,6,7,8,9},A161,ROW(INDIRECT("1:"&amp;LEN(A161)))),1))," ",REPT(" ",LEN(A161))),LEN(A161))))))), 1)) * ROW(INDIRECT("1:"&amp;LEN((--TRIM(RIGHT(SUBSTITUTE(LEFT(A161,_xlfn.AGGREGATE(16,6,FIND({0,1,2,3,4,5,6,7,8,9},A161,ROW(INDIRECT("1:"&amp;LEN(A161)))),1))," ",REPT(" ",LEN(A161))),LEN(A161))))))), 0), ROW(INDIRECT("1:"&amp;LEN((--TRIM(RIGHT(SUBSTITUTE(LEFT(A161,_xlfn.AGGREGATE(16,6,FIND({0,1,2,3,4,5,6,7,8,9},A161,ROW(INDIRECT("1:"&amp;LEN(A161)))),1))," ",REPT(" ",LEN(A161))),LEN(A161))))))))+1, 1) * 10^ROW(INDIRECT("1:"&amp;LEN((--TRIM(RIGHT(SUBSTITUTE(LEFT(A161,_xlfn.AGGREGATE(16,6,FIND({0,1,2,3,4,5,6,7,8,9},A161,ROW(INDIRECT("1:"&amp;LEN(A161)))),1))," ",REPT(" ",LEN(A161))),LEN(A161)))))))/10))*100+1</f>
        <v>101 to 701</v>
      </c>
      <c r="B162" s="66"/>
      <c r="C162" s="52">
        <v>1</v>
      </c>
      <c r="D162" s="58">
        <f>(33.77+0.75*(3.2+5.79))*(10.764)</f>
        <v>436.07655</v>
      </c>
      <c r="E162" s="42">
        <v>0</v>
      </c>
      <c r="F162" s="42">
        <f>D162*(($F$148)+1)+(IF(E162&lt;101,E162,IF(E162&lt;201,E162/2,IF(E162&lt;=301,E162/3,E162/4))))</f>
        <v>654.114825</v>
      </c>
      <c r="G162" s="93" t="str">
        <f>A161</f>
        <v>1st to 7th Floor For Residential</v>
      </c>
      <c r="H162" s="94"/>
      <c r="I162" s="36"/>
    </row>
    <row r="163" spans="1:14" s="37" customFormat="1" ht="15.75" customHeight="1" x14ac:dyDescent="0.25">
      <c r="A163" s="65" t="str">
        <f ca="1">(SUMPRODUCT(MID(0&amp;(LEFT(A162,SUM(LEN(A162)-LEN(SUBSTITUTE(A162,{"0","1","2"},""))))), LARGE(INDEX(ISNUMBER(--MID((LEFT(A162,SUM(LEN(A162)-LEN(SUBSTITUTE(A162,{"0","1","2"},""))))), ROW(INDIRECT("1:"&amp;LEN((LEFT(A162,SUM(LEN(A162)-LEN(SUBSTITUTE(A162,{"0","1","2"},"")))))))), 1)) * ROW(INDIRECT("1:"&amp;LEN((LEFT(A162,SUM(LEN(A162)-LEN(SUBSTITUTE(A162,{"0","1","2"},"")))))))), 0), ROW(INDIRECT("1:"&amp;LEN((LEFT(A162,SUM(LEN(A162)-LEN(SUBSTITUTE(A162,{"0","1","2"},"")))))))))+1, 1) * 10^ROW(INDIRECT("1:"&amp;LEN((LEFT(A162,SUM(LEN(A162)-LEN(SUBSTITUTE(A162,{"0","1","2"},""))))))))/10))*1+1&amp;""&amp;" to "&amp;""&amp;(SUMPRODUCT(MID(0&amp;(--TRIM(RIGHT(SUBSTITUTE(LEFT(A162,_xlfn.AGGREGATE(16,6,FIND({0,1,2,3,4,5,6,7,8,9},A162,ROW(INDIRECT("1:"&amp;LEN(A162)))),1))," ",REPT(" ",LEN(A162))),LEN(A162)))), LARGE(INDEX(ISNUMBER(--MID((--TRIM(RIGHT(SUBSTITUTE(LEFT(A162,_xlfn.AGGREGATE(16,6,FIND({0,1,2,3,4,5,6,7,8,9},A162,ROW(INDIRECT("1:"&amp;LEN(A162)))),1))," ",REPT(" ",LEN(A162))),LEN(A162)))), ROW(INDIRECT("1:"&amp;LEN((--TRIM(RIGHT(SUBSTITUTE(LEFT(A162,_xlfn.AGGREGATE(16,6,FIND({0,1,2,3,4,5,6,7,8,9},A162,ROW(INDIRECT("1:"&amp;LEN(A162)))),1))," ",REPT(" ",LEN(A162))),LEN(A162))))))), 1)) * ROW(INDIRECT("1:"&amp;LEN((--TRIM(RIGHT(SUBSTITUTE(LEFT(A162,_xlfn.AGGREGATE(16,6,FIND({0,1,2,3,4,5,6,7,8,9},A162,ROW(INDIRECT("1:"&amp;LEN(A162)))),1))," ",REPT(" ",LEN(A162))),LEN(A162))))))), 0), ROW(INDIRECT("1:"&amp;LEN((--TRIM(RIGHT(SUBSTITUTE(LEFT(A162,_xlfn.AGGREGATE(16,6,FIND({0,1,2,3,4,5,6,7,8,9},A162,ROW(INDIRECT("1:"&amp;LEN(A162)))),1))," ",REPT(" ",LEN(A162))),LEN(A162))))))))+1, 1) * 10^ROW(INDIRECT("1:"&amp;LEN((--TRIM(RIGHT(SUBSTITUTE(LEFT(A162,_xlfn.AGGREGATE(16,6,FIND({0,1,2,3,4,5,6,7,8,9},A162,ROW(INDIRECT("1:"&amp;LEN(A162)))),1))," ",REPT(" ",LEN(A162))),LEN(A162)))))))/10))*1+1</f>
        <v>102 to 702</v>
      </c>
      <c r="B163" s="66"/>
      <c r="C163" s="52">
        <v>1</v>
      </c>
      <c r="D163" s="58">
        <f>(33.77+0.75*(3.2+5.79))*(10.764)</f>
        <v>436.07655</v>
      </c>
      <c r="E163" s="42">
        <v>0</v>
      </c>
      <c r="F163" s="42">
        <f>D163*(($F$148)+1)+(IF(E163&lt;101,E163,IF(E163&lt;201,E163/2,IF(E163&lt;=301,E163/3,E163/4))))</f>
        <v>654.114825</v>
      </c>
      <c r="G163" s="95"/>
      <c r="H163" s="96"/>
      <c r="I163" s="36"/>
    </row>
    <row r="164" spans="1:14" s="37" customFormat="1" hidden="1" x14ac:dyDescent="0.25">
      <c r="A164" s="90" t="s">
        <v>121</v>
      </c>
      <c r="B164" s="91"/>
      <c r="C164" s="91"/>
      <c r="D164" s="91"/>
      <c r="E164" s="91"/>
      <c r="F164" s="91"/>
      <c r="G164" s="91"/>
      <c r="H164" s="92"/>
      <c r="J164" s="36"/>
    </row>
    <row r="165" spans="1:14" s="37" customFormat="1" ht="15.75" hidden="1" customHeight="1" x14ac:dyDescent="0.25">
      <c r="A165" s="65">
        <v>1</v>
      </c>
      <c r="B165" s="66"/>
      <c r="C165" s="52"/>
      <c r="D165" s="42"/>
      <c r="E165" s="42">
        <v>0</v>
      </c>
      <c r="F165" s="42">
        <f>D165*(($F$148)+1)+(IF(E165&lt;101,E165,IF(E165&lt;201,E165/2,IF(E165&lt;=301,E165/3,E165/4))))</f>
        <v>0</v>
      </c>
      <c r="G165" s="93" t="str">
        <f>A164</f>
        <v>Ground Floor</v>
      </c>
      <c r="H165" s="94"/>
      <c r="I165" s="36"/>
      <c r="L165" s="64"/>
      <c r="M165" s="64"/>
      <c r="N165" s="36"/>
    </row>
    <row r="166" spans="1:14" s="37" customFormat="1" ht="15.75" hidden="1" customHeight="1" x14ac:dyDescent="0.25">
      <c r="A166" s="65">
        <f t="shared" ref="A166:A168" si="6">A165+1</f>
        <v>2</v>
      </c>
      <c r="B166" s="66"/>
      <c r="C166" s="52"/>
      <c r="D166" s="42"/>
      <c r="E166" s="42">
        <v>0</v>
      </c>
      <c r="F166" s="42">
        <f>D166*(($F$148)+1)+(IF(E166&lt;101,E166,IF(E166&lt;201,E166/2,IF(E166&lt;=301,E166/3,E166/4))))</f>
        <v>0</v>
      </c>
      <c r="G166" s="95"/>
      <c r="H166" s="96"/>
      <c r="I166" s="36"/>
      <c r="L166" s="64"/>
      <c r="M166" s="64"/>
      <c r="N166" s="36"/>
    </row>
    <row r="167" spans="1:14" s="37" customFormat="1" ht="15.75" hidden="1" customHeight="1" x14ac:dyDescent="0.25">
      <c r="A167" s="65">
        <f t="shared" si="6"/>
        <v>3</v>
      </c>
      <c r="B167" s="66"/>
      <c r="C167" s="52"/>
      <c r="D167" s="42"/>
      <c r="E167" s="42">
        <v>0</v>
      </c>
      <c r="F167" s="42">
        <f>D167*(($F$148)+1)+(IF(E167&lt;101,E167,IF(E167&lt;201,E167/2,IF(E167&lt;=301,E167/3,E167/4))))</f>
        <v>0</v>
      </c>
      <c r="G167" s="95"/>
      <c r="H167" s="96"/>
      <c r="I167" s="36"/>
      <c r="L167" s="64"/>
      <c r="M167" s="64"/>
      <c r="N167" s="36"/>
    </row>
    <row r="168" spans="1:14" s="37" customFormat="1" ht="15.75" hidden="1" customHeight="1" x14ac:dyDescent="0.25">
      <c r="A168" s="65">
        <f t="shared" si="6"/>
        <v>4</v>
      </c>
      <c r="B168" s="66"/>
      <c r="C168" s="52"/>
      <c r="D168" s="42"/>
      <c r="E168" s="42">
        <v>0</v>
      </c>
      <c r="F168" s="42">
        <f>D168*(($F$148)+1)+(IF(E168&lt;101,E168,IF(E168&lt;201,E168/2,IF(E168&lt;=301,E168/3,E168/4))))</f>
        <v>0</v>
      </c>
      <c r="G168" s="97"/>
      <c r="H168" s="98"/>
      <c r="I168" s="36"/>
      <c r="L168" s="64"/>
      <c r="M168" s="64"/>
      <c r="N168" s="36"/>
    </row>
    <row r="169" spans="1:14" s="37" customFormat="1" hidden="1" x14ac:dyDescent="0.25">
      <c r="A169" s="167" t="s">
        <v>122</v>
      </c>
      <c r="B169" s="167"/>
      <c r="C169" s="167"/>
      <c r="D169" s="167"/>
      <c r="E169" s="167"/>
      <c r="F169" s="167"/>
      <c r="G169" s="167"/>
      <c r="H169" s="167"/>
      <c r="I169" s="36"/>
      <c r="L169" s="64"/>
      <c r="M169" s="64"/>
    </row>
    <row r="170" spans="1:14" s="37" customFormat="1" hidden="1" x14ac:dyDescent="0.25">
      <c r="A170" s="103">
        <f>LEFT(A169,SUM(LEN(A169)-LEN(SUBSTITUTE(A169,{"0","1","2","3","4","5","6","7","8","9"},""))))*100+1</f>
        <v>201</v>
      </c>
      <c r="B170" s="103"/>
      <c r="C170" s="52"/>
      <c r="D170" s="42"/>
      <c r="E170" s="42">
        <v>0</v>
      </c>
      <c r="F170" s="42">
        <f t="shared" ref="F170:F171" si="7">D170*(($F$148)+1)+(IF(E170&lt;101,E170,IF(E170&lt;201,E170/2,IF(E170&lt;=301,E170/3,E170/4))))</f>
        <v>0</v>
      </c>
      <c r="G170" s="93" t="str">
        <f>A169</f>
        <v>2nd Floor</v>
      </c>
      <c r="H170" s="94"/>
      <c r="I170" s="36"/>
      <c r="N170" s="36"/>
    </row>
    <row r="171" spans="1:14" s="37" customFormat="1" hidden="1" x14ac:dyDescent="0.25">
      <c r="A171" s="103">
        <f>A170+1</f>
        <v>202</v>
      </c>
      <c r="B171" s="103"/>
      <c r="C171" s="52"/>
      <c r="D171" s="42"/>
      <c r="E171" s="42">
        <v>0</v>
      </c>
      <c r="F171" s="42">
        <f t="shared" si="7"/>
        <v>0</v>
      </c>
      <c r="G171" s="95"/>
      <c r="H171" s="96"/>
      <c r="I171" s="36"/>
      <c r="N171" s="36"/>
    </row>
    <row r="172" spans="1:14" s="37" customFormat="1" hidden="1" x14ac:dyDescent="0.25">
      <c r="A172" s="103">
        <f>A171+1</f>
        <v>203</v>
      </c>
      <c r="B172" s="103"/>
      <c r="C172" s="52"/>
      <c r="D172" s="42"/>
      <c r="E172" s="42">
        <v>0</v>
      </c>
      <c r="F172" s="42">
        <f>D172*(($F$148)+1)+(IF(E172&lt;101,E172,IF(E172&lt;201,E172/2,IF(E172&lt;=301,E172/3,E172/4))))</f>
        <v>0</v>
      </c>
      <c r="G172" s="95"/>
      <c r="H172" s="96"/>
      <c r="I172" s="36"/>
      <c r="N172" s="36"/>
    </row>
    <row r="173" spans="1:14" s="37" customFormat="1" hidden="1" x14ac:dyDescent="0.25">
      <c r="A173" s="103">
        <f>A172+1</f>
        <v>204</v>
      </c>
      <c r="B173" s="103"/>
      <c r="C173" s="52"/>
      <c r="D173" s="42"/>
      <c r="E173" s="42">
        <v>0</v>
      </c>
      <c r="F173" s="42">
        <f>D173*(($F$148)+1)+(IF(E173&lt;101,E173,IF(E173&lt;201,E173/2,IF(E173&lt;=301,E173/3,E173/4))))</f>
        <v>0</v>
      </c>
      <c r="G173" s="95"/>
      <c r="H173" s="96"/>
      <c r="I173" s="36"/>
      <c r="N173" s="36"/>
    </row>
    <row r="174" spans="1:14" s="37" customFormat="1" hidden="1" x14ac:dyDescent="0.25">
      <c r="A174" s="103">
        <f>A173+1</f>
        <v>205</v>
      </c>
      <c r="B174" s="103"/>
      <c r="C174" s="52"/>
      <c r="D174" s="42"/>
      <c r="E174" s="42">
        <v>0</v>
      </c>
      <c r="F174" s="42">
        <f>D174*(($F$148)+1)+(IF(E174&lt;101,E174,IF(E174&lt;201,E174/2,IF(E174&lt;=301,E174/3,E174/4))))</f>
        <v>0</v>
      </c>
      <c r="G174" s="97"/>
      <c r="H174" s="98"/>
      <c r="I174" s="36"/>
      <c r="N174" s="36"/>
    </row>
    <row r="175" spans="1:14" s="37" customFormat="1" ht="15.75" hidden="1" customHeight="1" x14ac:dyDescent="0.25">
      <c r="A175" s="90" t="s">
        <v>159</v>
      </c>
      <c r="B175" s="91"/>
      <c r="C175" s="91"/>
      <c r="D175" s="91"/>
      <c r="E175" s="91"/>
      <c r="F175" s="91"/>
      <c r="G175" s="91"/>
      <c r="H175" s="92"/>
      <c r="I175" s="36"/>
    </row>
    <row r="176" spans="1:14" s="37" customFormat="1" ht="15.75" hidden="1" customHeight="1" x14ac:dyDescent="0.25">
      <c r="A176" s="65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10^ROW(INDIRECT("1:"&amp;LEN((LEFT(A175,SUM(LEN(A175)-LEN(SUBSTITUTE(A175,{"0","1","2"},""))))))))/10))*100+1&amp;""&amp;" ,..,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",LEN(A175))),LEN(A175)))))))/10))*100+1</f>
        <v>301 ,.., 1501</v>
      </c>
      <c r="B176" s="66"/>
      <c r="C176" s="52"/>
      <c r="D176" s="42"/>
      <c r="E176" s="42">
        <v>0</v>
      </c>
      <c r="F176" s="42">
        <f>D176*(($F$148)+1)+(IF(E176&lt;101,E176,IF(E176&lt;201,E176/2,IF(E176&lt;=301,E176/3,E176/4))))</f>
        <v>0</v>
      </c>
      <c r="G176" s="93" t="str">
        <f>A175</f>
        <v>3rd, 5th, 7th, 9th, 11th, 13th, 15th Floor</v>
      </c>
      <c r="H176" s="94"/>
      <c r="I176" s="36"/>
    </row>
    <row r="177" spans="1:9" s="37" customFormat="1" ht="15.75" hidden="1" customHeight="1" x14ac:dyDescent="0.25">
      <c r="A177" s="65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,..,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302 ,.., 1502</v>
      </c>
      <c r="B177" s="66"/>
      <c r="C177" s="52"/>
      <c r="D177" s="42"/>
      <c r="E177" s="42">
        <v>0</v>
      </c>
      <c r="F177" s="42">
        <f>D177*(($F$148)+1)+(IF(E177&lt;101,E177,IF(E177&lt;201,E177/2,IF(E177&lt;=301,E177/3,E177/4))))</f>
        <v>0</v>
      </c>
      <c r="G177" s="95"/>
      <c r="H177" s="96"/>
      <c r="I177" s="36"/>
    </row>
    <row r="178" spans="1:9" s="37" customFormat="1" ht="15.75" hidden="1" customHeight="1" x14ac:dyDescent="0.25">
      <c r="A178" s="65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,..,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303 ,.., 1503</v>
      </c>
      <c r="B178" s="66"/>
      <c r="C178" s="52"/>
      <c r="D178" s="42"/>
      <c r="E178" s="42">
        <v>0</v>
      </c>
      <c r="F178" s="42">
        <f>D178*(($F$148)+1)+(IF(E178&lt;101,E178,IF(E178&lt;201,E178/2,IF(E178&lt;=301,E178/3,E178/4))))</f>
        <v>0</v>
      </c>
      <c r="G178" s="95"/>
      <c r="H178" s="96"/>
      <c r="I178" s="36"/>
    </row>
    <row r="179" spans="1:9" s="37" customFormat="1" ht="15.75" hidden="1" customHeight="1" x14ac:dyDescent="0.25">
      <c r="A179" s="65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10^ROW(INDIRECT("1:"&amp;LEN((LEFT(A178,SUM(LEN(A178)-LEN(SUBSTITUTE(A178,{"0","1","2"},""))))))))/10))*1+1&amp;""&amp;" ,..,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",LEN(A178))),LEN(A178)))))))/10))*1+1</f>
        <v>304 ,.., 1504</v>
      </c>
      <c r="B179" s="66"/>
      <c r="C179" s="52"/>
      <c r="D179" s="42"/>
      <c r="E179" s="42">
        <v>0</v>
      </c>
      <c r="F179" s="42">
        <f>D179*(($F$148)+1)+(IF(E179&lt;101,E179,IF(E179&lt;201,E179/2,IF(E179&lt;=301,E179/3,E179/4))))</f>
        <v>0</v>
      </c>
      <c r="G179" s="95"/>
      <c r="H179" s="96"/>
      <c r="I179" s="36"/>
    </row>
    <row r="180" spans="1:9" s="37" customFormat="1" ht="15.75" hidden="1" customHeight="1" x14ac:dyDescent="0.25">
      <c r="A180" s="65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,..,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305 ,.., 1505</v>
      </c>
      <c r="B180" s="66"/>
      <c r="C180" s="52"/>
      <c r="D180" s="42"/>
      <c r="E180" s="42">
        <v>0</v>
      </c>
      <c r="F180" s="42">
        <f>D180*(($F$148)+1)+(IF(E180&lt;101,E180,IF(E180&lt;201,E180/2,IF(E180&lt;=301,E180/3,E180/4))))</f>
        <v>0</v>
      </c>
      <c r="G180" s="97"/>
      <c r="H180" s="98"/>
      <c r="I180" s="36"/>
    </row>
    <row r="181" spans="1:9" s="37" customFormat="1" hidden="1" x14ac:dyDescent="0.25">
      <c r="A181" s="90" t="s">
        <v>152</v>
      </c>
      <c r="B181" s="91"/>
      <c r="C181" s="91"/>
      <c r="D181" s="91"/>
      <c r="E181" s="91"/>
      <c r="F181" s="91"/>
      <c r="G181" s="91"/>
      <c r="H181" s="92"/>
      <c r="I181" s="36"/>
    </row>
    <row r="182" spans="1:9" s="37" customFormat="1" ht="15.75" hidden="1" customHeight="1" x14ac:dyDescent="0.25">
      <c r="A182" s="65" t="str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10^ROW(INDIRECT("1:"&amp;LEN((LEFT(A181,SUM(LEN(A181)-LEN(SUBSTITUTE(A181,{"0","1","2"},""))))))))/10))*100+1&amp;""&amp;" to "&amp;""&amp;(SUMPRODUCT(MID(0&amp;(--TRIM(RIGHT(SUBSTITUTE(LEFT(A181,_xlfn.AGGREGATE(16,6,FIND({0,1,2,3,4,5,6,7,8,9},A181,ROW(INDIRECT("1:"&amp;LEN(A181)))),1)),"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",LEN(A181))),LEN(A181)))))))/10))*100+1</f>
        <v>201 to 501</v>
      </c>
      <c r="B182" s="66"/>
      <c r="C182" s="52"/>
      <c r="D182" s="42"/>
      <c r="E182" s="42">
        <v>0</v>
      </c>
      <c r="F182" s="42">
        <f>D182*(($F$148)+1)+(IF(E182&lt;101,E182,IF(E182&lt;201,E182/2,IF(E182&lt;=301,E182/3,E182/4))))</f>
        <v>0</v>
      </c>
      <c r="G182" s="93" t="str">
        <f>A181</f>
        <v>2nd to 5th Floor</v>
      </c>
      <c r="H182" s="94"/>
      <c r="I182" s="36"/>
    </row>
    <row r="183" spans="1:9" s="37" customFormat="1" ht="15.75" hidden="1" customHeight="1" x14ac:dyDescent="0.25">
      <c r="A183" s="65" t="str">
        <f ca="1">(SUMPRODUCT(MID(0&amp;(LEFT(A182,SUM(LEN(A182)-LEN(SUBSTITUTE(A182,{"0","1","2"},""))))), LARGE(INDEX(ISNUMBER(--MID((LEFT(A182,SUM(LEN(A182)-LEN(SUBSTITUTE(A182,{"0","1","2"},""))))), ROW(INDIRECT("1:"&amp;LEN((LEFT(A182,SUM(LEN(A182)-LEN(SUBSTITUTE(A182,{"0","1","2"},"")))))))), 1)) * ROW(INDIRECT("1:"&amp;LEN((LEFT(A182,SUM(LEN(A182)-LEN(SUBSTITUTE(A182,{"0","1","2"},"")))))))), 0), ROW(INDIRECT("1:"&amp;LEN((LEFT(A182,SUM(LEN(A182)-LEN(SUBSTITUTE(A182,{"0","1","2"},"")))))))))+1, 1) * 10^ROW(INDIRECT("1:"&amp;LEN((LEFT(A182,SUM(LEN(A182)-LEN(SUBSTITUTE(A182,{"0","1","2"},""))))))))/10))*1+1&amp;""&amp;" to "&amp;""&amp;(SUMPRODUCT(MID(0&amp;(--TRIM(RIGHT(SUBSTITUTE(LEFT(A182,_xlfn.AGGREGATE(16,6,FIND({0,1,2,3,4,5,6,7,8,9},A182,ROW(INDIRECT("1:"&amp;LEN(A182)))),1)),"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",LEN(A182))),LEN(A182)))))))/10))*1+1</f>
        <v>202 to 502</v>
      </c>
      <c r="B183" s="66"/>
      <c r="C183" s="52"/>
      <c r="D183" s="42"/>
      <c r="E183" s="42">
        <v>0</v>
      </c>
      <c r="F183" s="42">
        <f>D183*(($F$148)+1)+(IF(E183&lt;101,E183,IF(E183&lt;201,E183/2,IF(E183&lt;=301,E183/3,E183/4))))</f>
        <v>0</v>
      </c>
      <c r="G183" s="95"/>
      <c r="H183" s="96"/>
      <c r="I183" s="36"/>
    </row>
    <row r="184" spans="1:9" s="37" customFormat="1" ht="15.75" hidden="1" customHeight="1" x14ac:dyDescent="0.25">
      <c r="A184" s="65" t="str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10^ROW(INDIRECT("1:"&amp;LEN((LEFT(A183,SUM(LEN(A183)-LEN(SUBSTITUTE(A183,{"0","1","2"},""))))))))/10))*1+1&amp;""&amp;" to "&amp;""&amp;(SUMPRODUCT(MID(0&amp;(--TRIM(RIGHT(SUBSTITUTE(LEFT(A183,_xlfn.AGGREGATE(16,6,FIND({0,1,2,3,4,5,6,7,8,9},A183,ROW(INDIRECT("1:"&amp;LEN(A183)))),1)),"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",LEN(A183))),LEN(A183)))))))/10))*1+1</f>
        <v>203 to 503</v>
      </c>
      <c r="B184" s="66"/>
      <c r="C184" s="52"/>
      <c r="D184" s="42"/>
      <c r="E184" s="42">
        <v>0</v>
      </c>
      <c r="F184" s="42">
        <f>D184*(($F$148)+1)+(IF(E184&lt;101,E184,IF(E184&lt;201,E184/2,IF(E184&lt;=301,E184/3,E184/4))))</f>
        <v>0</v>
      </c>
      <c r="G184" s="95"/>
      <c r="H184" s="96"/>
      <c r="I184" s="36"/>
    </row>
    <row r="185" spans="1:9" s="37" customFormat="1" ht="15.75" hidden="1" customHeight="1" x14ac:dyDescent="0.25">
      <c r="A185" s="65" t="str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10^ROW(INDIRECT("1:"&amp;LEN((LEFT(A184,SUM(LEN(A184)-LEN(SUBSTITUTE(A184,{"0","1","2"},""))))))))/10))*1+1&amp;""&amp;" to "&amp;""&amp;(SUMPRODUCT(MID(0&amp;(--TRIM(RIGHT(SUBSTITUTE(LEFT(A184,_xlfn.AGGREGATE(16,6,FIND({0,1,2,3,4,5,6,7,8,9},A184,ROW(INDIRECT("1:"&amp;LEN(A184)))),1)),"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",LEN(A184))),LEN(A184)))))))/10))*1+1</f>
        <v>204 to 504</v>
      </c>
      <c r="B185" s="66"/>
      <c r="C185" s="52"/>
      <c r="D185" s="42"/>
      <c r="E185" s="42">
        <v>0</v>
      </c>
      <c r="F185" s="42">
        <f>D185*(($F$148)+1)+(IF(E185&lt;101,E185,IF(E185&lt;201,E185/2,IF(E185&lt;=301,E185/3,E185/4))))</f>
        <v>0</v>
      </c>
      <c r="G185" s="95"/>
      <c r="H185" s="96"/>
      <c r="I185" s="36"/>
    </row>
    <row r="186" spans="1:9" s="37" customFormat="1" ht="15.75" hidden="1" customHeight="1" x14ac:dyDescent="0.25">
      <c r="A186" s="65" t="str">
        <f ca="1">(SUMPRODUCT(MID(0&amp;(LEFT(A185,SUM(LEN(A185)-LEN(SUBSTITUTE(A185,{"0","1","2"},""))))), LARGE(INDEX(ISNUMBER(--MID((LEFT(A185,SUM(LEN(A185)-LEN(SUBSTITUTE(A185,{"0","1","2"},""))))), ROW(INDIRECT("1:"&amp;LEN((LEFT(A185,SUM(LEN(A185)-LEN(SUBSTITUTE(A185,{"0","1","2"},"")))))))), 1)) * ROW(INDIRECT("1:"&amp;LEN((LEFT(A185,SUM(LEN(A185)-LEN(SUBSTITUTE(A185,{"0","1","2"},"")))))))), 0), ROW(INDIRECT("1:"&amp;LEN((LEFT(A185,SUM(LEN(A185)-LEN(SUBSTITUTE(A185,{"0","1","2"},"")))))))))+1, 1) * 10^ROW(INDIRECT("1:"&amp;LEN((LEFT(A185,SUM(LEN(A185)-LEN(SUBSTITUTE(A185,{"0","1","2"},""))))))))/10))*1+1&amp;""&amp;" to "&amp;""&amp;(SUMPRODUCT(MID(0&amp;(--TRIM(RIGHT(SUBSTITUTE(LEFT(A185,_xlfn.AGGREGATE(16,6,FIND({0,1,2,3,4,5,6,7,8,9},A185,ROW(INDIRECT("1:"&amp;LEN(A185)))),1))," ",REPT(" ",LEN(A185))),LEN(A185)))), LARGE(INDEX(ISNUMBER(--MID((--TRIM(RIGHT(SUBSTITUTE(LEFT(A185,_xlfn.AGGREGATE(16,6,FIND({0,1,2,3,4,5,6,7,8,9},A185,ROW(INDIRECT("1:"&amp;LEN(A185)))),1))," ",REPT(" ",LEN(A185))),LEN(A185)))), ROW(INDIRECT("1:"&amp;LEN((--TRIM(RIGHT(SUBSTITUTE(LEFT(A185,_xlfn.AGGREGATE(16,6,FIND({0,1,2,3,4,5,6,7,8,9},A185,ROW(INDIRECT("1:"&amp;LEN(A185)))),1))," ",REPT(" ",LEN(A185))),LEN(A185))))))), 1)) * ROW(INDIRECT("1:"&amp;LEN((--TRIM(RIGHT(SUBSTITUTE(LEFT(A185,_xlfn.AGGREGATE(16,6,FIND({0,1,2,3,4,5,6,7,8,9},A185,ROW(INDIRECT("1:"&amp;LEN(A185)))),1))," ",REPT(" ",LEN(A185))),LEN(A185))))))), 0), ROW(INDIRECT("1:"&amp;LEN((--TRIM(RIGHT(SUBSTITUTE(LEFT(A185,_xlfn.AGGREGATE(16,6,FIND({0,1,2,3,4,5,6,7,8,9},A185,ROW(INDIRECT("1:"&amp;LEN(A185)))),1))," ",REPT(" ",LEN(A185))),LEN(A185))))))))+1, 1) * 10^ROW(INDIRECT("1:"&amp;LEN((--TRIM(RIGHT(SUBSTITUTE(LEFT(A185,_xlfn.AGGREGATE(16,6,FIND({0,1,2,3,4,5,6,7,8,9},A185,ROW(INDIRECT("1:"&amp;LEN(A185)))),1))," ",REPT(" ",LEN(A185))),LEN(A185)))))))/10))*1+1</f>
        <v>205 to 505</v>
      </c>
      <c r="B186" s="66"/>
      <c r="C186" s="52"/>
      <c r="D186" s="42"/>
      <c r="E186" s="42">
        <v>0</v>
      </c>
      <c r="F186" s="42">
        <f>D186*(($F$148)+1)+(IF(E186&lt;101,E186,IF(E186&lt;201,E186/2,IF(E186&lt;=301,E186/3,E186/4))))</f>
        <v>0</v>
      </c>
      <c r="G186" s="97"/>
      <c r="H186" s="98"/>
      <c r="I186" s="36"/>
    </row>
    <row r="187" spans="1:9" s="37" customFormat="1" hidden="1" x14ac:dyDescent="0.25">
      <c r="A187" s="90" t="s">
        <v>153</v>
      </c>
      <c r="B187" s="91"/>
      <c r="C187" s="91"/>
      <c r="D187" s="91"/>
      <c r="E187" s="91"/>
      <c r="F187" s="91"/>
      <c r="G187" s="91"/>
      <c r="H187" s="92"/>
      <c r="I187" s="36"/>
    </row>
    <row r="188" spans="1:9" s="37" customFormat="1" ht="15.75" hidden="1" customHeight="1" x14ac:dyDescent="0.25">
      <c r="A188" s="65" t="str">
        <f ca="1">(SUMPRODUCT(MID(0&amp;(LEFT(A187,SUM(LEN(A187)-LEN(SUBSTITUTE(A187,{"0","1","2"},""))))), LARGE(INDEX(ISNUMBER(--MID((LEFT(A187,SUM(LEN(A187)-LEN(SUBSTITUTE(A187,{"0","1","2"},""))))), ROW(INDIRECT("1:"&amp;LEN((LEFT(A187,SUM(LEN(A187)-LEN(SUBSTITUTE(A187,{"0","1","2"},"")))))))), 1)) * ROW(INDIRECT("1:"&amp;LEN((LEFT(A187,SUM(LEN(A187)-LEN(SUBSTITUTE(A187,{"0","1","2"},"")))))))), 0), ROW(INDIRECT("1:"&amp;LEN((LEFT(A187,SUM(LEN(A187)-LEN(SUBSTITUTE(A187,{"0","1","2"},"")))))))))+1, 1) * 10^ROW(INDIRECT("1:"&amp;LEN((LEFT(A187,SUM(LEN(A187)-LEN(SUBSTITUTE(A187,{"0","1","2"},""))))))))/10))*100+1&amp;""&amp;" &amp; "&amp;""&amp;(SUMPRODUCT(MID(0&amp;(--TRIM(RIGHT(SUBSTITUTE(LEFT(A187,_xlfn.AGGREGATE(16,6,FIND({0,1,2,3,4,5,6,7,8,9},A187,ROW(INDIRECT("1:"&amp;LEN(A187)))),1))," ",REPT(" ",LEN(A187))),LEN(A187)))), LARGE(INDEX(ISNUMBER(--MID((--TRIM(RIGHT(SUBSTITUTE(LEFT(A187,_xlfn.AGGREGATE(16,6,FIND({0,1,2,3,4,5,6,7,8,9},A187,ROW(INDIRECT("1:"&amp;LEN(A187)))),1))," ",REPT(" ",LEN(A187))),LEN(A187)))), ROW(INDIRECT("1:"&amp;LEN((--TRIM(RIGHT(SUBSTITUTE(LEFT(A187,_xlfn.AGGREGATE(16,6,FIND({0,1,2,3,4,5,6,7,8,9},A187,ROW(INDIRECT("1:"&amp;LEN(A187)))),1))," ",REPT(" ",LEN(A187))),LEN(A187))))))), 1)) * ROW(INDIRECT("1:"&amp;LEN((--TRIM(RIGHT(SUBSTITUTE(LEFT(A187,_xlfn.AGGREGATE(16,6,FIND({0,1,2,3,4,5,6,7,8,9},A187,ROW(INDIRECT("1:"&amp;LEN(A187)))),1))," ",REPT(" ",LEN(A187))),LEN(A187))))))), 0), ROW(INDIRECT("1:"&amp;LEN((--TRIM(RIGHT(SUBSTITUTE(LEFT(A187,_xlfn.AGGREGATE(16,6,FIND({0,1,2,3,4,5,6,7,8,9},A187,ROW(INDIRECT("1:"&amp;LEN(A187)))),1))," ",REPT(" ",LEN(A187))),LEN(A187))))))))+1, 1) * 10^ROW(INDIRECT("1:"&amp;LEN((--TRIM(RIGHT(SUBSTITUTE(LEFT(A187,_xlfn.AGGREGATE(16,6,FIND({0,1,2,3,4,5,6,7,8,9},A187,ROW(INDIRECT("1:"&amp;LEN(A187)))),1))," ",REPT(" ",LEN(A187))),LEN(A187)))))))/10))*100+1</f>
        <v>201 &amp; 501</v>
      </c>
      <c r="B188" s="66"/>
      <c r="C188" s="52"/>
      <c r="D188" s="42"/>
      <c r="E188" s="42">
        <v>0</v>
      </c>
      <c r="F188" s="42">
        <f>D188*(($F$148)+1)+(IF(E188&lt;101,E188,IF(E188&lt;201,E188/2,IF(E188&lt;=301,E188/3,E188/4))))</f>
        <v>0</v>
      </c>
      <c r="G188" s="93" t="str">
        <f>A187</f>
        <v>2nd &amp; 5th Floor</v>
      </c>
      <c r="H188" s="94"/>
      <c r="I188" s="36"/>
    </row>
    <row r="189" spans="1:9" s="37" customFormat="1" ht="15.75" hidden="1" customHeight="1" x14ac:dyDescent="0.25">
      <c r="A189" s="65" t="str">
        <f ca="1">(SUMPRODUCT(MID(0&amp;(LEFT(A188,SUM(LEN(A188)-LEN(SUBSTITUTE(A188,{"0","1","2"},""))))), LARGE(INDEX(ISNUMBER(--MID((LEFT(A188,SUM(LEN(A188)-LEN(SUBSTITUTE(A188,{"0","1","2"},""))))), ROW(INDIRECT("1:"&amp;LEN((LEFT(A188,SUM(LEN(A188)-LEN(SUBSTITUTE(A188,{"0","1","2"},"")))))))), 1)) * ROW(INDIRECT("1:"&amp;LEN((LEFT(A188,SUM(LEN(A188)-LEN(SUBSTITUTE(A188,{"0","1","2"},"")))))))), 0), ROW(INDIRECT("1:"&amp;LEN((LEFT(A188,SUM(LEN(A188)-LEN(SUBSTITUTE(A188,{"0","1","2"},"")))))))))+1, 1) * 10^ROW(INDIRECT("1:"&amp;LEN((LEFT(A188,SUM(LEN(A188)-LEN(SUBSTITUTE(A188,{"0","1","2"},""))))))))/10))*1+1&amp;""&amp;" &amp; "&amp;""&amp;(SUMPRODUCT(MID(0&amp;(--TRIM(RIGHT(SUBSTITUTE(LEFT(A188,_xlfn.AGGREGATE(16,6,FIND({0,1,2,3,4,5,6,7,8,9},A188,ROW(INDIRECT("1:"&amp;LEN(A188)))),1))," ",REPT(" ",LEN(A188))),LEN(A188)))), LARGE(INDEX(ISNUMBER(--MID((--TRIM(RIGHT(SUBSTITUTE(LEFT(A188,_xlfn.AGGREGATE(16,6,FIND({0,1,2,3,4,5,6,7,8,9},A188,ROW(INDIRECT("1:"&amp;LEN(A188)))),1))," ",REPT(" ",LEN(A188))),LEN(A188)))), ROW(INDIRECT("1:"&amp;LEN((--TRIM(RIGHT(SUBSTITUTE(LEFT(A188,_xlfn.AGGREGATE(16,6,FIND({0,1,2,3,4,5,6,7,8,9},A188,ROW(INDIRECT("1:"&amp;LEN(A188)))),1))," ",REPT(" ",LEN(A188))),LEN(A188))))))), 1)) * ROW(INDIRECT("1:"&amp;LEN((--TRIM(RIGHT(SUBSTITUTE(LEFT(A188,_xlfn.AGGREGATE(16,6,FIND({0,1,2,3,4,5,6,7,8,9},A188,ROW(INDIRECT("1:"&amp;LEN(A188)))),1))," ",REPT(" ",LEN(A188))),LEN(A188))))))), 0), ROW(INDIRECT("1:"&amp;LEN((--TRIM(RIGHT(SUBSTITUTE(LEFT(A188,_xlfn.AGGREGATE(16,6,FIND({0,1,2,3,4,5,6,7,8,9},A188,ROW(INDIRECT("1:"&amp;LEN(A188)))),1))," ",REPT(" ",LEN(A188))),LEN(A188))))))))+1, 1) * 10^ROW(INDIRECT("1:"&amp;LEN((--TRIM(RIGHT(SUBSTITUTE(LEFT(A188,_xlfn.AGGREGATE(16,6,FIND({0,1,2,3,4,5,6,7,8,9},A188,ROW(INDIRECT("1:"&amp;LEN(A188)))),1))," ",REPT(" ",LEN(A188))),LEN(A188)))))))/10))*1+1</f>
        <v>202 &amp; 502</v>
      </c>
      <c r="B189" s="66"/>
      <c r="C189" s="52"/>
      <c r="D189" s="42"/>
      <c r="E189" s="42">
        <v>0</v>
      </c>
      <c r="F189" s="42">
        <f>D189*(($F$148)+1)+(IF(E189&lt;101,E189,IF(E189&lt;201,E189/2,IF(E189&lt;=301,E189/3,E189/4))))</f>
        <v>0</v>
      </c>
      <c r="G189" s="95"/>
      <c r="H189" s="96"/>
      <c r="I189" s="36"/>
    </row>
    <row r="190" spans="1:9" s="37" customFormat="1" ht="15.75" hidden="1" customHeight="1" x14ac:dyDescent="0.25">
      <c r="A190" s="65" t="str">
        <f ca="1">(SUMPRODUCT(MID(0&amp;(LEFT(A189,SUM(LEN(A189)-LEN(SUBSTITUTE(A189,{"0","1","2"},""))))), LARGE(INDEX(ISNUMBER(--MID((LEFT(A189,SUM(LEN(A189)-LEN(SUBSTITUTE(A189,{"0","1","2"},""))))), ROW(INDIRECT("1:"&amp;LEN((LEFT(A189,SUM(LEN(A189)-LEN(SUBSTITUTE(A189,{"0","1","2"},"")))))))), 1)) * ROW(INDIRECT("1:"&amp;LEN((LEFT(A189,SUM(LEN(A189)-LEN(SUBSTITUTE(A189,{"0","1","2"},"")))))))), 0), ROW(INDIRECT("1:"&amp;LEN((LEFT(A189,SUM(LEN(A189)-LEN(SUBSTITUTE(A189,{"0","1","2"},"")))))))))+1, 1) * 10^ROW(INDIRECT("1:"&amp;LEN((LEFT(A189,SUM(LEN(A189)-LEN(SUBSTITUTE(A189,{"0","1","2"},""))))))))/10))*1+1&amp;""&amp;" &amp; "&amp;""&amp;(SUMPRODUCT(MID(0&amp;(--TRIM(RIGHT(SUBSTITUTE(LEFT(A189,_xlfn.AGGREGATE(16,6,FIND({0,1,2,3,4,5,6,7,8,9},A189,ROW(INDIRECT("1:"&amp;LEN(A189)))),1))," ",REPT(" ",LEN(A189))),LEN(A189)))), LARGE(INDEX(ISNUMBER(--MID((--TRIM(RIGHT(SUBSTITUTE(LEFT(A189,_xlfn.AGGREGATE(16,6,FIND({0,1,2,3,4,5,6,7,8,9},A189,ROW(INDIRECT("1:"&amp;LEN(A189)))),1))," ",REPT(" ",LEN(A189))),LEN(A189)))), ROW(INDIRECT("1:"&amp;LEN((--TRIM(RIGHT(SUBSTITUTE(LEFT(A189,_xlfn.AGGREGATE(16,6,FIND({0,1,2,3,4,5,6,7,8,9},A189,ROW(INDIRECT("1:"&amp;LEN(A189)))),1))," ",REPT(" ",LEN(A189))),LEN(A189))))))), 1)) * ROW(INDIRECT("1:"&amp;LEN((--TRIM(RIGHT(SUBSTITUTE(LEFT(A189,_xlfn.AGGREGATE(16,6,FIND({0,1,2,3,4,5,6,7,8,9},A189,ROW(INDIRECT("1:"&amp;LEN(A189)))),1))," ",REPT(" ",LEN(A189))),LEN(A189))))))), 0), ROW(INDIRECT("1:"&amp;LEN((--TRIM(RIGHT(SUBSTITUTE(LEFT(A189,_xlfn.AGGREGATE(16,6,FIND({0,1,2,3,4,5,6,7,8,9},A189,ROW(INDIRECT("1:"&amp;LEN(A189)))),1))," ",REPT(" ",LEN(A189))),LEN(A189))))))))+1, 1) * 10^ROW(INDIRECT("1:"&amp;LEN((--TRIM(RIGHT(SUBSTITUTE(LEFT(A189,_xlfn.AGGREGATE(16,6,FIND({0,1,2,3,4,5,6,7,8,9},A189,ROW(INDIRECT("1:"&amp;LEN(A189)))),1))," ",REPT(" ",LEN(A189))),LEN(A189)))))))/10))*1+1</f>
        <v>203 &amp; 503</v>
      </c>
      <c r="B190" s="66"/>
      <c r="C190" s="52"/>
      <c r="D190" s="42"/>
      <c r="E190" s="42">
        <v>0</v>
      </c>
      <c r="F190" s="42">
        <f>D190*(($F$148)+1)+(IF(E190&lt;101,E190,IF(E190&lt;201,E190/2,IF(E190&lt;=301,E190/3,E190/4))))</f>
        <v>0</v>
      </c>
      <c r="G190" s="95"/>
      <c r="H190" s="96"/>
      <c r="I190" s="36"/>
    </row>
    <row r="191" spans="1:9" s="37" customFormat="1" ht="15.75" hidden="1" customHeight="1" x14ac:dyDescent="0.25">
      <c r="A191" s="65" t="str">
        <f ca="1">(SUMPRODUCT(MID(0&amp;(LEFT(A190,SUM(LEN(A190)-LEN(SUBSTITUTE(A190,{"0","1","2"},""))))), LARGE(INDEX(ISNUMBER(--MID((LEFT(A190,SUM(LEN(A190)-LEN(SUBSTITUTE(A190,{"0","1","2"},""))))), ROW(INDIRECT("1:"&amp;LEN((LEFT(A190,SUM(LEN(A190)-LEN(SUBSTITUTE(A190,{"0","1","2"},"")))))))), 1)) * ROW(INDIRECT("1:"&amp;LEN((LEFT(A190,SUM(LEN(A190)-LEN(SUBSTITUTE(A190,{"0","1","2"},"")))))))), 0), ROW(INDIRECT("1:"&amp;LEN((LEFT(A190,SUM(LEN(A190)-LEN(SUBSTITUTE(A190,{"0","1","2"},"")))))))))+1, 1) * 10^ROW(INDIRECT("1:"&amp;LEN((LEFT(A190,SUM(LEN(A190)-LEN(SUBSTITUTE(A190,{"0","1","2"},""))))))))/10))*1+1&amp;""&amp;" &amp; "&amp;""&amp;(SUMPRODUCT(MID(0&amp;(--TRIM(RIGHT(SUBSTITUTE(LEFT(A190,_xlfn.AGGREGATE(16,6,FIND({0,1,2,3,4,5,6,7,8,9},A190,ROW(INDIRECT("1:"&amp;LEN(A190)))),1))," ",REPT(" ",LEN(A190))),LEN(A190)))), LARGE(INDEX(ISNUMBER(--MID((--TRIM(RIGHT(SUBSTITUTE(LEFT(A190,_xlfn.AGGREGATE(16,6,FIND({0,1,2,3,4,5,6,7,8,9},A190,ROW(INDIRECT("1:"&amp;LEN(A190)))),1))," ",REPT(" ",LEN(A190))),LEN(A190)))), ROW(INDIRECT("1:"&amp;LEN((--TRIM(RIGHT(SUBSTITUTE(LEFT(A190,_xlfn.AGGREGATE(16,6,FIND({0,1,2,3,4,5,6,7,8,9},A190,ROW(INDIRECT("1:"&amp;LEN(A190)))),1))," ",REPT(" ",LEN(A190))),LEN(A190))))))), 1)) * ROW(INDIRECT("1:"&amp;LEN((--TRIM(RIGHT(SUBSTITUTE(LEFT(A190,_xlfn.AGGREGATE(16,6,FIND({0,1,2,3,4,5,6,7,8,9},A190,ROW(INDIRECT("1:"&amp;LEN(A190)))),1))," ",REPT(" ",LEN(A190))),LEN(A190))))))), 0), ROW(INDIRECT("1:"&amp;LEN((--TRIM(RIGHT(SUBSTITUTE(LEFT(A190,_xlfn.AGGREGATE(16,6,FIND({0,1,2,3,4,5,6,7,8,9},A190,ROW(INDIRECT("1:"&amp;LEN(A190)))),1))," ",REPT(" ",LEN(A190))),LEN(A190))))))))+1, 1) * 10^ROW(INDIRECT("1:"&amp;LEN((--TRIM(RIGHT(SUBSTITUTE(LEFT(A190,_xlfn.AGGREGATE(16,6,FIND({0,1,2,3,4,5,6,7,8,9},A190,ROW(INDIRECT("1:"&amp;LEN(A190)))),1))," ",REPT(" ",LEN(A190))),LEN(A190)))))))/10))*1+1</f>
        <v>204 &amp; 504</v>
      </c>
      <c r="B191" s="66"/>
      <c r="C191" s="52"/>
      <c r="D191" s="42"/>
      <c r="E191" s="42">
        <v>0</v>
      </c>
      <c r="F191" s="42">
        <f>D191*(($F$148)+1)+(IF(E191&lt;101,E191,IF(E191&lt;201,E191/2,IF(E191&lt;=301,E191/3,E191/4))))</f>
        <v>0</v>
      </c>
      <c r="G191" s="95"/>
      <c r="H191" s="96"/>
      <c r="I191" s="36"/>
    </row>
    <row r="192" spans="1:9" s="37" customFormat="1" ht="15.75" hidden="1" customHeight="1" x14ac:dyDescent="0.25">
      <c r="A192" s="65" t="str">
        <f ca="1">(SUMPRODUCT(MID(0&amp;(LEFT(A191,SUM(LEN(A191)-LEN(SUBSTITUTE(A191,{"0","1","2"},""))))), LARGE(INDEX(ISNUMBER(--MID((LEFT(A191,SUM(LEN(A191)-LEN(SUBSTITUTE(A191,{"0","1","2"},""))))), ROW(INDIRECT("1:"&amp;LEN((LEFT(A191,SUM(LEN(A191)-LEN(SUBSTITUTE(A191,{"0","1","2"},"")))))))), 1)) * ROW(INDIRECT("1:"&amp;LEN((LEFT(A191,SUM(LEN(A191)-LEN(SUBSTITUTE(A191,{"0","1","2"},"")))))))), 0), ROW(INDIRECT("1:"&amp;LEN((LEFT(A191,SUM(LEN(A191)-LEN(SUBSTITUTE(A191,{"0","1","2"},"")))))))))+1, 1) * 10^ROW(INDIRECT("1:"&amp;LEN((LEFT(A191,SUM(LEN(A191)-LEN(SUBSTITUTE(A191,{"0","1","2"},""))))))))/10))*1+1&amp;""&amp;" &amp; "&amp;""&amp;(SUMPRODUCT(MID(0&amp;(--TRIM(RIGHT(SUBSTITUTE(LEFT(A191,_xlfn.AGGREGATE(16,6,FIND({0,1,2,3,4,5,6,7,8,9},A191,ROW(INDIRECT("1:"&amp;LEN(A191)))),1))," ",REPT(" ",LEN(A191))),LEN(A191)))), LARGE(INDEX(ISNUMBER(--MID((--TRIM(RIGHT(SUBSTITUTE(LEFT(A191,_xlfn.AGGREGATE(16,6,FIND({0,1,2,3,4,5,6,7,8,9},A191,ROW(INDIRECT("1:"&amp;LEN(A191)))),1))," ",REPT(" ",LEN(A191))),LEN(A191)))), ROW(INDIRECT("1:"&amp;LEN((--TRIM(RIGHT(SUBSTITUTE(LEFT(A191,_xlfn.AGGREGATE(16,6,FIND({0,1,2,3,4,5,6,7,8,9},A191,ROW(INDIRECT("1:"&amp;LEN(A191)))),1))," ",REPT(" ",LEN(A191))),LEN(A191))))))), 1)) * ROW(INDIRECT("1:"&amp;LEN((--TRIM(RIGHT(SUBSTITUTE(LEFT(A191,_xlfn.AGGREGATE(16,6,FIND({0,1,2,3,4,5,6,7,8,9},A191,ROW(INDIRECT("1:"&amp;LEN(A191)))),1))," ",REPT(" ",LEN(A191))),LEN(A191))))))), 0), ROW(INDIRECT("1:"&amp;LEN((--TRIM(RIGHT(SUBSTITUTE(LEFT(A191,_xlfn.AGGREGATE(16,6,FIND({0,1,2,3,4,5,6,7,8,9},A191,ROW(INDIRECT("1:"&amp;LEN(A191)))),1))," ",REPT(" ",LEN(A191))),LEN(A191))))))))+1, 1) * 10^ROW(INDIRECT("1:"&amp;LEN((--TRIM(RIGHT(SUBSTITUTE(LEFT(A191,_xlfn.AGGREGATE(16,6,FIND({0,1,2,3,4,5,6,7,8,9},A191,ROW(INDIRECT("1:"&amp;LEN(A191)))),1))," ",REPT(" ",LEN(A191))),LEN(A191)))))))/10))*1+1</f>
        <v>205 &amp; 505</v>
      </c>
      <c r="B192" s="66"/>
      <c r="C192" s="52"/>
      <c r="D192" s="42"/>
      <c r="E192" s="42">
        <v>0</v>
      </c>
      <c r="F192" s="42">
        <f>D192*(($F$148)+1)+(IF(E192&lt;101,E192,IF(E192&lt;201,E192/2,IF(E192&lt;=301,E192/3,E192/4))))</f>
        <v>0</v>
      </c>
      <c r="G192" s="97"/>
      <c r="H192" s="98"/>
      <c r="I192" s="36"/>
    </row>
    <row r="193" spans="1:8" s="35" customFormat="1" x14ac:dyDescent="0.25">
      <c r="A193" s="87" t="s">
        <v>70</v>
      </c>
      <c r="B193" s="87"/>
      <c r="C193" s="87"/>
      <c r="D193" s="87"/>
      <c r="E193" s="87"/>
      <c r="F193" s="87"/>
      <c r="G193" s="87"/>
      <c r="H193" s="87"/>
    </row>
    <row r="194" spans="1:8" s="35" customFormat="1" ht="32.25" customHeight="1" x14ac:dyDescent="0.25">
      <c r="A194" s="47" t="s">
        <v>163</v>
      </c>
      <c r="B194" s="99" t="s">
        <v>225</v>
      </c>
      <c r="C194" s="100"/>
      <c r="D194" s="100"/>
      <c r="E194" s="100"/>
      <c r="F194" s="100"/>
      <c r="G194" s="100"/>
      <c r="H194" s="101"/>
    </row>
    <row r="195" spans="1:8" s="35" customFormat="1" x14ac:dyDescent="0.25">
      <c r="A195" s="47" t="s">
        <v>163</v>
      </c>
      <c r="B195" s="99" t="str">
        <f>(IF(F147="Saleable area Loading :","We have considered Saleable area of Flats as per our Calculation.","We considered Saleable area of Flat as per Builder area Sheet."))</f>
        <v>We have considered Saleable area of Flats as per our Calculation.</v>
      </c>
      <c r="C195" s="100"/>
      <c r="D195" s="100"/>
      <c r="E195" s="100"/>
      <c r="F195" s="100"/>
      <c r="G195" s="100"/>
      <c r="H195" s="101"/>
    </row>
    <row r="196" spans="1:8" s="35" customFormat="1" x14ac:dyDescent="0.25">
      <c r="A196" s="47" t="s">
        <v>163</v>
      </c>
      <c r="B196" s="99" t="str">
        <f>(IF(F132="Saleable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6" s="100"/>
      <c r="D196" s="100"/>
      <c r="E196" s="100"/>
      <c r="F196" s="100"/>
      <c r="G196" s="100"/>
      <c r="H196" s="101"/>
    </row>
    <row r="197" spans="1:8" s="35" customFormat="1" x14ac:dyDescent="0.25">
      <c r="A197" s="47" t="s">
        <v>163</v>
      </c>
      <c r="B197" s="73" t="s">
        <v>128</v>
      </c>
      <c r="C197" s="74"/>
      <c r="D197" s="74"/>
      <c r="E197" s="74"/>
      <c r="F197" s="74"/>
      <c r="G197" s="74"/>
      <c r="H197" s="75"/>
    </row>
    <row r="198" spans="1:8" s="35" customFormat="1" x14ac:dyDescent="0.25">
      <c r="A198" s="47" t="s">
        <v>163</v>
      </c>
      <c r="B198" s="73" t="s">
        <v>129</v>
      </c>
      <c r="C198" s="74"/>
      <c r="D198" s="74"/>
      <c r="E198" s="74"/>
      <c r="F198" s="74"/>
      <c r="G198" s="74"/>
      <c r="H198" s="75"/>
    </row>
    <row r="199" spans="1:8" s="35" customFormat="1" x14ac:dyDescent="0.25">
      <c r="A199" s="47" t="s">
        <v>163</v>
      </c>
      <c r="B199" s="73" t="s">
        <v>162</v>
      </c>
      <c r="C199" s="74"/>
      <c r="D199" s="74"/>
      <c r="E199" s="74"/>
      <c r="F199" s="74"/>
      <c r="G199" s="74"/>
      <c r="H199" s="75"/>
    </row>
    <row r="200" spans="1:8" s="35" customFormat="1" x14ac:dyDescent="0.25">
      <c r="A200" s="47" t="s">
        <v>163</v>
      </c>
      <c r="B200" s="73" t="s">
        <v>130</v>
      </c>
      <c r="C200" s="74"/>
      <c r="D200" s="74"/>
      <c r="E200" s="74"/>
      <c r="F200" s="74"/>
      <c r="G200" s="74"/>
      <c r="H200" s="75"/>
    </row>
    <row r="201" spans="1:8" s="35" customFormat="1" ht="34.5" customHeight="1" x14ac:dyDescent="0.25">
      <c r="A201" s="47" t="s">
        <v>163</v>
      </c>
      <c r="B201" s="73" t="s">
        <v>164</v>
      </c>
      <c r="C201" s="74"/>
      <c r="D201" s="74"/>
      <c r="E201" s="74"/>
      <c r="F201" s="74"/>
      <c r="G201" s="74"/>
      <c r="H201" s="75"/>
    </row>
    <row r="202" spans="1:8" s="35" customFormat="1" x14ac:dyDescent="0.25">
      <c r="A202" s="47" t="s">
        <v>163</v>
      </c>
      <c r="B202" s="73" t="s">
        <v>131</v>
      </c>
      <c r="C202" s="74"/>
      <c r="D202" s="74"/>
      <c r="E202" s="74"/>
      <c r="F202" s="74"/>
      <c r="G202" s="74"/>
      <c r="H202" s="75"/>
    </row>
    <row r="203" spans="1:8" x14ac:dyDescent="0.25">
      <c r="A203" s="169" t="s">
        <v>63</v>
      </c>
      <c r="B203" s="169"/>
      <c r="C203" s="169"/>
      <c r="D203" s="169"/>
      <c r="E203" s="169"/>
      <c r="F203" s="169"/>
      <c r="G203" s="169"/>
      <c r="H203" s="169"/>
    </row>
    <row r="204" spans="1:8" x14ac:dyDescent="0.25">
      <c r="A204" s="67" t="s">
        <v>64</v>
      </c>
      <c r="B204" s="67"/>
      <c r="C204" s="67"/>
      <c r="D204" s="67"/>
      <c r="E204" s="67"/>
      <c r="F204" s="67"/>
      <c r="G204" s="67"/>
      <c r="H204" s="67"/>
    </row>
    <row r="205" spans="1:8" ht="15.75" customHeight="1" x14ac:dyDescent="0.25">
      <c r="A205" s="193" t="s">
        <v>65</v>
      </c>
      <c r="B205" s="193"/>
      <c r="C205" s="193"/>
      <c r="D205" s="193"/>
      <c r="E205" s="193"/>
      <c r="F205" s="193"/>
      <c r="G205" s="193"/>
      <c r="H205" s="193"/>
    </row>
    <row r="206" spans="1:8" x14ac:dyDescent="0.25">
      <c r="A206" s="67" t="s">
        <v>66</v>
      </c>
      <c r="B206" s="67"/>
      <c r="C206" s="67"/>
      <c r="D206" s="67"/>
      <c r="E206" s="67"/>
      <c r="F206" s="67"/>
      <c r="G206" s="67"/>
      <c r="H206" s="67"/>
    </row>
    <row r="207" spans="1:8" x14ac:dyDescent="0.25">
      <c r="A207" s="67" t="s">
        <v>67</v>
      </c>
      <c r="B207" s="67"/>
      <c r="C207" s="67"/>
      <c r="D207" s="67"/>
      <c r="E207" s="67"/>
      <c r="F207" s="67"/>
      <c r="G207" s="67"/>
      <c r="H207" s="67"/>
    </row>
    <row r="208" spans="1:8" x14ac:dyDescent="0.25">
      <c r="A208" s="67" t="s">
        <v>132</v>
      </c>
      <c r="B208" s="67"/>
      <c r="C208" s="67"/>
      <c r="D208" s="67"/>
      <c r="E208" s="67"/>
      <c r="F208" s="67"/>
      <c r="G208" s="67"/>
      <c r="H208" s="67"/>
    </row>
    <row r="209" spans="1:8" x14ac:dyDescent="0.25">
      <c r="A209" s="130" t="s">
        <v>133</v>
      </c>
      <c r="B209" s="130"/>
      <c r="C209" s="130"/>
      <c r="D209" s="130"/>
      <c r="E209" s="130"/>
      <c r="F209" s="130"/>
      <c r="G209" s="130"/>
      <c r="H209" s="130"/>
    </row>
    <row r="210" spans="1:8" x14ac:dyDescent="0.25">
      <c r="A210" s="166" t="s">
        <v>80</v>
      </c>
      <c r="B210" s="166"/>
      <c r="C210" s="166" t="s">
        <v>217</v>
      </c>
      <c r="D210" s="166"/>
      <c r="E210" s="166" t="s">
        <v>108</v>
      </c>
      <c r="F210" s="166"/>
      <c r="G210" s="166" t="s">
        <v>223</v>
      </c>
      <c r="H210" s="166"/>
    </row>
    <row r="211" spans="1:8" x14ac:dyDescent="0.25">
      <c r="A211" s="165" t="s">
        <v>82</v>
      </c>
      <c r="B211" s="165"/>
      <c r="C211" s="165"/>
      <c r="D211" s="165"/>
      <c r="E211" s="165"/>
      <c r="F211" s="165"/>
      <c r="G211" s="165"/>
      <c r="H211" s="165"/>
    </row>
    <row r="212" spans="1:8" x14ac:dyDescent="0.25">
      <c r="A212" s="165"/>
      <c r="B212" s="165"/>
      <c r="C212" s="165"/>
      <c r="D212" s="165"/>
      <c r="E212" s="165"/>
      <c r="F212" s="165"/>
      <c r="G212" s="165"/>
      <c r="H212" s="165"/>
    </row>
    <row r="213" spans="1:8" x14ac:dyDescent="0.25">
      <c r="A213" s="165"/>
      <c r="B213" s="165"/>
      <c r="C213" s="165"/>
      <c r="D213" s="165"/>
      <c r="E213" s="165"/>
      <c r="F213" s="165"/>
      <c r="G213" s="165"/>
      <c r="H213" s="165"/>
    </row>
    <row r="214" spans="1:8" x14ac:dyDescent="0.25">
      <c r="A214" s="165"/>
      <c r="B214" s="165"/>
      <c r="C214" s="165"/>
      <c r="D214" s="165"/>
      <c r="E214" s="165"/>
      <c r="F214" s="165"/>
      <c r="G214" s="165"/>
      <c r="H214" s="165"/>
    </row>
    <row r="215" spans="1:8" x14ac:dyDescent="0.25">
      <c r="A215" s="38" t="s">
        <v>68</v>
      </c>
      <c r="B215" s="39"/>
      <c r="C215" s="39"/>
      <c r="D215" s="38" t="str">
        <f>E8</f>
        <v>Eco Luxuria Pride</v>
      </c>
      <c r="F215" s="39"/>
      <c r="G215" s="39"/>
      <c r="H215" s="39"/>
    </row>
    <row r="216" spans="1:8" x14ac:dyDescent="0.25">
      <c r="A216" s="39"/>
      <c r="B216" s="39"/>
      <c r="C216" s="39"/>
      <c r="D216" s="39"/>
      <c r="E216" s="39"/>
      <c r="F216" s="39"/>
      <c r="G216" s="39"/>
      <c r="H216" s="39"/>
    </row>
    <row r="217" spans="1:8" x14ac:dyDescent="0.25">
      <c r="A217" s="39"/>
      <c r="B217" s="39"/>
      <c r="C217" s="39"/>
      <c r="D217" s="39"/>
      <c r="E217" s="39"/>
      <c r="F217" s="39"/>
      <c r="G217" s="39"/>
      <c r="H217" s="39"/>
    </row>
    <row r="218" spans="1:8" ht="15" customHeight="1" x14ac:dyDescent="0.25"/>
    <row r="219" spans="1:8" x14ac:dyDescent="0.25">
      <c r="B219" s="39"/>
    </row>
    <row r="257" spans="1:1" x14ac:dyDescent="0.25">
      <c r="A257" s="41" t="s">
        <v>177</v>
      </c>
    </row>
    <row r="299" spans="1:1" x14ac:dyDescent="0.25">
      <c r="A299" s="41" t="s">
        <v>69</v>
      </c>
    </row>
  </sheetData>
  <mergeCells count="367">
    <mergeCell ref="C37:H37"/>
    <mergeCell ref="A16:B16"/>
    <mergeCell ref="C16:H16"/>
    <mergeCell ref="E41:H41"/>
    <mergeCell ref="A41:D41"/>
    <mergeCell ref="A208:H208"/>
    <mergeCell ref="A205:H205"/>
    <mergeCell ref="A170:B170"/>
    <mergeCell ref="A125:B125"/>
    <mergeCell ref="D147:D148"/>
    <mergeCell ref="E147:E148"/>
    <mergeCell ref="G147:H148"/>
    <mergeCell ref="A105:B105"/>
    <mergeCell ref="A90:B90"/>
    <mergeCell ref="F110:H110"/>
    <mergeCell ref="G123:H123"/>
    <mergeCell ref="A108:B108"/>
    <mergeCell ref="A48:B48"/>
    <mergeCell ref="C48:E48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A118:E118"/>
    <mergeCell ref="C123:D123"/>
    <mergeCell ref="E123:F123"/>
    <mergeCell ref="G122:H122"/>
    <mergeCell ref="C126:D126"/>
    <mergeCell ref="E126:F126"/>
    <mergeCell ref="G126:H126"/>
    <mergeCell ref="C69:H69"/>
    <mergeCell ref="A70:B70"/>
    <mergeCell ref="E70:F70"/>
    <mergeCell ref="G70:H70"/>
    <mergeCell ref="A71:B71"/>
    <mergeCell ref="E71:F80"/>
    <mergeCell ref="G71:H80"/>
    <mergeCell ref="A72:B72"/>
    <mergeCell ref="A73:B73"/>
    <mergeCell ref="A74:B74"/>
    <mergeCell ref="A75:B75"/>
    <mergeCell ref="C97:H97"/>
    <mergeCell ref="A98:B98"/>
    <mergeCell ref="G50:H50"/>
    <mergeCell ref="D54:H54"/>
    <mergeCell ref="C50:E50"/>
    <mergeCell ref="A57:C59"/>
    <mergeCell ref="D57:H57"/>
    <mergeCell ref="D58:H58"/>
    <mergeCell ref="D59:H59"/>
    <mergeCell ref="A122:B122"/>
    <mergeCell ref="G127:H127"/>
    <mergeCell ref="C125:D125"/>
    <mergeCell ref="G125:H125"/>
    <mergeCell ref="G85:H94"/>
    <mergeCell ref="A93:B93"/>
    <mergeCell ref="A94:B94"/>
    <mergeCell ref="D61:H61"/>
    <mergeCell ref="D64:H64"/>
    <mergeCell ref="A65:C65"/>
    <mergeCell ref="D65:H65"/>
    <mergeCell ref="A85:B85"/>
    <mergeCell ref="G84:H84"/>
    <mergeCell ref="A92:B92"/>
    <mergeCell ref="A67:B67"/>
    <mergeCell ref="C67:H67"/>
    <mergeCell ref="A69:B69"/>
    <mergeCell ref="A128:B128"/>
    <mergeCell ref="C128:D128"/>
    <mergeCell ref="E128:F128"/>
    <mergeCell ref="G128:H128"/>
    <mergeCell ref="C122:D122"/>
    <mergeCell ref="A127:B127"/>
    <mergeCell ref="C127:D127"/>
    <mergeCell ref="A192:B192"/>
    <mergeCell ref="A191:B191"/>
    <mergeCell ref="A130:H130"/>
    <mergeCell ref="A180:B180"/>
    <mergeCell ref="A190:B190"/>
    <mergeCell ref="A187:H187"/>
    <mergeCell ref="A188:B188"/>
    <mergeCell ref="A189:B189"/>
    <mergeCell ref="A131:H131"/>
    <mergeCell ref="A179:B179"/>
    <mergeCell ref="A176:B176"/>
    <mergeCell ref="A164:H164"/>
    <mergeCell ref="A160:H160"/>
    <mergeCell ref="A161:H161"/>
    <mergeCell ref="A162:B162"/>
    <mergeCell ref="A163:B163"/>
    <mergeCell ref="G156:H159"/>
    <mergeCell ref="A134:H134"/>
    <mergeCell ref="G136:H145"/>
    <mergeCell ref="A149:H149"/>
    <mergeCell ref="A150:H150"/>
    <mergeCell ref="A151:B151"/>
    <mergeCell ref="G151:H153"/>
    <mergeCell ref="A152:B152"/>
    <mergeCell ref="A153:B153"/>
    <mergeCell ref="A154:H154"/>
    <mergeCell ref="C147:C148"/>
    <mergeCell ref="A145:B145"/>
    <mergeCell ref="A211:H214"/>
    <mergeCell ref="A210:B210"/>
    <mergeCell ref="E210:F210"/>
    <mergeCell ref="C210:D210"/>
    <mergeCell ref="G210:H210"/>
    <mergeCell ref="A121:H121"/>
    <mergeCell ref="A119:E119"/>
    <mergeCell ref="F119:H119"/>
    <mergeCell ref="A120:E120"/>
    <mergeCell ref="F120:H120"/>
    <mergeCell ref="A169:H169"/>
    <mergeCell ref="A126:B126"/>
    <mergeCell ref="A178:B178"/>
    <mergeCell ref="A123:B123"/>
    <mergeCell ref="A206:H206"/>
    <mergeCell ref="A124:H124"/>
    <mergeCell ref="A209:H209"/>
    <mergeCell ref="A207:H207"/>
    <mergeCell ref="A203:H203"/>
    <mergeCell ref="A204:H204"/>
    <mergeCell ref="E125:F125"/>
    <mergeCell ref="B202:H202"/>
    <mergeCell ref="B200:H200"/>
    <mergeCell ref="B196:H19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60:C60"/>
    <mergeCell ref="F35:H35"/>
    <mergeCell ref="A37:B37"/>
    <mergeCell ref="A38:B38"/>
    <mergeCell ref="C38:H38"/>
    <mergeCell ref="A44:D44"/>
    <mergeCell ref="A45:D45"/>
    <mergeCell ref="A46:H46"/>
    <mergeCell ref="D56:H56"/>
    <mergeCell ref="A56:C56"/>
    <mergeCell ref="G49:H49"/>
    <mergeCell ref="A50:B51"/>
    <mergeCell ref="G48:H48"/>
    <mergeCell ref="A42:D42"/>
    <mergeCell ref="E42:H42"/>
    <mergeCell ref="E43:H43"/>
    <mergeCell ref="E44:H44"/>
    <mergeCell ref="E45:H45"/>
    <mergeCell ref="A43:D43"/>
    <mergeCell ref="A91:B91"/>
    <mergeCell ref="A84:B84"/>
    <mergeCell ref="A87:B87"/>
    <mergeCell ref="A83:B83"/>
    <mergeCell ref="A81:B81"/>
    <mergeCell ref="C81:H81"/>
    <mergeCell ref="A89:B89"/>
    <mergeCell ref="A62:C62"/>
    <mergeCell ref="D62:H62"/>
    <mergeCell ref="C83:H83"/>
    <mergeCell ref="A86:B86"/>
    <mergeCell ref="A88:B88"/>
    <mergeCell ref="E84:F84"/>
    <mergeCell ref="A63:C63"/>
    <mergeCell ref="D63:H63"/>
    <mergeCell ref="A66:C66"/>
    <mergeCell ref="D66:H66"/>
    <mergeCell ref="A64:C64"/>
    <mergeCell ref="A61:C61"/>
    <mergeCell ref="D60:H60"/>
    <mergeCell ref="E85:F94"/>
    <mergeCell ref="L139:M139"/>
    <mergeCell ref="E127:F127"/>
    <mergeCell ref="L145:M145"/>
    <mergeCell ref="A110:E110"/>
    <mergeCell ref="A95:B95"/>
    <mergeCell ref="C95:H95"/>
    <mergeCell ref="A135:H135"/>
    <mergeCell ref="E132:E133"/>
    <mergeCell ref="G132:H133"/>
    <mergeCell ref="A99:B99"/>
    <mergeCell ref="E99:F108"/>
    <mergeCell ref="F109:H109"/>
    <mergeCell ref="F114:H114"/>
    <mergeCell ref="A129:B129"/>
    <mergeCell ref="E129:F129"/>
    <mergeCell ref="G99:H108"/>
    <mergeCell ref="B132:B133"/>
    <mergeCell ref="A132:A133"/>
    <mergeCell ref="C129:D129"/>
    <mergeCell ref="F118:H118"/>
    <mergeCell ref="E122:F122"/>
    <mergeCell ref="A144:B144"/>
    <mergeCell ref="F117:H117"/>
    <mergeCell ref="A97:B97"/>
    <mergeCell ref="A177:B177"/>
    <mergeCell ref="L169:M169"/>
    <mergeCell ref="A146:H146"/>
    <mergeCell ref="A147:A148"/>
    <mergeCell ref="A174:B174"/>
    <mergeCell ref="A171:B171"/>
    <mergeCell ref="A172:B172"/>
    <mergeCell ref="A173:B173"/>
    <mergeCell ref="L168:M168"/>
    <mergeCell ref="L165:M165"/>
    <mergeCell ref="A166:B166"/>
    <mergeCell ref="L166:M166"/>
    <mergeCell ref="A167:B167"/>
    <mergeCell ref="L167:M167"/>
    <mergeCell ref="A155:H155"/>
    <mergeCell ref="A156:B156"/>
    <mergeCell ref="A157:B157"/>
    <mergeCell ref="A158:B158"/>
    <mergeCell ref="G162:H163"/>
    <mergeCell ref="A159:B159"/>
    <mergeCell ref="A76:B76"/>
    <mergeCell ref="F116:H116"/>
    <mergeCell ref="B197:H197"/>
    <mergeCell ref="B198:H198"/>
    <mergeCell ref="A193:H193"/>
    <mergeCell ref="A185:B185"/>
    <mergeCell ref="A186:B186"/>
    <mergeCell ref="C132:C133"/>
    <mergeCell ref="B147:B148"/>
    <mergeCell ref="A181:H181"/>
    <mergeCell ref="A175:H175"/>
    <mergeCell ref="A168:B168"/>
    <mergeCell ref="A165:B165"/>
    <mergeCell ref="G165:H168"/>
    <mergeCell ref="G170:H174"/>
    <mergeCell ref="G176:H180"/>
    <mergeCell ref="G182:H186"/>
    <mergeCell ref="G188:H192"/>
    <mergeCell ref="A182:B182"/>
    <mergeCell ref="A183:B183"/>
    <mergeCell ref="A184:B184"/>
    <mergeCell ref="A142:B142"/>
    <mergeCell ref="B194:H194"/>
    <mergeCell ref="B195:H195"/>
    <mergeCell ref="E98:F98"/>
    <mergeCell ref="L142:M142"/>
    <mergeCell ref="A143:B143"/>
    <mergeCell ref="L143:M143"/>
    <mergeCell ref="L144:M144"/>
    <mergeCell ref="B201:H201"/>
    <mergeCell ref="A47:B47"/>
    <mergeCell ref="C47:H47"/>
    <mergeCell ref="B199:H199"/>
    <mergeCell ref="A100:B100"/>
    <mergeCell ref="A101:B101"/>
    <mergeCell ref="F111:H111"/>
    <mergeCell ref="A111:E111"/>
    <mergeCell ref="D132:D133"/>
    <mergeCell ref="A113:E113"/>
    <mergeCell ref="A136:B136"/>
    <mergeCell ref="A137:B137"/>
    <mergeCell ref="A138:B138"/>
    <mergeCell ref="A139:B139"/>
    <mergeCell ref="A114:E114"/>
    <mergeCell ref="G129:H129"/>
    <mergeCell ref="C51:H51"/>
    <mergeCell ref="A140:B140"/>
    <mergeCell ref="L138:M138"/>
    <mergeCell ref="I10:L10"/>
    <mergeCell ref="A77:B77"/>
    <mergeCell ref="A78:B78"/>
    <mergeCell ref="A79:B79"/>
    <mergeCell ref="A80:B80"/>
    <mergeCell ref="L137:M137"/>
    <mergeCell ref="L136:M136"/>
    <mergeCell ref="L140:M140"/>
    <mergeCell ref="A141:B141"/>
    <mergeCell ref="L141:M141"/>
    <mergeCell ref="A115:E115"/>
    <mergeCell ref="F115:H115"/>
    <mergeCell ref="A117:E117"/>
    <mergeCell ref="F112:H112"/>
    <mergeCell ref="A116:E116"/>
    <mergeCell ref="A102:B102"/>
    <mergeCell ref="A103:B103"/>
    <mergeCell ref="A104:B104"/>
    <mergeCell ref="A106:B106"/>
    <mergeCell ref="A107:B107"/>
    <mergeCell ref="A112:E112"/>
    <mergeCell ref="A109:E109"/>
    <mergeCell ref="F113:H113"/>
    <mergeCell ref="G98:H98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80" max="16383" man="1"/>
    <brk id="214" max="16383" man="1"/>
    <brk id="256" max="16383" man="1"/>
    <brk id="29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9" t="s">
        <v>109</v>
      </c>
      <c r="C3" s="199"/>
      <c r="D3" s="199"/>
      <c r="E3" s="199"/>
      <c r="F3" s="199"/>
      <c r="G3" s="199"/>
      <c r="H3" s="199"/>
    </row>
    <row r="4" spans="1:9" x14ac:dyDescent="0.25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2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2025-09-16T13:05:18Z</cp:lastPrinted>
  <dcterms:created xsi:type="dcterms:W3CDTF">2019-07-16T09:29:46Z</dcterms:created>
  <dcterms:modified xsi:type="dcterms:W3CDTF">2025-09-17T06:19:59Z</dcterms:modified>
</cp:coreProperties>
</file>