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4EAE7300-F116-4265-98EF-AC1DA89F1ED8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5" i="1" l="1"/>
  <c r="L116" i="1"/>
  <c r="L117" i="1"/>
  <c r="L118" i="1"/>
  <c r="L119" i="1"/>
  <c r="L120" i="1"/>
  <c r="L121" i="1"/>
  <c r="L122" i="1"/>
  <c r="L123" i="1"/>
  <c r="L124" i="1"/>
  <c r="L125" i="1"/>
  <c r="L114" i="1"/>
  <c r="K115" i="1"/>
  <c r="K116" i="1"/>
  <c r="K114" i="1"/>
  <c r="K118" i="1"/>
  <c r="K117" i="1"/>
  <c r="J120" i="1"/>
  <c r="J126" i="1"/>
  <c r="J131" i="1"/>
  <c r="J137" i="1"/>
  <c r="J143" i="1"/>
  <c r="J149" i="1"/>
  <c r="I90" i="1" l="1"/>
  <c r="J86" i="1"/>
  <c r="J84" i="1"/>
  <c r="G100" i="1"/>
  <c r="D125" i="1"/>
  <c r="J125" i="1" s="1"/>
  <c r="D124" i="1"/>
  <c r="J124" i="1" s="1"/>
  <c r="D123" i="1"/>
  <c r="J123" i="1" s="1"/>
  <c r="D122" i="1"/>
  <c r="J122" i="1" s="1"/>
  <c r="D121" i="1"/>
  <c r="J121" i="1" s="1"/>
  <c r="D119" i="1"/>
  <c r="J119" i="1" s="1"/>
  <c r="D118" i="1"/>
  <c r="J118" i="1" s="1"/>
  <c r="D117" i="1"/>
  <c r="J117" i="1" s="1"/>
  <c r="D116" i="1"/>
  <c r="J116" i="1" s="1"/>
  <c r="D115" i="1"/>
  <c r="J115" i="1" s="1"/>
  <c r="D114" i="1"/>
  <c r="J114" i="1" s="1"/>
  <c r="J112" i="1"/>
  <c r="G121" i="1"/>
  <c r="A121" i="1"/>
  <c r="A122" i="1" s="1"/>
  <c r="A123" i="1" s="1"/>
  <c r="A124" i="1" s="1"/>
  <c r="A125" i="1" s="1"/>
  <c r="G114" i="1"/>
  <c r="A114" i="1"/>
  <c r="E100" i="1" l="1"/>
  <c r="C100" i="1"/>
  <c r="E42" i="1"/>
  <c r="E43" i="1" s="1"/>
  <c r="A115" i="1"/>
  <c r="C14" i="1" l="1"/>
  <c r="A116" i="1"/>
  <c r="E29" i="1" l="1"/>
  <c r="A117" i="1"/>
  <c r="F128" i="1" l="1"/>
  <c r="J128" i="1" s="1"/>
  <c r="F129" i="1"/>
  <c r="J129" i="1" s="1"/>
  <c r="F130" i="1"/>
  <c r="J130" i="1" s="1"/>
  <c r="F127" i="1"/>
  <c r="J127" i="1" s="1"/>
  <c r="A128" i="1"/>
  <c r="A129" i="1" s="1"/>
  <c r="A130" i="1" s="1"/>
  <c r="G127" i="1"/>
  <c r="G128" i="1" s="1"/>
  <c r="G129" i="1" s="1"/>
  <c r="G130" i="1" s="1"/>
  <c r="A118" i="1"/>
  <c r="F92" i="1" l="1"/>
  <c r="A119" i="1"/>
  <c r="F107" i="1" l="1"/>
  <c r="F108" i="1"/>
  <c r="F109" i="1"/>
  <c r="F106" i="1"/>
  <c r="B157" i="1" l="1"/>
  <c r="A138" i="1"/>
  <c r="A144" i="1"/>
  <c r="A150" i="1"/>
  <c r="F154" i="1" l="1"/>
  <c r="J154" i="1" s="1"/>
  <c r="F153" i="1"/>
  <c r="J153" i="1" s="1"/>
  <c r="F152" i="1"/>
  <c r="J152" i="1" s="1"/>
  <c r="F151" i="1"/>
  <c r="J151" i="1" s="1"/>
  <c r="F150" i="1"/>
  <c r="J150" i="1" s="1"/>
  <c r="F148" i="1"/>
  <c r="J148" i="1" s="1"/>
  <c r="F147" i="1"/>
  <c r="J147" i="1" s="1"/>
  <c r="F146" i="1"/>
  <c r="J146" i="1" s="1"/>
  <c r="F145" i="1"/>
  <c r="J145" i="1" s="1"/>
  <c r="F144" i="1"/>
  <c r="J144" i="1" s="1"/>
  <c r="F142" i="1"/>
  <c r="J142" i="1" s="1"/>
  <c r="F141" i="1"/>
  <c r="J141" i="1" s="1"/>
  <c r="F140" i="1"/>
  <c r="J140" i="1" s="1"/>
  <c r="F139" i="1"/>
  <c r="J139" i="1" s="1"/>
  <c r="F138" i="1"/>
  <c r="J138" i="1" s="1"/>
  <c r="F136" i="1"/>
  <c r="J136" i="1" s="1"/>
  <c r="F135" i="1"/>
  <c r="J135" i="1" s="1"/>
  <c r="F133" i="1"/>
  <c r="J133" i="1" s="1"/>
  <c r="F132" i="1"/>
  <c r="J132" i="1" s="1"/>
  <c r="F134" i="1"/>
  <c r="J134" i="1" s="1"/>
  <c r="A145" i="1"/>
  <c r="A151" i="1"/>
  <c r="A139" i="1"/>
  <c r="B158" i="1" l="1"/>
  <c r="A140" i="1"/>
  <c r="A146" i="1"/>
  <c r="A15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77" i="1"/>
  <c r="G150" i="1"/>
  <c r="G151" i="1" s="1"/>
  <c r="G152" i="1" s="1"/>
  <c r="G153" i="1" s="1"/>
  <c r="G154" i="1" s="1"/>
  <c r="G144" i="1"/>
  <c r="G145" i="1" s="1"/>
  <c r="G146" i="1" s="1"/>
  <c r="G147" i="1" s="1"/>
  <c r="G148" i="1" s="1"/>
  <c r="G138" i="1"/>
  <c r="G139" i="1" s="1"/>
  <c r="G140" i="1" s="1"/>
  <c r="G141" i="1" s="1"/>
  <c r="G142" i="1" s="1"/>
  <c r="G132" i="1"/>
  <c r="G133" i="1" s="1"/>
  <c r="G134" i="1" s="1"/>
  <c r="G135" i="1" s="1"/>
  <c r="G136" i="1" s="1"/>
  <c r="A132" i="1"/>
  <c r="A133" i="1" s="1"/>
  <c r="A134" i="1" s="1"/>
  <c r="A135" i="1" s="1"/>
  <c r="A136" i="1" s="1"/>
  <c r="A107" i="1"/>
  <c r="A108" i="1" s="1"/>
  <c r="A109" i="1" s="1"/>
  <c r="G106" i="1"/>
  <c r="G107" i="1" s="1"/>
  <c r="G108" i="1" s="1"/>
  <c r="G109" i="1" s="1"/>
  <c r="J76" i="1"/>
  <c r="J75" i="1"/>
  <c r="J74" i="1"/>
  <c r="J73" i="1"/>
  <c r="C65" i="1"/>
  <c r="D54" i="1"/>
  <c r="G49" i="1"/>
  <c r="G50" i="1" s="1"/>
  <c r="C49" i="1"/>
  <c r="E26" i="1"/>
  <c r="E24" i="1"/>
  <c r="E7" i="1"/>
  <c r="E3" i="1"/>
  <c r="A153" i="1"/>
  <c r="A141" i="1"/>
  <c r="A147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A154" i="1"/>
  <c r="A142" i="1"/>
  <c r="A148" i="1"/>
  <c r="J77" i="1" l="1"/>
  <c r="E69" i="1" s="1"/>
  <c r="D71" i="1"/>
  <c r="J67" i="1"/>
  <c r="D69" i="1"/>
  <c r="J78" i="1" l="1"/>
  <c r="J66" i="1" s="1"/>
  <c r="G69" i="1"/>
  <c r="D63" i="1" s="1"/>
  <c r="D64" i="1" s="1"/>
  <c r="D70" i="1"/>
  <c r="I66" i="1" s="1"/>
  <c r="F64" i="1" l="1"/>
  <c r="I67" i="1"/>
  <c r="I65" i="1" s="1"/>
  <c r="C67" i="1" s="1"/>
</calcChain>
</file>

<file path=xl/sharedStrings.xml><?xml version="1.0" encoding="utf-8"?>
<sst xmlns="http://schemas.openxmlformats.org/spreadsheetml/2006/main" count="273" uniqueCount="221">
  <si>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</si>
  <si>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</si>
  <si>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</si>
  <si>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</si>
  <si>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</si>
  <si>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</si>
  <si>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</si>
  <si>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</si>
  <si>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</si>
  <si>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</si>
  <si>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</si>
  <si>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</si>
  <si>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</si>
  <si>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</si>
  <si>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</si>
  <si>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</si>
  <si>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</si>
  <si>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</si>
  <si>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</si>
  <si>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</si>
  <si>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</si>
  <si>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</si>
  <si>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</si>
  <si>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</si>
  <si>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</si>
  <si>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</si>
  <si>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</si>
  <si>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</si>
  <si>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</si>
  <si>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</si>
  <si>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</si>
  <si>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</si>
  <si>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</si>
  <si>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</si>
  <si>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</si>
  <si>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</si>
  <si>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</si>
  <si>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</si>
  <si>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</si>
  <si>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</si>
  <si>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</si>
  <si>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</si>
  <si>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</si>
  <si>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</si>
  <si>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</si>
  <si>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</si>
  <si>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</si>
  <si>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</si>
  <si>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</si>
  <si>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</si>
  <si>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</si>
  <si>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</si>
  <si>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</si>
  <si>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</si>
  <si>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</si>
  <si>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</si>
  <si>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</si>
  <si>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</si>
  <si>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</si>
  <si>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</si>
  <si>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</si>
  <si>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</si>
  <si>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</si>
  <si>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</si>
  <si>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</si>
  <si>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</si>
  <si>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</si>
  <si>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</si>
  <si>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</si>
  <si>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</si>
  <si>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</si>
  <si>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</si>
  <si>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</si>
  <si>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</si>
  <si>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</si>
  <si>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</si>
  <si>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</si>
  <si>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</si>
  <si>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</si>
  <si>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</si>
  <si>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</si>
  <si>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</si>
  <si>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</si>
  <si>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</si>
  <si>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</si>
  <si>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</si>
  <si>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</si>
  <si>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</si>
  <si>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</si>
  <si>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</si>
  <si>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</si>
  <si>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</si>
  <si>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</si>
  <si>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</si>
  <si>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</si>
  <si>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</si>
  <si>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</si>
  <si>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</si>
  <si>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</si>
  <si>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</si>
  <si>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</si>
  <si>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</si>
  <si>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</si>
  <si>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</si>
  <si>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</si>
  <si>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</si>
  <si>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</si>
  <si>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</si>
  <si>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</si>
  <si>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</si>
  <si>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</si>
  <si>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</si>
  <si>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</si>
  <si>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</si>
  <si>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</si>
  <si>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</si>
  <si>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</si>
  <si>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</si>
  <si>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</si>
  <si>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</si>
  <si>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</si>
  <si>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</si>
  <si>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</si>
  <si>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</si>
  <si>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</si>
  <si>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</si>
  <si>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</si>
  <si>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</si>
  <si>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</si>
  <si>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</si>
  <si>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</si>
  <si>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</si>
  <si>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</si>
  <si>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</si>
  <si>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</si>
  <si>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</si>
  <si>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</si>
  <si>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</si>
  <si>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</si>
  <si>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</si>
  <si>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</si>
  <si>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</si>
  <si>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</si>
  <si>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</si>
  <si>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</si>
  <si>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</si>
  <si>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</si>
  <si>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</si>
  <si>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</si>
  <si>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</si>
  <si>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</si>
  <si>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</si>
  <si>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</si>
  <si>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</si>
  <si>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</si>
  <si>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</si>
  <si>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</si>
  <si>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</si>
  <si>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</si>
  <si>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</si>
  <si>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</si>
  <si>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</si>
  <si>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</si>
  <si>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</si>
  <si>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</si>
  <si>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</si>
  <si>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</si>
  <si>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</si>
  <si>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</si>
  <si>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</si>
  <si>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</si>
  <si>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</si>
  <si>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</si>
  <si>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</si>
  <si>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</si>
  <si>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</si>
  <si>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</si>
  <si>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</si>
  <si>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</si>
  <si>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</si>
  <si>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</si>
  <si>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</si>
  <si>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Future Infra</t>
  </si>
  <si>
    <t>Future Sky</t>
  </si>
  <si>
    <t>9819182818/ 022-35754950/ 9819033354</t>
  </si>
  <si>
    <t>Building 01</t>
  </si>
  <si>
    <t>P52000046707</t>
  </si>
  <si>
    <t>Approved Plans, CC, Builder Saleable Area, Cost Sheet</t>
  </si>
  <si>
    <t>Plot No</t>
  </si>
  <si>
    <t>38, TPS-01</t>
  </si>
  <si>
    <t>Balaji Symphony</t>
  </si>
  <si>
    <t>https://goo.gl/maps/oMZXRaopyece7M9N7</t>
  </si>
  <si>
    <t>2.5KM from Panvel Railway Station</t>
  </si>
  <si>
    <t>Raigad</t>
  </si>
  <si>
    <t>Panvel</t>
  </si>
  <si>
    <t>Panvel East</t>
  </si>
  <si>
    <t>Panvel - Matheran Road</t>
  </si>
  <si>
    <t>Sukhapur</t>
  </si>
  <si>
    <t>New Panvel</t>
  </si>
  <si>
    <t>Open Plot</t>
  </si>
  <si>
    <t>City and Industrial Development Corporation</t>
  </si>
  <si>
    <t>CIDCO/NAINA/Panvel/Akurli/BP-00549/CC/2022/0212</t>
  </si>
  <si>
    <t>G + 1st to 11th Floor</t>
  </si>
  <si>
    <t>As per RERA - 31/03/2026</t>
  </si>
  <si>
    <t>Ground Floor For Parking</t>
  </si>
  <si>
    <t>2BHK</t>
  </si>
  <si>
    <t>1BHK</t>
  </si>
  <si>
    <t>1st to 6th &amp; 8th to 11th Floor For Residential</t>
  </si>
  <si>
    <t>7th Floor (Part Refuge Area)</t>
  </si>
  <si>
    <t>Builder Saleable area</t>
  </si>
  <si>
    <t>We considered Gross carpet area = Net carpet + Enclose balcony + Open Balcony</t>
  </si>
  <si>
    <t>Flats</t>
  </si>
  <si>
    <t>Flats - 65</t>
  </si>
  <si>
    <t>Axis Goregaon</t>
  </si>
  <si>
    <t>Internal Road / Multi sport turf</t>
  </si>
  <si>
    <t>Internal Road / Kanakia Green Berg</t>
  </si>
  <si>
    <t>Other Charges</t>
  </si>
  <si>
    <t>Office No. 1031, Wing J, Akshar Business Park, Plot No. 03 Sector 25, Near APMC Market, 
Vashi, Navi Mumbai, Maharashtra 400703 TEL: 022-46090378/79/8
E mail : vsjcapf@gmail.com. Web site : www.vsjadon.com</t>
  </si>
  <si>
    <t>Gaurav Panchal</t>
  </si>
  <si>
    <t>Ravindra Vishwakarma</t>
  </si>
  <si>
    <t>Finishing work is in process. Few tenants have occupied flats in building.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</si>
</sst>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7" fontId="16" fillId="0" borderId="0" xfId="1" applyNumberFormat="1" applyFont="1"/>
    <xf numFmtId="2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vertical="center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3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831648</xdr:colOff>
      <xdr:row>255</xdr:row>
      <xdr:rowOff>69352</xdr:rowOff>
    </xdr:from>
    <xdr:to>
      <xdr:col>6</xdr:col>
      <xdr:colOff>237025</xdr:colOff>
      <xdr:row>271</xdr:row>
      <xdr:rowOff>108953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0798" y="42369877"/>
          <a:ext cx="3863077" cy="32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571500</xdr:colOff>
      <xdr:row>236</xdr:row>
      <xdr:rowOff>0</xdr:rowOff>
    </xdr:from>
    <xdr:to>
      <xdr:col>6</xdr:col>
      <xdr:colOff>497174</xdr:colOff>
      <xdr:row>254</xdr:row>
      <xdr:rowOff>415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" y="38500050"/>
          <a:ext cx="438337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295275</xdr:colOff>
      <xdr:row>280</xdr:row>
      <xdr:rowOff>28575</xdr:rowOff>
    </xdr:from>
    <xdr:to>
      <xdr:col>7</xdr:col>
      <xdr:colOff>631191</xdr:colOff>
      <xdr:row>298</xdr:row>
      <xdr:rowOff>64126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47329725"/>
          <a:ext cx="6450966" cy="363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295275</xdr:colOff>
      <xdr:row>299</xdr:row>
      <xdr:rowOff>32351</xdr:rowOff>
    </xdr:from>
    <xdr:to>
      <xdr:col>7</xdr:col>
      <xdr:colOff>655668</xdr:colOff>
      <xdr:row>318</xdr:row>
      <xdr:rowOff>11875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5275" y="51133976"/>
          <a:ext cx="6475443" cy="37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1020485</xdr:colOff>
      <xdr:row>178</xdr:row>
      <xdr:rowOff>123824</xdr:rowOff>
    </xdr:from>
    <xdr:to>
      <xdr:col>18</xdr:col>
      <xdr:colOff>102188</xdr:colOff>
      <xdr:row>233</xdr:row>
      <xdr:rowOff>20955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030885" y="28641674"/>
          <a:ext cx="6701703" cy="8088631"/>
          <a:chOff x="121325" y="28346399"/>
          <a:chExt cx="6766473" cy="8086726"/>
        </a:xfrm>
      </xdr:grpSpPr>
      <xdr:pic>
        <xdr:nvPicPr>
          <xdr:cNvPr id="16" name="Picture 15" descr="https://vsjcllp.vsjadon.com/upload/insp-220666-1525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181476" y="34785300"/>
            <a:ext cx="2197698" cy="1647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20666-844.jpg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038475" y="32885063"/>
            <a:ext cx="1350701" cy="18028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20666-847.jpg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400" y="32875538"/>
            <a:ext cx="1350701" cy="18028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20666-849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486275" y="32880300"/>
            <a:ext cx="2401523" cy="18028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20666-851.jpg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1325" y="28346399"/>
            <a:ext cx="3332658" cy="4448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20666-860.jpg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00200" y="32875538"/>
            <a:ext cx="1350701" cy="180281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 descr="https://vsjcllp.vsjadon.com/upload/insp-220666-877.jpg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2926" y="34785300"/>
            <a:ext cx="2197698" cy="16478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 descr="https://vsjcllp.vsjadon.com/upload/insp-220666-916.jpg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38451" y="34781148"/>
            <a:ext cx="1236062" cy="16498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6" name="Picture 35" descr="https://vsjcllp.vsjadon.com/upload/insp-220666-925.jpg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50325" y="28346399"/>
            <a:ext cx="3332658" cy="44481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400050</xdr:colOff>
      <xdr:row>179</xdr:row>
      <xdr:rowOff>102870</xdr:rowOff>
    </xdr:from>
    <xdr:to>
      <xdr:col>15</xdr:col>
      <xdr:colOff>576187</xdr:colOff>
      <xdr:row>234</xdr:row>
      <xdr:rowOff>57404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88FA0392-A28A-3F7A-37BC-1AB3B4321DE0}"/>
            </a:ext>
          </a:extLst>
        </xdr:cNvPr>
        <xdr:cNvGrpSpPr/>
      </xdr:nvGrpSpPr>
      <xdr:grpSpPr>
        <a:xfrm>
          <a:off x="7410450" y="28820745"/>
          <a:ext cx="5795887" cy="8146034"/>
          <a:chOff x="549000" y="121062"/>
          <a:chExt cx="5944477" cy="8071739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4F572849-A917-37E4-4569-2CA678A64D08}"/>
              </a:ext>
            </a:extLst>
          </xdr:cNvPr>
          <xdr:cNvGrpSpPr/>
        </xdr:nvGrpSpPr>
        <xdr:grpSpPr>
          <a:xfrm>
            <a:off x="549000" y="121062"/>
            <a:ext cx="5944477" cy="6138873"/>
            <a:chOff x="549000" y="121062"/>
            <a:chExt cx="5944477" cy="6138873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F15D5DFD-4026-BEFB-0486-B0123681158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13477" y="12106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C71B1959-3BE8-F1FF-EC20-31DD613F719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9000" y="121062"/>
              <a:ext cx="2880000" cy="3844005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4AAE9827-A3CC-72FF-6E9A-7656BB0CB88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13477" y="4097933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EB28809E-0D94-4989-B45E-42A93FD5241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49000" y="4097933"/>
              <a:ext cx="2880000" cy="216200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7EDBBE49-B024-ACE4-5519-BF82A2072008}"/>
              </a:ext>
            </a:extLst>
          </xdr:cNvPr>
          <xdr:cNvGrpSpPr/>
        </xdr:nvGrpSpPr>
        <xdr:grpSpPr>
          <a:xfrm>
            <a:off x="1555814" y="6392801"/>
            <a:ext cx="3930849" cy="1800000"/>
            <a:chOff x="2080406" y="6392801"/>
            <a:chExt cx="3930849" cy="1800000"/>
          </a:xfrm>
        </xdr:grpSpPr>
        <xdr:pic>
          <xdr:nvPicPr>
            <xdr:cNvPr id="6" name="Picture 5">
              <a:extLst>
                <a:ext uri="{FF2B5EF4-FFF2-40B4-BE49-F238E27FC236}">
                  <a16:creationId xmlns:a16="http://schemas.microsoft.com/office/drawing/2014/main" id="{4EB6A998-7147-7560-5B47-758961CC669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13477" y="6392801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BEFAC1A8-A133-1A77-F4B0-27BD1EAEC6A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80406" y="639280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276225</xdr:colOff>
      <xdr:row>177</xdr:row>
      <xdr:rowOff>161925</xdr:rowOff>
    </xdr:from>
    <xdr:to>
      <xdr:col>7</xdr:col>
      <xdr:colOff>1056681</xdr:colOff>
      <xdr:row>205</xdr:row>
      <xdr:rowOff>118278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4A78F926-A4ED-4B21-AB55-758F913F796B}"/>
            </a:ext>
          </a:extLst>
        </xdr:cNvPr>
        <xdr:cNvGrpSpPr/>
      </xdr:nvGrpSpPr>
      <xdr:grpSpPr>
        <a:xfrm>
          <a:off x="276225" y="28479750"/>
          <a:ext cx="6476406" cy="5547528"/>
          <a:chOff x="-35858" y="376519"/>
          <a:chExt cx="6476406" cy="5547528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1BB3F8DF-67D0-45E4-8BA6-A7226A7755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5949" y="376519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FCCB51BB-B24F-4E15-A657-D77F1CD9D9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4654" y="376519"/>
            <a:ext cx="2697188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19E51DE0-216E-4335-958E-91A099EB82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35858" y="4124047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EB112D66-0F48-4397-A2DA-FA2D610C6C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8048" y="412404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FD17147A-C30F-4C69-AC8A-978B728194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2770" y="4124047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oMZXRaopyece7M9N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79"/>
  <sheetViews>
    <sheetView tabSelected="1" view="pageBreakPreview" zoomScaleNormal="100" zoomScaleSheetLayoutView="100" workbookViewId="0">
      <selection activeCell="K7" sqref="K7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7" width="11.7109375" style="39" customWidth="1"/>
    <col min="8" max="8" width="19.7109375" style="39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8" ht="46.5" customHeight="1" x14ac:dyDescent="0.25">
      <c r="A1" s="140" t="s">
        <v>217</v>
      </c>
      <c r="B1" s="140"/>
      <c r="C1" s="140"/>
      <c r="D1" s="140"/>
      <c r="E1" s="140"/>
      <c r="F1" s="140"/>
      <c r="G1" s="140"/>
      <c r="H1" s="140"/>
    </row>
    <row r="2" spans="1:8" ht="16.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</row>
    <row r="3" spans="1:8" x14ac:dyDescent="0.25">
      <c r="A3" s="81" t="s">
        <v>1</v>
      </c>
      <c r="B3" s="81"/>
      <c r="C3" s="81"/>
      <c r="D3" s="81"/>
      <c r="E3" s="81" t="str">
        <f ca="1">TEXT(TODAY(),"DD/MM/YYYY")</f>
        <v>16/09/2025</v>
      </c>
      <c r="F3" s="81"/>
      <c r="G3" s="81"/>
      <c r="H3" s="81"/>
    </row>
    <row r="4" spans="1:8" ht="15" customHeight="1" x14ac:dyDescent="0.25">
      <c r="A4" s="81" t="s">
        <v>2</v>
      </c>
      <c r="B4" s="81"/>
      <c r="C4" s="81"/>
      <c r="D4" s="81"/>
      <c r="E4" s="81" t="s">
        <v>213</v>
      </c>
      <c r="F4" s="81"/>
      <c r="G4" s="81"/>
      <c r="H4" s="81"/>
    </row>
    <row r="5" spans="1:8" x14ac:dyDescent="0.25">
      <c r="A5" s="81" t="s">
        <v>3</v>
      </c>
      <c r="B5" s="81"/>
      <c r="C5" s="81"/>
      <c r="D5" s="81"/>
      <c r="E5" s="141">
        <v>45908</v>
      </c>
      <c r="F5" s="81"/>
      <c r="G5" s="81"/>
      <c r="H5" s="81"/>
    </row>
    <row r="6" spans="1:8" ht="16.5" customHeight="1" x14ac:dyDescent="0.25">
      <c r="A6" s="81" t="s">
        <v>4</v>
      </c>
      <c r="B6" s="81"/>
      <c r="C6" s="81"/>
      <c r="D6" s="81"/>
      <c r="E6" s="81" t="s">
        <v>182</v>
      </c>
      <c r="F6" s="81"/>
      <c r="G6" s="81"/>
      <c r="H6" s="81"/>
    </row>
    <row r="7" spans="1:8" ht="15" customHeight="1" x14ac:dyDescent="0.25">
      <c r="A7" s="81" t="s">
        <v>5</v>
      </c>
      <c r="B7" s="81"/>
      <c r="C7" s="81"/>
      <c r="D7" s="81"/>
      <c r="E7" s="81" t="str">
        <f>E6</f>
        <v>Future Infra</v>
      </c>
      <c r="F7" s="81"/>
      <c r="G7" s="81"/>
      <c r="H7" s="81"/>
    </row>
    <row r="8" spans="1:8" x14ac:dyDescent="0.25">
      <c r="A8" s="81" t="s">
        <v>6</v>
      </c>
      <c r="B8" s="81"/>
      <c r="C8" s="81"/>
      <c r="D8" s="81"/>
      <c r="E8" s="137" t="s">
        <v>183</v>
      </c>
      <c r="F8" s="131"/>
      <c r="G8" s="131"/>
      <c r="H8" s="131"/>
    </row>
    <row r="9" spans="1:8" x14ac:dyDescent="0.25">
      <c r="A9" s="81" t="s">
        <v>178</v>
      </c>
      <c r="B9" s="81"/>
      <c r="C9" s="81"/>
      <c r="D9" s="81"/>
      <c r="E9" s="81" t="s">
        <v>184</v>
      </c>
      <c r="F9" s="81"/>
      <c r="G9" s="81"/>
      <c r="H9" s="81"/>
    </row>
    <row r="10" spans="1:8" x14ac:dyDescent="0.25">
      <c r="A10" s="81" t="s">
        <v>179</v>
      </c>
      <c r="B10" s="81"/>
      <c r="C10" s="81"/>
      <c r="D10" s="81"/>
      <c r="E10" s="81" t="s">
        <v>30</v>
      </c>
      <c r="F10" s="81"/>
      <c r="G10" s="81"/>
      <c r="H10" s="81"/>
    </row>
    <row r="11" spans="1:8" x14ac:dyDescent="0.25">
      <c r="A11" s="81" t="s">
        <v>7</v>
      </c>
      <c r="B11" s="81"/>
      <c r="C11" s="81"/>
      <c r="D11" s="81"/>
      <c r="E11" s="81" t="s">
        <v>185</v>
      </c>
      <c r="F11" s="81"/>
      <c r="G11" s="81"/>
      <c r="H11" s="81"/>
    </row>
    <row r="12" spans="1:8" x14ac:dyDescent="0.25">
      <c r="A12" s="62" t="s">
        <v>8</v>
      </c>
      <c r="B12" s="62"/>
      <c r="C12" s="62"/>
      <c r="D12" s="62"/>
      <c r="E12" s="60" t="s">
        <v>187</v>
      </c>
      <c r="F12" s="60"/>
      <c r="G12" s="60"/>
      <c r="H12" s="60"/>
    </row>
    <row r="13" spans="1:8" x14ac:dyDescent="0.25">
      <c r="A13" s="62" t="s">
        <v>9</v>
      </c>
      <c r="B13" s="62"/>
      <c r="C13" s="62"/>
      <c r="D13" s="62"/>
      <c r="E13" s="60" t="s">
        <v>186</v>
      </c>
      <c r="F13" s="81"/>
      <c r="G13" s="81"/>
      <c r="H13" s="81"/>
    </row>
    <row r="14" spans="1:8" ht="31.5" customHeight="1" x14ac:dyDescent="0.25">
      <c r="A14" s="89" t="s">
        <v>10</v>
      </c>
      <c r="B14" s="89"/>
      <c r="C14" s="89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Future Sky, Plot No.38, TPS-01, near Balaji Symphony, Panvel - Matheran Road, New Panvel, Sukhapur, Panvel East, Panvel, Raigad - 410206.</v>
      </c>
      <c r="D14" s="89"/>
      <c r="E14" s="89"/>
      <c r="F14" s="89"/>
      <c r="G14" s="89"/>
      <c r="H14" s="89"/>
    </row>
    <row r="15" spans="1:8" x14ac:dyDescent="0.25">
      <c r="A15" s="60" t="s">
        <v>188</v>
      </c>
      <c r="B15" s="60"/>
      <c r="C15" s="60" t="s">
        <v>189</v>
      </c>
      <c r="D15" s="60"/>
      <c r="E15" s="60"/>
      <c r="F15" s="60"/>
      <c r="G15" s="60"/>
      <c r="H15" s="60"/>
    </row>
    <row r="16" spans="1:8" ht="15.75" customHeight="1" x14ac:dyDescent="0.25">
      <c r="A16" s="60" t="s">
        <v>177</v>
      </c>
      <c r="B16" s="60"/>
      <c r="C16" s="60" t="s">
        <v>198</v>
      </c>
      <c r="D16" s="60"/>
      <c r="E16" s="60"/>
      <c r="F16" s="60"/>
      <c r="G16" s="60"/>
      <c r="H16" s="60"/>
    </row>
    <row r="17" spans="1:8" ht="15.75" customHeight="1" x14ac:dyDescent="0.25">
      <c r="A17" s="89" t="s">
        <v>11</v>
      </c>
      <c r="B17" s="89"/>
      <c r="C17" s="60" t="s">
        <v>196</v>
      </c>
      <c r="D17" s="60"/>
      <c r="E17" s="89" t="s">
        <v>77</v>
      </c>
      <c r="F17" s="89"/>
      <c r="G17" s="60" t="s">
        <v>197</v>
      </c>
      <c r="H17" s="60"/>
    </row>
    <row r="18" spans="1:8" x14ac:dyDescent="0.25">
      <c r="A18" s="62" t="s">
        <v>13</v>
      </c>
      <c r="B18" s="62"/>
      <c r="C18" s="60" t="s">
        <v>195</v>
      </c>
      <c r="D18" s="60"/>
      <c r="E18" s="89" t="s">
        <v>12</v>
      </c>
      <c r="F18" s="89"/>
      <c r="G18" s="142" t="s">
        <v>193</v>
      </c>
      <c r="H18" s="142"/>
    </row>
    <row r="19" spans="1:8" x14ac:dyDescent="0.25">
      <c r="A19" s="62" t="s">
        <v>78</v>
      </c>
      <c r="B19" s="62"/>
      <c r="C19" s="60" t="s">
        <v>194</v>
      </c>
      <c r="D19" s="60"/>
      <c r="E19" s="89" t="s">
        <v>14</v>
      </c>
      <c r="F19" s="89"/>
      <c r="G19" s="60">
        <v>410206</v>
      </c>
      <c r="H19" s="60"/>
    </row>
    <row r="20" spans="1:8" ht="32.25" customHeight="1" x14ac:dyDescent="0.25">
      <c r="A20" s="62" t="s">
        <v>131</v>
      </c>
      <c r="B20" s="62"/>
      <c r="C20" s="60" t="s">
        <v>190</v>
      </c>
      <c r="D20" s="60"/>
      <c r="E20" s="89" t="s">
        <v>15</v>
      </c>
      <c r="F20" s="89"/>
      <c r="G20" s="60" t="s">
        <v>192</v>
      </c>
      <c r="H20" s="60"/>
    </row>
    <row r="21" spans="1:8" ht="15" customHeight="1" x14ac:dyDescent="0.25">
      <c r="A21" s="89" t="s">
        <v>81</v>
      </c>
      <c r="B21" s="89"/>
      <c r="C21" s="89"/>
      <c r="D21" s="89"/>
      <c r="E21" s="81" t="s">
        <v>16</v>
      </c>
      <c r="F21" s="81"/>
      <c r="G21" s="81"/>
      <c r="H21" s="81"/>
    </row>
    <row r="22" spans="1:8" ht="18.75" customHeight="1" x14ac:dyDescent="0.25">
      <c r="A22" s="89"/>
      <c r="B22" s="89"/>
      <c r="C22" s="89"/>
      <c r="D22" s="89"/>
      <c r="E22" s="81"/>
      <c r="F22" s="81"/>
      <c r="G22" s="81"/>
      <c r="H22" s="81"/>
    </row>
    <row r="23" spans="1:8" ht="15" customHeight="1" x14ac:dyDescent="0.25">
      <c r="A23" s="89" t="s">
        <v>17</v>
      </c>
      <c r="B23" s="89"/>
      <c r="C23" s="89"/>
      <c r="D23" s="89"/>
      <c r="E23" s="60" t="s">
        <v>18</v>
      </c>
      <c r="F23" s="60"/>
      <c r="G23" s="60"/>
      <c r="H23" s="60"/>
    </row>
    <row r="24" spans="1:8" ht="15" customHeight="1" x14ac:dyDescent="0.25">
      <c r="A24" s="62" t="s">
        <v>19</v>
      </c>
      <c r="B24" s="62"/>
      <c r="C24" s="62"/>
      <c r="D24" s="62"/>
      <c r="E24" s="60" t="str">
        <f>IF(AND(G18="Mumbai"),"Upper Class","Middle Class")</f>
        <v>Middle Class</v>
      </c>
      <c r="F24" s="60"/>
      <c r="G24" s="60"/>
      <c r="H24" s="60"/>
    </row>
    <row r="25" spans="1:8" x14ac:dyDescent="0.25">
      <c r="A25" s="62" t="s">
        <v>20</v>
      </c>
      <c r="B25" s="62"/>
      <c r="C25" s="62"/>
      <c r="D25" s="62"/>
      <c r="E25" s="60" t="s">
        <v>21</v>
      </c>
      <c r="F25" s="60"/>
      <c r="G25" s="60"/>
      <c r="H25" s="60"/>
    </row>
    <row r="26" spans="1:8" ht="15.75" customHeight="1" x14ac:dyDescent="0.25">
      <c r="A26" s="62" t="s">
        <v>22</v>
      </c>
      <c r="B26" s="62"/>
      <c r="C26" s="62"/>
      <c r="D26" s="62"/>
      <c r="E26" s="60" t="str">
        <f>IF(AND(G18="Mumbai"),"Developed","Developing")</f>
        <v>Developing</v>
      </c>
      <c r="F26" s="60"/>
      <c r="G26" s="60"/>
      <c r="H26" s="60"/>
    </row>
    <row r="27" spans="1:8" x14ac:dyDescent="0.25">
      <c r="A27" s="62" t="s">
        <v>23</v>
      </c>
      <c r="B27" s="62"/>
      <c r="C27" s="62"/>
      <c r="D27" s="62"/>
      <c r="E27" s="60" t="s">
        <v>24</v>
      </c>
      <c r="F27" s="60"/>
      <c r="G27" s="60"/>
      <c r="H27" s="60"/>
    </row>
    <row r="28" spans="1:8" ht="15.75" customHeight="1" x14ac:dyDescent="0.25">
      <c r="A28" s="62" t="s">
        <v>86</v>
      </c>
      <c r="B28" s="62"/>
      <c r="C28" s="62"/>
      <c r="D28" s="62"/>
      <c r="E28" s="60" t="s">
        <v>87</v>
      </c>
      <c r="F28" s="60"/>
      <c r="G28" s="60"/>
      <c r="H28" s="60"/>
    </row>
    <row r="29" spans="1:8" ht="15" customHeight="1" x14ac:dyDescent="0.25">
      <c r="A29" s="62" t="s">
        <v>35</v>
      </c>
      <c r="B29" s="62"/>
      <c r="C29" s="62"/>
      <c r="D29" s="62"/>
      <c r="E29" s="6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60"/>
      <c r="G29" s="60"/>
      <c r="H29" s="60"/>
    </row>
    <row r="30" spans="1:8" ht="15.75" customHeight="1" x14ac:dyDescent="0.25">
      <c r="A30" s="62" t="s">
        <v>98</v>
      </c>
      <c r="B30" s="62"/>
      <c r="C30" s="62"/>
      <c r="D30" s="62"/>
      <c r="E30" s="60" t="s">
        <v>36</v>
      </c>
      <c r="F30" s="60"/>
      <c r="G30" s="60"/>
      <c r="H30" s="60"/>
    </row>
    <row r="31" spans="1:8" s="22" customFormat="1" x14ac:dyDescent="0.25">
      <c r="A31" s="146" t="s">
        <v>99</v>
      </c>
      <c r="B31" s="146"/>
      <c r="C31" s="145" t="s">
        <v>29</v>
      </c>
      <c r="D31" s="145"/>
      <c r="E31" s="145"/>
      <c r="F31" s="145" t="s">
        <v>31</v>
      </c>
      <c r="G31" s="145"/>
      <c r="H31" s="145"/>
    </row>
    <row r="32" spans="1:8" s="22" customFormat="1" x14ac:dyDescent="0.25">
      <c r="A32" s="143" t="s">
        <v>25</v>
      </c>
      <c r="B32" s="143" t="s">
        <v>30</v>
      </c>
      <c r="C32" s="144" t="s">
        <v>30</v>
      </c>
      <c r="D32" s="144"/>
      <c r="E32" s="144"/>
      <c r="F32" s="144" t="s">
        <v>199</v>
      </c>
      <c r="G32" s="144"/>
      <c r="H32" s="144"/>
    </row>
    <row r="33" spans="1:8" x14ac:dyDescent="0.25">
      <c r="A33" s="143" t="s">
        <v>26</v>
      </c>
      <c r="B33" s="143" t="s">
        <v>30</v>
      </c>
      <c r="C33" s="144" t="s">
        <v>30</v>
      </c>
      <c r="D33" s="144"/>
      <c r="E33" s="144"/>
      <c r="F33" s="144" t="s">
        <v>214</v>
      </c>
      <c r="G33" s="144"/>
      <c r="H33" s="144"/>
    </row>
    <row r="34" spans="1:8" s="22" customFormat="1" x14ac:dyDescent="0.25">
      <c r="A34" s="143" t="s">
        <v>28</v>
      </c>
      <c r="B34" s="143" t="s">
        <v>30</v>
      </c>
      <c r="C34" s="144" t="s">
        <v>30</v>
      </c>
      <c r="D34" s="144"/>
      <c r="E34" s="144"/>
      <c r="F34" s="144" t="s">
        <v>199</v>
      </c>
      <c r="G34" s="144"/>
      <c r="H34" s="144"/>
    </row>
    <row r="35" spans="1:8" x14ac:dyDescent="0.25">
      <c r="A35" s="143" t="s">
        <v>27</v>
      </c>
      <c r="B35" s="143" t="s">
        <v>30</v>
      </c>
      <c r="C35" s="144" t="s">
        <v>30</v>
      </c>
      <c r="D35" s="144"/>
      <c r="E35" s="144"/>
      <c r="F35" s="144" t="s">
        <v>215</v>
      </c>
      <c r="G35" s="144"/>
      <c r="H35" s="144"/>
    </row>
    <row r="36" spans="1:8" x14ac:dyDescent="0.25">
      <c r="A36" s="62" t="s">
        <v>32</v>
      </c>
      <c r="B36" s="62"/>
      <c r="C36" s="62"/>
      <c r="D36" s="62"/>
      <c r="E36" s="62"/>
      <c r="F36" s="62"/>
      <c r="G36" s="62"/>
      <c r="H36" s="62"/>
    </row>
    <row r="37" spans="1:8" ht="15.75" customHeight="1" x14ac:dyDescent="0.25">
      <c r="A37" s="118" t="s">
        <v>33</v>
      </c>
      <c r="B37" s="118"/>
      <c r="C37" s="149">
        <v>19.003979000000001</v>
      </c>
      <c r="D37" s="149"/>
      <c r="E37" s="118" t="s">
        <v>34</v>
      </c>
      <c r="F37" s="118"/>
      <c r="G37" s="150">
        <v>73.135529000000005</v>
      </c>
      <c r="H37" s="150"/>
    </row>
    <row r="38" spans="1:8" x14ac:dyDescent="0.25">
      <c r="A38" s="118" t="s">
        <v>176</v>
      </c>
      <c r="B38" s="118"/>
      <c r="C38" s="151" t="s">
        <v>191</v>
      </c>
      <c r="D38" s="60"/>
      <c r="E38" s="60"/>
      <c r="F38" s="60"/>
      <c r="G38" s="60"/>
      <c r="H38" s="60"/>
    </row>
    <row r="39" spans="1:8" x14ac:dyDescent="0.25">
      <c r="A39" s="122" t="s">
        <v>37</v>
      </c>
      <c r="B39" s="122"/>
      <c r="C39" s="122"/>
      <c r="D39" s="122"/>
      <c r="E39" s="122"/>
      <c r="F39" s="122"/>
      <c r="G39" s="122"/>
      <c r="H39" s="122"/>
    </row>
    <row r="40" spans="1:8" x14ac:dyDescent="0.25">
      <c r="A40" s="62" t="s">
        <v>38</v>
      </c>
      <c r="B40" s="62"/>
      <c r="C40" s="62"/>
      <c r="D40" s="62"/>
      <c r="E40" s="147">
        <v>1160</v>
      </c>
      <c r="F40" s="147"/>
      <c r="G40" s="147"/>
      <c r="H40" s="147"/>
    </row>
    <row r="41" spans="1:8" x14ac:dyDescent="0.25">
      <c r="A41" s="62" t="s">
        <v>39</v>
      </c>
      <c r="B41" s="62"/>
      <c r="C41" s="62"/>
      <c r="D41" s="62"/>
      <c r="E41" s="61">
        <v>2.5</v>
      </c>
      <c r="F41" s="61"/>
      <c r="G41" s="61"/>
      <c r="H41" s="61"/>
    </row>
    <row r="42" spans="1:8" x14ac:dyDescent="0.25">
      <c r="A42" s="62" t="s">
        <v>40</v>
      </c>
      <c r="B42" s="62"/>
      <c r="C42" s="62"/>
      <c r="D42" s="62"/>
      <c r="E42" s="61">
        <f>E44/E40-E41</f>
        <v>-2.0439655172413751E-2</v>
      </c>
      <c r="F42" s="61"/>
      <c r="G42" s="61"/>
      <c r="H42" s="61"/>
    </row>
    <row r="43" spans="1:8" x14ac:dyDescent="0.25">
      <c r="A43" s="62" t="s">
        <v>41</v>
      </c>
      <c r="B43" s="62"/>
      <c r="C43" s="62"/>
      <c r="D43" s="62"/>
      <c r="E43" s="61">
        <f>E41+E42</f>
        <v>2.4795603448275862</v>
      </c>
      <c r="F43" s="61"/>
      <c r="G43" s="61"/>
      <c r="H43" s="61"/>
    </row>
    <row r="44" spans="1:8" x14ac:dyDescent="0.25">
      <c r="A44" s="62" t="s">
        <v>97</v>
      </c>
      <c r="B44" s="62"/>
      <c r="C44" s="62"/>
      <c r="D44" s="62"/>
      <c r="E44" s="148">
        <v>2876.29</v>
      </c>
      <c r="F44" s="148"/>
      <c r="G44" s="148"/>
      <c r="H44" s="148"/>
    </row>
    <row r="45" spans="1:8" x14ac:dyDescent="0.25">
      <c r="A45" s="81" t="s">
        <v>42</v>
      </c>
      <c r="B45" s="81"/>
      <c r="C45" s="81"/>
      <c r="D45" s="81"/>
      <c r="E45" s="81" t="s">
        <v>130</v>
      </c>
      <c r="F45" s="81"/>
      <c r="G45" s="81"/>
      <c r="H45" s="81"/>
    </row>
    <row r="46" spans="1:8" x14ac:dyDescent="0.25">
      <c r="A46" s="122" t="s">
        <v>43</v>
      </c>
      <c r="B46" s="122"/>
      <c r="C46" s="122"/>
      <c r="D46" s="122"/>
      <c r="E46" s="122"/>
      <c r="F46" s="122"/>
      <c r="G46" s="122"/>
      <c r="H46" s="122"/>
    </row>
    <row r="47" spans="1:8" ht="33.75" customHeight="1" x14ac:dyDescent="0.25">
      <c r="A47" s="74" t="s">
        <v>163</v>
      </c>
      <c r="B47" s="75"/>
      <c r="C47" s="170" t="s">
        <v>200</v>
      </c>
      <c r="D47" s="171"/>
      <c r="E47" s="171"/>
      <c r="F47" s="171"/>
      <c r="G47" s="171"/>
      <c r="H47" s="172"/>
    </row>
    <row r="48" spans="1:8" ht="32.25" customHeight="1" x14ac:dyDescent="0.25">
      <c r="A48" s="74" t="s">
        <v>44</v>
      </c>
      <c r="B48" s="75"/>
      <c r="C48" s="74" t="s">
        <v>201</v>
      </c>
      <c r="D48" s="76"/>
      <c r="E48" s="75"/>
      <c r="F48" s="18" t="s">
        <v>45</v>
      </c>
      <c r="G48" s="77">
        <v>44719</v>
      </c>
      <c r="H48" s="75"/>
    </row>
    <row r="49" spans="1:14" ht="32.25" customHeight="1" x14ac:dyDescent="0.25">
      <c r="A49" s="74" t="s">
        <v>46</v>
      </c>
      <c r="B49" s="75"/>
      <c r="C49" s="74" t="str">
        <f>C48</f>
        <v>CIDCO/NAINA/Panvel/Akurli/BP-00549/CC/2022/0212</v>
      </c>
      <c r="D49" s="76"/>
      <c r="E49" s="75"/>
      <c r="F49" s="18" t="s">
        <v>45</v>
      </c>
      <c r="G49" s="77">
        <f>G48</f>
        <v>44719</v>
      </c>
      <c r="H49" s="78"/>
    </row>
    <row r="50" spans="1:14" s="23" customFormat="1" ht="32.25" customHeight="1" x14ac:dyDescent="0.25">
      <c r="A50" s="126" t="s">
        <v>167</v>
      </c>
      <c r="B50" s="127"/>
      <c r="C50" s="74" t="s">
        <v>201</v>
      </c>
      <c r="D50" s="76"/>
      <c r="E50" s="75"/>
      <c r="F50" s="18" t="s">
        <v>45</v>
      </c>
      <c r="G50" s="77">
        <f>G49</f>
        <v>44719</v>
      </c>
      <c r="H50" s="78"/>
    </row>
    <row r="51" spans="1:14" s="23" customFormat="1" x14ac:dyDescent="0.25">
      <c r="A51" s="128"/>
      <c r="B51" s="129"/>
      <c r="C51" s="74" t="s">
        <v>202</v>
      </c>
      <c r="D51" s="76"/>
      <c r="E51" s="76"/>
      <c r="F51" s="76"/>
      <c r="G51" s="76"/>
      <c r="H51" s="75"/>
    </row>
    <row r="52" spans="1:14" x14ac:dyDescent="0.25">
      <c r="A52" s="82" t="s">
        <v>47</v>
      </c>
      <c r="B52" s="83"/>
      <c r="C52" s="82" t="s">
        <v>110</v>
      </c>
      <c r="D52" s="84"/>
      <c r="E52" s="83"/>
      <c r="F52" s="45" t="s">
        <v>45</v>
      </c>
      <c r="G52" s="85" t="s">
        <v>30</v>
      </c>
      <c r="H52" s="86"/>
    </row>
    <row r="53" spans="1:14" x14ac:dyDescent="0.25">
      <c r="A53" s="106" t="s">
        <v>49</v>
      </c>
      <c r="B53" s="106"/>
      <c r="C53" s="106"/>
      <c r="D53" s="106"/>
      <c r="E53" s="106"/>
      <c r="F53" s="106"/>
      <c r="G53" s="106"/>
      <c r="H53" s="106"/>
    </row>
    <row r="54" spans="1:14" x14ac:dyDescent="0.25">
      <c r="A54" s="89" t="s">
        <v>96</v>
      </c>
      <c r="B54" s="89"/>
      <c r="C54" s="89"/>
      <c r="D54" s="62">
        <f>E44</f>
        <v>2876.29</v>
      </c>
      <c r="E54" s="62"/>
      <c r="F54" s="62"/>
      <c r="G54" s="62"/>
      <c r="H54" s="62"/>
    </row>
    <row r="55" spans="1:14" x14ac:dyDescent="0.25">
      <c r="A55" s="60" t="s">
        <v>50</v>
      </c>
      <c r="B55" s="81"/>
      <c r="C55" s="81"/>
      <c r="D55" s="81" t="s">
        <v>212</v>
      </c>
      <c r="E55" s="81"/>
      <c r="F55" s="81"/>
      <c r="G55" s="81"/>
      <c r="H55" s="81"/>
      <c r="I55" s="24"/>
    </row>
    <row r="56" spans="1:14" x14ac:dyDescent="0.25">
      <c r="A56" s="79" t="s">
        <v>51</v>
      </c>
      <c r="B56" s="80"/>
      <c r="C56" s="125"/>
      <c r="D56" s="91" t="s">
        <v>202</v>
      </c>
      <c r="E56" s="124"/>
      <c r="F56" s="124"/>
      <c r="G56" s="124"/>
      <c r="H56" s="124"/>
    </row>
    <row r="57" spans="1:14" ht="15.75" customHeight="1" x14ac:dyDescent="0.25">
      <c r="A57" s="79" t="s">
        <v>94</v>
      </c>
      <c r="B57" s="80"/>
      <c r="C57" s="80"/>
      <c r="D57" s="60" t="s">
        <v>202</v>
      </c>
      <c r="E57" s="81"/>
      <c r="F57" s="81"/>
      <c r="G57" s="81"/>
      <c r="H57" s="81"/>
    </row>
    <row r="58" spans="1:14" ht="15.75" customHeight="1" x14ac:dyDescent="0.25">
      <c r="A58" s="62" t="s">
        <v>48</v>
      </c>
      <c r="B58" s="62"/>
      <c r="C58" s="62"/>
      <c r="D58" s="59" t="s">
        <v>203</v>
      </c>
      <c r="E58" s="59"/>
      <c r="F58" s="59"/>
      <c r="G58" s="59"/>
      <c r="H58" s="59"/>
      <c r="I58" s="59" t="s">
        <v>203</v>
      </c>
      <c r="J58" s="59"/>
      <c r="K58" s="59"/>
      <c r="L58" s="59"/>
      <c r="M58" s="59"/>
      <c r="N58" s="24"/>
    </row>
    <row r="59" spans="1:14" ht="15.75" customHeight="1" x14ac:dyDescent="0.25">
      <c r="A59" s="62" t="s">
        <v>92</v>
      </c>
      <c r="B59" s="62"/>
      <c r="C59" s="62"/>
      <c r="D59" s="104" t="str">
        <f>(IF(G52="NA","60 Years After Completion",IF(G52&lt;&gt;"NA",""&amp;60-ROUNDDOWN((E3-G52)/360,0)&amp;" Years"," ")))</f>
        <v>60 Years After Completion</v>
      </c>
      <c r="E59" s="104"/>
      <c r="F59" s="104"/>
      <c r="G59" s="104"/>
      <c r="H59" s="104"/>
      <c r="N59" s="24"/>
    </row>
    <row r="60" spans="1:14" ht="15.75" customHeight="1" x14ac:dyDescent="0.25">
      <c r="A60" s="62" t="s">
        <v>93</v>
      </c>
      <c r="B60" s="62"/>
      <c r="C60" s="62"/>
      <c r="D60" s="89" t="s">
        <v>24</v>
      </c>
      <c r="E60" s="89"/>
      <c r="F60" s="89"/>
      <c r="G60" s="89"/>
      <c r="H60" s="89"/>
      <c r="J60" s="25"/>
      <c r="K60" s="25"/>
    </row>
    <row r="61" spans="1:14" ht="30" customHeight="1" x14ac:dyDescent="0.25">
      <c r="A61" s="62" t="s">
        <v>79</v>
      </c>
      <c r="B61" s="62"/>
      <c r="C61" s="62"/>
      <c r="D61" s="60" t="s">
        <v>181</v>
      </c>
      <c r="E61" s="89"/>
      <c r="F61" s="89"/>
      <c r="G61" s="89"/>
      <c r="H61" s="89"/>
    </row>
    <row r="62" spans="1:14" x14ac:dyDescent="0.25">
      <c r="A62" s="89" t="s">
        <v>159</v>
      </c>
      <c r="B62" s="89"/>
      <c r="C62" s="89"/>
      <c r="D62" s="89" t="s">
        <v>30</v>
      </c>
      <c r="E62" s="89"/>
      <c r="F62" s="89"/>
      <c r="G62" s="89"/>
      <c r="H62" s="89"/>
      <c r="I62" s="26"/>
      <c r="J62" s="26"/>
      <c r="K62" s="26"/>
      <c r="L62" s="26"/>
      <c r="M62" s="26"/>
      <c r="N62" s="26"/>
    </row>
    <row r="63" spans="1:14" ht="15.75" customHeight="1" x14ac:dyDescent="0.25">
      <c r="A63" s="90" t="s">
        <v>91</v>
      </c>
      <c r="B63" s="90"/>
      <c r="C63" s="90"/>
      <c r="D63" s="91" t="str">
        <f ca="1">(IF(G69&gt;95%,"Nothing",IF(G69&gt;0%,"Cement, Aggregate, Steel, etc",IF(G69=0%,"Work not yet Started"))))</f>
        <v>Cement, Aggregate, Steel, etc</v>
      </c>
      <c r="E63" s="91"/>
      <c r="F63" s="91"/>
      <c r="G63" s="91"/>
      <c r="H63" s="91"/>
      <c r="J63" s="25"/>
    </row>
    <row r="64" spans="1:14" ht="33.75" customHeight="1" thickBot="1" x14ac:dyDescent="0.3">
      <c r="A64" s="139" t="s">
        <v>123</v>
      </c>
      <c r="B64" s="139"/>
      <c r="C64" s="139"/>
      <c r="D64" s="91" t="str">
        <f ca="1">(IF(D63="Nothing","Yes",IF(D63="Cement, Aggregate, Steel, etc","Under Construction",IF(D63="Work not yet Started","Work not yet Started"))))</f>
        <v>Under Construction</v>
      </c>
      <c r="E64" s="91"/>
      <c r="F64" s="91" t="str">
        <f ca="1">(IF(D63="Nothing","Yes",IF(D63="Cement, Aggregate, Steel, etc","Under Construction",IF(D63="Work not yet Started","Work not yet Started"))))</f>
        <v>Under Construction</v>
      </c>
      <c r="G64" s="91"/>
      <c r="H64" s="91"/>
    </row>
    <row r="65" spans="1:10" ht="15.75" customHeight="1" x14ac:dyDescent="0.25">
      <c r="A65" s="132" t="s">
        <v>149</v>
      </c>
      <c r="B65" s="133"/>
      <c r="C65" s="134" t="str">
        <f>D57</f>
        <v>G + 1st to 11th Floor</v>
      </c>
      <c r="D65" s="135"/>
      <c r="E65" s="135"/>
      <c r="F65" s="135"/>
      <c r="G65" s="135"/>
      <c r="H65" s="136"/>
      <c r="I65" s="47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Flooring, Painting Completed, Finishing upto 10 Floor Completed</v>
      </c>
      <c r="J65" s="48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Finishing upto 10 Floor</v>
      </c>
    </row>
    <row r="66" spans="1:10" x14ac:dyDescent="0.25">
      <c r="A66" s="16" t="s">
        <v>151</v>
      </c>
      <c r="B66" s="53">
        <v>0</v>
      </c>
      <c r="C66" s="53" t="s">
        <v>76</v>
      </c>
      <c r="D66" s="53">
        <v>1</v>
      </c>
      <c r="E66" s="53" t="s">
        <v>75</v>
      </c>
      <c r="F66" s="53">
        <v>0</v>
      </c>
      <c r="G66" s="53" t="s">
        <v>85</v>
      </c>
      <c r="H66" s="17">
        <f ca="1">--TRIM(RIGHT(SUBSTITUTE(LEFT(C65,_xlfn.AGGREGATE(16,6,FIND({0,1,2,3,4,5,6,7,8,9},C65,ROW(INDIRECT("1:"&amp;LEN(C65)))),1))," ",REPT(" ",LEN(C65))),LEN(C65)))</f>
        <v>11</v>
      </c>
      <c r="I66" s="4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Flooring, Painting</v>
      </c>
      <c r="J66" s="50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2.25" customHeight="1" x14ac:dyDescent="0.25">
      <c r="A67" s="130" t="s">
        <v>95</v>
      </c>
      <c r="B67" s="131"/>
      <c r="C67" s="137" t="str">
        <f ca="1">I65</f>
        <v>Excavation, Plinth, RCC Slab, Brickwork, Internal Plaster, External Plaster, Flooring, Painting Completed, Finishing upto 10 Floor Completed</v>
      </c>
      <c r="D67" s="137"/>
      <c r="E67" s="137"/>
      <c r="F67" s="137"/>
      <c r="G67" s="137"/>
      <c r="H67" s="138"/>
      <c r="I67" s="49" t="str">
        <f ca="1">IF(I66&lt;&gt;""," Completed","")</f>
        <v xml:space="preserve"> Completed</v>
      </c>
      <c r="J67" s="50" t="str">
        <f ca="1">IF(J65&lt;&gt;"","Completed","")</f>
        <v>Completed</v>
      </c>
    </row>
    <row r="68" spans="1:10" ht="15.75" customHeight="1" x14ac:dyDescent="0.25">
      <c r="A68" s="70" t="s">
        <v>52</v>
      </c>
      <c r="B68" s="71"/>
      <c r="C68" s="43" t="s">
        <v>148</v>
      </c>
      <c r="D68" s="43" t="s">
        <v>88</v>
      </c>
      <c r="E68" s="71" t="s">
        <v>90</v>
      </c>
      <c r="F68" s="71"/>
      <c r="G68" s="71" t="s">
        <v>89</v>
      </c>
      <c r="H68" s="92"/>
      <c r="I68" s="14" t="s">
        <v>150</v>
      </c>
      <c r="J68" s="27">
        <f ca="1">H66*25%</f>
        <v>2.75</v>
      </c>
    </row>
    <row r="69" spans="1:10" x14ac:dyDescent="0.25">
      <c r="A69" s="70" t="s">
        <v>137</v>
      </c>
      <c r="B69" s="71"/>
      <c r="C69" s="43">
        <f ca="1">J70</f>
        <v>11</v>
      </c>
      <c r="D69" s="19">
        <f ca="1">((100/H66)*C69)/100</f>
        <v>1.0000000000000002</v>
      </c>
      <c r="E69" s="93">
        <f ca="1">(((C70/H66*10)+(40/(D66+F66+H66)*C71)+(7.5/(H66)*C72)+(7.5/(H66)*C73)+(10/H66*C74)+(10/H66*C75)+(5/H66*C76)+(5/H66*C77)+(5/H66*C78))/100)</f>
        <v>0.94545454545454544</v>
      </c>
      <c r="F69" s="94"/>
      <c r="G69" s="93">
        <f ca="1">((((C69/H66)*20)+((C70/H66)*25)+(30/(H66+F66+D66)*C71)+(5/H66*C72)+(5/H66*C73)+(5/H66*C74)+(5/H66*C75)+(0/H66*C76)+(0/H66*C77)+(5/H66*C78))/100)</f>
        <v>0.95</v>
      </c>
      <c r="H69" s="99"/>
      <c r="I69" s="14" t="s">
        <v>105</v>
      </c>
      <c r="J69" s="28">
        <f ca="1">H66*50%</f>
        <v>5.5</v>
      </c>
    </row>
    <row r="70" spans="1:10" x14ac:dyDescent="0.25">
      <c r="A70" s="70" t="s">
        <v>53</v>
      </c>
      <c r="B70" s="71"/>
      <c r="C70" s="55">
        <v>11</v>
      </c>
      <c r="D70" s="19">
        <f ca="1">((100/H66)*C70)/100</f>
        <v>1.0000000000000002</v>
      </c>
      <c r="E70" s="95"/>
      <c r="F70" s="96"/>
      <c r="G70" s="95"/>
      <c r="H70" s="100"/>
      <c r="I70" s="14" t="s">
        <v>106</v>
      </c>
      <c r="J70" s="28">
        <f ca="1">H66</f>
        <v>11</v>
      </c>
    </row>
    <row r="71" spans="1:10" ht="15.75" customHeight="1" x14ac:dyDescent="0.25">
      <c r="A71" s="70" t="s">
        <v>138</v>
      </c>
      <c r="B71" s="71"/>
      <c r="C71" s="43">
        <v>12</v>
      </c>
      <c r="D71" s="19">
        <f ca="1">((100/(D66+F66+H66))*C71)/100</f>
        <v>1</v>
      </c>
      <c r="E71" s="95"/>
      <c r="F71" s="96"/>
      <c r="G71" s="95"/>
      <c r="H71" s="100"/>
      <c r="I71" s="14" t="s">
        <v>107</v>
      </c>
      <c r="J71" s="29">
        <f ca="1">(IF(B66&gt;1,(H66/(B66+2)),H66/4))</f>
        <v>2.75</v>
      </c>
    </row>
    <row r="72" spans="1:10" ht="15.75" customHeight="1" x14ac:dyDescent="0.25">
      <c r="A72" s="70" t="s">
        <v>145</v>
      </c>
      <c r="B72" s="71" t="s">
        <v>139</v>
      </c>
      <c r="C72" s="43">
        <v>11</v>
      </c>
      <c r="D72" s="19">
        <f ca="1">((100/H66)*C72)/100</f>
        <v>1.0000000000000002</v>
      </c>
      <c r="E72" s="95"/>
      <c r="F72" s="96"/>
      <c r="G72" s="95"/>
      <c r="H72" s="100"/>
      <c r="I72" s="14" t="s">
        <v>108</v>
      </c>
      <c r="J72" s="29">
        <f ca="1">(IF(B66&gt;1,(H66/(B66+2)+J71),H66/4+J71))</f>
        <v>5.5</v>
      </c>
    </row>
    <row r="73" spans="1:10" ht="15.75" customHeight="1" x14ac:dyDescent="0.25">
      <c r="A73" s="70" t="s">
        <v>146</v>
      </c>
      <c r="B73" s="71" t="s">
        <v>139</v>
      </c>
      <c r="C73" s="43">
        <v>11</v>
      </c>
      <c r="D73" s="19">
        <f ca="1">((100/H66)*C73)/100</f>
        <v>1.0000000000000002</v>
      </c>
      <c r="E73" s="95"/>
      <c r="F73" s="96"/>
      <c r="G73" s="95"/>
      <c r="H73" s="100"/>
      <c r="I73" s="14" t="s">
        <v>157</v>
      </c>
      <c r="J73" s="29">
        <f>(IF(B66&gt;1,(H66/(B66+2)+J72),0))</f>
        <v>0</v>
      </c>
    </row>
    <row r="74" spans="1:10" ht="15" customHeight="1" x14ac:dyDescent="0.25">
      <c r="A74" s="70" t="s">
        <v>144</v>
      </c>
      <c r="B74" s="71" t="s">
        <v>141</v>
      </c>
      <c r="C74" s="43">
        <v>11</v>
      </c>
      <c r="D74" s="19">
        <f ca="1">((100/(H66))*C74)/100</f>
        <v>1.0000000000000002</v>
      </c>
      <c r="E74" s="95"/>
      <c r="F74" s="96"/>
      <c r="G74" s="95"/>
      <c r="H74" s="100"/>
      <c r="I74" s="14" t="s">
        <v>152</v>
      </c>
      <c r="J74" s="29">
        <f>(IF(B66&gt;2,(H66/(B66+2)+J73),0))</f>
        <v>0</v>
      </c>
    </row>
    <row r="75" spans="1:10" ht="15.75" customHeight="1" x14ac:dyDescent="0.25">
      <c r="A75" s="70" t="s">
        <v>140</v>
      </c>
      <c r="B75" s="71" t="s">
        <v>140</v>
      </c>
      <c r="C75" s="43">
        <v>11</v>
      </c>
      <c r="D75" s="19">
        <f ca="1">((100/H66)*C75)/100</f>
        <v>1.0000000000000002</v>
      </c>
      <c r="E75" s="95"/>
      <c r="F75" s="96"/>
      <c r="G75" s="95"/>
      <c r="H75" s="100"/>
      <c r="I75" s="14" t="s">
        <v>153</v>
      </c>
      <c r="J75" s="30">
        <f>(IF(B66&gt;3,(H66/(B66+2)+J74),0))</f>
        <v>0</v>
      </c>
    </row>
    <row r="76" spans="1:10" ht="15.75" customHeight="1" x14ac:dyDescent="0.25">
      <c r="A76" s="70" t="s">
        <v>147</v>
      </c>
      <c r="B76" s="71"/>
      <c r="C76" s="43">
        <v>11</v>
      </c>
      <c r="D76" s="19">
        <f ca="1">((100/H66)*C76)/100</f>
        <v>1.0000000000000002</v>
      </c>
      <c r="E76" s="95"/>
      <c r="F76" s="96"/>
      <c r="G76" s="95"/>
      <c r="H76" s="100"/>
      <c r="I76" s="14" t="s">
        <v>154</v>
      </c>
      <c r="J76" s="29">
        <f>(IF(B66&gt;4,(H66/(B66+2)+J75),0))</f>
        <v>0</v>
      </c>
    </row>
    <row r="77" spans="1:10" ht="15.75" customHeight="1" x14ac:dyDescent="0.25">
      <c r="A77" s="70" t="s">
        <v>142</v>
      </c>
      <c r="B77" s="71" t="s">
        <v>142</v>
      </c>
      <c r="C77" s="43">
        <v>10</v>
      </c>
      <c r="D77" s="19">
        <f ca="1">((100/(H66))*C77)/100</f>
        <v>0.90909090909090917</v>
      </c>
      <c r="E77" s="95"/>
      <c r="F77" s="96"/>
      <c r="G77" s="95"/>
      <c r="H77" s="100"/>
      <c r="I77" s="14" t="s">
        <v>158</v>
      </c>
      <c r="J77" s="29">
        <f ca="1">(IF(B66=1,(H66/(B66+3)+J72),IF(B66=0,(H66/4+J72),IF(B66&gt;1,0))))</f>
        <v>8.25</v>
      </c>
    </row>
    <row r="78" spans="1:10" ht="16.5" thickBot="1" x14ac:dyDescent="0.3">
      <c r="A78" s="102" t="s">
        <v>143</v>
      </c>
      <c r="B78" s="103"/>
      <c r="C78" s="44">
        <v>0</v>
      </c>
      <c r="D78" s="20">
        <f ca="1">((100/(H66))*C78)/100</f>
        <v>0</v>
      </c>
      <c r="E78" s="97"/>
      <c r="F78" s="98"/>
      <c r="G78" s="97"/>
      <c r="H78" s="101"/>
      <c r="I78" s="15" t="s">
        <v>109</v>
      </c>
      <c r="J78" s="31">
        <f ca="1">(IF(B66&gt;1.5,(H66/(B66+2)+J72+MAX(0,J73-J72)+MAX(0,J74-J73)+MAX(0,J75-J74)+MAX(0,J76-J75)+MAX(0,J77-J76)),IF(B66=1,(H66/(B66+3)+J77),IF(B66=0,H66/4+J77))))</f>
        <v>11</v>
      </c>
    </row>
    <row r="79" spans="1:10" x14ac:dyDescent="0.25">
      <c r="A79" s="169" t="s">
        <v>169</v>
      </c>
      <c r="B79" s="169"/>
      <c r="C79" s="169"/>
      <c r="D79" s="169"/>
      <c r="E79" s="169"/>
      <c r="F79" s="159" t="s">
        <v>174</v>
      </c>
      <c r="G79" s="159"/>
      <c r="H79" s="159"/>
    </row>
    <row r="80" spans="1:10" x14ac:dyDescent="0.25">
      <c r="A80" s="62" t="s">
        <v>172</v>
      </c>
      <c r="B80" s="62"/>
      <c r="C80" s="62"/>
      <c r="D80" s="62"/>
      <c r="E80" s="62"/>
      <c r="F80" s="72">
        <v>6900</v>
      </c>
      <c r="G80" s="72"/>
      <c r="H80" s="72"/>
    </row>
    <row r="81" spans="1:10" hidden="1" x14ac:dyDescent="0.25">
      <c r="A81" s="62" t="s">
        <v>171</v>
      </c>
      <c r="B81" s="62"/>
      <c r="C81" s="62"/>
      <c r="D81" s="62"/>
      <c r="E81" s="62"/>
      <c r="F81" s="72"/>
      <c r="G81" s="72"/>
      <c r="H81" s="72"/>
    </row>
    <row r="82" spans="1:10" hidden="1" x14ac:dyDescent="0.25">
      <c r="A82" s="62" t="s">
        <v>173</v>
      </c>
      <c r="B82" s="62"/>
      <c r="C82" s="62"/>
      <c r="D82" s="62"/>
      <c r="E82" s="62"/>
      <c r="F82" s="72"/>
      <c r="G82" s="72"/>
      <c r="H82" s="72"/>
    </row>
    <row r="83" spans="1:10" s="32" customFormat="1" hidden="1" x14ac:dyDescent="0.25">
      <c r="A83" s="62" t="s">
        <v>170</v>
      </c>
      <c r="B83" s="62"/>
      <c r="C83" s="62"/>
      <c r="D83" s="62"/>
      <c r="E83" s="62"/>
      <c r="F83" s="72"/>
      <c r="G83" s="72"/>
      <c r="H83" s="72"/>
    </row>
    <row r="84" spans="1:10" s="32" customFormat="1" x14ac:dyDescent="0.25">
      <c r="A84" s="62" t="s">
        <v>100</v>
      </c>
      <c r="B84" s="62"/>
      <c r="C84" s="62"/>
      <c r="D84" s="62"/>
      <c r="E84" s="62"/>
      <c r="F84" s="72">
        <v>300000</v>
      </c>
      <c r="G84" s="72"/>
      <c r="H84" s="72"/>
      <c r="J84" s="32">
        <f>400*975</f>
        <v>390000</v>
      </c>
    </row>
    <row r="85" spans="1:10" s="32" customFormat="1" hidden="1" x14ac:dyDescent="0.25">
      <c r="A85" s="62" t="s">
        <v>101</v>
      </c>
      <c r="B85" s="62"/>
      <c r="C85" s="62"/>
      <c r="D85" s="62"/>
      <c r="E85" s="62"/>
      <c r="F85" s="72"/>
      <c r="G85" s="72"/>
      <c r="H85" s="72"/>
    </row>
    <row r="86" spans="1:10" s="32" customFormat="1" hidden="1" x14ac:dyDescent="0.25">
      <c r="A86" s="62" t="s">
        <v>175</v>
      </c>
      <c r="B86" s="62"/>
      <c r="C86" s="62"/>
      <c r="D86" s="62"/>
      <c r="E86" s="62"/>
      <c r="F86" s="72">
        <v>15000</v>
      </c>
      <c r="G86" s="72"/>
      <c r="H86" s="72"/>
      <c r="J86" s="32">
        <f>400*590</f>
        <v>236000</v>
      </c>
    </row>
    <row r="87" spans="1:10" s="32" customFormat="1" hidden="1" x14ac:dyDescent="0.25">
      <c r="A87" s="62" t="s">
        <v>102</v>
      </c>
      <c r="B87" s="62"/>
      <c r="C87" s="62"/>
      <c r="D87" s="62"/>
      <c r="E87" s="62"/>
      <c r="F87" s="72"/>
      <c r="G87" s="72"/>
      <c r="H87" s="72"/>
    </row>
    <row r="88" spans="1:10" s="32" customFormat="1" hidden="1" x14ac:dyDescent="0.25">
      <c r="A88" s="62" t="s">
        <v>103</v>
      </c>
      <c r="B88" s="62"/>
      <c r="C88" s="62"/>
      <c r="D88" s="62"/>
      <c r="E88" s="62"/>
      <c r="F88" s="72"/>
      <c r="G88" s="72"/>
      <c r="H88" s="72"/>
    </row>
    <row r="89" spans="1:10" s="32" customFormat="1" x14ac:dyDescent="0.25">
      <c r="A89" s="62" t="s">
        <v>104</v>
      </c>
      <c r="B89" s="62"/>
      <c r="C89" s="62"/>
      <c r="D89" s="62"/>
      <c r="E89" s="62"/>
      <c r="F89" s="72">
        <v>150000</v>
      </c>
      <c r="G89" s="72"/>
      <c r="H89" s="72"/>
    </row>
    <row r="90" spans="1:10" s="32" customFormat="1" x14ac:dyDescent="0.25">
      <c r="A90" s="62" t="s">
        <v>216</v>
      </c>
      <c r="B90" s="62"/>
      <c r="C90" s="62"/>
      <c r="D90" s="62"/>
      <c r="E90" s="62"/>
      <c r="F90" s="72">
        <v>165000</v>
      </c>
      <c r="G90" s="72"/>
      <c r="H90" s="72"/>
      <c r="I90" s="56">
        <f>SUM(F84:H90)</f>
        <v>630000</v>
      </c>
    </row>
    <row r="91" spans="1:10" x14ac:dyDescent="0.25">
      <c r="A91" s="62" t="s">
        <v>54</v>
      </c>
      <c r="B91" s="62"/>
      <c r="C91" s="62"/>
      <c r="D91" s="62"/>
      <c r="E91" s="62"/>
      <c r="F91" s="72">
        <v>300000</v>
      </c>
      <c r="G91" s="72"/>
      <c r="H91" s="72"/>
    </row>
    <row r="92" spans="1:10" s="33" customFormat="1" x14ac:dyDescent="0.25">
      <c r="A92" s="122" t="s">
        <v>55</v>
      </c>
      <c r="B92" s="122"/>
      <c r="C92" s="122"/>
      <c r="D92" s="122"/>
      <c r="E92" s="122"/>
      <c r="F92" s="72">
        <f>F80*0.8</f>
        <v>5520</v>
      </c>
      <c r="G92" s="72"/>
      <c r="H92" s="72"/>
    </row>
    <row r="93" spans="1:10" s="34" customFormat="1" ht="15.75" hidden="1" customHeight="1" x14ac:dyDescent="0.25">
      <c r="A93" s="121" t="s">
        <v>80</v>
      </c>
      <c r="B93" s="121"/>
      <c r="C93" s="121"/>
      <c r="D93" s="121"/>
      <c r="E93" s="121"/>
      <c r="F93" s="121"/>
      <c r="G93" s="121"/>
      <c r="H93" s="121"/>
    </row>
    <row r="94" spans="1:10" s="34" customFormat="1" ht="15.75" hidden="1" customHeight="1" x14ac:dyDescent="0.25">
      <c r="A94" s="67" t="s">
        <v>56</v>
      </c>
      <c r="B94" s="67"/>
      <c r="C94" s="160" t="s">
        <v>83</v>
      </c>
      <c r="D94" s="160"/>
      <c r="E94" s="114" t="s">
        <v>57</v>
      </c>
      <c r="F94" s="114"/>
      <c r="G94" s="67" t="s">
        <v>58</v>
      </c>
      <c r="H94" s="67"/>
    </row>
    <row r="95" spans="1:10" s="34" customFormat="1" hidden="1" x14ac:dyDescent="0.25">
      <c r="A95" s="105"/>
      <c r="B95" s="105"/>
      <c r="C95" s="153"/>
      <c r="D95" s="153"/>
      <c r="E95" s="161"/>
      <c r="F95" s="161"/>
      <c r="G95" s="73"/>
      <c r="H95" s="73"/>
    </row>
    <row r="96" spans="1:10" s="34" customFormat="1" hidden="1" x14ac:dyDescent="0.25">
      <c r="A96" s="105"/>
      <c r="B96" s="105"/>
      <c r="C96" s="153"/>
      <c r="D96" s="153"/>
      <c r="E96" s="161"/>
      <c r="F96" s="161"/>
      <c r="G96" s="73"/>
      <c r="H96" s="73"/>
    </row>
    <row r="97" spans="1:14" s="34" customFormat="1" hidden="1" x14ac:dyDescent="0.25">
      <c r="A97" s="121" t="s">
        <v>162</v>
      </c>
      <c r="B97" s="121"/>
      <c r="C97" s="160"/>
      <c r="D97" s="160"/>
      <c r="E97" s="114"/>
      <c r="F97" s="114"/>
      <c r="G97" s="67"/>
      <c r="H97" s="67"/>
    </row>
    <row r="98" spans="1:14" s="34" customFormat="1" x14ac:dyDescent="0.25">
      <c r="A98" s="121" t="s">
        <v>74</v>
      </c>
      <c r="B98" s="121"/>
      <c r="C98" s="121"/>
      <c r="D98" s="121"/>
      <c r="E98" s="121"/>
      <c r="F98" s="121"/>
      <c r="G98" s="121"/>
      <c r="H98" s="121"/>
    </row>
    <row r="99" spans="1:14" s="34" customFormat="1" ht="15.75" customHeight="1" x14ac:dyDescent="0.25">
      <c r="A99" s="67" t="s">
        <v>56</v>
      </c>
      <c r="B99" s="67"/>
      <c r="C99" s="160" t="s">
        <v>83</v>
      </c>
      <c r="D99" s="160"/>
      <c r="E99" s="114" t="s">
        <v>57</v>
      </c>
      <c r="F99" s="114"/>
      <c r="G99" s="67" t="s">
        <v>58</v>
      </c>
      <c r="H99" s="67"/>
    </row>
    <row r="100" spans="1:14" s="34" customFormat="1" x14ac:dyDescent="0.25">
      <c r="A100" s="105" t="s">
        <v>211</v>
      </c>
      <c r="B100" s="105"/>
      <c r="C100" s="153">
        <f>COUNT(D114:D119)*10+COUNT(D121:D125)</f>
        <v>65</v>
      </c>
      <c r="D100" s="153"/>
      <c r="E100" s="154">
        <f>SUM(D114:D119)*10+SUM(D121:D125)</f>
        <v>27397.006416000004</v>
      </c>
      <c r="F100" s="154"/>
      <c r="G100" s="154">
        <f>SUM(F114:F119)*10+SUM(F121:F125)</f>
        <v>49015</v>
      </c>
      <c r="H100" s="154"/>
    </row>
    <row r="101" spans="1:14" s="33" customFormat="1" x14ac:dyDescent="0.25">
      <c r="A101" s="118" t="s">
        <v>59</v>
      </c>
      <c r="B101" s="118"/>
      <c r="C101" s="118"/>
      <c r="D101" s="118"/>
      <c r="E101" s="118"/>
      <c r="F101" s="118"/>
      <c r="G101" s="118"/>
      <c r="H101" s="118"/>
    </row>
    <row r="102" spans="1:14" x14ac:dyDescent="0.25">
      <c r="A102" s="118" t="s">
        <v>60</v>
      </c>
      <c r="B102" s="118"/>
      <c r="C102" s="118"/>
      <c r="D102" s="118"/>
      <c r="E102" s="118"/>
      <c r="F102" s="118"/>
      <c r="G102" s="118"/>
      <c r="H102" s="118"/>
    </row>
    <row r="103" spans="1:14" ht="47.25" hidden="1" customHeight="1" x14ac:dyDescent="0.25">
      <c r="A103" s="87" t="s">
        <v>127</v>
      </c>
      <c r="B103" s="87" t="s">
        <v>126</v>
      </c>
      <c r="C103" s="87" t="s">
        <v>61</v>
      </c>
      <c r="D103" s="87" t="s">
        <v>62</v>
      </c>
      <c r="E103" s="155" t="s">
        <v>168</v>
      </c>
      <c r="F103" s="42" t="s">
        <v>160</v>
      </c>
      <c r="G103" s="68" t="s">
        <v>64</v>
      </c>
      <c r="H103" s="69"/>
    </row>
    <row r="104" spans="1:14" s="36" customFormat="1" hidden="1" x14ac:dyDescent="0.25">
      <c r="A104" s="88"/>
      <c r="B104" s="88"/>
      <c r="C104" s="88"/>
      <c r="D104" s="88"/>
      <c r="E104" s="156"/>
      <c r="F104" s="13">
        <v>0.6</v>
      </c>
      <c r="G104" s="157"/>
      <c r="H104" s="158"/>
    </row>
    <row r="105" spans="1:14" s="36" customFormat="1" hidden="1" x14ac:dyDescent="0.25">
      <c r="A105" s="111" t="s">
        <v>124</v>
      </c>
      <c r="B105" s="112"/>
      <c r="C105" s="112"/>
      <c r="D105" s="112"/>
      <c r="E105" s="112"/>
      <c r="F105" s="112"/>
      <c r="G105" s="112"/>
      <c r="H105" s="113"/>
      <c r="J105" s="35"/>
    </row>
    <row r="106" spans="1:14" s="36" customFormat="1" hidden="1" x14ac:dyDescent="0.25">
      <c r="A106" s="64">
        <v>1</v>
      </c>
      <c r="B106" s="65"/>
      <c r="C106" s="41"/>
      <c r="D106" s="41"/>
      <c r="E106" s="41">
        <v>0</v>
      </c>
      <c r="F106" s="41">
        <f>(D106+E106)*(($F$104)+1)</f>
        <v>0</v>
      </c>
      <c r="G106" s="64" t="str">
        <f>A105</f>
        <v>Ground Floor</v>
      </c>
      <c r="H106" s="65"/>
      <c r="I106" s="35"/>
      <c r="L106" s="152"/>
      <c r="M106" s="152"/>
      <c r="N106" s="35"/>
    </row>
    <row r="107" spans="1:14" s="36" customFormat="1" hidden="1" x14ac:dyDescent="0.25">
      <c r="A107" s="64">
        <f t="shared" ref="A107:A109" si="0">A106+1</f>
        <v>2</v>
      </c>
      <c r="B107" s="65"/>
      <c r="C107" s="41"/>
      <c r="D107" s="41"/>
      <c r="E107" s="41">
        <v>0</v>
      </c>
      <c r="F107" s="41">
        <f t="shared" ref="F107:F109" si="1">(D107+E107)*(($F$104)+1)</f>
        <v>0</v>
      </c>
      <c r="G107" s="64" t="str">
        <f t="shared" ref="G107:G109" si="2">G106</f>
        <v>Ground Floor</v>
      </c>
      <c r="H107" s="65"/>
      <c r="I107" s="35"/>
      <c r="L107" s="152"/>
      <c r="M107" s="152"/>
      <c r="N107" s="35"/>
    </row>
    <row r="108" spans="1:14" s="36" customFormat="1" hidden="1" x14ac:dyDescent="0.25">
      <c r="A108" s="64">
        <f t="shared" si="0"/>
        <v>3</v>
      </c>
      <c r="B108" s="65"/>
      <c r="C108" s="41"/>
      <c r="D108" s="41"/>
      <c r="E108" s="41">
        <v>0</v>
      </c>
      <c r="F108" s="41">
        <f t="shared" si="1"/>
        <v>0</v>
      </c>
      <c r="G108" s="64" t="str">
        <f t="shared" si="2"/>
        <v>Ground Floor</v>
      </c>
      <c r="H108" s="65"/>
      <c r="I108" s="35"/>
      <c r="L108" s="152"/>
      <c r="M108" s="152"/>
      <c r="N108" s="35"/>
    </row>
    <row r="109" spans="1:14" s="36" customFormat="1" hidden="1" x14ac:dyDescent="0.25">
      <c r="A109" s="64">
        <f t="shared" si="0"/>
        <v>4</v>
      </c>
      <c r="B109" s="65"/>
      <c r="C109" s="41"/>
      <c r="D109" s="41"/>
      <c r="E109" s="41">
        <v>0</v>
      </c>
      <c r="F109" s="41">
        <f t="shared" si="1"/>
        <v>0</v>
      </c>
      <c r="G109" s="64" t="str">
        <f t="shared" si="2"/>
        <v>Ground Floor</v>
      </c>
      <c r="H109" s="65"/>
      <c r="I109" s="35"/>
      <c r="L109" s="152"/>
      <c r="M109" s="152"/>
      <c r="N109" s="35"/>
    </row>
    <row r="110" spans="1:14" s="36" customFormat="1" hidden="1" x14ac:dyDescent="0.25">
      <c r="A110" s="64"/>
      <c r="B110" s="168"/>
      <c r="C110" s="168"/>
      <c r="D110" s="168"/>
      <c r="E110" s="168"/>
      <c r="F110" s="168"/>
      <c r="G110" s="168"/>
      <c r="H110" s="65"/>
      <c r="I110" s="35"/>
      <c r="N110" s="35"/>
    </row>
    <row r="111" spans="1:14" ht="47.25" customHeight="1" x14ac:dyDescent="0.25">
      <c r="A111" s="51" t="s">
        <v>128</v>
      </c>
      <c r="B111" s="51" t="s">
        <v>129</v>
      </c>
      <c r="C111" s="42" t="s">
        <v>61</v>
      </c>
      <c r="D111" s="42" t="s">
        <v>62</v>
      </c>
      <c r="E111" s="52" t="s">
        <v>63</v>
      </c>
      <c r="F111" s="42" t="s">
        <v>209</v>
      </c>
      <c r="G111" s="68" t="s">
        <v>64</v>
      </c>
      <c r="H111" s="69"/>
      <c r="I111" s="35"/>
    </row>
    <row r="112" spans="1:14" s="36" customFormat="1" x14ac:dyDescent="0.25">
      <c r="A112" s="111" t="s">
        <v>204</v>
      </c>
      <c r="B112" s="112"/>
      <c r="C112" s="112"/>
      <c r="D112" s="112"/>
      <c r="E112" s="112"/>
      <c r="F112" s="112"/>
      <c r="G112" s="112"/>
      <c r="H112" s="113"/>
      <c r="J112" s="54">
        <f>10.764</f>
        <v>10.763999999999999</v>
      </c>
    </row>
    <row r="113" spans="1:14" s="36" customFormat="1" ht="15.75" customHeight="1" x14ac:dyDescent="0.25">
      <c r="A113" s="111" t="s">
        <v>207</v>
      </c>
      <c r="B113" s="112"/>
      <c r="C113" s="112"/>
      <c r="D113" s="112"/>
      <c r="E113" s="112"/>
      <c r="F113" s="112"/>
      <c r="G113" s="112"/>
      <c r="H113" s="113"/>
      <c r="I113" s="35"/>
    </row>
    <row r="114" spans="1:14" s="36" customFormat="1" ht="15.75" customHeight="1" x14ac:dyDescent="0.25">
      <c r="A114" s="64" t="str">
        <f ca="1">(SUMPRODUCT(MID(0&amp;(LEFT(A113,SUM(LEN(A113)-LEN(SUBSTITUTE(A113,{"0","1","2"},""))))), LARGE(INDEX(ISNUMBER(--MID((LEFT(A113,SUM(LEN(A113)-LEN(SUBSTITUTE(A113,{"0","1","2"},""))))), ROW(INDIRECT("1:"&amp;LEN((LEFT(A113,SUM(LEN(A113)-LEN(SUBSTITUTE(A113,{"0","1","2"},"")))))))), 1)) * ROW(INDIRECT("1:"&amp;LEN((LEFT(A113,SUM(LEN(A113)-LEN(SUBSTITUTE(A113,{"0","1","2"},"")))))))), 0), ROW(INDIRECT("1:"&amp;LEN((LEFT(A113,SUM(LEN(A113)-LEN(SUBSTITUTE(A113,{"0","1","2"},"")))))))))+1, 1) * 10^ROW(INDIRECT("1:"&amp;LEN((LEFT(A113,SUM(LEN(A113)-LEN(SUBSTITUTE(A113,{"0","1","2"},""))))))))/10))*100+1&amp;""&amp;" ,.., "&amp;""&amp;(SUMPRODUCT(MID(0&amp;(--TRIM(RIGHT(SUBSTITUTE(LEFT(A113,_xlfn.AGGREGATE(16,6,FIND({0,1,2,3,4,5,6,7,8,9},A113,ROW(INDIRECT("1:"&amp;LEN(A113)))),1))," ",REPT(" ",LEN(A113))),LEN(A113)))), LARGE(INDEX(ISNUMBER(--MID((--TRIM(RIGHT(SUBSTITUTE(LEFT(A113,_xlfn.AGGREGATE(16,6,FIND({0,1,2,3,4,5,6,7,8,9},A113,ROW(INDIRECT("1:"&amp;LEN(A113)))),1))," ",REPT(" ",LEN(A113))),LEN(A113)))), ROW(INDIRECT("1:"&amp;LEN((--TRIM(RIGHT(SUBSTITUTE(LEFT(A113,_xlfn.AGGREGATE(16,6,FIND({0,1,2,3,4,5,6,7,8,9},A113,ROW(INDIRECT("1:"&amp;LEN(A113)))),1))," ",REPT(" ",LEN(A113))),LEN(A113))))))), 1)) * ROW(INDIRECT("1:"&amp;LEN((--TRIM(RIGHT(SUBSTITUTE(LEFT(A113,_xlfn.AGGREGATE(16,6,FIND({0,1,2,3,4,5,6,7,8,9},A113,ROW(INDIRECT("1:"&amp;LEN(A113)))),1))," ",REPT(" ",LEN(A113))),LEN(A113))))))), 0), ROW(INDIRECT("1:"&amp;LEN((--TRIM(RIGHT(SUBSTITUTE(LEFT(A113,_xlfn.AGGREGATE(16,6,FIND({0,1,2,3,4,5,6,7,8,9},A113,ROW(INDIRECT("1:"&amp;LEN(A113)))),1))," ",REPT(" ",LEN(A113))),LEN(A113))))))))+1, 1) * 10^ROW(INDIRECT("1:"&amp;LEN((--TRIM(RIGHT(SUBSTITUTE(LEFT(A113,_xlfn.AGGREGATE(16,6,FIND({0,1,2,3,4,5,6,7,8,9},A113,ROW(INDIRECT("1:"&amp;LEN(A113)))),1))," ",REPT(" ",LEN(A113))),LEN(A113)))))))/10))*100+1</f>
        <v>101 ,.., 1101</v>
      </c>
      <c r="B114" s="65"/>
      <c r="C114" s="41" t="s">
        <v>206</v>
      </c>
      <c r="D114" s="54">
        <f>(30.955+4.037)*(10.764)</f>
        <v>376.65388799999994</v>
      </c>
      <c r="E114" s="41">
        <v>0</v>
      </c>
      <c r="F114" s="41">
        <v>680</v>
      </c>
      <c r="G114" s="162" t="str">
        <f>A113</f>
        <v>1st to 6th &amp; 8th to 11th Floor For Residential</v>
      </c>
      <c r="H114" s="163"/>
      <c r="I114" s="35"/>
      <c r="J114" s="57">
        <f>F114/D114</f>
        <v>1.8053709829221254</v>
      </c>
      <c r="K114" s="36">
        <f>4490000/F114</f>
        <v>6602.9411764705883</v>
      </c>
      <c r="L114" s="36">
        <f>F114*400</f>
        <v>272000</v>
      </c>
    </row>
    <row r="115" spans="1:14" s="36" customFormat="1" ht="15.75" customHeight="1" x14ac:dyDescent="0.25">
      <c r="A115" s="64" t="str">
        <f ca="1">(SUMPRODUCT(MID(0&amp;(LEFT(A114,SUM(LEN(A114)-LEN(SUBSTITUTE(A114,{"0","1","2"},""))))), LARGE(INDEX(ISNUMBER(--MID((LEFT(A114,SUM(LEN(A114)-LEN(SUBSTITUTE(A114,{"0","1","2"},""))))), ROW(INDIRECT("1:"&amp;LEN((LEFT(A114,SUM(LEN(A114)-LEN(SUBSTITUTE(A114,{"0","1","2"},"")))))))), 1)) * ROW(INDIRECT("1:"&amp;LEN((LEFT(A114,SUM(LEN(A114)-LEN(SUBSTITUTE(A114,{"0","1","2"},"")))))))), 0), ROW(INDIRECT("1:"&amp;LEN((LEFT(A114,SUM(LEN(A114)-LEN(SUBSTITUTE(A114,{"0","1","2"},"")))))))))+1, 1) * 10^ROW(INDIRECT("1:"&amp;LEN((LEFT(A114,SUM(LEN(A114)-LEN(SUBSTITUTE(A114,{"0","1","2"},""))))))))/10))*1+1&amp;""&amp;" ,.., "&amp;""&amp;(SUMPRODUCT(MID(0&amp;(--TRIM(RIGHT(SUBSTITUTE(LEFT(A114,_xlfn.AGGREGATE(16,6,FIND({0,1,2,3,4,5,6,7,8,9},A114,ROW(INDIRECT("1:"&amp;LEN(A114)))),1))," ",REPT(" ",LEN(A114))),LEN(A114)))), LARGE(INDEX(ISNUMBER(--MID((--TRIM(RIGHT(SUBSTITUTE(LEFT(A114,_xlfn.AGGREGATE(16,6,FIND({0,1,2,3,4,5,6,7,8,9},A114,ROW(INDIRECT("1:"&amp;LEN(A114)))),1))," ",REPT(" ",LEN(A114))),LEN(A114)))), ROW(INDIRECT("1:"&amp;LEN((--TRIM(RIGHT(SUBSTITUTE(LEFT(A114,_xlfn.AGGREGATE(16,6,FIND({0,1,2,3,4,5,6,7,8,9},A114,ROW(INDIRECT("1:"&amp;LEN(A114)))),1))," ",REPT(" ",LEN(A114))),LEN(A114))))))), 1)) * ROW(INDIRECT("1:"&amp;LEN((--TRIM(RIGHT(SUBSTITUTE(LEFT(A114,_xlfn.AGGREGATE(16,6,FIND({0,1,2,3,4,5,6,7,8,9},A114,ROW(INDIRECT("1:"&amp;LEN(A114)))),1))," ",REPT(" ",LEN(A114))),LEN(A114))))))), 0), ROW(INDIRECT("1:"&amp;LEN((--TRIM(RIGHT(SUBSTITUTE(LEFT(A114,_xlfn.AGGREGATE(16,6,FIND({0,1,2,3,4,5,6,7,8,9},A114,ROW(INDIRECT("1:"&amp;LEN(A114)))),1))," ",REPT(" ",LEN(A114))),LEN(A114))))))))+1, 1) * 10^ROW(INDIRECT("1:"&amp;LEN((--TRIM(RIGHT(SUBSTITUTE(LEFT(A114,_xlfn.AGGREGATE(16,6,FIND({0,1,2,3,4,5,6,7,8,9},A114,ROW(INDIRECT("1:"&amp;LEN(A114)))),1))," ",REPT(" ",LEN(A114))),LEN(A114)))))))/10))*1+1</f>
        <v>102 ,.., 1102</v>
      </c>
      <c r="B115" s="65"/>
      <c r="C115" s="41" t="s">
        <v>206</v>
      </c>
      <c r="D115" s="54">
        <f>(29.41+4.08+2.381)*(10.764)</f>
        <v>386.11544400000002</v>
      </c>
      <c r="E115" s="41">
        <v>0</v>
      </c>
      <c r="F115" s="41">
        <v>675</v>
      </c>
      <c r="G115" s="164"/>
      <c r="H115" s="165"/>
      <c r="I115" s="35"/>
      <c r="J115" s="57">
        <f t="shared" ref="J115:J154" si="3">F115/D115</f>
        <v>1.7481818209789091</v>
      </c>
      <c r="K115" s="36">
        <f t="shared" ref="K115:K116" si="4">4490000/F115</f>
        <v>6651.8518518518522</v>
      </c>
      <c r="L115" s="36">
        <f t="shared" ref="L115:L125" si="5">F115*400</f>
        <v>270000</v>
      </c>
    </row>
    <row r="116" spans="1:14" s="36" customFormat="1" ht="15.75" customHeight="1" x14ac:dyDescent="0.25">
      <c r="A116" s="64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10^ROW(INDIRECT("1:"&amp;LEN((LEFT(A115,SUM(LEN(A115)-LEN(SUBSTITUTE(A115,{"0","1","2"},""))))))))/10))*1+1&amp;""&amp;" ,..,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",LEN(A115))),LEN(A115)))))))/10))*1+1</f>
        <v>103 ,.., 1103</v>
      </c>
      <c r="B116" s="65"/>
      <c r="C116" s="41" t="s">
        <v>206</v>
      </c>
      <c r="D116" s="54">
        <f>(30.76+4.08+2.43)*(10.764)</f>
        <v>401.17428000000001</v>
      </c>
      <c r="E116" s="41">
        <v>0</v>
      </c>
      <c r="F116" s="41">
        <v>705</v>
      </c>
      <c r="G116" s="164"/>
      <c r="H116" s="165"/>
      <c r="I116" s="35"/>
      <c r="J116" s="57">
        <f t="shared" si="3"/>
        <v>1.7573409741023278</v>
      </c>
      <c r="K116" s="36">
        <f t="shared" si="4"/>
        <v>6368.7943262411345</v>
      </c>
      <c r="L116" s="36">
        <f t="shared" si="5"/>
        <v>282000</v>
      </c>
    </row>
    <row r="117" spans="1:14" s="36" customFormat="1" ht="15.75" customHeight="1" x14ac:dyDescent="0.25">
      <c r="A117" s="64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,..,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104 ,.., 1104</v>
      </c>
      <c r="B117" s="65"/>
      <c r="C117" s="41" t="s">
        <v>205</v>
      </c>
      <c r="D117" s="54">
        <f>(41.076+6.417+2.385)*(10.764)</f>
        <v>536.88679200000001</v>
      </c>
      <c r="E117" s="41">
        <v>0</v>
      </c>
      <c r="F117" s="41">
        <v>975</v>
      </c>
      <c r="G117" s="164"/>
      <c r="H117" s="165"/>
      <c r="I117" s="35"/>
      <c r="J117" s="57">
        <f t="shared" si="3"/>
        <v>1.8160253046418768</v>
      </c>
      <c r="K117" s="36">
        <f>7150000/F117</f>
        <v>7333.333333333333</v>
      </c>
      <c r="L117" s="36">
        <f t="shared" si="5"/>
        <v>390000</v>
      </c>
    </row>
    <row r="118" spans="1:14" s="36" customFormat="1" ht="15.75" customHeight="1" x14ac:dyDescent="0.25">
      <c r="A118" s="64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,..,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105 ,.., 1105</v>
      </c>
      <c r="B118" s="65"/>
      <c r="C118" s="41" t="s">
        <v>205</v>
      </c>
      <c r="D118" s="54">
        <f>(41.463+2.052+2.385)*(10.764)</f>
        <v>494.06759999999997</v>
      </c>
      <c r="E118" s="41">
        <v>0</v>
      </c>
      <c r="F118" s="41">
        <v>895</v>
      </c>
      <c r="G118" s="164"/>
      <c r="H118" s="165"/>
      <c r="I118" s="35"/>
      <c r="J118" s="57">
        <f t="shared" si="3"/>
        <v>1.8114930021721725</v>
      </c>
      <c r="K118" s="36">
        <f>7150000/F118</f>
        <v>7988.8268156424583</v>
      </c>
      <c r="L118" s="36">
        <f t="shared" si="5"/>
        <v>358000</v>
      </c>
    </row>
    <row r="119" spans="1:14" s="36" customFormat="1" ht="15.75" customHeight="1" x14ac:dyDescent="0.25">
      <c r="A119" s="64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,..,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106 ,.., 1106</v>
      </c>
      <c r="B119" s="65"/>
      <c r="C119" s="41" t="s">
        <v>206</v>
      </c>
      <c r="D119" s="54">
        <f>(30.863)*(10.764)</f>
        <v>332.20933199999996</v>
      </c>
      <c r="E119" s="41">
        <v>0</v>
      </c>
      <c r="F119" s="41">
        <v>590</v>
      </c>
      <c r="G119" s="166"/>
      <c r="H119" s="167"/>
      <c r="I119" s="35"/>
      <c r="J119" s="57">
        <f t="shared" si="3"/>
        <v>1.7759886408007348</v>
      </c>
      <c r="L119" s="36">
        <f t="shared" si="5"/>
        <v>236000</v>
      </c>
    </row>
    <row r="120" spans="1:14" s="36" customFormat="1" x14ac:dyDescent="0.25">
      <c r="A120" s="123" t="s">
        <v>208</v>
      </c>
      <c r="B120" s="123"/>
      <c r="C120" s="123"/>
      <c r="D120" s="123"/>
      <c r="E120" s="123"/>
      <c r="F120" s="123"/>
      <c r="G120" s="123"/>
      <c r="H120" s="123"/>
      <c r="I120" s="35"/>
      <c r="J120" s="57" t="e">
        <f t="shared" si="3"/>
        <v>#DIV/0!</v>
      </c>
      <c r="L120" s="36">
        <f t="shared" si="5"/>
        <v>0</v>
      </c>
      <c r="M120" s="58"/>
    </row>
    <row r="121" spans="1:14" s="36" customFormat="1" ht="15.75" customHeight="1" x14ac:dyDescent="0.25">
      <c r="A121" s="66">
        <f>LEFT(A120,SUM(LEN(A120)-LEN(SUBSTITUTE(A120,{"0","1","2","3","4","5","6","7","8","9"},""))))*100+1</f>
        <v>701</v>
      </c>
      <c r="B121" s="66"/>
      <c r="C121" s="41" t="s">
        <v>206</v>
      </c>
      <c r="D121" s="54">
        <f>(30.955+4.037)*(10.764)</f>
        <v>376.65388799999994</v>
      </c>
      <c r="E121" s="41">
        <v>0</v>
      </c>
      <c r="F121" s="41">
        <v>680</v>
      </c>
      <c r="G121" s="162" t="str">
        <f>A120</f>
        <v>7th Floor (Part Refuge Area)</v>
      </c>
      <c r="H121" s="163"/>
      <c r="I121" s="35"/>
      <c r="J121" s="57">
        <f t="shared" si="3"/>
        <v>1.8053709829221254</v>
      </c>
      <c r="L121" s="36">
        <f t="shared" si="5"/>
        <v>272000</v>
      </c>
      <c r="N121" s="35"/>
    </row>
    <row r="122" spans="1:14" s="36" customFormat="1" ht="15.75" customHeight="1" x14ac:dyDescent="0.25">
      <c r="A122" s="66">
        <f>A121+1</f>
        <v>702</v>
      </c>
      <c r="B122" s="66"/>
      <c r="C122" s="41" t="s">
        <v>206</v>
      </c>
      <c r="D122" s="54">
        <f>(29.41+4.08+2.381)*(10.764)</f>
        <v>386.11544400000002</v>
      </c>
      <c r="E122" s="41">
        <v>0</v>
      </c>
      <c r="F122" s="41">
        <v>675</v>
      </c>
      <c r="G122" s="164"/>
      <c r="H122" s="165"/>
      <c r="I122" s="35"/>
      <c r="J122" s="57">
        <f t="shared" si="3"/>
        <v>1.7481818209789091</v>
      </c>
      <c r="L122" s="36">
        <f t="shared" si="5"/>
        <v>270000</v>
      </c>
      <c r="N122" s="35"/>
    </row>
    <row r="123" spans="1:14" s="36" customFormat="1" ht="15.75" customHeight="1" x14ac:dyDescent="0.25">
      <c r="A123" s="66">
        <f>A122+1</f>
        <v>703</v>
      </c>
      <c r="B123" s="66"/>
      <c r="C123" s="41" t="s">
        <v>205</v>
      </c>
      <c r="D123" s="54">
        <f>(41.076+6.417+2.385)*(10.764)</f>
        <v>536.88679200000001</v>
      </c>
      <c r="E123" s="41">
        <v>0</v>
      </c>
      <c r="F123" s="41">
        <v>975</v>
      </c>
      <c r="G123" s="164"/>
      <c r="H123" s="165"/>
      <c r="I123" s="35"/>
      <c r="J123" s="57">
        <f t="shared" si="3"/>
        <v>1.8160253046418768</v>
      </c>
      <c r="L123" s="36">
        <f t="shared" si="5"/>
        <v>390000</v>
      </c>
      <c r="N123" s="35"/>
    </row>
    <row r="124" spans="1:14" s="36" customFormat="1" ht="15.75" customHeight="1" x14ac:dyDescent="0.25">
      <c r="A124" s="66">
        <f>A123+1</f>
        <v>704</v>
      </c>
      <c r="B124" s="66"/>
      <c r="C124" s="41" t="s">
        <v>205</v>
      </c>
      <c r="D124" s="54">
        <f>(41.463+2.052+2.385)*(10.764)</f>
        <v>494.06759999999997</v>
      </c>
      <c r="E124" s="41">
        <v>0</v>
      </c>
      <c r="F124" s="41">
        <v>895</v>
      </c>
      <c r="G124" s="164"/>
      <c r="H124" s="165"/>
      <c r="I124" s="35"/>
      <c r="J124" s="57">
        <f t="shared" si="3"/>
        <v>1.8114930021721725</v>
      </c>
      <c r="L124" s="36">
        <f t="shared" si="5"/>
        <v>358000</v>
      </c>
      <c r="N124" s="35"/>
    </row>
    <row r="125" spans="1:14" s="36" customFormat="1" ht="15.75" customHeight="1" x14ac:dyDescent="0.25">
      <c r="A125" s="66">
        <f>A124+1</f>
        <v>705</v>
      </c>
      <c r="B125" s="66"/>
      <c r="C125" s="41" t="s">
        <v>206</v>
      </c>
      <c r="D125" s="54">
        <f>(30.863)*(10.764)</f>
        <v>332.20933199999996</v>
      </c>
      <c r="E125" s="41">
        <v>0</v>
      </c>
      <c r="F125" s="41">
        <v>590</v>
      </c>
      <c r="G125" s="166"/>
      <c r="H125" s="167"/>
      <c r="I125" s="35"/>
      <c r="J125" s="57">
        <f t="shared" si="3"/>
        <v>1.7759886408007348</v>
      </c>
      <c r="L125" s="36">
        <f t="shared" si="5"/>
        <v>236000</v>
      </c>
      <c r="N125" s="35"/>
    </row>
    <row r="126" spans="1:14" s="36" customFormat="1" hidden="1" x14ac:dyDescent="0.25">
      <c r="A126" s="111" t="s">
        <v>124</v>
      </c>
      <c r="B126" s="112"/>
      <c r="C126" s="112"/>
      <c r="D126" s="112"/>
      <c r="E126" s="112"/>
      <c r="F126" s="112"/>
      <c r="G126" s="112"/>
      <c r="H126" s="113"/>
      <c r="J126" s="57" t="e">
        <f t="shared" si="3"/>
        <v>#DIV/0!</v>
      </c>
    </row>
    <row r="127" spans="1:14" s="36" customFormat="1" hidden="1" x14ac:dyDescent="0.25">
      <c r="A127" s="64">
        <v>1</v>
      </c>
      <c r="B127" s="65"/>
      <c r="C127" s="41"/>
      <c r="D127" s="41"/>
      <c r="E127" s="41">
        <v>0</v>
      </c>
      <c r="F127" s="41" t="e">
        <f>D127*((#REF!)+1)+(IF(E127&lt;101,E127,IF(E127&lt;201,E127/2,IF(E127&lt;=301,E127/3,E127/4))))</f>
        <v>#REF!</v>
      </c>
      <c r="G127" s="64" t="str">
        <f>A126</f>
        <v>Ground Floor</v>
      </c>
      <c r="H127" s="65"/>
      <c r="I127" s="35"/>
      <c r="J127" s="57" t="e">
        <f t="shared" si="3"/>
        <v>#REF!</v>
      </c>
      <c r="L127" s="152"/>
      <c r="M127" s="152"/>
      <c r="N127" s="35"/>
    </row>
    <row r="128" spans="1:14" s="36" customFormat="1" hidden="1" x14ac:dyDescent="0.25">
      <c r="A128" s="64">
        <f t="shared" ref="A128:A130" si="6">A127+1</f>
        <v>2</v>
      </c>
      <c r="B128" s="65"/>
      <c r="C128" s="41"/>
      <c r="D128" s="41"/>
      <c r="E128" s="41">
        <v>0</v>
      </c>
      <c r="F128" s="41" t="e">
        <f>D128*((#REF!)+1)+(IF(E128&lt;101,E128,IF(E128&lt;201,E128/2,IF(E128&lt;=301,E128/3,E128/4))))</f>
        <v>#REF!</v>
      </c>
      <c r="G128" s="64" t="str">
        <f t="shared" ref="G128:G130" si="7">G127</f>
        <v>Ground Floor</v>
      </c>
      <c r="H128" s="65"/>
      <c r="I128" s="35"/>
      <c r="J128" s="57" t="e">
        <f t="shared" si="3"/>
        <v>#REF!</v>
      </c>
      <c r="L128" s="152"/>
      <c r="M128" s="152"/>
      <c r="N128" s="35"/>
    </row>
    <row r="129" spans="1:14" s="36" customFormat="1" hidden="1" x14ac:dyDescent="0.25">
      <c r="A129" s="64">
        <f t="shared" si="6"/>
        <v>3</v>
      </c>
      <c r="B129" s="65"/>
      <c r="C129" s="41"/>
      <c r="D129" s="41"/>
      <c r="E129" s="41">
        <v>0</v>
      </c>
      <c r="F129" s="41" t="e">
        <f>D129*((#REF!)+1)+(IF(E129&lt;101,E129,IF(E129&lt;201,E129/2,IF(E129&lt;=301,E129/3,E129/4))))</f>
        <v>#REF!</v>
      </c>
      <c r="G129" s="64" t="str">
        <f t="shared" si="7"/>
        <v>Ground Floor</v>
      </c>
      <c r="H129" s="65"/>
      <c r="I129" s="35"/>
      <c r="J129" s="57" t="e">
        <f t="shared" si="3"/>
        <v>#REF!</v>
      </c>
      <c r="L129" s="152"/>
      <c r="M129" s="152"/>
      <c r="N129" s="35"/>
    </row>
    <row r="130" spans="1:14" s="36" customFormat="1" hidden="1" x14ac:dyDescent="0.25">
      <c r="A130" s="64">
        <f t="shared" si="6"/>
        <v>4</v>
      </c>
      <c r="B130" s="65"/>
      <c r="C130" s="41"/>
      <c r="D130" s="41"/>
      <c r="E130" s="41">
        <v>0</v>
      </c>
      <c r="F130" s="41" t="e">
        <f>D130*((#REF!)+1)+(IF(E130&lt;101,E130,IF(E130&lt;201,E130/2,IF(E130&lt;=301,E130/3,E130/4))))</f>
        <v>#REF!</v>
      </c>
      <c r="G130" s="64" t="str">
        <f t="shared" si="7"/>
        <v>Ground Floor</v>
      </c>
      <c r="H130" s="65"/>
      <c r="I130" s="35"/>
      <c r="J130" s="57" t="e">
        <f t="shared" si="3"/>
        <v>#REF!</v>
      </c>
      <c r="L130" s="152"/>
      <c r="M130" s="152"/>
      <c r="N130" s="35"/>
    </row>
    <row r="131" spans="1:14" s="36" customFormat="1" hidden="1" x14ac:dyDescent="0.25">
      <c r="A131" s="123" t="s">
        <v>125</v>
      </c>
      <c r="B131" s="123"/>
      <c r="C131" s="123"/>
      <c r="D131" s="123"/>
      <c r="E131" s="123"/>
      <c r="F131" s="123"/>
      <c r="G131" s="123"/>
      <c r="H131" s="123"/>
      <c r="I131" s="35"/>
      <c r="J131" s="57" t="e">
        <f t="shared" si="3"/>
        <v>#DIV/0!</v>
      </c>
      <c r="L131" s="152"/>
      <c r="M131" s="152"/>
    </row>
    <row r="132" spans="1:14" s="36" customFormat="1" hidden="1" x14ac:dyDescent="0.25">
      <c r="A132" s="66">
        <f>LEFT(A131,SUM(LEN(A131)-LEN(SUBSTITUTE(A131,{"0","1","2","3","4","5","6","7","8","9"},""))))*100+1</f>
        <v>201</v>
      </c>
      <c r="B132" s="66"/>
      <c r="C132" s="41"/>
      <c r="D132" s="41"/>
      <c r="E132" s="41">
        <v>0</v>
      </c>
      <c r="F132" s="41" t="e">
        <f>D132*((#REF!)+1)+(IF(E132&lt;101,E132,IF(E132&lt;201,E132/2,IF(E132&lt;=301,E132/3,E132/4))))</f>
        <v>#REF!</v>
      </c>
      <c r="G132" s="66" t="str">
        <f>A131</f>
        <v>2nd Floor</v>
      </c>
      <c r="H132" s="66"/>
      <c r="I132" s="35"/>
      <c r="J132" s="57" t="e">
        <f t="shared" si="3"/>
        <v>#REF!</v>
      </c>
      <c r="N132" s="35"/>
    </row>
    <row r="133" spans="1:14" s="36" customFormat="1" hidden="1" x14ac:dyDescent="0.25">
      <c r="A133" s="66">
        <f>A132+1</f>
        <v>202</v>
      </c>
      <c r="B133" s="66"/>
      <c r="C133" s="41"/>
      <c r="D133" s="41"/>
      <c r="E133" s="41">
        <v>0</v>
      </c>
      <c r="F133" s="41" t="e">
        <f>D133*((#REF!)+1)+(IF(E133&lt;101,E133,IF(E133&lt;201,E133/2,IF(E133&lt;=301,E133/3,E133/4))))</f>
        <v>#REF!</v>
      </c>
      <c r="G133" s="66" t="str">
        <f>G132</f>
        <v>2nd Floor</v>
      </c>
      <c r="H133" s="66"/>
      <c r="I133" s="35"/>
      <c r="J133" s="57" t="e">
        <f t="shared" si="3"/>
        <v>#REF!</v>
      </c>
      <c r="N133" s="35"/>
    </row>
    <row r="134" spans="1:14" s="36" customFormat="1" hidden="1" x14ac:dyDescent="0.25">
      <c r="A134" s="66">
        <f>A133+1</f>
        <v>203</v>
      </c>
      <c r="B134" s="66"/>
      <c r="C134" s="41"/>
      <c r="D134" s="41"/>
      <c r="E134" s="41">
        <v>0</v>
      </c>
      <c r="F134" s="41" t="e">
        <f>D134*((#REF!)+1)+(IF(E134&lt;101,E134,IF(E134&lt;201,E134/2,IF(E134&lt;=301,E134/3,E134/4))))</f>
        <v>#REF!</v>
      </c>
      <c r="G134" s="66" t="str">
        <f>G133</f>
        <v>2nd Floor</v>
      </c>
      <c r="H134" s="66"/>
      <c r="I134" s="35"/>
      <c r="J134" s="57" t="e">
        <f t="shared" si="3"/>
        <v>#REF!</v>
      </c>
      <c r="N134" s="35"/>
    </row>
    <row r="135" spans="1:14" s="36" customFormat="1" hidden="1" x14ac:dyDescent="0.25">
      <c r="A135" s="66">
        <f>A134+1</f>
        <v>204</v>
      </c>
      <c r="B135" s="66"/>
      <c r="C135" s="41"/>
      <c r="D135" s="41"/>
      <c r="E135" s="41">
        <v>0</v>
      </c>
      <c r="F135" s="41" t="e">
        <f>D135*((#REF!)+1)+(IF(E135&lt;101,E135,IF(E135&lt;201,E135/2,IF(E135&lt;=301,E135/3,E135/4))))</f>
        <v>#REF!</v>
      </c>
      <c r="G135" s="66" t="str">
        <f>G134</f>
        <v>2nd Floor</v>
      </c>
      <c r="H135" s="66"/>
      <c r="I135" s="35"/>
      <c r="J135" s="57" t="e">
        <f t="shared" si="3"/>
        <v>#REF!</v>
      </c>
      <c r="N135" s="35"/>
    </row>
    <row r="136" spans="1:14" s="36" customFormat="1" hidden="1" x14ac:dyDescent="0.25">
      <c r="A136" s="66">
        <f>A135+1</f>
        <v>205</v>
      </c>
      <c r="B136" s="66"/>
      <c r="C136" s="41"/>
      <c r="D136" s="41"/>
      <c r="E136" s="41">
        <v>0</v>
      </c>
      <c r="F136" s="41" t="e">
        <f>D136*((#REF!)+1)+(IF(E136&lt;101,E136,IF(E136&lt;201,E136/2,IF(E136&lt;=301,E136/3,E136/4))))</f>
        <v>#REF!</v>
      </c>
      <c r="G136" s="66" t="str">
        <f>G135</f>
        <v>2nd Floor</v>
      </c>
      <c r="H136" s="66"/>
      <c r="I136" s="35"/>
      <c r="J136" s="57" t="e">
        <f t="shared" si="3"/>
        <v>#REF!</v>
      </c>
      <c r="N136" s="35"/>
    </row>
    <row r="137" spans="1:14" s="36" customFormat="1" ht="15.75" hidden="1" customHeight="1" x14ac:dyDescent="0.25">
      <c r="A137" s="111" t="s">
        <v>161</v>
      </c>
      <c r="B137" s="112"/>
      <c r="C137" s="112"/>
      <c r="D137" s="112"/>
      <c r="E137" s="112"/>
      <c r="F137" s="112"/>
      <c r="G137" s="112"/>
      <c r="H137" s="113"/>
      <c r="I137" s="35"/>
      <c r="J137" s="57" t="e">
        <f t="shared" si="3"/>
        <v>#DIV/0!</v>
      </c>
    </row>
    <row r="138" spans="1:14" s="36" customFormat="1" hidden="1" x14ac:dyDescent="0.25">
      <c r="A138" s="64" t="str">
        <f ca="1">(SUMPRODUCT(MID(0&amp;(LEFT(A137,SUM(LEN(A137)-LEN(SUBSTITUTE(A137,{"0","1","2"},""))))), LARGE(INDEX(ISNUMBER(--MID((LEFT(A137,SUM(LEN(A137)-LEN(SUBSTITUTE(A137,{"0","1","2"},""))))), ROW(INDIRECT("1:"&amp;LEN((LEFT(A137,SUM(LEN(A137)-LEN(SUBSTITUTE(A137,{"0","1","2"},"")))))))), 1)) * ROW(INDIRECT("1:"&amp;LEN((LEFT(A137,SUM(LEN(A137)-LEN(SUBSTITUTE(A137,{"0","1","2"},"")))))))), 0), ROW(INDIRECT("1:"&amp;LEN((LEFT(A137,SUM(LEN(A137)-LEN(SUBSTITUTE(A137,{"0","1","2"},"")))))))))+1, 1) * 10^ROW(INDIRECT("1:"&amp;LEN((LEFT(A137,SUM(LEN(A137)-LEN(SUBSTITUTE(A137,{"0","1","2"},""))))))))/10))*100+1&amp;""&amp;" ,.., "&amp;""&amp;(SUMPRODUCT(MID(0&amp;(--TRIM(RIGHT(SUBSTITUTE(LEFT(A137,_xlfn.AGGREGATE(16,6,FIND({0,1,2,3,4,5,6,7,8,9},A137,ROW(INDIRECT("1:"&amp;LEN(A137)))),1))," ",REPT(" ",LEN(A137))),LEN(A137)))), LARGE(INDEX(ISNUMBER(--MID((--TRIM(RIGHT(SUBSTITUTE(LEFT(A137,_xlfn.AGGREGATE(16,6,FIND({0,1,2,3,4,5,6,7,8,9},A137,ROW(INDIRECT("1:"&amp;LEN(A137)))),1))," ",REPT(" ",LEN(A137))),LEN(A137)))), ROW(INDIRECT("1:"&amp;LEN((--TRIM(RIGHT(SUBSTITUTE(LEFT(A137,_xlfn.AGGREGATE(16,6,FIND({0,1,2,3,4,5,6,7,8,9},A137,ROW(INDIRECT("1:"&amp;LEN(A137)))),1))," ",REPT(" ",LEN(A137))),LEN(A137))))))), 1)) * ROW(INDIRECT("1:"&amp;LEN((--TRIM(RIGHT(SUBSTITUTE(LEFT(A137,_xlfn.AGGREGATE(16,6,FIND({0,1,2,3,4,5,6,7,8,9},A137,ROW(INDIRECT("1:"&amp;LEN(A137)))),1))," ",REPT(" ",LEN(A137))),LEN(A137))))))), 0), ROW(INDIRECT("1:"&amp;LEN((--TRIM(RIGHT(SUBSTITUTE(LEFT(A137,_xlfn.AGGREGATE(16,6,FIND({0,1,2,3,4,5,6,7,8,9},A137,ROW(INDIRECT("1:"&amp;LEN(A137)))),1))," ",REPT(" ",LEN(A137))),LEN(A137))))))))+1, 1) * 10^ROW(INDIRECT("1:"&amp;LEN((--TRIM(RIGHT(SUBSTITUTE(LEFT(A137,_xlfn.AGGREGATE(16,6,FIND({0,1,2,3,4,5,6,7,8,9},A137,ROW(INDIRECT("1:"&amp;LEN(A137)))),1))," ",REPT(" ",LEN(A137))),LEN(A137)))))))/10))*100+1</f>
        <v>301 ,.., 1501</v>
      </c>
      <c r="B138" s="65"/>
      <c r="C138" s="41"/>
      <c r="D138" s="41"/>
      <c r="E138" s="41">
        <v>0</v>
      </c>
      <c r="F138" s="41" t="e">
        <f>D138*((#REF!)+1)+(IF(E138&lt;101,E138,IF(E138&lt;201,E138/2,IF(E138&lt;=301,E138/3,E138/4))))</f>
        <v>#REF!</v>
      </c>
      <c r="G138" s="64" t="str">
        <f>A137</f>
        <v>3rd, 5th, 7th, 9th, 11th, 13th, 15th Floor</v>
      </c>
      <c r="H138" s="65"/>
      <c r="I138" s="35"/>
      <c r="J138" s="57" t="e">
        <f t="shared" si="3"/>
        <v>#REF!</v>
      </c>
    </row>
    <row r="139" spans="1:14" s="36" customFormat="1" hidden="1" x14ac:dyDescent="0.25">
      <c r="A139" s="64" t="str">
        <f ca="1">(SUMPRODUCT(MID(0&amp;(LEFT(A138,SUM(LEN(A138)-LEN(SUBSTITUTE(A138,{"0","1","2"},""))))), LARGE(INDEX(ISNUMBER(--MID((LEFT(A138,SUM(LEN(A138)-LEN(SUBSTITUTE(A138,{"0","1","2"},""))))), ROW(INDIRECT("1:"&amp;LEN((LEFT(A138,SUM(LEN(A138)-LEN(SUBSTITUTE(A138,{"0","1","2"},"")))))))), 1)) * ROW(INDIRECT("1:"&amp;LEN((LEFT(A138,SUM(LEN(A138)-LEN(SUBSTITUTE(A138,{"0","1","2"},"")))))))), 0), ROW(INDIRECT("1:"&amp;LEN((LEFT(A138,SUM(LEN(A138)-LEN(SUBSTITUTE(A138,{"0","1","2"},"")))))))))+1, 1) * 10^ROW(INDIRECT("1:"&amp;LEN((LEFT(A138,SUM(LEN(A138)-LEN(SUBSTITUTE(A138,{"0","1","2"},""))))))))/10))*1+1&amp;""&amp;" ,.., "&amp;""&amp;(SUMPRODUCT(MID(0&amp;(--TRIM(RIGHT(SUBSTITUTE(LEFT(A138,_xlfn.AGGREGATE(16,6,FIND({0,1,2,3,4,5,6,7,8,9},A138,ROW(INDIRECT("1:"&amp;LEN(A138)))),1))," ",REPT(" ",LEN(A138))),LEN(A138)))), LARGE(INDEX(ISNUMBER(--MID((--TRIM(RIGHT(SUBSTITUTE(LEFT(A138,_xlfn.AGGREGATE(16,6,FIND({0,1,2,3,4,5,6,7,8,9},A138,ROW(INDIRECT("1:"&amp;LEN(A138)))),1))," ",REPT(" ",LEN(A138))),LEN(A138)))), ROW(INDIRECT("1:"&amp;LEN((--TRIM(RIGHT(SUBSTITUTE(LEFT(A138,_xlfn.AGGREGATE(16,6,FIND({0,1,2,3,4,5,6,7,8,9},A138,ROW(INDIRECT("1:"&amp;LEN(A138)))),1))," ",REPT(" ",LEN(A138))),LEN(A138))))))), 1)) * ROW(INDIRECT("1:"&amp;LEN((--TRIM(RIGHT(SUBSTITUTE(LEFT(A138,_xlfn.AGGREGATE(16,6,FIND({0,1,2,3,4,5,6,7,8,9},A138,ROW(INDIRECT("1:"&amp;LEN(A138)))),1))," ",REPT(" ",LEN(A138))),LEN(A138))))))), 0), ROW(INDIRECT("1:"&amp;LEN((--TRIM(RIGHT(SUBSTITUTE(LEFT(A138,_xlfn.AGGREGATE(16,6,FIND({0,1,2,3,4,5,6,7,8,9},A138,ROW(INDIRECT("1:"&amp;LEN(A138)))),1))," ",REPT(" ",LEN(A138))),LEN(A138))))))))+1, 1) * 10^ROW(INDIRECT("1:"&amp;LEN((--TRIM(RIGHT(SUBSTITUTE(LEFT(A138,_xlfn.AGGREGATE(16,6,FIND({0,1,2,3,4,5,6,7,8,9},A138,ROW(INDIRECT("1:"&amp;LEN(A138)))),1))," ",REPT(" ",LEN(A138))),LEN(A138)))))))/10))*1+1</f>
        <v>302 ,.., 1502</v>
      </c>
      <c r="B139" s="65"/>
      <c r="C139" s="41"/>
      <c r="D139" s="41"/>
      <c r="E139" s="41">
        <v>0</v>
      </c>
      <c r="F139" s="41" t="e">
        <f>D139*((#REF!)+1)+(IF(E139&lt;101,E139,IF(E139&lt;201,E139/2,IF(E139&lt;=301,E139/3,E139/4))))</f>
        <v>#REF!</v>
      </c>
      <c r="G139" s="64" t="str">
        <f>G138</f>
        <v>3rd, 5th, 7th, 9th, 11th, 13th, 15th Floor</v>
      </c>
      <c r="H139" s="65"/>
      <c r="I139" s="35"/>
      <c r="J139" s="57" t="e">
        <f t="shared" si="3"/>
        <v>#REF!</v>
      </c>
    </row>
    <row r="140" spans="1:14" s="36" customFormat="1" ht="15.75" hidden="1" customHeight="1" x14ac:dyDescent="0.25">
      <c r="A140" s="64" t="str">
        <f ca="1">(SUMPRODUCT(MID(0&amp;(LEFT(A139,SUM(LEN(A139)-LEN(SUBSTITUTE(A139,{"0","1","2"},""))))), LARGE(INDEX(ISNUMBER(--MID((LEFT(A139,SUM(LEN(A139)-LEN(SUBSTITUTE(A139,{"0","1","2"},""))))), ROW(INDIRECT("1:"&amp;LEN((LEFT(A139,SUM(LEN(A139)-LEN(SUBSTITUTE(A139,{"0","1","2"},"")))))))), 1)) * ROW(INDIRECT("1:"&amp;LEN((LEFT(A139,SUM(LEN(A139)-LEN(SUBSTITUTE(A139,{"0","1","2"},"")))))))), 0), ROW(INDIRECT("1:"&amp;LEN((LEFT(A139,SUM(LEN(A139)-LEN(SUBSTITUTE(A139,{"0","1","2"},"")))))))))+1, 1) * 10^ROW(INDIRECT("1:"&amp;LEN((LEFT(A139,SUM(LEN(A139)-LEN(SUBSTITUTE(A139,{"0","1","2"},""))))))))/10))*1+1&amp;""&amp;" ,.., "&amp;""&amp;(SUMPRODUCT(MID(0&amp;(--TRIM(RIGHT(SUBSTITUTE(LEFT(A139,_xlfn.AGGREGATE(16,6,FIND({0,1,2,3,4,5,6,7,8,9},A139,ROW(INDIRECT("1:"&amp;LEN(A139)))),1))," ",REPT(" ",LEN(A139))),LEN(A139)))), LARGE(INDEX(ISNUMBER(--MID((--TRIM(RIGHT(SUBSTITUTE(LEFT(A139,_xlfn.AGGREGATE(16,6,FIND({0,1,2,3,4,5,6,7,8,9},A139,ROW(INDIRECT("1:"&amp;LEN(A139)))),1))," ",REPT(" ",LEN(A139))),LEN(A139)))), ROW(INDIRECT("1:"&amp;LEN((--TRIM(RIGHT(SUBSTITUTE(LEFT(A139,_xlfn.AGGREGATE(16,6,FIND({0,1,2,3,4,5,6,7,8,9},A139,ROW(INDIRECT("1:"&amp;LEN(A139)))),1))," ",REPT(" ",LEN(A139))),LEN(A139))))))), 1)) * ROW(INDIRECT("1:"&amp;LEN((--TRIM(RIGHT(SUBSTITUTE(LEFT(A139,_xlfn.AGGREGATE(16,6,FIND({0,1,2,3,4,5,6,7,8,9},A139,ROW(INDIRECT("1:"&amp;LEN(A139)))),1))," ",REPT(" ",LEN(A139))),LEN(A139))))))), 0), ROW(INDIRECT("1:"&amp;LEN((--TRIM(RIGHT(SUBSTITUTE(LEFT(A139,_xlfn.AGGREGATE(16,6,FIND({0,1,2,3,4,5,6,7,8,9},A139,ROW(INDIRECT("1:"&amp;LEN(A139)))),1))," ",REPT(" ",LEN(A139))),LEN(A139))))))))+1, 1) * 10^ROW(INDIRECT("1:"&amp;LEN((--TRIM(RIGHT(SUBSTITUTE(LEFT(A139,_xlfn.AGGREGATE(16,6,FIND({0,1,2,3,4,5,6,7,8,9},A139,ROW(INDIRECT("1:"&amp;LEN(A139)))),1))," ",REPT(" ",LEN(A139))),LEN(A139)))))))/10))*1+1</f>
        <v>303 ,.., 1503</v>
      </c>
      <c r="B140" s="65"/>
      <c r="C140" s="41"/>
      <c r="D140" s="41"/>
      <c r="E140" s="41">
        <v>0</v>
      </c>
      <c r="F140" s="41" t="e">
        <f>D140*((#REF!)+1)+(IF(E140&lt;101,E140,IF(E140&lt;201,E140/2,IF(E140&lt;=301,E140/3,E140/4))))</f>
        <v>#REF!</v>
      </c>
      <c r="G140" s="64" t="str">
        <f>G139</f>
        <v>3rd, 5th, 7th, 9th, 11th, 13th, 15th Floor</v>
      </c>
      <c r="H140" s="65"/>
      <c r="I140" s="35"/>
      <c r="J140" s="57" t="e">
        <f t="shared" si="3"/>
        <v>#REF!</v>
      </c>
    </row>
    <row r="141" spans="1:14" s="36" customFormat="1" ht="15.75" hidden="1" customHeight="1" x14ac:dyDescent="0.25">
      <c r="A141" s="64" t="str">
        <f ca="1">(SUMPRODUCT(MID(0&amp;(LEFT(A140,SUM(LEN(A140)-LEN(SUBSTITUTE(A140,{"0","1","2"},""))))), LARGE(INDEX(ISNUMBER(--MID((LEFT(A140,SUM(LEN(A140)-LEN(SUBSTITUTE(A140,{"0","1","2"},""))))), ROW(INDIRECT("1:"&amp;LEN((LEFT(A140,SUM(LEN(A140)-LEN(SUBSTITUTE(A140,{"0","1","2"},"")))))))), 1)) * ROW(INDIRECT("1:"&amp;LEN((LEFT(A140,SUM(LEN(A140)-LEN(SUBSTITUTE(A140,{"0","1","2"},"")))))))), 0), ROW(INDIRECT("1:"&amp;LEN((LEFT(A140,SUM(LEN(A140)-LEN(SUBSTITUTE(A140,{"0","1","2"},"")))))))))+1, 1) * 10^ROW(INDIRECT("1:"&amp;LEN((LEFT(A140,SUM(LEN(A140)-LEN(SUBSTITUTE(A140,{"0","1","2"},""))))))))/10))*1+1&amp;""&amp;" ,.., "&amp;""&amp;(SUMPRODUCT(MID(0&amp;(--TRIM(RIGHT(SUBSTITUTE(LEFT(A140,_xlfn.AGGREGATE(16,6,FIND({0,1,2,3,4,5,6,7,8,9},A140,ROW(INDIRECT("1:"&amp;LEN(A140)))),1))," ",REPT(" ",LEN(A140))),LEN(A140)))), LARGE(INDEX(ISNUMBER(--MID((--TRIM(RIGHT(SUBSTITUTE(LEFT(A140,_xlfn.AGGREGATE(16,6,FIND({0,1,2,3,4,5,6,7,8,9},A140,ROW(INDIRECT("1:"&amp;LEN(A140)))),1))," ",REPT(" ",LEN(A140))),LEN(A140)))), ROW(INDIRECT("1:"&amp;LEN((--TRIM(RIGHT(SUBSTITUTE(LEFT(A140,_xlfn.AGGREGATE(16,6,FIND({0,1,2,3,4,5,6,7,8,9},A140,ROW(INDIRECT("1:"&amp;LEN(A140)))),1))," ",REPT(" ",LEN(A140))),LEN(A140))))))), 1)) * ROW(INDIRECT("1:"&amp;LEN((--TRIM(RIGHT(SUBSTITUTE(LEFT(A140,_xlfn.AGGREGATE(16,6,FIND({0,1,2,3,4,5,6,7,8,9},A140,ROW(INDIRECT("1:"&amp;LEN(A140)))),1))," ",REPT(" ",LEN(A140))),LEN(A140))))))), 0), ROW(INDIRECT("1:"&amp;LEN((--TRIM(RIGHT(SUBSTITUTE(LEFT(A140,_xlfn.AGGREGATE(16,6,FIND({0,1,2,3,4,5,6,7,8,9},A140,ROW(INDIRECT("1:"&amp;LEN(A140)))),1))," ",REPT(" ",LEN(A140))),LEN(A140))))))))+1, 1) * 10^ROW(INDIRECT("1:"&amp;LEN((--TRIM(RIGHT(SUBSTITUTE(LEFT(A140,_xlfn.AGGREGATE(16,6,FIND({0,1,2,3,4,5,6,7,8,9},A140,ROW(INDIRECT("1:"&amp;LEN(A140)))),1))," ",REPT(" ",LEN(A140))),LEN(A140)))))))/10))*1+1</f>
        <v>304 ,.., 1504</v>
      </c>
      <c r="B141" s="65"/>
      <c r="C141" s="41"/>
      <c r="D141" s="41"/>
      <c r="E141" s="41">
        <v>0</v>
      </c>
      <c r="F141" s="41" t="e">
        <f>D141*((#REF!)+1)+(IF(E141&lt;101,E141,IF(E141&lt;201,E141/2,IF(E141&lt;=301,E141/3,E141/4))))</f>
        <v>#REF!</v>
      </c>
      <c r="G141" s="64" t="str">
        <f>G140</f>
        <v>3rd, 5th, 7th, 9th, 11th, 13th, 15th Floor</v>
      </c>
      <c r="H141" s="65"/>
      <c r="I141" s="35"/>
      <c r="J141" s="57" t="e">
        <f t="shared" si="3"/>
        <v>#REF!</v>
      </c>
    </row>
    <row r="142" spans="1:14" s="36" customFormat="1" ht="15.75" hidden="1" customHeight="1" x14ac:dyDescent="0.25">
      <c r="A142" s="64" t="str">
        <f ca="1">(SUMPRODUCT(MID(0&amp;(LEFT(A141,SUM(LEN(A141)-LEN(SUBSTITUTE(A141,{"0","1","2"},""))))), LARGE(INDEX(ISNUMBER(--MID((LEFT(A141,SUM(LEN(A141)-LEN(SUBSTITUTE(A141,{"0","1","2"},""))))), ROW(INDIRECT("1:"&amp;LEN((LEFT(A141,SUM(LEN(A141)-LEN(SUBSTITUTE(A141,{"0","1","2"},"")))))))), 1)) * ROW(INDIRECT("1:"&amp;LEN((LEFT(A141,SUM(LEN(A141)-LEN(SUBSTITUTE(A141,{"0","1","2"},"")))))))), 0), ROW(INDIRECT("1:"&amp;LEN((LEFT(A141,SUM(LEN(A141)-LEN(SUBSTITUTE(A141,{"0","1","2"},"")))))))))+1, 1) * 10^ROW(INDIRECT("1:"&amp;LEN((LEFT(A141,SUM(LEN(A141)-LEN(SUBSTITUTE(A141,{"0","1","2"},""))))))))/10))*1+1&amp;""&amp;" ,.., "&amp;""&amp;(SUMPRODUCT(MID(0&amp;(--TRIM(RIGHT(SUBSTITUTE(LEFT(A141,_xlfn.AGGREGATE(16,6,FIND({0,1,2,3,4,5,6,7,8,9},A141,ROW(INDIRECT("1:"&amp;LEN(A141)))),1))," ",REPT(" ",LEN(A141))),LEN(A141)))), LARGE(INDEX(ISNUMBER(--MID((--TRIM(RIGHT(SUBSTITUTE(LEFT(A141,_xlfn.AGGREGATE(16,6,FIND({0,1,2,3,4,5,6,7,8,9},A141,ROW(INDIRECT("1:"&amp;LEN(A141)))),1))," ",REPT(" ",LEN(A141))),LEN(A141)))), ROW(INDIRECT("1:"&amp;LEN((--TRIM(RIGHT(SUBSTITUTE(LEFT(A141,_xlfn.AGGREGATE(16,6,FIND({0,1,2,3,4,5,6,7,8,9},A141,ROW(INDIRECT("1:"&amp;LEN(A141)))),1))," ",REPT(" ",LEN(A141))),LEN(A141))))))), 1)) * ROW(INDIRECT("1:"&amp;LEN((--TRIM(RIGHT(SUBSTITUTE(LEFT(A141,_xlfn.AGGREGATE(16,6,FIND({0,1,2,3,4,5,6,7,8,9},A141,ROW(INDIRECT("1:"&amp;LEN(A141)))),1))," ",REPT(" ",LEN(A141))),LEN(A141))))))), 0), ROW(INDIRECT("1:"&amp;LEN((--TRIM(RIGHT(SUBSTITUTE(LEFT(A141,_xlfn.AGGREGATE(16,6,FIND({0,1,2,3,4,5,6,7,8,9},A141,ROW(INDIRECT("1:"&amp;LEN(A141)))),1))," ",REPT(" ",LEN(A141))),LEN(A141))))))))+1, 1) * 10^ROW(INDIRECT("1:"&amp;LEN((--TRIM(RIGHT(SUBSTITUTE(LEFT(A141,_xlfn.AGGREGATE(16,6,FIND({0,1,2,3,4,5,6,7,8,9},A141,ROW(INDIRECT("1:"&amp;LEN(A141)))),1))," ",REPT(" ",LEN(A141))),LEN(A141)))))))/10))*1+1</f>
        <v>305 ,.., 1505</v>
      </c>
      <c r="B142" s="65"/>
      <c r="C142" s="41"/>
      <c r="D142" s="41"/>
      <c r="E142" s="41">
        <v>0</v>
      </c>
      <c r="F142" s="41" t="e">
        <f>D142*((#REF!)+1)+(IF(E142&lt;101,E142,IF(E142&lt;201,E142/2,IF(E142&lt;=301,E142/3,E142/4))))</f>
        <v>#REF!</v>
      </c>
      <c r="G142" s="64" t="str">
        <f>G141</f>
        <v>3rd, 5th, 7th, 9th, 11th, 13th, 15th Floor</v>
      </c>
      <c r="H142" s="65"/>
      <c r="I142" s="35"/>
      <c r="J142" s="57" t="e">
        <f t="shared" si="3"/>
        <v>#REF!</v>
      </c>
    </row>
    <row r="143" spans="1:14" s="36" customFormat="1" hidden="1" x14ac:dyDescent="0.25">
      <c r="A143" s="111" t="s">
        <v>155</v>
      </c>
      <c r="B143" s="112"/>
      <c r="C143" s="112"/>
      <c r="D143" s="112"/>
      <c r="E143" s="112"/>
      <c r="F143" s="112"/>
      <c r="G143" s="112"/>
      <c r="H143" s="113"/>
      <c r="I143" s="35"/>
      <c r="J143" s="57" t="e">
        <f t="shared" si="3"/>
        <v>#DIV/0!</v>
      </c>
    </row>
    <row r="144" spans="1:14" s="36" customFormat="1" hidden="1" x14ac:dyDescent="0.25">
      <c r="A144" s="64" t="str">
        <f ca="1">(SUMPRODUCT(MID(0&amp;(LEFT(A143,SUM(LEN(A143)-LEN(SUBSTITUTE(A143,{"0","1","2"},""))))), LARGE(INDEX(ISNUMBER(--MID((LEFT(A143,SUM(LEN(A143)-LEN(SUBSTITUTE(A143,{"0","1","2"},""))))), ROW(INDIRECT("1:"&amp;LEN((LEFT(A143,SUM(LEN(A143)-LEN(SUBSTITUTE(A143,{"0","1","2"},"")))))))), 1)) * ROW(INDIRECT("1:"&amp;LEN((LEFT(A143,SUM(LEN(A143)-LEN(SUBSTITUTE(A143,{"0","1","2"},"")))))))), 0), ROW(INDIRECT("1:"&amp;LEN((LEFT(A143,SUM(LEN(A143)-LEN(SUBSTITUTE(A143,{"0","1","2"},"")))))))))+1, 1) * 10^ROW(INDIRECT("1:"&amp;LEN((LEFT(A143,SUM(LEN(A143)-LEN(SUBSTITUTE(A143,{"0","1","2"},""))))))))/10))*100+1&amp;""&amp;" to "&amp;""&amp;(SUMPRODUCT(MID(0&amp;(--TRIM(RIGHT(SUBSTITUTE(LEFT(A143,_xlfn.AGGREGATE(16,6,FIND({0,1,2,3,4,5,6,7,8,9},A143,ROW(INDIRECT("1:"&amp;LEN(A143)))),1))," ",REPT(" ",LEN(A143))),LEN(A143)))), LARGE(INDEX(ISNUMBER(--MID((--TRIM(RIGHT(SUBSTITUTE(LEFT(A143,_xlfn.AGGREGATE(16,6,FIND({0,1,2,3,4,5,6,7,8,9},A143,ROW(INDIRECT("1:"&amp;LEN(A143)))),1))," ",REPT(" ",LEN(A143))),LEN(A143)))), ROW(INDIRECT("1:"&amp;LEN((--TRIM(RIGHT(SUBSTITUTE(LEFT(A143,_xlfn.AGGREGATE(16,6,FIND({0,1,2,3,4,5,6,7,8,9},A143,ROW(INDIRECT("1:"&amp;LEN(A143)))),1))," ",REPT(" ",LEN(A143))),LEN(A143))))))), 1)) * ROW(INDIRECT("1:"&amp;LEN((--TRIM(RIGHT(SUBSTITUTE(LEFT(A143,_xlfn.AGGREGATE(16,6,FIND({0,1,2,3,4,5,6,7,8,9},A143,ROW(INDIRECT("1:"&amp;LEN(A143)))),1))," ",REPT(" ",LEN(A143))),LEN(A143))))))), 0), ROW(INDIRECT("1:"&amp;LEN((--TRIM(RIGHT(SUBSTITUTE(LEFT(A143,_xlfn.AGGREGATE(16,6,FIND({0,1,2,3,4,5,6,7,8,9},A143,ROW(INDIRECT("1:"&amp;LEN(A143)))),1))," ",REPT(" ",LEN(A143))),LEN(A143))))))))+1, 1) * 10^ROW(INDIRECT("1:"&amp;LEN((--TRIM(RIGHT(SUBSTITUTE(LEFT(A143,_xlfn.AGGREGATE(16,6,FIND({0,1,2,3,4,5,6,7,8,9},A143,ROW(INDIRECT("1:"&amp;LEN(A143)))),1))," ",REPT(" ",LEN(A143))),LEN(A143)))))))/10))*100+1</f>
        <v>201 to 501</v>
      </c>
      <c r="B144" s="65"/>
      <c r="C144" s="41"/>
      <c r="D144" s="41"/>
      <c r="E144" s="41">
        <v>0</v>
      </c>
      <c r="F144" s="41" t="e">
        <f>D144*((#REF!)+1)+(IF(E144&lt;101,E144,IF(E144&lt;201,E144/2,IF(E144&lt;=301,E144/3,E144/4))))</f>
        <v>#REF!</v>
      </c>
      <c r="G144" s="64" t="str">
        <f>A143</f>
        <v>2nd to 5th Floor</v>
      </c>
      <c r="H144" s="65"/>
      <c r="I144" s="35"/>
      <c r="J144" s="57" t="e">
        <f t="shared" si="3"/>
        <v>#REF!</v>
      </c>
    </row>
    <row r="145" spans="1:10" s="36" customFormat="1" hidden="1" x14ac:dyDescent="0.25">
      <c r="A145" s="64" t="str">
        <f ca="1">(SUMPRODUCT(MID(0&amp;(LEFT(A144,SUM(LEN(A144)-LEN(SUBSTITUTE(A144,{"0","1","2"},""))))), LARGE(INDEX(ISNUMBER(--MID((LEFT(A144,SUM(LEN(A144)-LEN(SUBSTITUTE(A144,{"0","1","2"},""))))), ROW(INDIRECT("1:"&amp;LEN((LEFT(A144,SUM(LEN(A144)-LEN(SUBSTITUTE(A144,{"0","1","2"},"")))))))), 1)) * ROW(INDIRECT("1:"&amp;LEN((LEFT(A144,SUM(LEN(A144)-LEN(SUBSTITUTE(A144,{"0","1","2"},"")))))))), 0), ROW(INDIRECT("1:"&amp;LEN((LEFT(A144,SUM(LEN(A144)-LEN(SUBSTITUTE(A144,{"0","1","2"},"")))))))))+1, 1) * 10^ROW(INDIRECT("1:"&amp;LEN((LEFT(A144,SUM(LEN(A144)-LEN(SUBSTITUTE(A144,{"0","1","2"},""))))))))/10))*1+1&amp;""&amp;" to "&amp;""&amp;(SUMPRODUCT(MID(0&amp;(--TRIM(RIGHT(SUBSTITUTE(LEFT(A144,_xlfn.AGGREGATE(16,6,FIND({0,1,2,3,4,5,6,7,8,9},A144,ROW(INDIRECT("1:"&amp;LEN(A144)))),1))," ",REPT(" ",LEN(A144))),LEN(A144)))), LARGE(INDEX(ISNUMBER(--MID((--TRIM(RIGHT(SUBSTITUTE(LEFT(A144,_xlfn.AGGREGATE(16,6,FIND({0,1,2,3,4,5,6,7,8,9},A144,ROW(INDIRECT("1:"&amp;LEN(A144)))),1))," ",REPT(" ",LEN(A144))),LEN(A144)))), ROW(INDIRECT("1:"&amp;LEN((--TRIM(RIGHT(SUBSTITUTE(LEFT(A144,_xlfn.AGGREGATE(16,6,FIND({0,1,2,3,4,5,6,7,8,9},A144,ROW(INDIRECT("1:"&amp;LEN(A144)))),1))," ",REPT(" ",LEN(A144))),LEN(A144))))))), 1)) * ROW(INDIRECT("1:"&amp;LEN((--TRIM(RIGHT(SUBSTITUTE(LEFT(A144,_xlfn.AGGREGATE(16,6,FIND({0,1,2,3,4,5,6,7,8,9},A144,ROW(INDIRECT("1:"&amp;LEN(A144)))),1))," ",REPT(" ",LEN(A144))),LEN(A144))))))), 0), ROW(INDIRECT("1:"&amp;LEN((--TRIM(RIGHT(SUBSTITUTE(LEFT(A144,_xlfn.AGGREGATE(16,6,FIND({0,1,2,3,4,5,6,7,8,9},A144,ROW(INDIRECT("1:"&amp;LEN(A144)))),1))," ",REPT(" ",LEN(A144))),LEN(A144))))))))+1, 1) * 10^ROW(INDIRECT("1:"&amp;LEN((--TRIM(RIGHT(SUBSTITUTE(LEFT(A144,_xlfn.AGGREGATE(16,6,FIND({0,1,2,3,4,5,6,7,8,9},A144,ROW(INDIRECT("1:"&amp;LEN(A144)))),1))," ",REPT(" ",LEN(A144))),LEN(A144)))))))/10))*1+1</f>
        <v>202 to 502</v>
      </c>
      <c r="B145" s="65"/>
      <c r="C145" s="41"/>
      <c r="D145" s="41"/>
      <c r="E145" s="41">
        <v>0</v>
      </c>
      <c r="F145" s="41" t="e">
        <f>D145*((#REF!)+1)+(IF(E145&lt;101,E145,IF(E145&lt;201,E145/2,IF(E145&lt;=301,E145/3,E145/4))))</f>
        <v>#REF!</v>
      </c>
      <c r="G145" s="64" t="str">
        <f>G144</f>
        <v>2nd to 5th Floor</v>
      </c>
      <c r="H145" s="65"/>
      <c r="I145" s="35"/>
      <c r="J145" s="57" t="e">
        <f t="shared" si="3"/>
        <v>#REF!</v>
      </c>
    </row>
    <row r="146" spans="1:10" s="36" customFormat="1" hidden="1" x14ac:dyDescent="0.25">
      <c r="A146" s="64" t="str">
        <f ca="1">(SUMPRODUCT(MID(0&amp;(LEFT(A145,SUM(LEN(A145)-LEN(SUBSTITUTE(A145,{"0","1","2"},""))))), LARGE(INDEX(ISNUMBER(--MID((LEFT(A145,SUM(LEN(A145)-LEN(SUBSTITUTE(A145,{"0","1","2"},""))))), ROW(INDIRECT("1:"&amp;LEN((LEFT(A145,SUM(LEN(A145)-LEN(SUBSTITUTE(A145,{"0","1","2"},"")))))))), 1)) * ROW(INDIRECT("1:"&amp;LEN((LEFT(A145,SUM(LEN(A145)-LEN(SUBSTITUTE(A145,{"0","1","2"},"")))))))), 0), ROW(INDIRECT("1:"&amp;LEN((LEFT(A145,SUM(LEN(A145)-LEN(SUBSTITUTE(A145,{"0","1","2"},"")))))))))+1, 1) * 10^ROW(INDIRECT("1:"&amp;LEN((LEFT(A145,SUM(LEN(A145)-LEN(SUBSTITUTE(A145,{"0","1","2"},""))))))))/10))*1+1&amp;""&amp;" to "&amp;""&amp;(SUMPRODUCT(MID(0&amp;(--TRIM(RIGHT(SUBSTITUTE(LEFT(A145,_xlfn.AGGREGATE(16,6,FIND({0,1,2,3,4,5,6,7,8,9},A145,ROW(INDIRECT("1:"&amp;LEN(A145)))),1))," ",REPT(" ",LEN(A145))),LEN(A145)))), LARGE(INDEX(ISNUMBER(--MID((--TRIM(RIGHT(SUBSTITUTE(LEFT(A145,_xlfn.AGGREGATE(16,6,FIND({0,1,2,3,4,5,6,7,8,9},A145,ROW(INDIRECT("1:"&amp;LEN(A145)))),1))," ",REPT(" ",LEN(A145))),LEN(A145)))), ROW(INDIRECT("1:"&amp;LEN((--TRIM(RIGHT(SUBSTITUTE(LEFT(A145,_xlfn.AGGREGATE(16,6,FIND({0,1,2,3,4,5,6,7,8,9},A145,ROW(INDIRECT("1:"&amp;LEN(A145)))),1))," ",REPT(" ",LEN(A145))),LEN(A145))))))), 1)) * ROW(INDIRECT("1:"&amp;LEN((--TRIM(RIGHT(SUBSTITUTE(LEFT(A145,_xlfn.AGGREGATE(16,6,FIND({0,1,2,3,4,5,6,7,8,9},A145,ROW(INDIRECT("1:"&amp;LEN(A145)))),1))," ",REPT(" ",LEN(A145))),LEN(A145))))))), 0), ROW(INDIRECT("1:"&amp;LEN((--TRIM(RIGHT(SUBSTITUTE(LEFT(A145,_xlfn.AGGREGATE(16,6,FIND({0,1,2,3,4,5,6,7,8,9},A145,ROW(INDIRECT("1:"&amp;LEN(A145)))),1))," ",REPT(" ",LEN(A145))),LEN(A145))))))))+1, 1) * 10^ROW(INDIRECT("1:"&amp;LEN((--TRIM(RIGHT(SUBSTITUTE(LEFT(A145,_xlfn.AGGREGATE(16,6,FIND({0,1,2,3,4,5,6,7,8,9},A145,ROW(INDIRECT("1:"&amp;LEN(A145)))),1))," ",REPT(" ",LEN(A145))),LEN(A145)))))))/10))*1+1</f>
        <v>203 to 503</v>
      </c>
      <c r="B146" s="65"/>
      <c r="C146" s="41"/>
      <c r="D146" s="41"/>
      <c r="E146" s="41">
        <v>0</v>
      </c>
      <c r="F146" s="41" t="e">
        <f>D146*((#REF!)+1)+(IF(E146&lt;101,E146,IF(E146&lt;201,E146/2,IF(E146&lt;=301,E146/3,E146/4))))</f>
        <v>#REF!</v>
      </c>
      <c r="G146" s="64" t="str">
        <f>G145</f>
        <v>2nd to 5th Floor</v>
      </c>
      <c r="H146" s="65"/>
      <c r="I146" s="35"/>
      <c r="J146" s="57" t="e">
        <f t="shared" si="3"/>
        <v>#REF!</v>
      </c>
    </row>
    <row r="147" spans="1:10" s="36" customFormat="1" hidden="1" x14ac:dyDescent="0.25">
      <c r="A147" s="64" t="str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10^ROW(INDIRECT("1:"&amp;LEN((LEFT(A146,SUM(LEN(A146)-LEN(SUBSTITUTE(A146,{"0","1","2"},""))))))))/10))*1+1&amp;""&amp;" to "&amp;""&amp;(SUMPRODUCT(MID(0&amp;(--TRIM(RIGHT(SUBSTITUTE(LEFT(A146,_xlfn.AGGREGATE(16,6,FIND({0,1,2,3,4,5,6,7,8,9},A146,ROW(INDIRECT("1:"&amp;LEN(A146)))),1)),"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",LEN(A146))),LEN(A146)))))))/10))*1+1</f>
        <v>204 to 504</v>
      </c>
      <c r="B147" s="65"/>
      <c r="C147" s="41"/>
      <c r="D147" s="41"/>
      <c r="E147" s="41">
        <v>0</v>
      </c>
      <c r="F147" s="41" t="e">
        <f>D147*((#REF!)+1)+(IF(E147&lt;101,E147,IF(E147&lt;201,E147/2,IF(E147&lt;=301,E147/3,E147/4))))</f>
        <v>#REF!</v>
      </c>
      <c r="G147" s="64" t="str">
        <f>G146</f>
        <v>2nd to 5th Floor</v>
      </c>
      <c r="H147" s="65"/>
      <c r="I147" s="35"/>
      <c r="J147" s="57" t="e">
        <f t="shared" si="3"/>
        <v>#REF!</v>
      </c>
    </row>
    <row r="148" spans="1:10" s="36" customFormat="1" hidden="1" x14ac:dyDescent="0.25">
      <c r="A148" s="64" t="str">
        <f ca="1">(SUMPRODUCT(MID(0&amp;(LEFT(A147,SUM(LEN(A147)-LEN(SUBSTITUTE(A147,{"0","1","2"},""))))), LARGE(INDEX(ISNUMBER(--MID((LEFT(A147,SUM(LEN(A147)-LEN(SUBSTITUTE(A147,{"0","1","2"},""))))), ROW(INDIRECT("1:"&amp;LEN((LEFT(A147,SUM(LEN(A147)-LEN(SUBSTITUTE(A147,{"0","1","2"},"")))))))), 1)) * ROW(INDIRECT("1:"&amp;LEN((LEFT(A147,SUM(LEN(A147)-LEN(SUBSTITUTE(A147,{"0","1","2"},"")))))))), 0), ROW(INDIRECT("1:"&amp;LEN((LEFT(A147,SUM(LEN(A147)-LEN(SUBSTITUTE(A147,{"0","1","2"},"")))))))))+1, 1) * 10^ROW(INDIRECT("1:"&amp;LEN((LEFT(A147,SUM(LEN(A147)-LEN(SUBSTITUTE(A147,{"0","1","2"},""))))))))/10))*1+1&amp;""&amp;" to "&amp;""&amp;(SUMPRODUCT(MID(0&amp;(--TRIM(RIGHT(SUBSTITUTE(LEFT(A147,_xlfn.AGGREGATE(16,6,FIND({0,1,2,3,4,5,6,7,8,9},A147,ROW(INDIRECT("1:"&amp;LEN(A147)))),1))," ",REPT(" ",LEN(A147))),LEN(A147)))), LARGE(INDEX(ISNUMBER(--MID((--TRIM(RIGHT(SUBSTITUTE(LEFT(A147,_xlfn.AGGREGATE(16,6,FIND({0,1,2,3,4,5,6,7,8,9},A147,ROW(INDIRECT("1:"&amp;LEN(A147)))),1))," ",REPT(" ",LEN(A147))),LEN(A147)))), ROW(INDIRECT("1:"&amp;LEN((--TRIM(RIGHT(SUBSTITUTE(LEFT(A147,_xlfn.AGGREGATE(16,6,FIND({0,1,2,3,4,5,6,7,8,9},A147,ROW(INDIRECT("1:"&amp;LEN(A147)))),1))," ",REPT(" ",LEN(A147))),LEN(A147))))))), 1)) * ROW(INDIRECT("1:"&amp;LEN((--TRIM(RIGHT(SUBSTITUTE(LEFT(A147,_xlfn.AGGREGATE(16,6,FIND({0,1,2,3,4,5,6,7,8,9},A147,ROW(INDIRECT("1:"&amp;LEN(A147)))),1))," ",REPT(" ",LEN(A147))),LEN(A147))))))), 0), ROW(INDIRECT("1:"&amp;LEN((--TRIM(RIGHT(SUBSTITUTE(LEFT(A147,_xlfn.AGGREGATE(16,6,FIND({0,1,2,3,4,5,6,7,8,9},A147,ROW(INDIRECT("1:"&amp;LEN(A147)))),1))," ",REPT(" ",LEN(A147))),LEN(A147))))))))+1, 1) * 10^ROW(INDIRECT("1:"&amp;LEN((--TRIM(RIGHT(SUBSTITUTE(LEFT(A147,_xlfn.AGGREGATE(16,6,FIND({0,1,2,3,4,5,6,7,8,9},A147,ROW(INDIRECT("1:"&amp;LEN(A147)))),1))," ",REPT(" ",LEN(A147))),LEN(A147)))))))/10))*1+1</f>
        <v>205 to 505</v>
      </c>
      <c r="B148" s="65"/>
      <c r="C148" s="41"/>
      <c r="D148" s="41"/>
      <c r="E148" s="41">
        <v>0</v>
      </c>
      <c r="F148" s="41" t="e">
        <f>D148*((#REF!)+1)+(IF(E148&lt;101,E148,IF(E148&lt;201,E148/2,IF(E148&lt;=301,E148/3,E148/4))))</f>
        <v>#REF!</v>
      </c>
      <c r="G148" s="64" t="str">
        <f>G147</f>
        <v>2nd to 5th Floor</v>
      </c>
      <c r="H148" s="65"/>
      <c r="I148" s="35"/>
      <c r="J148" s="57" t="e">
        <f t="shared" si="3"/>
        <v>#REF!</v>
      </c>
    </row>
    <row r="149" spans="1:10" s="36" customFormat="1" hidden="1" x14ac:dyDescent="0.25">
      <c r="A149" s="111" t="s">
        <v>156</v>
      </c>
      <c r="B149" s="112"/>
      <c r="C149" s="112"/>
      <c r="D149" s="112"/>
      <c r="E149" s="112"/>
      <c r="F149" s="112"/>
      <c r="G149" s="112"/>
      <c r="H149" s="113"/>
      <c r="I149" s="35"/>
      <c r="J149" s="57" t="e">
        <f t="shared" si="3"/>
        <v>#DIV/0!</v>
      </c>
    </row>
    <row r="150" spans="1:10" s="36" customFormat="1" hidden="1" x14ac:dyDescent="0.25">
      <c r="A150" s="64" t="str">
        <f ca="1">(SUMPRODUCT(MID(0&amp;(LEFT(A149,SUM(LEN(A149)-LEN(SUBSTITUTE(A149,{"0","1","2"},""))))), LARGE(INDEX(ISNUMBER(--MID((LEFT(A149,SUM(LEN(A149)-LEN(SUBSTITUTE(A149,{"0","1","2"},""))))), ROW(INDIRECT("1:"&amp;LEN((LEFT(A149,SUM(LEN(A149)-LEN(SUBSTITUTE(A149,{"0","1","2"},"")))))))), 1)) * ROW(INDIRECT("1:"&amp;LEN((LEFT(A149,SUM(LEN(A149)-LEN(SUBSTITUTE(A149,{"0","1","2"},"")))))))), 0), ROW(INDIRECT("1:"&amp;LEN((LEFT(A149,SUM(LEN(A149)-LEN(SUBSTITUTE(A149,{"0","1","2"},"")))))))))+1, 1) * 10^ROW(INDIRECT("1:"&amp;LEN((LEFT(A149,SUM(LEN(A149)-LEN(SUBSTITUTE(A149,{"0","1","2"},""))))))))/10))*100+1&amp;""&amp;" &amp; "&amp;""&amp;(SUMPRODUCT(MID(0&amp;(--TRIM(RIGHT(SUBSTITUTE(LEFT(A149,_xlfn.AGGREGATE(16,6,FIND({0,1,2,3,4,5,6,7,8,9},A149,ROW(INDIRECT("1:"&amp;LEN(A149)))),1))," ",REPT(" ",LEN(A149))),LEN(A149)))), LARGE(INDEX(ISNUMBER(--MID((--TRIM(RIGHT(SUBSTITUTE(LEFT(A149,_xlfn.AGGREGATE(16,6,FIND({0,1,2,3,4,5,6,7,8,9},A149,ROW(INDIRECT("1:"&amp;LEN(A149)))),1))," ",REPT(" ",LEN(A149))),LEN(A149)))), ROW(INDIRECT("1:"&amp;LEN((--TRIM(RIGHT(SUBSTITUTE(LEFT(A149,_xlfn.AGGREGATE(16,6,FIND({0,1,2,3,4,5,6,7,8,9},A149,ROW(INDIRECT("1:"&amp;LEN(A149)))),1))," ",REPT(" ",LEN(A149))),LEN(A149))))))), 1)) * ROW(INDIRECT("1:"&amp;LEN((--TRIM(RIGHT(SUBSTITUTE(LEFT(A149,_xlfn.AGGREGATE(16,6,FIND({0,1,2,3,4,5,6,7,8,9},A149,ROW(INDIRECT("1:"&amp;LEN(A149)))),1))," ",REPT(" ",LEN(A149))),LEN(A149))))))), 0), ROW(INDIRECT("1:"&amp;LEN((--TRIM(RIGHT(SUBSTITUTE(LEFT(A149,_xlfn.AGGREGATE(16,6,FIND({0,1,2,3,4,5,6,7,8,9},A149,ROW(INDIRECT("1:"&amp;LEN(A149)))),1))," ",REPT(" ",LEN(A149))),LEN(A149))))))))+1, 1) * 10^ROW(INDIRECT("1:"&amp;LEN((--TRIM(RIGHT(SUBSTITUTE(LEFT(A149,_xlfn.AGGREGATE(16,6,FIND({0,1,2,3,4,5,6,7,8,9},A149,ROW(INDIRECT("1:"&amp;LEN(A149)))),1))," ",REPT(" ",LEN(A149))),LEN(A149)))))))/10))*100+1</f>
        <v>201 &amp; 501</v>
      </c>
      <c r="B150" s="65"/>
      <c r="C150" s="41"/>
      <c r="D150" s="41"/>
      <c r="E150" s="41">
        <v>0</v>
      </c>
      <c r="F150" s="41" t="e">
        <f>D150*((#REF!)+1)+(IF(E150&lt;101,E150,IF(E150&lt;201,E150/2,IF(E150&lt;=301,E150/3,E150/4))))</f>
        <v>#REF!</v>
      </c>
      <c r="G150" s="64" t="str">
        <f>A149</f>
        <v>2nd &amp; 5th Floor</v>
      </c>
      <c r="H150" s="65"/>
      <c r="I150" s="35"/>
      <c r="J150" s="57" t="e">
        <f t="shared" si="3"/>
        <v>#REF!</v>
      </c>
    </row>
    <row r="151" spans="1:10" s="36" customFormat="1" hidden="1" x14ac:dyDescent="0.25">
      <c r="A151" s="64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10^ROW(INDIRECT("1:"&amp;LEN((LEFT(A150,SUM(LEN(A150)-LEN(SUBSTITUTE(A150,{"0","1","2"},""))))))))/10))*1+1&amp;""&amp;" &amp;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",LEN(A150))),LEN(A150)))))))/10))*1+1</f>
        <v>202 &amp; 502</v>
      </c>
      <c r="B151" s="65"/>
      <c r="C151" s="41"/>
      <c r="D151" s="41"/>
      <c r="E151" s="41">
        <v>0</v>
      </c>
      <c r="F151" s="41" t="e">
        <f>D151*((#REF!)+1)+(IF(E151&lt;101,E151,IF(E151&lt;201,E151/2,IF(E151&lt;=301,E151/3,E151/4))))</f>
        <v>#REF!</v>
      </c>
      <c r="G151" s="64" t="str">
        <f t="shared" ref="G151:G154" si="8">G150</f>
        <v>2nd &amp; 5th Floor</v>
      </c>
      <c r="H151" s="65"/>
      <c r="I151" s="35"/>
      <c r="J151" s="57" t="e">
        <f t="shared" si="3"/>
        <v>#REF!</v>
      </c>
    </row>
    <row r="152" spans="1:10" s="36" customFormat="1" hidden="1" x14ac:dyDescent="0.25">
      <c r="A152" s="64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&amp;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203 &amp; 503</v>
      </c>
      <c r="B152" s="65"/>
      <c r="C152" s="41"/>
      <c r="D152" s="41"/>
      <c r="E152" s="41">
        <v>0</v>
      </c>
      <c r="F152" s="41" t="e">
        <f>D152*((#REF!)+1)+(IF(E152&lt;101,E152,IF(E152&lt;201,E152/2,IF(E152&lt;=301,E152/3,E152/4))))</f>
        <v>#REF!</v>
      </c>
      <c r="G152" s="64" t="str">
        <f t="shared" si="8"/>
        <v>2nd &amp; 5th Floor</v>
      </c>
      <c r="H152" s="65"/>
      <c r="I152" s="35"/>
      <c r="J152" s="57" t="e">
        <f t="shared" si="3"/>
        <v>#REF!</v>
      </c>
    </row>
    <row r="153" spans="1:10" s="36" customFormat="1" hidden="1" x14ac:dyDescent="0.25">
      <c r="A153" s="64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&amp;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204 &amp; 504</v>
      </c>
      <c r="B153" s="65"/>
      <c r="C153" s="41"/>
      <c r="D153" s="41"/>
      <c r="E153" s="41">
        <v>0</v>
      </c>
      <c r="F153" s="41" t="e">
        <f>D153*((#REF!)+1)+(IF(E153&lt;101,E153,IF(E153&lt;201,E153/2,IF(E153&lt;=301,E153/3,E153/4))))</f>
        <v>#REF!</v>
      </c>
      <c r="G153" s="64" t="str">
        <f t="shared" si="8"/>
        <v>2nd &amp; 5th Floor</v>
      </c>
      <c r="H153" s="65"/>
      <c r="I153" s="35"/>
      <c r="J153" s="57" t="e">
        <f t="shared" si="3"/>
        <v>#REF!</v>
      </c>
    </row>
    <row r="154" spans="1:10" s="36" customFormat="1" hidden="1" x14ac:dyDescent="0.25">
      <c r="A154" s="6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&amp;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205 &amp; 505</v>
      </c>
      <c r="B154" s="65"/>
      <c r="C154" s="41"/>
      <c r="D154" s="41"/>
      <c r="E154" s="41">
        <v>0</v>
      </c>
      <c r="F154" s="41" t="e">
        <f>D154*((#REF!)+1)+(IF(E154&lt;101,E154,IF(E154&lt;201,E154/2,IF(E154&lt;=301,E154/3,E154/4))))</f>
        <v>#REF!</v>
      </c>
      <c r="G154" s="64" t="str">
        <f t="shared" si="8"/>
        <v>2nd &amp; 5th Floor</v>
      </c>
      <c r="H154" s="65"/>
      <c r="I154" s="35"/>
      <c r="J154" s="57" t="e">
        <f t="shared" si="3"/>
        <v>#REF!</v>
      </c>
    </row>
    <row r="155" spans="1:10" s="34" customFormat="1" x14ac:dyDescent="0.25">
      <c r="A155" s="110" t="s">
        <v>72</v>
      </c>
      <c r="B155" s="110"/>
      <c r="C155" s="110"/>
      <c r="D155" s="110"/>
      <c r="E155" s="110"/>
      <c r="F155" s="110"/>
      <c r="G155" s="110"/>
      <c r="H155" s="110"/>
    </row>
    <row r="156" spans="1:10" s="34" customFormat="1" x14ac:dyDescent="0.25">
      <c r="A156" s="46" t="s">
        <v>165</v>
      </c>
      <c r="B156" s="115" t="s">
        <v>220</v>
      </c>
      <c r="C156" s="116"/>
      <c r="D156" s="116"/>
      <c r="E156" s="116"/>
      <c r="F156" s="116"/>
      <c r="G156" s="116"/>
      <c r="H156" s="117"/>
    </row>
    <row r="157" spans="1:10" s="34" customFormat="1" x14ac:dyDescent="0.25">
      <c r="A157" s="46" t="s">
        <v>165</v>
      </c>
      <c r="B157" s="115" t="str">
        <f>(IF(F111="Saleable area Loading :","We have considered Saleable area of Flats as per our Calculation.","We considered Saleable area of Flat as per Builder area Sheet."))</f>
        <v>We considered Saleable area of Flat as per Builder area Sheet.</v>
      </c>
      <c r="C157" s="116"/>
      <c r="D157" s="116"/>
      <c r="E157" s="116"/>
      <c r="F157" s="116"/>
      <c r="G157" s="116"/>
      <c r="H157" s="117"/>
    </row>
    <row r="158" spans="1:10" s="34" customFormat="1" hidden="1" x14ac:dyDescent="0.25">
      <c r="A158" s="46" t="s">
        <v>165</v>
      </c>
      <c r="B158" s="115" t="str">
        <f>(IF(F103="Saleable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58" s="116"/>
      <c r="D158" s="116"/>
      <c r="E158" s="116"/>
      <c r="F158" s="116"/>
      <c r="G158" s="116"/>
      <c r="H158" s="117"/>
    </row>
    <row r="159" spans="1:10" s="34" customFormat="1" x14ac:dyDescent="0.25">
      <c r="A159" s="46" t="s">
        <v>165</v>
      </c>
      <c r="B159" s="107" t="s">
        <v>132</v>
      </c>
      <c r="C159" s="108"/>
      <c r="D159" s="108"/>
      <c r="E159" s="108"/>
      <c r="F159" s="108"/>
      <c r="G159" s="108"/>
      <c r="H159" s="109"/>
    </row>
    <row r="160" spans="1:10" s="34" customFormat="1" x14ac:dyDescent="0.25">
      <c r="A160" s="46" t="s">
        <v>165</v>
      </c>
      <c r="B160" s="107" t="s">
        <v>210</v>
      </c>
      <c r="C160" s="108"/>
      <c r="D160" s="108"/>
      <c r="E160" s="108"/>
      <c r="F160" s="108"/>
      <c r="G160" s="108"/>
      <c r="H160" s="109"/>
    </row>
    <row r="161" spans="1:8" s="34" customFormat="1" x14ac:dyDescent="0.25">
      <c r="A161" s="46" t="s">
        <v>165</v>
      </c>
      <c r="B161" s="107" t="s">
        <v>164</v>
      </c>
      <c r="C161" s="108"/>
      <c r="D161" s="108"/>
      <c r="E161" s="108"/>
      <c r="F161" s="108"/>
      <c r="G161" s="108"/>
      <c r="H161" s="109"/>
    </row>
    <row r="162" spans="1:8" s="34" customFormat="1" x14ac:dyDescent="0.25">
      <c r="A162" s="46" t="s">
        <v>165</v>
      </c>
      <c r="B162" s="107" t="s">
        <v>133</v>
      </c>
      <c r="C162" s="108"/>
      <c r="D162" s="108"/>
      <c r="E162" s="108"/>
      <c r="F162" s="108"/>
      <c r="G162" s="108"/>
      <c r="H162" s="109"/>
    </row>
    <row r="163" spans="1:8" s="34" customFormat="1" ht="34.5" customHeight="1" x14ac:dyDescent="0.25">
      <c r="A163" s="46" t="s">
        <v>165</v>
      </c>
      <c r="B163" s="107" t="s">
        <v>166</v>
      </c>
      <c r="C163" s="108"/>
      <c r="D163" s="108"/>
      <c r="E163" s="108"/>
      <c r="F163" s="108"/>
      <c r="G163" s="108"/>
      <c r="H163" s="109"/>
    </row>
    <row r="164" spans="1:8" s="34" customFormat="1" x14ac:dyDescent="0.25">
      <c r="A164" s="46" t="s">
        <v>165</v>
      </c>
      <c r="B164" s="107" t="s">
        <v>134</v>
      </c>
      <c r="C164" s="108"/>
      <c r="D164" s="108"/>
      <c r="E164" s="108"/>
      <c r="F164" s="108"/>
      <c r="G164" s="108"/>
      <c r="H164" s="109"/>
    </row>
    <row r="165" spans="1:8" x14ac:dyDescent="0.25">
      <c r="A165" s="106" t="s">
        <v>65</v>
      </c>
      <c r="B165" s="106"/>
      <c r="C165" s="106"/>
      <c r="D165" s="106"/>
      <c r="E165" s="106"/>
      <c r="F165" s="106"/>
      <c r="G165" s="106"/>
      <c r="H165" s="106"/>
    </row>
    <row r="166" spans="1:8" x14ac:dyDescent="0.25">
      <c r="A166" s="62" t="s">
        <v>66</v>
      </c>
      <c r="B166" s="62"/>
      <c r="C166" s="62"/>
      <c r="D166" s="62"/>
      <c r="E166" s="62"/>
      <c r="F166" s="62"/>
      <c r="G166" s="62"/>
      <c r="H166" s="62"/>
    </row>
    <row r="167" spans="1:8" ht="15.75" customHeight="1" x14ac:dyDescent="0.25">
      <c r="A167" s="63" t="s">
        <v>67</v>
      </c>
      <c r="B167" s="63"/>
      <c r="C167" s="63"/>
      <c r="D167" s="63"/>
      <c r="E167" s="63"/>
      <c r="F167" s="63"/>
      <c r="G167" s="63"/>
      <c r="H167" s="63"/>
    </row>
    <row r="168" spans="1:8" x14ac:dyDescent="0.25">
      <c r="A168" s="62" t="s">
        <v>68</v>
      </c>
      <c r="B168" s="62"/>
      <c r="C168" s="62"/>
      <c r="D168" s="62"/>
      <c r="E168" s="62"/>
      <c r="F168" s="62"/>
      <c r="G168" s="62"/>
      <c r="H168" s="62"/>
    </row>
    <row r="169" spans="1:8" x14ac:dyDescent="0.25">
      <c r="A169" s="62" t="s">
        <v>69</v>
      </c>
      <c r="B169" s="62"/>
      <c r="C169" s="62"/>
      <c r="D169" s="62"/>
      <c r="E169" s="62"/>
      <c r="F169" s="62"/>
      <c r="G169" s="62"/>
      <c r="H169" s="62"/>
    </row>
    <row r="170" spans="1:8" x14ac:dyDescent="0.25">
      <c r="A170" s="62" t="s">
        <v>135</v>
      </c>
      <c r="B170" s="62"/>
      <c r="C170" s="62"/>
      <c r="D170" s="62"/>
      <c r="E170" s="62"/>
      <c r="F170" s="62"/>
      <c r="G170" s="62"/>
      <c r="H170" s="62"/>
    </row>
    <row r="171" spans="1:8" x14ac:dyDescent="0.25">
      <c r="A171" s="89" t="s">
        <v>136</v>
      </c>
      <c r="B171" s="89"/>
      <c r="C171" s="89"/>
      <c r="D171" s="89"/>
      <c r="E171" s="89"/>
      <c r="F171" s="89"/>
      <c r="G171" s="89"/>
      <c r="H171" s="89"/>
    </row>
    <row r="172" spans="1:8" x14ac:dyDescent="0.25">
      <c r="A172" s="120" t="s">
        <v>82</v>
      </c>
      <c r="B172" s="120"/>
      <c r="C172" s="120" t="s">
        <v>219</v>
      </c>
      <c r="D172" s="120"/>
      <c r="E172" s="120" t="s">
        <v>111</v>
      </c>
      <c r="F172" s="120"/>
      <c r="G172" s="120" t="s">
        <v>218</v>
      </c>
      <c r="H172" s="120"/>
    </row>
    <row r="173" spans="1:8" x14ac:dyDescent="0.25">
      <c r="A173" s="119" t="s">
        <v>84</v>
      </c>
      <c r="B173" s="119"/>
      <c r="C173" s="119"/>
      <c r="D173" s="119"/>
      <c r="E173" s="119"/>
      <c r="F173" s="119"/>
      <c r="G173" s="119"/>
      <c r="H173" s="119"/>
    </row>
    <row r="174" spans="1:8" x14ac:dyDescent="0.25">
      <c r="A174" s="119"/>
      <c r="B174" s="119"/>
      <c r="C174" s="119"/>
      <c r="D174" s="119"/>
      <c r="E174" s="119"/>
      <c r="F174" s="119"/>
      <c r="G174" s="119"/>
      <c r="H174" s="119"/>
    </row>
    <row r="175" spans="1:8" x14ac:dyDescent="0.25">
      <c r="A175" s="119"/>
      <c r="B175" s="119"/>
      <c r="C175" s="119"/>
      <c r="D175" s="119"/>
      <c r="E175" s="119"/>
      <c r="F175" s="119"/>
      <c r="G175" s="119"/>
      <c r="H175" s="119"/>
    </row>
    <row r="176" spans="1:8" x14ac:dyDescent="0.25">
      <c r="A176" s="119"/>
      <c r="B176" s="119"/>
      <c r="C176" s="119"/>
      <c r="D176" s="119"/>
      <c r="E176" s="119"/>
      <c r="F176" s="119"/>
      <c r="G176" s="119"/>
      <c r="H176" s="119"/>
    </row>
    <row r="177" spans="1:8" x14ac:dyDescent="0.25">
      <c r="A177" s="37" t="s">
        <v>70</v>
      </c>
      <c r="B177" s="38"/>
      <c r="C177" s="38"/>
      <c r="D177" s="37" t="str">
        <f>E8</f>
        <v>Future Sky</v>
      </c>
      <c r="F177" s="38"/>
      <c r="G177" s="38"/>
      <c r="H177" s="38"/>
    </row>
    <row r="178" spans="1:8" x14ac:dyDescent="0.25">
      <c r="A178" s="38"/>
      <c r="B178" s="38"/>
      <c r="C178" s="38"/>
      <c r="D178" s="38"/>
      <c r="E178" s="38"/>
      <c r="F178" s="38"/>
      <c r="G178" s="38"/>
      <c r="H178" s="38"/>
    </row>
    <row r="179" spans="1:8" x14ac:dyDescent="0.25">
      <c r="A179" s="38"/>
      <c r="B179" s="38"/>
      <c r="C179" s="38"/>
      <c r="D179" s="38"/>
      <c r="E179" s="38"/>
      <c r="F179" s="38"/>
      <c r="G179" s="38"/>
      <c r="H179" s="38"/>
    </row>
    <row r="180" spans="1:8" ht="15" customHeight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26" spans="1:1" hidden="1" x14ac:dyDescent="0.25"/>
    <row r="227" spans="1:1" hidden="1" x14ac:dyDescent="0.25"/>
    <row r="228" spans="1:1" hidden="1" x14ac:dyDescent="0.25"/>
    <row r="229" spans="1:1" hidden="1" x14ac:dyDescent="0.25"/>
    <row r="230" spans="1:1" hidden="1" x14ac:dyDescent="0.25"/>
    <row r="231" spans="1:1" hidden="1" x14ac:dyDescent="0.25"/>
    <row r="232" spans="1:1" hidden="1" x14ac:dyDescent="0.25"/>
    <row r="235" spans="1:1" x14ac:dyDescent="0.25">
      <c r="A235" s="40" t="s">
        <v>180</v>
      </c>
    </row>
    <row r="279" spans="1:1" x14ac:dyDescent="0.25">
      <c r="A279" s="40" t="s">
        <v>71</v>
      </c>
    </row>
  </sheetData>
  <mergeCells count="331">
    <mergeCell ref="B163:H163"/>
    <mergeCell ref="A47:B47"/>
    <mergeCell ref="C47:H47"/>
    <mergeCell ref="B161:H161"/>
    <mergeCell ref="F81:H81"/>
    <mergeCell ref="A81:E81"/>
    <mergeCell ref="G139:H139"/>
    <mergeCell ref="G135:H135"/>
    <mergeCell ref="G132:H132"/>
    <mergeCell ref="D103:D104"/>
    <mergeCell ref="A83:E83"/>
    <mergeCell ref="A106:B106"/>
    <mergeCell ref="A107:B107"/>
    <mergeCell ref="A108:B108"/>
    <mergeCell ref="A109:B109"/>
    <mergeCell ref="A84:E84"/>
    <mergeCell ref="A90:E90"/>
    <mergeCell ref="C96:D96"/>
    <mergeCell ref="E96:F96"/>
    <mergeCell ref="A122:B122"/>
    <mergeCell ref="A123:B123"/>
    <mergeCell ref="A124:B124"/>
    <mergeCell ref="A53:H53"/>
    <mergeCell ref="A54:C54"/>
    <mergeCell ref="L131:M131"/>
    <mergeCell ref="A110:H110"/>
    <mergeCell ref="A136:B136"/>
    <mergeCell ref="A133:B133"/>
    <mergeCell ref="A134:B134"/>
    <mergeCell ref="F82:H82"/>
    <mergeCell ref="A87:E87"/>
    <mergeCell ref="A82:E82"/>
    <mergeCell ref="A79:E79"/>
    <mergeCell ref="F83:H83"/>
    <mergeCell ref="G96:H96"/>
    <mergeCell ref="A97:B97"/>
    <mergeCell ref="C97:D97"/>
    <mergeCell ref="E97:F97"/>
    <mergeCell ref="G97:H97"/>
    <mergeCell ref="C99:D99"/>
    <mergeCell ref="G99:H99"/>
    <mergeCell ref="A85:E85"/>
    <mergeCell ref="F85:H85"/>
    <mergeCell ref="A86:E86"/>
    <mergeCell ref="A88:E88"/>
    <mergeCell ref="A120:H120"/>
    <mergeCell ref="G114:H119"/>
    <mergeCell ref="L130:M130"/>
    <mergeCell ref="L127:M127"/>
    <mergeCell ref="A128:B128"/>
    <mergeCell ref="G128:H128"/>
    <mergeCell ref="L128:M128"/>
    <mergeCell ref="A129:B129"/>
    <mergeCell ref="G129:H129"/>
    <mergeCell ref="L129:M129"/>
    <mergeCell ref="L109:M109"/>
    <mergeCell ref="L108:M108"/>
    <mergeCell ref="A126:H126"/>
    <mergeCell ref="A127:B127"/>
    <mergeCell ref="A112:H112"/>
    <mergeCell ref="A113:H113"/>
    <mergeCell ref="A114:B114"/>
    <mergeCell ref="A121:B121"/>
    <mergeCell ref="A125:B125"/>
    <mergeCell ref="A117:B117"/>
    <mergeCell ref="A118:B118"/>
    <mergeCell ref="A119:B119"/>
    <mergeCell ref="G127:H127"/>
    <mergeCell ref="G121:H125"/>
    <mergeCell ref="L107:M107"/>
    <mergeCell ref="L106:M106"/>
    <mergeCell ref="A76:B76"/>
    <mergeCell ref="C100:D100"/>
    <mergeCell ref="E100:F100"/>
    <mergeCell ref="G100:H100"/>
    <mergeCell ref="F86:H86"/>
    <mergeCell ref="A80:E80"/>
    <mergeCell ref="A105:H105"/>
    <mergeCell ref="E103:E104"/>
    <mergeCell ref="G103:H104"/>
    <mergeCell ref="F79:H79"/>
    <mergeCell ref="F84:H84"/>
    <mergeCell ref="F87:H87"/>
    <mergeCell ref="C94:D94"/>
    <mergeCell ref="F90:H90"/>
    <mergeCell ref="F88:H88"/>
    <mergeCell ref="A102:H102"/>
    <mergeCell ref="G94:H94"/>
    <mergeCell ref="A89:E89"/>
    <mergeCell ref="C95:D95"/>
    <mergeCell ref="E95:F95"/>
    <mergeCell ref="F89:H89"/>
    <mergeCell ref="E94:F94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A38:B38"/>
    <mergeCell ref="C38:H38"/>
    <mergeCell ref="A44:D44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45:D45"/>
    <mergeCell ref="A46:H46"/>
    <mergeCell ref="D56:H56"/>
    <mergeCell ref="A56:C56"/>
    <mergeCell ref="G49:H49"/>
    <mergeCell ref="A50:B51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49:B49"/>
    <mergeCell ref="A173:H176"/>
    <mergeCell ref="A172:B172"/>
    <mergeCell ref="E172:F172"/>
    <mergeCell ref="C172:D172"/>
    <mergeCell ref="G172:H172"/>
    <mergeCell ref="A93:H93"/>
    <mergeCell ref="A91:E91"/>
    <mergeCell ref="F91:H91"/>
    <mergeCell ref="A92:E92"/>
    <mergeCell ref="F92:H92"/>
    <mergeCell ref="A131:H131"/>
    <mergeCell ref="A100:B100"/>
    <mergeCell ref="A140:B140"/>
    <mergeCell ref="A95:B95"/>
    <mergeCell ref="A168:H168"/>
    <mergeCell ref="A98:H98"/>
    <mergeCell ref="A171:H171"/>
    <mergeCell ref="A169:H169"/>
    <mergeCell ref="A144:B144"/>
    <mergeCell ref="A145:B145"/>
    <mergeCell ref="A146:B146"/>
    <mergeCell ref="A135:B135"/>
    <mergeCell ref="G136:H136"/>
    <mergeCell ref="G142:H142"/>
    <mergeCell ref="A166:H166"/>
    <mergeCell ref="E99:F99"/>
    <mergeCell ref="B164:H164"/>
    <mergeCell ref="G108:H108"/>
    <mergeCell ref="G106:H106"/>
    <mergeCell ref="G107:H107"/>
    <mergeCell ref="G109:H109"/>
    <mergeCell ref="B162:H162"/>
    <mergeCell ref="B158:H158"/>
    <mergeCell ref="A152:B152"/>
    <mergeCell ref="G152:H152"/>
    <mergeCell ref="G151:H151"/>
    <mergeCell ref="A149:H149"/>
    <mergeCell ref="A150:B150"/>
    <mergeCell ref="A151:B151"/>
    <mergeCell ref="A154:B154"/>
    <mergeCell ref="G154:H154"/>
    <mergeCell ref="A153:B153"/>
    <mergeCell ref="A101:H101"/>
    <mergeCell ref="G134:H134"/>
    <mergeCell ref="G153:H153"/>
    <mergeCell ref="B156:H156"/>
    <mergeCell ref="B157:H157"/>
    <mergeCell ref="G141:H141"/>
    <mergeCell ref="A165:H165"/>
    <mergeCell ref="G144:H144"/>
    <mergeCell ref="A142:B142"/>
    <mergeCell ref="G145:H145"/>
    <mergeCell ref="A139:B139"/>
    <mergeCell ref="G133:H133"/>
    <mergeCell ref="A115:B115"/>
    <mergeCell ref="A116:B116"/>
    <mergeCell ref="B159:H159"/>
    <mergeCell ref="B160:H160"/>
    <mergeCell ref="G150:H150"/>
    <mergeCell ref="G148:H148"/>
    <mergeCell ref="A155:H155"/>
    <mergeCell ref="A147:B147"/>
    <mergeCell ref="A148:B148"/>
    <mergeCell ref="G146:H146"/>
    <mergeCell ref="A143:H143"/>
    <mergeCell ref="A137:H137"/>
    <mergeCell ref="A130:B130"/>
    <mergeCell ref="G140:H140"/>
    <mergeCell ref="G138:H138"/>
    <mergeCell ref="A141:B141"/>
    <mergeCell ref="A138:B138"/>
    <mergeCell ref="G130:H130"/>
    <mergeCell ref="C52:E52"/>
    <mergeCell ref="A55:C55"/>
    <mergeCell ref="D55:H55"/>
    <mergeCell ref="G52:H52"/>
    <mergeCell ref="C51:H51"/>
    <mergeCell ref="B103:B104"/>
    <mergeCell ref="A103:A104"/>
    <mergeCell ref="A62:C62"/>
    <mergeCell ref="D62:H62"/>
    <mergeCell ref="A63:C63"/>
    <mergeCell ref="D63:H63"/>
    <mergeCell ref="A69:B69"/>
    <mergeCell ref="G68:H68"/>
    <mergeCell ref="A59:C59"/>
    <mergeCell ref="E69:F78"/>
    <mergeCell ref="G69:H78"/>
    <mergeCell ref="A77:B77"/>
    <mergeCell ref="A78:B78"/>
    <mergeCell ref="D59:H59"/>
    <mergeCell ref="A94:B94"/>
    <mergeCell ref="A96:B96"/>
    <mergeCell ref="C103:C104"/>
    <mergeCell ref="I58:M58"/>
    <mergeCell ref="A16:B16"/>
    <mergeCell ref="C16:H16"/>
    <mergeCell ref="E41:H41"/>
    <mergeCell ref="A41:D41"/>
    <mergeCell ref="A170:H170"/>
    <mergeCell ref="A167:H167"/>
    <mergeCell ref="G147:H147"/>
    <mergeCell ref="A132:B132"/>
    <mergeCell ref="A99:B99"/>
    <mergeCell ref="G111:H111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38" max="16383" man="1"/>
    <brk id="78" max="7" man="1"/>
    <brk id="164" max="16383" man="1"/>
    <brk id="176" max="16383" man="1"/>
    <brk id="234" max="16383" man="1"/>
    <brk id="27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73" t="s">
        <v>112</v>
      </c>
      <c r="C3" s="173"/>
      <c r="D3" s="173"/>
      <c r="E3" s="173"/>
      <c r="F3" s="173"/>
      <c r="G3" s="173"/>
      <c r="H3" s="173"/>
    </row>
    <row r="4" spans="1:9" x14ac:dyDescent="0.25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2025-09-16T05:28:02Z</cp:lastPrinted>
  <dcterms:created xsi:type="dcterms:W3CDTF">2019-07-16T09:29:46Z</dcterms:created>
  <dcterms:modified xsi:type="dcterms:W3CDTF">2025-09-16T05:28:58Z</dcterms:modified>
</cp:coreProperties>
</file>