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D:\Gaurav\Sep 25\DUMP\"/>
    </mc:Choice>
  </mc:AlternateContent>
  <xr:revisionPtr revIDLastSave="0" documentId="13_ncr:1_{1C420E85-4419-4260-98C5-AE30C1A605B4}" xr6:coauthVersionLast="36" xr6:coauthVersionMax="36" xr10:uidLastSave="{00000000-0000-0000-0000-000000000000}"/>
  <bookViews>
    <workbookView xWindow="0" yWindow="0" windowWidth="20490" windowHeight="6825" xr2:uid="{00000000-000D-0000-FFFF-FFFF00000000}"/>
  </bookViews>
  <sheets>
    <sheet name="Report" sheetId="1" r:id="rId1"/>
    <sheet name="Flat detail" sheetId="3" r:id="rId2"/>
    <sheet name="Note" sheetId="4" r:id="rId3"/>
    <sheet name="valuation" sheetId="5" r:id="rId4"/>
  </sheets>
  <definedNames>
    <definedName name="_xlnm.Print_Area" localSheetId="0">Report!$A$1:$H$585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79" i="1" l="1"/>
  <c r="F479" i="1" s="1"/>
  <c r="D470" i="1"/>
  <c r="F470" i="1" s="1"/>
  <c r="D469" i="1"/>
  <c r="F469" i="1" s="1"/>
  <c r="I468" i="1"/>
  <c r="D468" i="1"/>
  <c r="F468" i="1" s="1"/>
  <c r="D467" i="1"/>
  <c r="F467" i="1" s="1"/>
  <c r="I466" i="1"/>
  <c r="G466" i="1"/>
  <c r="D466" i="1"/>
  <c r="F466" i="1" s="1"/>
  <c r="D476" i="1"/>
  <c r="F476" i="1" s="1"/>
  <c r="D475" i="1"/>
  <c r="F475" i="1" s="1"/>
  <c r="I474" i="1"/>
  <c r="D474" i="1"/>
  <c r="F474" i="1" s="1"/>
  <c r="D473" i="1"/>
  <c r="F473" i="1" s="1"/>
  <c r="I472" i="1"/>
  <c r="G472" i="1"/>
  <c r="D472" i="1"/>
  <c r="F472" i="1" s="1"/>
  <c r="D482" i="1"/>
  <c r="F482" i="1" s="1"/>
  <c r="D481" i="1"/>
  <c r="F481" i="1" s="1"/>
  <c r="I480" i="1"/>
  <c r="D480" i="1"/>
  <c r="F480" i="1" s="1"/>
  <c r="I478" i="1"/>
  <c r="G478" i="1"/>
  <c r="D488" i="1"/>
  <c r="F488" i="1" s="1"/>
  <c r="D487" i="1"/>
  <c r="F487" i="1" s="1"/>
  <c r="I486" i="1"/>
  <c r="D486" i="1"/>
  <c r="F486" i="1" s="1"/>
  <c r="D485" i="1"/>
  <c r="F485" i="1" s="1"/>
  <c r="I484" i="1"/>
  <c r="G484" i="1"/>
  <c r="D484" i="1"/>
  <c r="F484" i="1" s="1"/>
  <c r="D464" i="1"/>
  <c r="F464" i="1" s="1"/>
  <c r="D463" i="1"/>
  <c r="F463" i="1" s="1"/>
  <c r="I462" i="1"/>
  <c r="D462" i="1"/>
  <c r="F462" i="1" s="1"/>
  <c r="D461" i="1"/>
  <c r="F461" i="1" s="1"/>
  <c r="I460" i="1"/>
  <c r="G460" i="1"/>
  <c r="D460" i="1"/>
  <c r="F460" i="1" s="1"/>
  <c r="D446" i="1"/>
  <c r="F446" i="1" s="1"/>
  <c r="D445" i="1"/>
  <c r="F445" i="1" s="1"/>
  <c r="I444" i="1"/>
  <c r="D444" i="1"/>
  <c r="F444" i="1" s="1"/>
  <c r="D443" i="1"/>
  <c r="F443" i="1" s="1"/>
  <c r="I442" i="1"/>
  <c r="G442" i="1"/>
  <c r="D442" i="1"/>
  <c r="F442" i="1" s="1"/>
  <c r="D452" i="1"/>
  <c r="F452" i="1" s="1"/>
  <c r="D451" i="1"/>
  <c r="F451" i="1" s="1"/>
  <c r="I450" i="1"/>
  <c r="D450" i="1"/>
  <c r="F450" i="1" s="1"/>
  <c r="D449" i="1"/>
  <c r="F449" i="1" s="1"/>
  <c r="I448" i="1"/>
  <c r="G448" i="1"/>
  <c r="D448" i="1"/>
  <c r="F448" i="1" s="1"/>
  <c r="D458" i="1"/>
  <c r="F458" i="1" s="1"/>
  <c r="D457" i="1"/>
  <c r="F457" i="1" s="1"/>
  <c r="I456" i="1"/>
  <c r="D456" i="1"/>
  <c r="F456" i="1" s="1"/>
  <c r="D455" i="1"/>
  <c r="F455" i="1" s="1"/>
  <c r="I454" i="1"/>
  <c r="G454" i="1"/>
  <c r="D454" i="1"/>
  <c r="F454" i="1" s="1"/>
  <c r="D440" i="1"/>
  <c r="F440" i="1" s="1"/>
  <c r="D439" i="1"/>
  <c r="F439" i="1" s="1"/>
  <c r="I438" i="1"/>
  <c r="D438" i="1"/>
  <c r="F438" i="1" s="1"/>
  <c r="I436" i="1"/>
  <c r="G436" i="1"/>
  <c r="D434" i="1"/>
  <c r="F434" i="1" s="1"/>
  <c r="D433" i="1"/>
  <c r="F433" i="1" s="1"/>
  <c r="I432" i="1"/>
  <c r="D432" i="1"/>
  <c r="F432" i="1" s="1"/>
  <c r="D431" i="1"/>
  <c r="F431" i="1" s="1"/>
  <c r="I430" i="1"/>
  <c r="G430" i="1"/>
  <c r="D430" i="1"/>
  <c r="F430" i="1" s="1"/>
  <c r="D428" i="1"/>
  <c r="F428" i="1" s="1"/>
  <c r="D427" i="1"/>
  <c r="F427" i="1" s="1"/>
  <c r="I426" i="1"/>
  <c r="D426" i="1"/>
  <c r="F426" i="1" s="1"/>
  <c r="D425" i="1"/>
  <c r="F425" i="1" s="1"/>
  <c r="I424" i="1"/>
  <c r="G424" i="1"/>
  <c r="D424" i="1"/>
  <c r="F424" i="1" s="1"/>
  <c r="D422" i="1"/>
  <c r="D421" i="1"/>
  <c r="D420" i="1"/>
  <c r="I420" i="1"/>
  <c r="I418" i="1"/>
  <c r="D419" i="1"/>
  <c r="D418" i="1"/>
  <c r="D416" i="1"/>
  <c r="D415" i="1"/>
  <c r="D414" i="1"/>
  <c r="D413" i="1"/>
  <c r="D412" i="1"/>
  <c r="D410" i="1"/>
  <c r="D409" i="1"/>
  <c r="D408" i="1"/>
  <c r="D407" i="1"/>
  <c r="D406" i="1"/>
  <c r="D404" i="1"/>
  <c r="D403" i="1"/>
  <c r="D402" i="1"/>
  <c r="D401" i="1"/>
  <c r="D400" i="1"/>
  <c r="D374" i="1"/>
  <c r="D373" i="1"/>
  <c r="D372" i="1"/>
  <c r="D371" i="1"/>
  <c r="D370" i="1"/>
  <c r="D398" i="1"/>
  <c r="D397" i="1"/>
  <c r="D396" i="1"/>
  <c r="D392" i="1"/>
  <c r="D391" i="1"/>
  <c r="D390" i="1"/>
  <c r="D389" i="1"/>
  <c r="D388" i="1"/>
  <c r="D386" i="1"/>
  <c r="D385" i="1"/>
  <c r="D384" i="1"/>
  <c r="D383" i="1"/>
  <c r="D382" i="1"/>
  <c r="D380" i="1"/>
  <c r="D379" i="1"/>
  <c r="D378" i="1"/>
  <c r="D377" i="1"/>
  <c r="D376" i="1"/>
  <c r="D368" i="1"/>
  <c r="D367" i="1"/>
  <c r="D366" i="1"/>
  <c r="D365" i="1"/>
  <c r="D364" i="1"/>
  <c r="D362" i="1"/>
  <c r="D361" i="1"/>
  <c r="D360" i="1"/>
  <c r="D359" i="1"/>
  <c r="D358" i="1"/>
  <c r="D356" i="1"/>
  <c r="D355" i="1"/>
  <c r="D354" i="1"/>
  <c r="D353" i="1"/>
  <c r="D352" i="1"/>
  <c r="D350" i="1"/>
  <c r="D349" i="1"/>
  <c r="D348" i="1"/>
  <c r="D344" i="1"/>
  <c r="D343" i="1"/>
  <c r="D342" i="1"/>
  <c r="D341" i="1"/>
  <c r="D340" i="1"/>
  <c r="D338" i="1"/>
  <c r="D337" i="1"/>
  <c r="D336" i="1"/>
  <c r="D335" i="1"/>
  <c r="D334" i="1"/>
  <c r="D332" i="1"/>
  <c r="D331" i="1"/>
  <c r="D330" i="1"/>
  <c r="D329" i="1"/>
  <c r="D328" i="1"/>
  <c r="D326" i="1"/>
  <c r="D325" i="1"/>
  <c r="D324" i="1"/>
  <c r="D323" i="1"/>
  <c r="D322" i="1"/>
  <c r="D320" i="1"/>
  <c r="D319" i="1"/>
  <c r="D318" i="1"/>
  <c r="D317" i="1"/>
  <c r="D316" i="1"/>
  <c r="D314" i="1"/>
  <c r="D313" i="1"/>
  <c r="D312" i="1"/>
  <c r="D311" i="1"/>
  <c r="D310" i="1"/>
  <c r="D308" i="1"/>
  <c r="D307" i="1"/>
  <c r="D306" i="1"/>
  <c r="D302" i="1"/>
  <c r="D301" i="1"/>
  <c r="D300" i="1"/>
  <c r="D299" i="1"/>
  <c r="D298" i="1"/>
  <c r="D296" i="1"/>
  <c r="D295" i="1"/>
  <c r="D294" i="1"/>
  <c r="D293" i="1"/>
  <c r="D292" i="1"/>
  <c r="D290" i="1"/>
  <c r="D289" i="1"/>
  <c r="D288" i="1"/>
  <c r="D287" i="1"/>
  <c r="D286" i="1"/>
  <c r="D284" i="1"/>
  <c r="D283" i="1"/>
  <c r="D282" i="1"/>
  <c r="D281" i="1"/>
  <c r="D280" i="1"/>
  <c r="D278" i="1"/>
  <c r="D277" i="1"/>
  <c r="D276" i="1"/>
  <c r="D275" i="1"/>
  <c r="D274" i="1"/>
  <c r="D272" i="1"/>
  <c r="D271" i="1"/>
  <c r="D270" i="1"/>
  <c r="D269" i="1"/>
  <c r="D268" i="1"/>
  <c r="D262" i="1"/>
  <c r="D266" i="1"/>
  <c r="D265" i="1"/>
  <c r="I270" i="1"/>
  <c r="I268" i="1"/>
  <c r="D244" i="1"/>
  <c r="F244" i="1" s="1"/>
  <c r="D253" i="1"/>
  <c r="F253" i="1" s="1"/>
  <c r="D252" i="1"/>
  <c r="F252" i="1" s="1"/>
  <c r="D251" i="1"/>
  <c r="F251" i="1" s="1"/>
  <c r="G250" i="1"/>
  <c r="D250" i="1"/>
  <c r="F250" i="1" s="1"/>
  <c r="D248" i="1"/>
  <c r="F248" i="1" s="1"/>
  <c r="D247" i="1"/>
  <c r="F247" i="1" s="1"/>
  <c r="D246" i="1"/>
  <c r="F246" i="1" s="1"/>
  <c r="G244" i="1"/>
  <c r="D242" i="1"/>
  <c r="D241" i="1"/>
  <c r="D240" i="1"/>
  <c r="D239" i="1"/>
  <c r="D237" i="1"/>
  <c r="D236" i="1"/>
  <c r="D235" i="1"/>
  <c r="D234" i="1"/>
  <c r="D232" i="1"/>
  <c r="D231" i="1"/>
  <c r="D230" i="1"/>
  <c r="D229" i="1"/>
  <c r="D227" i="1"/>
  <c r="D226" i="1"/>
  <c r="D225" i="1"/>
  <c r="D224" i="1"/>
  <c r="D222" i="1"/>
  <c r="D221" i="1"/>
  <c r="D220" i="1"/>
  <c r="D219" i="1"/>
  <c r="D217" i="1"/>
  <c r="D216" i="1"/>
  <c r="D215" i="1"/>
  <c r="D212" i="1"/>
  <c r="D211" i="1"/>
  <c r="D210" i="1"/>
  <c r="D209" i="1"/>
  <c r="D207" i="1"/>
  <c r="D206" i="1"/>
  <c r="D205" i="1"/>
  <c r="D204" i="1"/>
  <c r="D202" i="1"/>
  <c r="D201" i="1"/>
  <c r="D200" i="1"/>
  <c r="D199" i="1"/>
  <c r="D197" i="1"/>
  <c r="D196" i="1"/>
  <c r="D195" i="1"/>
  <c r="D194" i="1"/>
  <c r="D192" i="1"/>
  <c r="D191" i="1"/>
  <c r="D190" i="1"/>
  <c r="D189" i="1"/>
  <c r="D187" i="1"/>
  <c r="D186" i="1"/>
  <c r="D185" i="1"/>
  <c r="D184" i="1"/>
  <c r="D182" i="1"/>
  <c r="D181" i="1"/>
  <c r="D180" i="1"/>
  <c r="D177" i="1"/>
  <c r="D176" i="1"/>
  <c r="D175" i="1"/>
  <c r="D174" i="1"/>
  <c r="D172" i="1"/>
  <c r="D171" i="1"/>
  <c r="D170" i="1"/>
  <c r="D169" i="1"/>
  <c r="D167" i="1"/>
  <c r="D166" i="1"/>
  <c r="D165" i="1"/>
  <c r="D164" i="1"/>
  <c r="D162" i="1"/>
  <c r="D161" i="1"/>
  <c r="D160" i="1"/>
  <c r="D159" i="1"/>
  <c r="D157" i="1"/>
  <c r="D156" i="1"/>
  <c r="D155" i="1"/>
  <c r="D154" i="1"/>
  <c r="D152" i="1"/>
  <c r="D151" i="1"/>
  <c r="D150" i="1"/>
  <c r="D149" i="1"/>
  <c r="D147" i="1"/>
  <c r="D146" i="1"/>
  <c r="D145" i="1"/>
  <c r="D142" i="1"/>
  <c r="D141" i="1"/>
  <c r="D140" i="1"/>
  <c r="D139" i="1"/>
  <c r="D137" i="1"/>
  <c r="D136" i="1"/>
  <c r="D135" i="1"/>
  <c r="D134" i="1"/>
  <c r="D132" i="1"/>
  <c r="D131" i="1"/>
  <c r="D130" i="1"/>
  <c r="D129" i="1"/>
  <c r="D127" i="1"/>
  <c r="D126" i="1"/>
  <c r="D125" i="1"/>
  <c r="D124" i="1"/>
  <c r="D122" i="1"/>
  <c r="D121" i="1"/>
  <c r="D120" i="1"/>
  <c r="D119" i="1"/>
  <c r="D112" i="1"/>
  <c r="D111" i="1"/>
  <c r="D110" i="1"/>
  <c r="D117" i="1"/>
  <c r="D116" i="1"/>
  <c r="D115" i="1"/>
  <c r="D114" i="1"/>
  <c r="I114" i="1"/>
  <c r="I115" i="1"/>
  <c r="C97" i="1" l="1"/>
  <c r="D96" i="1"/>
  <c r="C96" i="1"/>
  <c r="D97" i="1"/>
  <c r="D98" i="1" s="1"/>
  <c r="J6" i="1"/>
  <c r="C98" i="1" l="1"/>
  <c r="C62" i="1"/>
  <c r="E3" i="1" l="1"/>
  <c r="F90" i="1" l="1"/>
  <c r="G47" i="1" l="1"/>
  <c r="F398" i="1" l="1"/>
  <c r="F397" i="1"/>
  <c r="F396" i="1"/>
  <c r="F422" i="1"/>
  <c r="F421" i="1"/>
  <c r="F420" i="1"/>
  <c r="F419" i="1"/>
  <c r="F418" i="1"/>
  <c r="F416" i="1"/>
  <c r="F415" i="1"/>
  <c r="F414" i="1"/>
  <c r="F413" i="1"/>
  <c r="F412" i="1"/>
  <c r="F410" i="1"/>
  <c r="F409" i="1"/>
  <c r="F408" i="1"/>
  <c r="F407" i="1"/>
  <c r="F406" i="1"/>
  <c r="F404" i="1"/>
  <c r="F403" i="1"/>
  <c r="F402" i="1"/>
  <c r="F400" i="1"/>
  <c r="F392" i="1"/>
  <c r="F391" i="1"/>
  <c r="F390" i="1"/>
  <c r="F389" i="1"/>
  <c r="F388" i="1"/>
  <c r="F386" i="1"/>
  <c r="F385" i="1"/>
  <c r="F384" i="1"/>
  <c r="F383" i="1"/>
  <c r="F382" i="1"/>
  <c r="G418" i="1"/>
  <c r="G412" i="1"/>
  <c r="G406" i="1"/>
  <c r="F401" i="1"/>
  <c r="G400" i="1"/>
  <c r="G394" i="1"/>
  <c r="G388" i="1"/>
  <c r="G382" i="1"/>
  <c r="P388" i="1"/>
  <c r="O388" i="1"/>
  <c r="P382" i="1"/>
  <c r="O394" i="1"/>
  <c r="P394" i="1"/>
  <c r="O382" i="1"/>
  <c r="N388" i="1" l="1"/>
  <c r="O389" i="1"/>
  <c r="N394" i="1"/>
  <c r="O395" i="1"/>
  <c r="P389" i="1"/>
  <c r="P390" i="1" s="1"/>
  <c r="P391" i="1" s="1"/>
  <c r="P392" i="1" s="1"/>
  <c r="P395" i="1"/>
  <c r="P396" i="1" s="1"/>
  <c r="P397" i="1" s="1"/>
  <c r="P398" i="1" s="1"/>
  <c r="N382" i="1"/>
  <c r="O383" i="1"/>
  <c r="P383" i="1"/>
  <c r="P384" i="1" s="1"/>
  <c r="P385" i="1" s="1"/>
  <c r="P386" i="1" s="1"/>
  <c r="N395" i="1" l="1"/>
  <c r="O396" i="1"/>
  <c r="N389" i="1"/>
  <c r="O390" i="1"/>
  <c r="N383" i="1"/>
  <c r="O384" i="1"/>
  <c r="N390" i="1" l="1"/>
  <c r="O391" i="1"/>
  <c r="N396" i="1"/>
  <c r="O397" i="1"/>
  <c r="N384" i="1"/>
  <c r="O385" i="1"/>
  <c r="N397" i="1" l="1"/>
  <c r="O398" i="1"/>
  <c r="N398" i="1" s="1"/>
  <c r="N391" i="1"/>
  <c r="O392" i="1"/>
  <c r="N392" i="1" s="1"/>
  <c r="N385" i="1"/>
  <c r="O386" i="1"/>
  <c r="N386" i="1" s="1"/>
  <c r="F380" i="1" l="1"/>
  <c r="F379" i="1"/>
  <c r="F378" i="1"/>
  <c r="F377" i="1"/>
  <c r="G376" i="1"/>
  <c r="F376" i="1"/>
  <c r="F374" i="1"/>
  <c r="F373" i="1"/>
  <c r="F372" i="1"/>
  <c r="F371" i="1"/>
  <c r="G370" i="1"/>
  <c r="F370" i="1"/>
  <c r="F368" i="1"/>
  <c r="F367" i="1"/>
  <c r="F366" i="1"/>
  <c r="F365" i="1"/>
  <c r="G364" i="1"/>
  <c r="F364" i="1"/>
  <c r="F362" i="1"/>
  <c r="F356" i="1"/>
  <c r="F355" i="1"/>
  <c r="F354" i="1"/>
  <c r="F353" i="1"/>
  <c r="G352" i="1"/>
  <c r="F352" i="1"/>
  <c r="F350" i="1"/>
  <c r="F349" i="1"/>
  <c r="F348" i="1"/>
  <c r="G346" i="1"/>
  <c r="F344" i="1"/>
  <c r="F343" i="1"/>
  <c r="F342" i="1"/>
  <c r="F341" i="1"/>
  <c r="G340" i="1"/>
  <c r="F340" i="1"/>
  <c r="F338" i="1"/>
  <c r="F337" i="1"/>
  <c r="F336" i="1"/>
  <c r="F335" i="1"/>
  <c r="G334" i="1"/>
  <c r="F334" i="1"/>
  <c r="F332" i="1"/>
  <c r="F331" i="1"/>
  <c r="F330" i="1"/>
  <c r="F329" i="1"/>
  <c r="G328" i="1"/>
  <c r="F328" i="1"/>
  <c r="F326" i="1"/>
  <c r="F325" i="1"/>
  <c r="F324" i="1"/>
  <c r="F323" i="1"/>
  <c r="G322" i="1"/>
  <c r="F322" i="1"/>
  <c r="F320" i="1"/>
  <c r="F319" i="1"/>
  <c r="F318" i="1"/>
  <c r="F317" i="1"/>
  <c r="G316" i="1"/>
  <c r="F316" i="1"/>
  <c r="F314" i="1"/>
  <c r="F313" i="1"/>
  <c r="F312" i="1"/>
  <c r="F311" i="1"/>
  <c r="G310" i="1"/>
  <c r="F310" i="1"/>
  <c r="F308" i="1"/>
  <c r="F307" i="1"/>
  <c r="F306" i="1"/>
  <c r="G304" i="1"/>
  <c r="F302" i="1"/>
  <c r="F301" i="1"/>
  <c r="F300" i="1"/>
  <c r="F299" i="1"/>
  <c r="G298" i="1"/>
  <c r="F298" i="1"/>
  <c r="F296" i="1"/>
  <c r="F295" i="1"/>
  <c r="F294" i="1"/>
  <c r="F293" i="1"/>
  <c r="G292" i="1"/>
  <c r="F292" i="1"/>
  <c r="F290" i="1"/>
  <c r="F289" i="1"/>
  <c r="F288" i="1"/>
  <c r="F287" i="1"/>
  <c r="G286" i="1"/>
  <c r="F286" i="1"/>
  <c r="F284" i="1"/>
  <c r="F283" i="1"/>
  <c r="F282" i="1"/>
  <c r="F281" i="1"/>
  <c r="G280" i="1"/>
  <c r="F280" i="1"/>
  <c r="F278" i="1"/>
  <c r="F277" i="1"/>
  <c r="F276" i="1"/>
  <c r="F275" i="1"/>
  <c r="G274" i="1"/>
  <c r="F274" i="1"/>
  <c r="F272" i="1"/>
  <c r="G262" i="1"/>
  <c r="F266" i="1"/>
  <c r="F359" i="1"/>
  <c r="F360" i="1"/>
  <c r="F361" i="1"/>
  <c r="F358" i="1"/>
  <c r="F242" i="1"/>
  <c r="F241" i="1"/>
  <c r="F240" i="1"/>
  <c r="F237" i="1"/>
  <c r="F235" i="1"/>
  <c r="F234" i="1"/>
  <c r="F232" i="1"/>
  <c r="F231" i="1"/>
  <c r="F230" i="1"/>
  <c r="F229" i="1"/>
  <c r="F227" i="1"/>
  <c r="F226" i="1"/>
  <c r="F225" i="1"/>
  <c r="F224" i="1"/>
  <c r="F222" i="1"/>
  <c r="F221" i="1"/>
  <c r="F220" i="1"/>
  <c r="F219" i="1"/>
  <c r="F217" i="1"/>
  <c r="F216" i="1"/>
  <c r="F215" i="1"/>
  <c r="G219" i="1"/>
  <c r="F236" i="1"/>
  <c r="G234" i="1"/>
  <c r="G239" i="1"/>
  <c r="F239" i="1"/>
  <c r="G358" i="1"/>
  <c r="G229" i="1"/>
  <c r="G224" i="1"/>
  <c r="G214" i="1"/>
  <c r="P358" i="1"/>
  <c r="O364" i="1"/>
  <c r="P376" i="1"/>
  <c r="O376" i="1"/>
  <c r="P364" i="1"/>
  <c r="O358" i="1"/>
  <c r="N376" i="1" l="1"/>
  <c r="N364" i="1"/>
  <c r="N358" i="1"/>
  <c r="O377" i="1"/>
  <c r="P377" i="1"/>
  <c r="P378" i="1" s="1"/>
  <c r="P379" i="1" s="1"/>
  <c r="P380" i="1" s="1"/>
  <c r="O365" i="1"/>
  <c r="P365" i="1"/>
  <c r="P366" i="1" s="1"/>
  <c r="P367" i="1" s="1"/>
  <c r="P368" i="1" s="1"/>
  <c r="O359" i="1"/>
  <c r="P359" i="1"/>
  <c r="P360" i="1" s="1"/>
  <c r="P361" i="1" s="1"/>
  <c r="P362" i="1" s="1"/>
  <c r="N377" i="1" l="1"/>
  <c r="N365" i="1"/>
  <c r="N359" i="1"/>
  <c r="O378" i="1"/>
  <c r="N378" i="1" s="1"/>
  <c r="O366" i="1"/>
  <c r="N366" i="1" s="1"/>
  <c r="O360" i="1"/>
  <c r="N360" i="1" s="1"/>
  <c r="O379" i="1" l="1"/>
  <c r="N379" i="1" s="1"/>
  <c r="O367" i="1"/>
  <c r="N367" i="1" s="1"/>
  <c r="O361" i="1"/>
  <c r="N361" i="1" s="1"/>
  <c r="O380" i="1" l="1"/>
  <c r="O368" i="1"/>
  <c r="O362" i="1"/>
  <c r="F212" i="1"/>
  <c r="F211" i="1"/>
  <c r="F210" i="1"/>
  <c r="G209" i="1"/>
  <c r="F209" i="1"/>
  <c r="F207" i="1"/>
  <c r="F206" i="1"/>
  <c r="F205" i="1"/>
  <c r="G204" i="1"/>
  <c r="F204" i="1"/>
  <c r="F202" i="1"/>
  <c r="F201" i="1"/>
  <c r="F200" i="1"/>
  <c r="G199" i="1"/>
  <c r="F199" i="1"/>
  <c r="F197" i="1"/>
  <c r="F196" i="1"/>
  <c r="F195" i="1"/>
  <c r="G194" i="1"/>
  <c r="F194" i="1"/>
  <c r="F192" i="1"/>
  <c r="F191" i="1"/>
  <c r="F190" i="1"/>
  <c r="G189" i="1"/>
  <c r="F189" i="1"/>
  <c r="F187" i="1"/>
  <c r="F186" i="1"/>
  <c r="F185" i="1"/>
  <c r="G184" i="1"/>
  <c r="F184" i="1"/>
  <c r="F182" i="1"/>
  <c r="F181" i="1"/>
  <c r="F180" i="1"/>
  <c r="G179" i="1"/>
  <c r="F177" i="1"/>
  <c r="F176" i="1"/>
  <c r="F175" i="1"/>
  <c r="G174" i="1"/>
  <c r="F174" i="1"/>
  <c r="F172" i="1"/>
  <c r="F171" i="1"/>
  <c r="F170" i="1"/>
  <c r="G169" i="1"/>
  <c r="F169" i="1"/>
  <c r="F167" i="1"/>
  <c r="F166" i="1"/>
  <c r="F165" i="1"/>
  <c r="G164" i="1"/>
  <c r="F164" i="1"/>
  <c r="F162" i="1"/>
  <c r="F161" i="1"/>
  <c r="F160" i="1"/>
  <c r="G159" i="1"/>
  <c r="F159" i="1"/>
  <c r="F157" i="1"/>
  <c r="F156" i="1"/>
  <c r="F155" i="1"/>
  <c r="G154" i="1"/>
  <c r="F154" i="1"/>
  <c r="F147" i="1"/>
  <c r="F146" i="1"/>
  <c r="F145" i="1"/>
  <c r="K144" i="1"/>
  <c r="G144" i="1"/>
  <c r="F152" i="1"/>
  <c r="F151" i="1"/>
  <c r="F150" i="1"/>
  <c r="G149" i="1"/>
  <c r="F149" i="1"/>
  <c r="F142" i="1"/>
  <c r="F141" i="1"/>
  <c r="F140" i="1"/>
  <c r="G139" i="1"/>
  <c r="F139" i="1"/>
  <c r="F137" i="1"/>
  <c r="F136" i="1"/>
  <c r="F135" i="1"/>
  <c r="G134" i="1"/>
  <c r="F134" i="1"/>
  <c r="F132" i="1"/>
  <c r="F131" i="1"/>
  <c r="F130" i="1"/>
  <c r="G129" i="1"/>
  <c r="F129" i="1"/>
  <c r="F127" i="1"/>
  <c r="F126" i="1"/>
  <c r="F125" i="1"/>
  <c r="G124" i="1"/>
  <c r="F124" i="1"/>
  <c r="F122" i="1"/>
  <c r="F121" i="1"/>
  <c r="F120" i="1"/>
  <c r="G119" i="1"/>
  <c r="F119" i="1"/>
  <c r="F112" i="1"/>
  <c r="N380" i="1" l="1"/>
  <c r="N368" i="1"/>
  <c r="N362" i="1"/>
  <c r="I109" i="1"/>
  <c r="K109" i="1" s="1"/>
  <c r="J109" i="1"/>
  <c r="F265" i="1"/>
  <c r="F262" i="1"/>
  <c r="F97" i="1" s="1"/>
  <c r="F271" i="1"/>
  <c r="F270" i="1"/>
  <c r="F269" i="1"/>
  <c r="F268" i="1"/>
  <c r="G268" i="1"/>
  <c r="J73" i="1" l="1"/>
  <c r="J72" i="1"/>
  <c r="H63" i="1"/>
  <c r="D75" i="1" l="1"/>
  <c r="D69" i="1"/>
  <c r="J65" i="1"/>
  <c r="J68" i="1"/>
  <c r="J69" i="1" s="1"/>
  <c r="J74" i="1" s="1"/>
  <c r="D74" i="1"/>
  <c r="D68" i="1"/>
  <c r="D73" i="1"/>
  <c r="D72" i="1"/>
  <c r="J66" i="1"/>
  <c r="D71" i="1"/>
  <c r="D70" i="1"/>
  <c r="J67" i="1"/>
  <c r="C66" i="1" s="1"/>
  <c r="J70" i="1" l="1"/>
  <c r="J71" i="1" s="1"/>
  <c r="D66" i="1"/>
  <c r="J75" i="1" l="1"/>
  <c r="C67" i="1" s="1"/>
  <c r="E66" i="1" s="1"/>
  <c r="I62" i="1" s="1"/>
  <c r="C64" i="1" l="1"/>
  <c r="G66" i="1"/>
  <c r="D67" i="1"/>
  <c r="G114" i="1"/>
  <c r="G109" i="1"/>
  <c r="C2" i="4"/>
  <c r="C3" i="4"/>
  <c r="C4" i="4"/>
  <c r="C1" i="4"/>
  <c r="C8" i="4"/>
  <c r="C9" i="4"/>
  <c r="C10" i="4"/>
  <c r="C7" i="4"/>
  <c r="F117" i="1"/>
  <c r="F116" i="1"/>
  <c r="F115" i="1"/>
  <c r="F114" i="1"/>
  <c r="F111" i="1"/>
  <c r="F110" i="1"/>
  <c r="F96" i="1" l="1"/>
  <c r="F98" i="1" s="1"/>
  <c r="I110" i="1"/>
  <c r="J110" i="1"/>
  <c r="F6" i="5"/>
  <c r="G6" i="5" s="1"/>
  <c r="F7" i="5"/>
  <c r="G7" i="5" s="1"/>
  <c r="F8" i="5"/>
  <c r="G8" i="5" s="1"/>
  <c r="F9" i="5"/>
  <c r="G9" i="5" s="1"/>
  <c r="F10" i="5"/>
  <c r="G10" i="5" s="1"/>
  <c r="F11" i="5"/>
  <c r="G11" i="5" s="1"/>
  <c r="F5" i="5"/>
  <c r="G5" i="5" s="1"/>
  <c r="G12" i="5" l="1"/>
  <c r="E7" i="1"/>
  <c r="E41" i="1" l="1"/>
  <c r="D503" i="1" l="1"/>
  <c r="C47" i="1"/>
  <c r="E42"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<sst xmlns="http://schemas.openxmlformats.org/spreadsheetml/2006/main" count="696" uniqueCount="312">
  <si>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</si>
  <si>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</si>
  <si>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</si>
  <si>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</si>
  <si>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</si>
  <si>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</si>
  <si>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</si>
  <si>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</si>
  <si>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</si>
  <si>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</si>
  <si>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</si>
  <si>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</si>
  <si>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</si>
  <si>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</si>
  <si>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</si>
  <si>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</si>
  <si>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</si>
  <si>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</si>
  <si>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</si>
  <si>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</si>
  <si>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</si>
  <si>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</si>
  <si>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</si>
  <si>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</si>
  <si>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</si>
  <si>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</si>
  <si>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</si>
  <si>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</si>
  <si>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</si>
  <si>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</si>
  <si>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</si>
  <si>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</si>
  <si>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</si>
  <si>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</si>
  <si>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</si>
  <si>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</si>
  <si>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</si>
  <si>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</si>
  <si>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</si>
  <si>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</si>
  <si>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</si>
  <si>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</si>
  <si>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</si>
  <si>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</si>
  <si>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</si>
  <si>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</si>
  <si>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</si>
  <si>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</si>
  <si>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</si>
  <si>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</si>
  <si>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</si>
  <si>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</si>
  <si>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</si>
  <si>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</si>
  <si>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</si>
  <si>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</si>
  <si>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</si>
  <si>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</si>
  <si>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</si>
  <si>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</si>
  <si>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</si>
  <si>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</si>
  <si>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</si>
  <si>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</si>
  <si>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</si>
  <si>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</si>
  <si>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</si>
  <si>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</si>
  <si>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</si>
  <si>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</si>
  <si>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</si>
  <si>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</si>
  <si>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</si>
  <si>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</si>
  <si>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</si>
  <si>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</si>
  <si>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</si>
  <si>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</si>
  <si>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</si>
  <si>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</si>
  <si>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</si>
  <si>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</si>
  <si>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</si>
  <si>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</si>
  <si>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</si>
  <si>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</si>
  <si>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</si>
  <si>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</si>
  <si>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</si>
  <si>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</si>
  <si>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</si>
  <si>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</si>
  <si>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</si>
  <si>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</si>
  <si>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</si>
  <si>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</si>
  <si>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</si>
  <si>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</si>
  <si>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</si>
  <si>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</si>
  <si>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</si>
  <si>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</si>
  <si>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</si>
  <si>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</si>
  <si>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</si>
  <si>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</si>
  <si>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</si>
  <si>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</si>
  <si>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</si>
  <si>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</si>
  <si>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</si>
  <si>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</si>
  <si>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</si>
  <si>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</si>
  <si>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</si>
  <si>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</si>
  <si>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</si>
  <si>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</si>
  <si>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</si>
  <si>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</si>
  <si>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</si>
  <si>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</si>
  <si>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</si>
  <si>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</si>
  <si>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</si>
  <si>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</si>
  <si>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</si>
  <si>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 xml:space="preserve">Valid upto date: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</si>
  <si>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</si>
  <si>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</si>
  <si>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</si>
  <si>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</si>
  <si>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</si>
  <si>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</si>
  <si>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</si>
  <si>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</si>
  <si>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</si>
  <si>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</si>
  <si>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</si>
  <si>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</si>
  <si>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</si>
  <si>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</si>
  <si>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</si>
  <si>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</si>
  <si>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</si>
  <si>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NA
Approved upto : NA</t>
  </si>
  <si>
    <t>Report By :</t>
  </si>
  <si>
    <t>Market Research Data</t>
  </si>
  <si>
    <t>Source</t>
  </si>
  <si>
    <t>Distance from proposed property</t>
  </si>
  <si>
    <t>Net Carpet</t>
  </si>
  <si>
    <t>Market Value</t>
  </si>
  <si>
    <t>Magic Brick</t>
  </si>
  <si>
    <t>3BHK</t>
  </si>
  <si>
    <t>99 Acres</t>
  </si>
  <si>
    <t>Average</t>
  </si>
  <si>
    <t xml:space="preserve">Valuation Adopted </t>
  </si>
  <si>
    <t>Saleable Area</t>
  </si>
  <si>
    <t>Rate on Saleable</t>
  </si>
  <si>
    <t>Axis Sanpada</t>
  </si>
  <si>
    <t>2A/116 &amp; 4/116 of Salt Pan Division And 4/356</t>
  </si>
  <si>
    <t>Locality</t>
  </si>
  <si>
    <t>Matunga</t>
  </si>
  <si>
    <t>CTS No</t>
  </si>
  <si>
    <t>Mumbai</t>
  </si>
  <si>
    <t>Ward F North</t>
  </si>
  <si>
    <t>Vidyalankar Collage Road</t>
  </si>
  <si>
    <t>Dosti Acres</t>
  </si>
  <si>
    <t>Dosti Olive</t>
  </si>
  <si>
    <t>Upper Class</t>
  </si>
  <si>
    <t>Developed</t>
  </si>
  <si>
    <t>2.2Km from Vadala Road Railway Station</t>
  </si>
  <si>
    <t>3 Basement Floor for Parking</t>
  </si>
  <si>
    <t>Ground Floor For Parking</t>
  </si>
  <si>
    <t>2nd to 5th Podium Floor For Parking</t>
  </si>
  <si>
    <t>1st to 5th Podium Floor For Parking</t>
  </si>
  <si>
    <t>Service Floor</t>
  </si>
  <si>
    <t>1st Floor (Part Refuge Area)</t>
  </si>
  <si>
    <t>2BHK</t>
  </si>
  <si>
    <t>Refuge Area</t>
  </si>
  <si>
    <t>13th &amp; 34th Floor</t>
  </si>
  <si>
    <t>1601,...,4401</t>
  </si>
  <si>
    <t>1602,...,4402</t>
  </si>
  <si>
    <t>1603,...,4403</t>
  </si>
  <si>
    <t>1604,...,4404</t>
  </si>
  <si>
    <t>1601 &amp; 3701</t>
  </si>
  <si>
    <t>1602 &amp; 3702</t>
  </si>
  <si>
    <t>1603 &amp; 3703</t>
  </si>
  <si>
    <t>1604 &amp; 3704</t>
  </si>
  <si>
    <t>Transfer Slab for Amenities</t>
  </si>
  <si>
    <t>1st Podium Floor For Parking</t>
  </si>
  <si>
    <t>Cement, Aggregate, Steel, etc</t>
  </si>
  <si>
    <t xml:space="preserve">Residential </t>
  </si>
  <si>
    <t>Dosti Eastern Bay</t>
  </si>
  <si>
    <t>Approved Plans, CC, Sale Plans</t>
  </si>
  <si>
    <t>Wheather the construction is as per approved Building plan : Under Construction</t>
  </si>
  <si>
    <t>As per RERA - 30/09/2027</t>
  </si>
  <si>
    <t>Vadala East</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</si>
  <si>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</si>
  <si>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</si>
  <si>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</si>
  <si>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</si>
  <si>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</si>
  <si>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</si>
  <si>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</si>
  <si>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</si>
  <si>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</si>
  <si>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</si>
  <si>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</si>
  <si>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</si>
  <si>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</si>
  <si>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</si>
  <si>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</si>
  <si>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</si>
  <si>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</si>
  <si>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</si>
  <si>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Dosti Eastern Bay, CTS No.2A/116 &amp; 4/116 of Salt Pan Division And 4/356 of Matunga Division in F/North Ward, At Wadala, Mumbai</t>
  </si>
  <si>
    <t>16th Floor</t>
  </si>
  <si>
    <t>14th Floor</t>
  </si>
  <si>
    <t>7.5/-</t>
  </si>
  <si>
    <t>Furniture deposit</t>
  </si>
  <si>
    <t>1200/- per month per flat for 2 years</t>
  </si>
  <si>
    <t>Phase 3 (D &amp; E Wing)</t>
  </si>
  <si>
    <t>Phase III - P51900032067</t>
  </si>
  <si>
    <t>02 Wings</t>
  </si>
  <si>
    <t>D Wing</t>
  </si>
  <si>
    <t>2nd Floor</t>
  </si>
  <si>
    <t>3rd Floor</t>
  </si>
  <si>
    <t>4th Floor</t>
  </si>
  <si>
    <t>5th Floor</t>
  </si>
  <si>
    <t>6th Floor</t>
  </si>
  <si>
    <t>7th Floor</t>
  </si>
  <si>
    <t>9th Floor</t>
  </si>
  <si>
    <t>8th Floor (Part Refuge Area)</t>
  </si>
  <si>
    <t>10th Floor</t>
  </si>
  <si>
    <t>11th Floor</t>
  </si>
  <si>
    <t>12th Floor</t>
  </si>
  <si>
    <t>17th &amp; 24th Floor</t>
  </si>
  <si>
    <t>18th &amp; 25th Floor</t>
  </si>
  <si>
    <t>19th &amp; 26th Floor</t>
  </si>
  <si>
    <t>20th &amp; 27th Floor</t>
  </si>
  <si>
    <t>21st &amp; 28th Floor</t>
  </si>
  <si>
    <t>30th Floor</t>
  </si>
  <si>
    <t>31st Floor</t>
  </si>
  <si>
    <t>32nd Floor</t>
  </si>
  <si>
    <t>33rd Floor</t>
  </si>
  <si>
    <t>23rd Floor</t>
  </si>
  <si>
    <t>15th Floor (Part Refuge Area)</t>
  </si>
  <si>
    <t>22nd &amp; 29th Floor (Part Refuge Area)</t>
  </si>
  <si>
    <t>E Wing</t>
  </si>
  <si>
    <t>Ground Floor For Parking &amp; Amenities</t>
  </si>
  <si>
    <t>4BHK</t>
  </si>
  <si>
    <t>13th Floor</t>
  </si>
  <si>
    <t xml:space="preserve">E Wing </t>
  </si>
  <si>
    <t>Maureeta - 9167219806</t>
  </si>
  <si>
    <t>M/s. Dosti Realty LTD</t>
  </si>
  <si>
    <t>Advance outgoing for 12 months</t>
  </si>
  <si>
    <t>Share money, Corpus fund for Infra &amp; Common Facilities, Advance Clubhouse Outgoings</t>
  </si>
  <si>
    <t>Dosti Eastern Bay Phase 3</t>
  </si>
  <si>
    <t>jdlivkjxlz</t>
  </si>
  <si>
    <t>350/-</t>
  </si>
  <si>
    <t>PLC Charges Per Sq. Ft. ( on Saleable area)</t>
  </si>
  <si>
    <t>Latitude, Longitude</t>
  </si>
  <si>
    <t>19.0226933,72.8664972</t>
  </si>
  <si>
    <t>Location Link</t>
  </si>
  <si>
    <t>https://goo.gl/maps/LjQspwgw3XJc3Zmr6</t>
  </si>
  <si>
    <t>CHE/CTY/0953/F/N/337
(NEW)/337/10/Amend</t>
  </si>
  <si>
    <t>14th &amp; 35th Floor</t>
  </si>
  <si>
    <t>15th &amp; 36th Floor (Part Refuge Area)</t>
  </si>
  <si>
    <t>16th &amp; 37th Floor</t>
  </si>
  <si>
    <t>17th, 24th &amp; 38th Floor</t>
  </si>
  <si>
    <t>18th, 25th &amp; 39th Floor</t>
  </si>
  <si>
    <t>19th, 26th &amp; 40th Floor</t>
  </si>
  <si>
    <t>20th, 27th &amp; 41st Floor</t>
  </si>
  <si>
    <t>21st, 28th &amp; 42nd Floor</t>
  </si>
  <si>
    <t>30th &amp; 44th Floor</t>
  </si>
  <si>
    <t>44th Floor</t>
  </si>
  <si>
    <t>43rd Floor (Part Refuge Floor)</t>
  </si>
  <si>
    <t>-</t>
  </si>
  <si>
    <t>MP Room</t>
  </si>
  <si>
    <t>34th Floor</t>
  </si>
  <si>
    <t>35th Floor</t>
  </si>
  <si>
    <t>36th Floor (Part Refuge Floor)</t>
  </si>
  <si>
    <t>37th Floor</t>
  </si>
  <si>
    <t>38th Floor</t>
  </si>
  <si>
    <t>39th Floor</t>
  </si>
  <si>
    <t>40th Floor</t>
  </si>
  <si>
    <t>41st Floor</t>
  </si>
  <si>
    <t>42nd Floor</t>
  </si>
  <si>
    <t>2.5BHK</t>
  </si>
  <si>
    <t>D &amp; E Wing = 3B + Gr. + 5P + Transfer level +  Sr.Floor + 1st to 44th Floor</t>
  </si>
  <si>
    <t>D Wing = 3B + Gr. + 5P + Transfer level +  Sr.Floor + 1st to 44th Floor
E Wing = 3B + Gr. + 5P + Transfer level +  Sr.Floor + 1st to 44th Floor</t>
  </si>
  <si>
    <t>Flats - 381</t>
  </si>
  <si>
    <t>Office No. 1031, Wing J, Akshar Business Park, Plot No. 03 Sector 25, Near APMC Market, 
Vashi, Navi Mumbai, Maharashtra 400703 TEL: 022-46090378/79/8
E mail : vsjcapf@gmail.com. Web site : www.vsjadon.com</t>
  </si>
  <si>
    <t>Contact Details ( Name &amp; Contact No.)</t>
  </si>
  <si>
    <t>18000 to 22000 by sanket on 25/09/2023</t>
  </si>
  <si>
    <t>22000 to 25000</t>
  </si>
  <si>
    <t>by rushikesh</t>
  </si>
  <si>
    <t>75/- from 1st Floor</t>
  </si>
  <si>
    <t>75 FR &amp; 15L</t>
  </si>
  <si>
    <t>smith</t>
  </si>
  <si>
    <t>Site Meet Person Contact Details ( Name &amp; Contact No.)</t>
  </si>
  <si>
    <t>Mr.Amit</t>
  </si>
  <si>
    <t>CHE/CTY/0953/F/N/337 (NEW)/
FCC/12/Amend</t>
  </si>
  <si>
    <t>CHE/CTY/0953/F/N/337(NEW)/
FCC/11/Amend</t>
  </si>
  <si>
    <r>
      <t xml:space="preserve">Valid Up to: This further CC IS ENDORSED AND EXTENDED UPTO TOP OF 44th FLOOR FOR </t>
    </r>
    <r>
      <rPr>
        <b/>
        <sz val="12"/>
        <rFont val="Times New Roman"/>
        <family val="1"/>
      </rPr>
      <t xml:space="preserve">WING ‘D’ </t>
    </r>
    <r>
      <rPr>
        <sz val="12"/>
        <rFont val="Times New Roman"/>
        <family val="1"/>
      </rPr>
      <t>INCLUDING OHT &amp; LIFT MACHINE ROOM AS PER LAST APPROVED PLAN DATED. 12.02.2025 subject to taking all preecautions during construction in regards of air polution guidlines issued U/NO. MGC/F/1102 DTD. 25.10.2023 AND D.O.NO. CAP-2023/CR-170/TC-2 DTD. 27.10.2023.</t>
    </r>
  </si>
  <si>
    <r>
      <t xml:space="preserve">Valid Up to: This Further C. C. IS ISSUED UPTO TOP OF 43rd FLOOR FOR </t>
    </r>
    <r>
      <rPr>
        <b/>
        <sz val="12"/>
        <rFont val="Times New Roman"/>
        <family val="1"/>
      </rPr>
      <t>WING ‘D’</t>
    </r>
    <r>
      <rPr>
        <sz val="12"/>
        <rFont val="Times New Roman"/>
        <family val="1"/>
      </rPr>
      <t xml:space="preserve"> AND UPTO TOP OF 44th FLOOR FOR </t>
    </r>
    <r>
      <rPr>
        <b/>
        <sz val="12"/>
        <rFont val="Times New Roman"/>
        <family val="1"/>
      </rPr>
      <t>WING ‘E’</t>
    </r>
    <r>
      <rPr>
        <sz val="12"/>
        <rFont val="Times New Roman"/>
        <family val="1"/>
      </rPr>
      <t xml:space="preserve"> INCLUDING OHT &amp; LIFT MACHINE ROOM AS PER LAST APPROVED PLAN DATED. 27.01.2023 Subject To Taking All Preecautions During Construction In Regards Of Air Polution Guidlines Issued U/NO. MGC/F/1102 DTD. 25.10.2023 AND D.O.NO. CAP-2023/CR-170/TC-2 DTD. 27.10.2023. </t>
    </r>
  </si>
  <si>
    <t>Akash Kadam</t>
  </si>
  <si>
    <t>1. Finishing work is in process at the time of Visit. Internal photographs was not allowed.
2. We considered  Saleable area  as per our calculation.
3. We considered Carpet area as per Approved Plan.
4. We considered Gross carpet area = Net carpet.
5. We have considered rate by verifying it from market inquire.
6. Recommended rate should be considered as all inclusive rate if other charges are not mentioned. (Excluding GST &amp; other government Taxes).
7. Car parking is subjected to authentic documentation.
8. We have updated latest Approved Plans &amp; CC (on 18/05/2023).
9. Recommended Rates/Other Charges of the Property have been revised on 04/01/2024.
10. We have updated latest CC from MCGM site (on 14/04/2025).
11. Please provide revised approved plans.</t>
  </si>
  <si>
    <t>Gaurav Panchal</t>
  </si>
  <si>
    <t>https://www.youtube.com/watch?v=sdSsAhoW4U0</t>
  </si>
  <si>
    <t xml:space="preserve">Construction Stage taken from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</si>
</sst>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u/>
      <sz val="11"/>
      <color theme="10"/>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0">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1" fillId="0" borderId="0"/>
    <xf numFmtId="43" fontId="22" fillId="0" borderId="0" applyFont="0" applyFill="0" applyBorder="0" applyAlignment="0" applyProtection="0"/>
    <xf numFmtId="0" fontId="23" fillId="0" borderId="0" applyNumberFormat="0" applyFill="0" applyBorder="0" applyAlignment="0" applyProtection="0"/>
  </cellStyleXfs>
  <cellXfs count="173">
    <xf numFmtId="0" fontId="0" fillId="0" borderId="0" xfId="0"/>
    <xf numFmtId="0" fontId="8" fillId="0" borderId="0" xfId="0" applyFont="1" applyAlignment="1">
      <alignment horizontal="center" vertical="center"/>
    </xf>
    <xf numFmtId="0" fontId="8" fillId="0" borderId="0" xfId="1" applyFont="1" applyAlignment="1">
      <alignment horizontal="center" vertical="center"/>
    </xf>
    <xf numFmtId="0" fontId="0" fillId="3" borderId="1" xfId="0" applyFill="1" applyBorder="1"/>
    <xf numFmtId="0" fontId="0" fillId="0" borderId="2" xfId="0" applyBorder="1"/>
    <xf numFmtId="0" fontId="10" fillId="0" borderId="1" xfId="0" applyFont="1" applyBorder="1"/>
    <xf numFmtId="0" fontId="10" fillId="0" borderId="1" xfId="0" applyFont="1" applyBorder="1" applyAlignment="1">
      <alignment horizontal="center"/>
    </xf>
    <xf numFmtId="0" fontId="0" fillId="0" borderId="1" xfId="0" applyBorder="1"/>
    <xf numFmtId="0" fontId="8" fillId="0" borderId="0" xfId="1" applyFont="1"/>
    <xf numFmtId="0" fontId="7" fillId="0" borderId="0" xfId="2" applyFont="1"/>
    <xf numFmtId="0" fontId="8" fillId="0" borderId="0" xfId="0" applyFont="1"/>
    <xf numFmtId="0" fontId="13" fillId="0" borderId="0" xfId="1" applyFont="1"/>
    <xf numFmtId="0" fontId="16" fillId="0" borderId="0" xfId="1" applyFont="1"/>
    <xf numFmtId="0" fontId="17" fillId="0" borderId="0" xfId="1" applyFont="1"/>
    <xf numFmtId="0" fontId="13" fillId="2" borderId="1" xfId="1" applyFont="1" applyFill="1" applyBorder="1" applyAlignment="1" applyProtection="1">
      <alignment vertical="top"/>
      <protection locked="0"/>
    </xf>
    <xf numFmtId="0" fontId="13" fillId="2" borderId="1" xfId="1" applyFont="1" applyFill="1" applyBorder="1" applyAlignment="1" applyProtection="1">
      <alignment vertical="top" wrapText="1"/>
      <protection locked="0"/>
    </xf>
    <xf numFmtId="0" fontId="11"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protection locked="0"/>
    </xf>
    <xf numFmtId="1" fontId="5" fillId="0" borderId="1" xfId="1" applyNumberFormat="1" applyFont="1" applyBorder="1" applyAlignment="1" applyProtection="1">
      <alignment horizontal="center" vertical="top" wrapText="1"/>
      <protection locked="0"/>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0" fontId="8" fillId="0" borderId="0" xfId="1" applyFont="1" applyProtection="1">
      <protection hidden="1"/>
    </xf>
    <xf numFmtId="0" fontId="13" fillId="0" borderId="5" xfId="1" applyFont="1" applyBorder="1" applyAlignment="1" applyProtection="1">
      <alignment horizontal="center" vertical="top"/>
      <protection locked="0"/>
    </xf>
    <xf numFmtId="0" fontId="8" fillId="0" borderId="12" xfId="1" applyFont="1" applyBorder="1" applyProtection="1">
      <protection hidden="1"/>
    </xf>
    <xf numFmtId="0" fontId="8" fillId="0" borderId="13" xfId="1" applyFont="1" applyBorder="1" applyProtection="1">
      <protection hidden="1"/>
    </xf>
    <xf numFmtId="0" fontId="8" fillId="0" borderId="13" xfId="1" applyFont="1" applyBorder="1"/>
    <xf numFmtId="0" fontId="6" fillId="0" borderId="0" xfId="4"/>
    <xf numFmtId="0" fontId="2" fillId="0" borderId="0" xfId="5"/>
    <xf numFmtId="0" fontId="10" fillId="0" borderId="1" xfId="5" applyFont="1" applyBorder="1" applyAlignment="1">
      <alignment horizontal="center" vertical="top" wrapText="1"/>
    </xf>
    <xf numFmtId="0" fontId="20" fillId="0" borderId="0" xfId="4" applyFont="1"/>
    <xf numFmtId="0" fontId="2" fillId="0" borderId="1" xfId="5" applyBorder="1" applyAlignment="1">
      <alignment horizontal="center"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10" fillId="0" borderId="1" xfId="5" applyFont="1" applyBorder="1" applyAlignment="1">
      <alignment horizontal="center" vertical="center"/>
    </xf>
    <xf numFmtId="1" fontId="19" fillId="0" borderId="1" xfId="5" applyNumberFormat="1" applyFont="1" applyBorder="1" applyAlignment="1">
      <alignment horizontal="center" vertical="center"/>
    </xf>
    <xf numFmtId="0" fontId="6" fillId="0" borderId="1" xfId="4" applyBorder="1" applyAlignment="1">
      <alignment horizontal="center" vertical="center"/>
    </xf>
    <xf numFmtId="0" fontId="13" fillId="0" borderId="0" xfId="1" applyFont="1" applyAlignment="1">
      <alignment horizontal="center" vertical="center"/>
    </xf>
    <xf numFmtId="1" fontId="11" fillId="0" borderId="1" xfId="0" applyNumberFormat="1" applyFont="1" applyBorder="1" applyAlignment="1" applyProtection="1">
      <alignment horizontal="center" vertical="center"/>
      <protection locked="0"/>
    </xf>
    <xf numFmtId="0" fontId="1" fillId="0" borderId="1" xfId="5" applyFont="1" applyBorder="1" applyAlignment="1">
      <alignment horizontal="left" vertical="center"/>
    </xf>
    <xf numFmtId="0" fontId="1" fillId="0" borderId="1" xfId="5" applyFont="1" applyBorder="1" applyAlignment="1">
      <alignment horizontal="center" vertical="center"/>
    </xf>
    <xf numFmtId="166" fontId="1" fillId="0" borderId="1" xfId="6" applyNumberFormat="1" applyFont="1" applyBorder="1" applyAlignment="1">
      <alignment horizontal="right" vertical="center"/>
    </xf>
    <xf numFmtId="0" fontId="13" fillId="0" borderId="6" xfId="1" applyFont="1" applyBorder="1" applyAlignment="1" applyProtection="1">
      <alignment horizontal="center" vertical="top"/>
      <protection locked="0"/>
    </xf>
    <xf numFmtId="0" fontId="13"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wrapText="1"/>
      <protection locked="0"/>
    </xf>
    <xf numFmtId="1" fontId="13" fillId="0" borderId="1" xfId="1" applyNumberFormat="1" applyFont="1" applyBorder="1" applyAlignment="1" applyProtection="1">
      <alignment horizontal="center" wrapText="1"/>
      <protection locked="0"/>
    </xf>
    <xf numFmtId="0" fontId="13" fillId="0" borderId="8" xfId="1" applyFont="1" applyBorder="1" applyAlignment="1" applyProtection="1">
      <alignment horizontal="center" wrapText="1"/>
      <protection locked="0"/>
    </xf>
    <xf numFmtId="1" fontId="8" fillId="0" borderId="0" xfId="1" applyNumberFormat="1" applyFont="1" applyAlignment="1">
      <alignment horizontal="center" vertical="center"/>
    </xf>
    <xf numFmtId="9" fontId="13" fillId="2" borderId="1" xfId="1" applyNumberFormat="1" applyFont="1" applyFill="1" applyBorder="1" applyAlignment="1" applyProtection="1">
      <alignment horizontal="center" vertical="center" wrapText="1"/>
      <protection hidden="1"/>
    </xf>
    <xf numFmtId="9" fontId="13" fillId="2" borderId="8" xfId="1" applyNumberFormat="1" applyFont="1" applyFill="1" applyBorder="1" applyAlignment="1" applyProtection="1">
      <alignment horizontal="center" vertical="center" wrapText="1"/>
      <protection hidden="1"/>
    </xf>
    <xf numFmtId="0" fontId="13" fillId="0" borderId="1" xfId="1" applyFont="1" applyBorder="1" applyAlignment="1" applyProtection="1">
      <alignment horizontal="center" vertical="top"/>
      <protection locked="0"/>
    </xf>
    <xf numFmtId="0" fontId="8" fillId="0" borderId="11" xfId="1" applyFont="1" applyBorder="1" applyProtection="1">
      <protection hidden="1"/>
    </xf>
    <xf numFmtId="0" fontId="18" fillId="0" borderId="0" xfId="0" applyFont="1" applyProtection="1">
      <protection hidden="1"/>
    </xf>
    <xf numFmtId="0" fontId="18" fillId="0" borderId="13" xfId="0" applyFont="1" applyBorder="1" applyProtection="1">
      <protection hidden="1"/>
    </xf>
    <xf numFmtId="1" fontId="0" fillId="0" borderId="13" xfId="0" applyNumberFormat="1" applyBorder="1"/>
    <xf numFmtId="1" fontId="0" fillId="0" borderId="13" xfId="0" applyNumberFormat="1" applyBorder="1" applyAlignment="1">
      <alignment horizontal="right"/>
    </xf>
    <xf numFmtId="0" fontId="18" fillId="0" borderId="14" xfId="0" applyFont="1" applyBorder="1" applyProtection="1">
      <protection hidden="1"/>
    </xf>
    <xf numFmtId="1" fontId="0" fillId="0" borderId="15" xfId="0" applyNumberFormat="1" applyBorder="1"/>
    <xf numFmtId="1" fontId="7" fillId="0" borderId="1" xfId="1" applyNumberFormat="1" applyFont="1" applyBorder="1" applyAlignment="1" applyProtection="1">
      <alignment horizontal="center" vertical="center" wrapText="1"/>
      <protection locked="0"/>
    </xf>
    <xf numFmtId="0" fontId="13" fillId="2" borderId="1" xfId="1" applyFont="1" applyFill="1" applyBorder="1" applyAlignment="1" applyProtection="1">
      <alignment horizontal="left" vertical="top"/>
      <protection locked="0"/>
    </xf>
    <xf numFmtId="1" fontId="9" fillId="0" borderId="1" xfId="1" applyNumberFormat="1" applyFont="1" applyBorder="1" applyAlignment="1" applyProtection="1">
      <alignment horizontal="center" vertical="top" wrapText="1"/>
      <protection locked="0"/>
    </xf>
    <xf numFmtId="0" fontId="14" fillId="2" borderId="1" xfId="1" applyFont="1" applyFill="1" applyBorder="1" applyAlignment="1" applyProtection="1">
      <alignment horizontal="left" vertical="top"/>
      <protection locked="0"/>
    </xf>
    <xf numFmtId="14" fontId="8" fillId="0" borderId="0" xfId="1" applyNumberFormat="1" applyFont="1"/>
    <xf numFmtId="1" fontId="7"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horizontal="center" vertical="top"/>
      <protection locked="0"/>
    </xf>
    <xf numFmtId="0" fontId="8" fillId="0" borderId="1" xfId="1" applyFont="1" applyBorder="1" applyAlignment="1" applyProtection="1">
      <alignment horizontal="left"/>
      <protection locked="0"/>
    </xf>
    <xf numFmtId="0" fontId="23" fillId="0" borderId="1" xfId="9" applyBorder="1" applyAlignment="1" applyProtection="1">
      <alignment horizontal="left"/>
      <protection locked="0"/>
    </xf>
    <xf numFmtId="1" fontId="7" fillId="0" borderId="1" xfId="1" applyNumberFormat="1" applyFont="1" applyBorder="1" applyAlignment="1" applyProtection="1">
      <alignment horizontal="center" vertical="center" wrapText="1"/>
      <protection locked="0"/>
    </xf>
    <xf numFmtId="1" fontId="14" fillId="0" borderId="1" xfId="1" applyNumberFormat="1" applyFont="1" applyBorder="1" applyAlignment="1" applyProtection="1">
      <alignment horizontal="center" vertical="center" wrapText="1"/>
      <protection locked="0"/>
    </xf>
    <xf numFmtId="1" fontId="9"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0" fontId="7" fillId="0" borderId="9" xfId="1" applyFont="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0" fontId="7" fillId="0" borderId="10" xfId="1" applyFont="1" applyBorder="1" applyAlignment="1" applyProtection="1">
      <alignment horizontal="left" vertical="top"/>
      <protection locked="0"/>
    </xf>
    <xf numFmtId="0" fontId="7" fillId="0" borderId="9" xfId="1" applyFont="1" applyBorder="1" applyAlignment="1" applyProtection="1">
      <alignment vertical="top"/>
      <protection locked="0"/>
    </xf>
    <xf numFmtId="0" fontId="7" fillId="0" borderId="16" xfId="1" applyFont="1" applyBorder="1" applyAlignment="1" applyProtection="1">
      <alignment vertical="top"/>
      <protection locked="0"/>
    </xf>
    <xf numFmtId="0" fontId="7" fillId="0" borderId="10" xfId="1" applyFont="1" applyBorder="1" applyAlignment="1" applyProtection="1">
      <alignment vertical="top"/>
      <protection locked="0"/>
    </xf>
    <xf numFmtId="0" fontId="14" fillId="0" borderId="1" xfId="1" applyFont="1" applyBorder="1" applyAlignment="1" applyProtection="1">
      <alignment horizontal="center"/>
      <protection locked="0"/>
    </xf>
    <xf numFmtId="0" fontId="13" fillId="2" borderId="1" xfId="1" applyFont="1" applyFill="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167" fontId="13" fillId="2" borderId="1" xfId="8" applyNumberFormat="1" applyFont="1" applyFill="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2" borderId="1" xfId="1" applyFont="1" applyFill="1" applyBorder="1" applyAlignment="1" applyProtection="1">
      <alignment horizontal="left" vertical="top" wrapText="1"/>
      <protection locked="0"/>
    </xf>
    <xf numFmtId="14" fontId="13" fillId="0" borderId="1" xfId="1" applyNumberFormat="1" applyFont="1" applyBorder="1" applyAlignment="1" applyProtection="1">
      <alignment horizontal="left" vertical="top" wrapText="1"/>
      <protection locked="0"/>
    </xf>
    <xf numFmtId="14" fontId="13" fillId="2" borderId="1" xfId="1" applyNumberFormat="1" applyFont="1" applyFill="1" applyBorder="1" applyAlignment="1" applyProtection="1">
      <alignment horizontal="left" vertical="top"/>
      <protection locked="0"/>
    </xf>
    <xf numFmtId="0" fontId="14" fillId="0" borderId="5"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4" fillId="0" borderId="9"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14" fillId="0" borderId="29" xfId="1" applyFont="1" applyBorder="1" applyAlignment="1" applyProtection="1">
      <alignment horizontal="left" vertical="top" wrapText="1"/>
      <protection locked="0"/>
    </xf>
    <xf numFmtId="0" fontId="13" fillId="0" borderId="5"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3" fillId="0" borderId="9" xfId="1" applyFont="1" applyBorder="1" applyAlignment="1" applyProtection="1">
      <alignment horizontal="center" vertical="top" wrapText="1"/>
      <protection locked="0"/>
    </xf>
    <xf numFmtId="0" fontId="13" fillId="0" borderId="10" xfId="1" applyFont="1" applyBorder="1" applyAlignment="1" applyProtection="1">
      <alignment horizontal="center" vertical="top" wrapText="1"/>
      <protection locked="0"/>
    </xf>
    <xf numFmtId="0" fontId="13" fillId="0" borderId="29"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4" fillId="0" borderId="17" xfId="1" applyFont="1" applyBorder="1" applyAlignment="1" applyProtection="1">
      <alignment horizontal="center" vertical="top" wrapText="1"/>
      <protection locked="0"/>
    </xf>
    <xf numFmtId="0" fontId="14" fillId="0" borderId="18" xfId="1" applyFont="1" applyBorder="1" applyAlignment="1" applyProtection="1">
      <alignment horizontal="center" vertical="top" wrapText="1"/>
      <protection locked="0"/>
    </xf>
    <xf numFmtId="0" fontId="14" fillId="0" borderId="19" xfId="1" applyFont="1" applyBorder="1" applyAlignment="1" applyProtection="1">
      <alignment horizontal="center" vertical="top" wrapText="1"/>
      <protection locked="0"/>
    </xf>
    <xf numFmtId="0" fontId="14" fillId="0" borderId="22" xfId="1" applyFont="1" applyBorder="1" applyAlignment="1" applyProtection="1">
      <alignment horizontal="center" vertical="top" wrapText="1"/>
      <protection locked="0"/>
    </xf>
    <xf numFmtId="0" fontId="14" fillId="0" borderId="0" xfId="1" applyFont="1" applyAlignment="1" applyProtection="1">
      <alignment horizontal="center" vertical="top" wrapText="1"/>
      <protection locked="0"/>
    </xf>
    <xf numFmtId="0" fontId="14" fillId="0" borderId="23" xfId="1" applyFont="1" applyBorder="1" applyAlignment="1" applyProtection="1">
      <alignment horizontal="center" vertical="top" wrapText="1"/>
      <protection locked="0"/>
    </xf>
    <xf numFmtId="0" fontId="14" fillId="0" borderId="20" xfId="1" applyFont="1" applyBorder="1" applyAlignment="1" applyProtection="1">
      <alignment horizontal="center" vertical="top" wrapText="1"/>
      <protection locked="0"/>
    </xf>
    <xf numFmtId="0" fontId="14" fillId="0" borderId="2" xfId="1" applyFont="1" applyBorder="1" applyAlignment="1" applyProtection="1">
      <alignment horizontal="center" vertical="top" wrapText="1"/>
      <protection locked="0"/>
    </xf>
    <xf numFmtId="0" fontId="14" fillId="0" borderId="2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top" wrapText="1"/>
      <protection locked="0"/>
    </xf>
    <xf numFmtId="0" fontId="13" fillId="0" borderId="1" xfId="1" applyFont="1" applyBorder="1" applyAlignment="1" applyProtection="1">
      <alignment horizontal="left"/>
      <protection locked="0"/>
    </xf>
    <xf numFmtId="164" fontId="7"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left" vertical="center" wrapText="1"/>
      <protection locked="0"/>
    </xf>
    <xf numFmtId="2" fontId="7" fillId="0" borderId="1" xfId="1" applyNumberFormat="1" applyFont="1" applyBorder="1" applyAlignment="1" applyProtection="1">
      <alignment horizontal="left" vertical="top" wrapText="1"/>
      <protection locked="0"/>
    </xf>
    <xf numFmtId="0" fontId="14"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14" fontId="7" fillId="0" borderId="1" xfId="1" applyNumberFormat="1" applyFont="1" applyBorder="1" applyAlignment="1" applyProtection="1">
      <alignment horizontal="left" vertical="top"/>
      <protection locked="0"/>
    </xf>
    <xf numFmtId="0" fontId="7" fillId="2" borderId="1" xfId="1" applyFont="1" applyFill="1" applyBorder="1" applyAlignment="1" applyProtection="1">
      <alignment horizontal="left" vertical="top" wrapText="1"/>
      <protection locked="0"/>
    </xf>
    <xf numFmtId="2" fontId="7" fillId="0" borderId="1" xfId="1" applyNumberFormat="1" applyFont="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0" fontId="9" fillId="0" borderId="1" xfId="1" applyFont="1" applyBorder="1" applyAlignment="1" applyProtection="1">
      <alignment horizontal="left" vertical="top" wrapText="1"/>
      <protection locked="0"/>
    </xf>
    <xf numFmtId="0" fontId="14" fillId="2" borderId="1" xfId="1" applyFont="1" applyFill="1" applyBorder="1" applyAlignment="1" applyProtection="1">
      <alignment horizontal="left" vertical="top" wrapText="1"/>
      <protection locked="0"/>
    </xf>
    <xf numFmtId="0" fontId="14" fillId="2" borderId="1" xfId="1" applyFont="1" applyFill="1" applyBorder="1" applyAlignment="1" applyProtection="1">
      <alignment horizontal="left" vertical="top"/>
      <protection locked="0"/>
    </xf>
    <xf numFmtId="0" fontId="9" fillId="0" borderId="1" xfId="1" applyFont="1" applyBorder="1" applyAlignment="1" applyProtection="1">
      <alignment vertical="top"/>
      <protection locked="0"/>
    </xf>
    <xf numFmtId="0" fontId="13" fillId="0" borderId="4" xfId="1" applyFont="1" applyBorder="1" applyAlignment="1" applyProtection="1">
      <alignment horizontal="left" vertical="top"/>
      <protection locked="0"/>
    </xf>
    <xf numFmtId="0" fontId="7" fillId="0" borderId="3" xfId="1" applyFont="1" applyBorder="1" applyAlignment="1" applyProtection="1">
      <alignment horizontal="left" vertical="top"/>
      <protection locked="0"/>
    </xf>
    <xf numFmtId="0" fontId="13" fillId="0" borderId="3" xfId="1" applyFont="1" applyBorder="1" applyAlignment="1" applyProtection="1">
      <alignment horizontal="left" vertical="top" wrapText="1"/>
      <protection locked="0"/>
    </xf>
    <xf numFmtId="0" fontId="14" fillId="0" borderId="24" xfId="1" applyFont="1" applyBorder="1" applyAlignment="1" applyProtection="1">
      <alignment horizontal="left" vertical="top" wrapText="1"/>
      <protection locked="0"/>
    </xf>
    <xf numFmtId="0" fontId="14" fillId="0" borderId="25" xfId="1" applyFont="1" applyBorder="1" applyAlignment="1" applyProtection="1">
      <alignment horizontal="left" vertical="top" wrapText="1"/>
      <protection locked="0"/>
    </xf>
    <xf numFmtId="0" fontId="14" fillId="0" borderId="26" xfId="1" applyFont="1" applyBorder="1" applyAlignment="1" applyProtection="1">
      <alignment horizontal="left" vertical="top" wrapText="1"/>
      <protection locked="0"/>
    </xf>
    <xf numFmtId="0" fontId="14" fillId="0" borderId="27" xfId="1" applyFont="1" applyBorder="1" applyAlignment="1" applyProtection="1">
      <alignment horizontal="left" vertical="top" wrapText="1"/>
      <protection locked="0"/>
    </xf>
    <xf numFmtId="0" fontId="14" fillId="0" borderId="28" xfId="1" applyFont="1" applyBorder="1" applyAlignment="1" applyProtection="1">
      <alignment horizontal="left" vertical="top" wrapText="1"/>
      <protection locked="0"/>
    </xf>
    <xf numFmtId="0" fontId="11"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9" fontId="13" fillId="2" borderId="17" xfId="1" applyNumberFormat="1" applyFont="1" applyFill="1" applyBorder="1" applyAlignment="1" applyProtection="1">
      <alignment horizontal="center" vertical="center" wrapText="1"/>
      <protection hidden="1"/>
    </xf>
    <xf numFmtId="9" fontId="13" fillId="2" borderId="19" xfId="1" applyNumberFormat="1" applyFont="1" applyFill="1" applyBorder="1" applyAlignment="1" applyProtection="1">
      <alignment horizontal="center" vertical="center" wrapText="1"/>
      <protection hidden="1"/>
    </xf>
    <xf numFmtId="9" fontId="13" fillId="2" borderId="22" xfId="1" applyNumberFormat="1" applyFont="1" applyFill="1" applyBorder="1" applyAlignment="1" applyProtection="1">
      <alignment horizontal="center" vertical="center" wrapText="1"/>
      <protection hidden="1"/>
    </xf>
    <xf numFmtId="9" fontId="13" fillId="2" borderId="23" xfId="1" applyNumberFormat="1" applyFont="1" applyFill="1" applyBorder="1" applyAlignment="1" applyProtection="1">
      <alignment horizontal="center" vertical="center" wrapText="1"/>
      <protection hidden="1"/>
    </xf>
    <xf numFmtId="9" fontId="13" fillId="2" borderId="31" xfId="1" applyNumberFormat="1" applyFont="1" applyFill="1" applyBorder="1" applyAlignment="1" applyProtection="1">
      <alignment horizontal="center" vertical="center" wrapText="1"/>
      <protection hidden="1"/>
    </xf>
    <xf numFmtId="9" fontId="13" fillId="2" borderId="32" xfId="1" applyNumberFormat="1" applyFont="1" applyFill="1" applyBorder="1" applyAlignment="1" applyProtection="1">
      <alignment horizontal="center" vertical="center" wrapText="1"/>
      <protection hidden="1"/>
    </xf>
    <xf numFmtId="9" fontId="13" fillId="2" borderId="30" xfId="1" applyNumberFormat="1" applyFont="1" applyFill="1" applyBorder="1" applyAlignment="1" applyProtection="1">
      <alignment horizontal="center" vertical="center" wrapText="1"/>
      <protection hidden="1"/>
    </xf>
    <xf numFmtId="9" fontId="13" fillId="2" borderId="13" xfId="1" applyNumberFormat="1" applyFont="1" applyFill="1" applyBorder="1" applyAlignment="1" applyProtection="1">
      <alignment horizontal="center" vertical="center" wrapText="1"/>
      <protection hidden="1"/>
    </xf>
    <xf numFmtId="9" fontId="13" fillId="2" borderId="15" xfId="1" applyNumberFormat="1" applyFont="1" applyFill="1" applyBorder="1" applyAlignment="1" applyProtection="1">
      <alignment horizontal="center" vertical="center" wrapText="1"/>
      <protection hidden="1"/>
    </xf>
    <xf numFmtId="0" fontId="13" fillId="0" borderId="5" xfId="1" applyFont="1" applyBorder="1" applyAlignment="1" applyProtection="1">
      <alignment horizontal="center" vertical="top"/>
      <protection locked="0"/>
    </xf>
    <xf numFmtId="0" fontId="13" fillId="0" borderId="7" xfId="1" applyFont="1" applyBorder="1" applyAlignment="1" applyProtection="1">
      <alignment horizontal="center" vertical="top" wrapText="1"/>
      <protection locked="0"/>
    </xf>
    <xf numFmtId="0" fontId="13" fillId="0" borderId="8" xfId="1" applyFont="1" applyBorder="1" applyAlignment="1" applyProtection="1">
      <alignment horizontal="center" vertical="top" wrapText="1"/>
      <protection locked="0"/>
    </xf>
    <xf numFmtId="0" fontId="7" fillId="0" borderId="9" xfId="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 fontId="9" fillId="0" borderId="9" xfId="0" applyNumberFormat="1" applyFont="1" applyBorder="1" applyAlignment="1" applyProtection="1">
      <alignment horizontal="left" vertical="top" wrapText="1"/>
      <protection locked="0"/>
    </xf>
    <xf numFmtId="1" fontId="9" fillId="0" borderId="16" xfId="0" applyNumberFormat="1" applyFont="1" applyBorder="1" applyAlignment="1" applyProtection="1">
      <alignment horizontal="left" vertical="top" wrapText="1"/>
      <protection locked="0"/>
    </xf>
    <xf numFmtId="1" fontId="9" fillId="0" borderId="10" xfId="0" applyNumberFormat="1" applyFont="1" applyBorder="1" applyAlignment="1" applyProtection="1">
      <alignment horizontal="left" vertical="top" wrapText="1"/>
      <protection locked="0"/>
    </xf>
    <xf numFmtId="0" fontId="11" fillId="0" borderId="9" xfId="2" applyFont="1" applyBorder="1" applyAlignment="1" applyProtection="1">
      <alignment horizontal="left" vertical="top" wrapText="1"/>
      <protection locked="0"/>
    </xf>
    <xf numFmtId="0" fontId="11" fillId="0" borderId="16" xfId="2" applyFont="1" applyBorder="1" applyAlignment="1" applyProtection="1">
      <alignment horizontal="left" vertical="top" wrapText="1"/>
      <protection locked="0"/>
    </xf>
    <xf numFmtId="0" fontId="11" fillId="0" borderId="10" xfId="2" applyFont="1" applyBorder="1" applyAlignment="1" applyProtection="1">
      <alignment horizontal="left" vertical="top" wrapText="1"/>
      <protection locked="0"/>
    </xf>
    <xf numFmtId="43" fontId="13" fillId="2" borderId="1" xfId="8" applyFont="1" applyFill="1" applyBorder="1" applyAlignment="1" applyProtection="1">
      <alignment horizontal="right" vertical="top"/>
      <protection locked="0"/>
    </xf>
    <xf numFmtId="167" fontId="13" fillId="2" borderId="1" xfId="8" applyNumberFormat="1" applyFont="1" applyFill="1" applyBorder="1" applyAlignment="1" applyProtection="1">
      <alignment horizontal="right" vertical="top"/>
      <protection locked="0"/>
    </xf>
    <xf numFmtId="1" fontId="7" fillId="0" borderId="9" xfId="1" applyNumberFormat="1" applyFont="1" applyBorder="1" applyAlignment="1" applyProtection="1">
      <alignment horizontal="center" vertical="center" wrapText="1"/>
      <protection locked="0"/>
    </xf>
    <xf numFmtId="1" fontId="7" fillId="0" borderId="16" xfId="1" applyNumberFormat="1" applyFont="1" applyBorder="1" applyAlignment="1" applyProtection="1">
      <alignment horizontal="center" vertical="center" wrapText="1"/>
      <protection locked="0"/>
    </xf>
    <xf numFmtId="1" fontId="7" fillId="0" borderId="10" xfId="1" applyNumberFormat="1" applyFont="1" applyBorder="1" applyAlignment="1" applyProtection="1">
      <alignment horizontal="center" vertical="center" wrapText="1"/>
      <protection locked="0"/>
    </xf>
    <xf numFmtId="0" fontId="0" fillId="3" borderId="1" xfId="0" applyFill="1" applyBorder="1" applyAlignment="1">
      <alignment horizontal="center" wrapText="1"/>
    </xf>
    <xf numFmtId="0" fontId="10" fillId="0" borderId="1" xfId="0" applyFont="1" applyBorder="1" applyAlignment="1">
      <alignment horizontal="center"/>
    </xf>
    <xf numFmtId="0" fontId="0" fillId="0" borderId="1" xfId="0" applyBorder="1" applyAlignment="1">
      <alignment horizontal="center"/>
    </xf>
    <xf numFmtId="0" fontId="10" fillId="0" borderId="1" xfId="5" applyFont="1" applyBorder="1" applyAlignment="1">
      <alignment horizontal="left"/>
    </xf>
    <xf numFmtId="0" fontId="23" fillId="0" borderId="0" xfId="9"/>
    <xf numFmtId="0" fontId="16" fillId="0" borderId="0" xfId="1" applyFont="1" applyAlignment="1">
      <alignment wrapText="1"/>
    </xf>
  </cellXfs>
  <cellStyles count="10">
    <cellStyle name="Comma" xfId="8" builtinId="3"/>
    <cellStyle name="Comma 2" xfId="6" xr:uid="{00000000-0005-0000-0000-000001000000}"/>
    <cellStyle name="Excel Built-in Normal" xfId="2" xr:uid="{00000000-0005-0000-0000-000002000000}"/>
    <cellStyle name="Excel Built-in Normal 2" xfId="4" xr:uid="{00000000-0005-0000-0000-000003000000}"/>
    <cellStyle name="Hyperlink" xfId="9"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 Id="rId4" Type="http://schemas.openxmlformats.org/officeDocument/2006/relationships/image" Target="../media/image2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0</xdr:col>
      <xdr:colOff>336180</xdr:colOff>
      <xdr:row>547</xdr:row>
      <xdr:rowOff>0</xdr:rowOff>
    </xdr:from>
    <xdr:to>
      <xdr:col>7</xdr:col>
      <xdr:colOff>461925</xdr:colOff>
      <xdr:row>564</xdr:row>
      <xdr:rowOff>171000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336180" y="49462765"/>
          <a:ext cx="6087274" cy="3600000"/>
        </a:xfrm>
        <a:prstGeom prst="rect">
          <a:avLst/>
        </a:prstGeom>
        <a:ln>
          <a:solidFill>
            <a:schemeClr val="tx1"/>
          </a:solidFill>
        </a:ln>
      </xdr:spPr>
    </xdr:pic>
    <xdr:clientData/>
  </xdr:twoCellAnchor>
  <xdr:twoCellAnchor editAs="oneCell">
    <xdr:from>
      <xdr:col>0</xdr:col>
      <xdr:colOff>336180</xdr:colOff>
      <xdr:row>565</xdr:row>
      <xdr:rowOff>117228</xdr:rowOff>
    </xdr:from>
    <xdr:to>
      <xdr:col>7</xdr:col>
      <xdr:colOff>461925</xdr:colOff>
      <xdr:row>583</xdr:row>
      <xdr:rowOff>86520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336180" y="53210699"/>
          <a:ext cx="6087274" cy="3600000"/>
        </a:xfrm>
        <a:prstGeom prst="rect">
          <a:avLst/>
        </a:prstGeom>
        <a:ln>
          <a:solidFill>
            <a:schemeClr val="tx1"/>
          </a:solidFill>
        </a:ln>
      </xdr:spPr>
    </xdr:pic>
    <xdr:clientData/>
  </xdr:twoCellAnchor>
  <xdr:twoCellAnchor editAs="oneCell">
    <xdr:from>
      <xdr:col>9</xdr:col>
      <xdr:colOff>9525</xdr:colOff>
      <xdr:row>46</xdr:row>
      <xdr:rowOff>266700</xdr:rowOff>
    </xdr:from>
    <xdr:to>
      <xdr:col>23</xdr:col>
      <xdr:colOff>303870</xdr:colOff>
      <xdr:row>48</xdr:row>
      <xdr:rowOff>1392646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7753350" y="10582275"/>
          <a:ext cx="7438095" cy="1961905"/>
        </a:xfrm>
        <a:prstGeom prst="rect">
          <a:avLst/>
        </a:prstGeom>
      </xdr:spPr>
    </xdr:pic>
    <xdr:clientData/>
  </xdr:twoCellAnchor>
  <xdr:twoCellAnchor>
    <xdr:from>
      <xdr:col>8</xdr:col>
      <xdr:colOff>782955</xdr:colOff>
      <xdr:row>502</xdr:row>
      <xdr:rowOff>7620</xdr:rowOff>
    </xdr:from>
    <xdr:to>
      <xdr:col>19</xdr:col>
      <xdr:colOff>635880</xdr:colOff>
      <xdr:row>538</xdr:row>
      <xdr:rowOff>81015</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7126605" y="108497370"/>
          <a:ext cx="6015600" cy="7264770"/>
          <a:chOff x="142875" y="108546900"/>
          <a:chExt cx="6162285" cy="7198095"/>
        </a:xfrm>
      </xdr:grpSpPr>
      <xdr:grpSp>
        <xdr:nvGrpSpPr>
          <xdr:cNvPr id="16" name="Group 15">
            <a:extLst>
              <a:ext uri="{FF2B5EF4-FFF2-40B4-BE49-F238E27FC236}">
                <a16:creationId xmlns:a16="http://schemas.microsoft.com/office/drawing/2014/main" id="{00000000-0008-0000-0000-000010000000}"/>
              </a:ext>
            </a:extLst>
          </xdr:cNvPr>
          <xdr:cNvGrpSpPr/>
        </xdr:nvGrpSpPr>
        <xdr:grpSpPr>
          <a:xfrm>
            <a:off x="142875" y="108611670"/>
            <a:ext cx="6162285" cy="7133325"/>
            <a:chOff x="270586" y="132928"/>
            <a:chExt cx="6015600" cy="7200000"/>
          </a:xfrm>
        </xdr:grpSpPr>
        <xdr:grpSp>
          <xdr:nvGrpSpPr>
            <xdr:cNvPr id="17" name="Group 16">
              <a:extLst>
                <a:ext uri="{FF2B5EF4-FFF2-40B4-BE49-F238E27FC236}">
                  <a16:creationId xmlns:a16="http://schemas.microsoft.com/office/drawing/2014/main" id="{00000000-0008-0000-0000-000011000000}"/>
                </a:ext>
              </a:extLst>
            </xdr:cNvPr>
            <xdr:cNvGrpSpPr/>
          </xdr:nvGrpSpPr>
          <xdr:grpSpPr>
            <a:xfrm>
              <a:off x="1296876" y="5532928"/>
              <a:ext cx="3963020" cy="1800000"/>
              <a:chOff x="2832913" y="5532928"/>
              <a:chExt cx="3963020" cy="1800000"/>
            </a:xfrm>
          </xdr:grpSpPr>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2832913" y="5532928"/>
                <a:ext cx="1348594" cy="1800000"/>
              </a:xfrm>
              <a:prstGeom prst="rect">
                <a:avLst/>
              </a:prstGeom>
              <a:ln>
                <a:solidFill>
                  <a:schemeClr val="tx1"/>
                </a:solidFill>
              </a:ln>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4398155" y="5532928"/>
                <a:ext cx="2397778" cy="1800000"/>
              </a:xfrm>
              <a:prstGeom prst="rect">
                <a:avLst/>
              </a:prstGeom>
              <a:ln>
                <a:solidFill>
                  <a:schemeClr val="tx1"/>
                </a:solidFill>
              </a:ln>
            </xdr:spPr>
          </xdr:pic>
        </xdr:grpSp>
        <xdr:grpSp>
          <xdr:nvGrpSpPr>
            <xdr:cNvPr id="18" name="Group 17">
              <a:extLst>
                <a:ext uri="{FF2B5EF4-FFF2-40B4-BE49-F238E27FC236}">
                  <a16:creationId xmlns:a16="http://schemas.microsoft.com/office/drawing/2014/main" id="{00000000-0008-0000-0000-000012000000}"/>
                </a:ext>
              </a:extLst>
            </xdr:cNvPr>
            <xdr:cNvGrpSpPr/>
          </xdr:nvGrpSpPr>
          <xdr:grpSpPr>
            <a:xfrm>
              <a:off x="270586" y="132928"/>
              <a:ext cx="6015600" cy="5220000"/>
              <a:chOff x="270586" y="132928"/>
              <a:chExt cx="6015600" cy="5220000"/>
            </a:xfrm>
          </xdr:grpSpPr>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398155" y="2832928"/>
                <a:ext cx="1888031" cy="2520000"/>
              </a:xfrm>
              <a:prstGeom prst="rect">
                <a:avLst/>
              </a:prstGeom>
              <a:ln>
                <a:solidFill>
                  <a:schemeClr val="tx1"/>
                </a:solidFill>
              </a:ln>
            </xdr:spPr>
          </xdr:pic>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70586" y="132928"/>
                <a:ext cx="3910921" cy="5220000"/>
              </a:xfrm>
              <a:prstGeom prst="rect">
                <a:avLst/>
              </a:prstGeom>
              <a:ln>
                <a:solidFill>
                  <a:schemeClr val="tx1"/>
                </a:solidFill>
              </a:ln>
            </xdr:spPr>
          </xdr:pic>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4398155" y="132928"/>
                <a:ext cx="1888031" cy="2520000"/>
              </a:xfrm>
              <a:prstGeom prst="rect">
                <a:avLst/>
              </a:prstGeom>
              <a:ln>
                <a:solidFill>
                  <a:schemeClr val="tx1"/>
                </a:solidFill>
              </a:ln>
            </xdr:spPr>
          </xdr:pic>
        </xdr:grpSp>
      </xdr:grpSp>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5842635" y="108546900"/>
            <a:ext cx="2535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E</a:t>
            </a:r>
          </a:p>
        </xdr:txBody>
      </xdr:sp>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1838325" y="108764070"/>
            <a:ext cx="30976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000" b="1"/>
              <a:t>E</a:t>
            </a:r>
            <a:endParaRPr lang="en-IN" sz="1100" b="1"/>
          </a:p>
        </xdr:txBody>
      </xdr:sp>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2726055" y="109453680"/>
            <a:ext cx="346313"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2000" b="1"/>
              <a:t>D</a:t>
            </a:r>
            <a:endParaRPr lang="en-IN" sz="1100" b="1"/>
          </a:p>
        </xdr:txBody>
      </xdr:sp>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5414010" y="108602145"/>
            <a:ext cx="27360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D</a:t>
            </a:r>
          </a:p>
        </xdr:txBody>
      </xdr:sp>
    </xdr:grpSp>
    <xdr:clientData/>
  </xdr:twoCellAnchor>
  <xdr:oneCellAnchor>
    <xdr:from>
      <xdr:col>9</xdr:col>
      <xdr:colOff>9525</xdr:colOff>
      <xdr:row>48</xdr:row>
      <xdr:rowOff>266700</xdr:rowOff>
    </xdr:from>
    <xdr:ext cx="7761945" cy="1956526"/>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7964805" y="10492740"/>
          <a:ext cx="7761945" cy="1956526"/>
        </a:xfrm>
        <a:prstGeom prst="rect">
          <a:avLst/>
        </a:prstGeom>
      </xdr:spPr>
    </xdr:pic>
    <xdr:clientData/>
  </xdr:oneCellAnchor>
  <xdr:twoCellAnchor>
    <xdr:from>
      <xdr:col>12</xdr:col>
      <xdr:colOff>275264</xdr:colOff>
      <xdr:row>498</xdr:row>
      <xdr:rowOff>183519</xdr:rowOff>
    </xdr:from>
    <xdr:to>
      <xdr:col>12</xdr:col>
      <xdr:colOff>611188</xdr:colOff>
      <xdr:row>500</xdr:row>
      <xdr:rowOff>156858</xdr:rowOff>
    </xdr:to>
    <xdr:sp macro="" textlink="">
      <xdr:nvSpPr>
        <xdr:cNvPr id="31" name="TextBox 20">
          <a:extLst>
            <a:ext uri="{FF2B5EF4-FFF2-40B4-BE49-F238E27FC236}">
              <a16:creationId xmlns:a16="http://schemas.microsoft.com/office/drawing/2014/main" id="{00000000-0008-0000-0000-00001F000000}"/>
            </a:ext>
          </a:extLst>
        </xdr:cNvPr>
        <xdr:cNvSpPr txBox="1"/>
      </xdr:nvSpPr>
      <xdr:spPr>
        <a:xfrm>
          <a:off x="10765464" y="106285669"/>
          <a:ext cx="335924" cy="36703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D</a:t>
          </a:r>
        </a:p>
      </xdr:txBody>
    </xdr:sp>
    <xdr:clientData/>
  </xdr:twoCellAnchor>
  <xdr:twoCellAnchor>
    <xdr:from>
      <xdr:col>10</xdr:col>
      <xdr:colOff>0</xdr:colOff>
      <xdr:row>498</xdr:row>
      <xdr:rowOff>0</xdr:rowOff>
    </xdr:from>
    <xdr:to>
      <xdr:col>10</xdr:col>
      <xdr:colOff>301712</xdr:colOff>
      <xdr:row>499</xdr:row>
      <xdr:rowOff>170189</xdr:rowOff>
    </xdr:to>
    <xdr:sp macro="" textlink="">
      <xdr:nvSpPr>
        <xdr:cNvPr id="32" name="TextBox 21">
          <a:extLst>
            <a:ext uri="{FF2B5EF4-FFF2-40B4-BE49-F238E27FC236}">
              <a16:creationId xmlns:a16="http://schemas.microsoft.com/office/drawing/2014/main" id="{00000000-0008-0000-0000-000020000000}"/>
            </a:ext>
          </a:extLst>
        </xdr:cNvPr>
        <xdr:cNvSpPr txBox="1"/>
      </xdr:nvSpPr>
      <xdr:spPr>
        <a:xfrm>
          <a:off x="9042400" y="106102150"/>
          <a:ext cx="301712" cy="36703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E</a:t>
          </a:r>
        </a:p>
      </xdr:txBody>
    </xdr:sp>
    <xdr:clientData/>
  </xdr:twoCellAnchor>
  <xdr:twoCellAnchor>
    <xdr:from>
      <xdr:col>8</xdr:col>
      <xdr:colOff>685800</xdr:colOff>
      <xdr:row>503</xdr:row>
      <xdr:rowOff>63500</xdr:rowOff>
    </xdr:from>
    <xdr:to>
      <xdr:col>20</xdr:col>
      <xdr:colOff>72001</xdr:colOff>
      <xdr:row>543</xdr:row>
      <xdr:rowOff>128474</xdr:rowOff>
    </xdr:to>
    <xdr:grpSp>
      <xdr:nvGrpSpPr>
        <xdr:cNvPr id="42" name="Group 41">
          <a:extLst>
            <a:ext uri="{FF2B5EF4-FFF2-40B4-BE49-F238E27FC236}">
              <a16:creationId xmlns:a16="http://schemas.microsoft.com/office/drawing/2014/main" id="{00000000-0008-0000-0000-00002A000000}"/>
            </a:ext>
          </a:extLst>
        </xdr:cNvPr>
        <xdr:cNvGrpSpPr/>
      </xdr:nvGrpSpPr>
      <xdr:grpSpPr>
        <a:xfrm>
          <a:off x="7029450" y="108753275"/>
          <a:ext cx="6187051" cy="8056449"/>
          <a:chOff x="114300" y="107188000"/>
          <a:chExt cx="6469626" cy="7932624"/>
        </a:xfrm>
      </xdr:grpSpPr>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14300" y="107188000"/>
            <a:ext cx="2052000" cy="2736000"/>
          </a:xfrm>
          <a:prstGeom prst="rect">
            <a:avLst/>
          </a:prstGeom>
          <a:ln>
            <a:solidFill>
              <a:schemeClr val="tx1"/>
            </a:solidFill>
          </a:ln>
        </xdr:spPr>
      </xdr:pic>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909113" y="112960624"/>
            <a:ext cx="2880000" cy="2160000"/>
          </a:xfrm>
          <a:prstGeom prst="rect">
            <a:avLst/>
          </a:prstGeom>
          <a:ln>
            <a:solidFill>
              <a:schemeClr val="tx1"/>
            </a:solidFill>
          </a:ln>
        </xdr:spPr>
      </xdr:pic>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908331" y="110074312"/>
            <a:ext cx="1539000" cy="2736000"/>
          </a:xfrm>
          <a:prstGeom prst="rect">
            <a:avLst/>
          </a:prstGeom>
          <a:ln>
            <a:solidFill>
              <a:schemeClr val="tx1"/>
            </a:solidFill>
          </a:ln>
        </xdr:spPr>
      </xdr:pic>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604144" y="110074312"/>
            <a:ext cx="1539000" cy="2736000"/>
          </a:xfrm>
          <a:prstGeom prst="rect">
            <a:avLst/>
          </a:prstGeom>
          <a:ln>
            <a:solidFill>
              <a:schemeClr val="tx1"/>
            </a:solidFill>
          </a:ln>
        </xdr:spPr>
      </xdr:pic>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4299957" y="110074312"/>
            <a:ext cx="1539000" cy="2736000"/>
          </a:xfrm>
          <a:prstGeom prst="rect">
            <a:avLst/>
          </a:prstGeom>
          <a:ln>
            <a:solidFill>
              <a:schemeClr val="tx1"/>
            </a:solidFill>
          </a:ln>
        </xdr:spPr>
      </xdr:pic>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531926" y="107188000"/>
            <a:ext cx="2052000" cy="2736000"/>
          </a:xfrm>
          <a:prstGeom prst="rect">
            <a:avLst/>
          </a:prstGeom>
          <a:ln>
            <a:solidFill>
              <a:schemeClr val="tx1"/>
            </a:solidFill>
          </a:ln>
        </xdr:spPr>
      </xdr:pic>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323113" y="107188000"/>
            <a:ext cx="2052000" cy="2736000"/>
          </a:xfrm>
          <a:prstGeom prst="rect">
            <a:avLst/>
          </a:prstGeom>
          <a:ln>
            <a:solidFill>
              <a:schemeClr val="tx1"/>
            </a:solidFill>
          </a:ln>
        </xdr:spPr>
      </xdr:pic>
      <xdr:sp macro="" textlink="">
        <xdr:nvSpPr>
          <xdr:cNvPr id="40" name="TextBox 20">
            <a:extLst>
              <a:ext uri="{FF2B5EF4-FFF2-40B4-BE49-F238E27FC236}">
                <a16:creationId xmlns:a16="http://schemas.microsoft.com/office/drawing/2014/main" id="{00000000-0008-0000-0000-000028000000}"/>
              </a:ext>
            </a:extLst>
          </xdr:cNvPr>
          <xdr:cNvSpPr txBox="1"/>
        </xdr:nvSpPr>
        <xdr:spPr>
          <a:xfrm>
            <a:off x="1295400" y="107473750"/>
            <a:ext cx="335924" cy="36703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D</a:t>
            </a:r>
          </a:p>
        </xdr:txBody>
      </xdr:sp>
      <xdr:sp macro="" textlink="">
        <xdr:nvSpPr>
          <xdr:cNvPr id="41" name="TextBox 21">
            <a:extLst>
              <a:ext uri="{FF2B5EF4-FFF2-40B4-BE49-F238E27FC236}">
                <a16:creationId xmlns:a16="http://schemas.microsoft.com/office/drawing/2014/main" id="{00000000-0008-0000-0000-000029000000}"/>
              </a:ext>
            </a:extLst>
          </xdr:cNvPr>
          <xdr:cNvSpPr txBox="1"/>
        </xdr:nvSpPr>
        <xdr:spPr>
          <a:xfrm>
            <a:off x="292100" y="107200700"/>
            <a:ext cx="301712" cy="36703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E</a:t>
            </a:r>
          </a:p>
        </xdr:txBody>
      </xdr:sp>
    </xdr:grpSp>
    <xdr:clientData/>
  </xdr:twoCellAnchor>
  <xdr:twoCellAnchor>
    <xdr:from>
      <xdr:col>0</xdr:col>
      <xdr:colOff>161925</xdr:colOff>
      <xdr:row>504</xdr:row>
      <xdr:rowOff>142875</xdr:rowOff>
    </xdr:from>
    <xdr:to>
      <xdr:col>7</xdr:col>
      <xdr:colOff>704849</xdr:colOff>
      <xdr:row>532</xdr:row>
      <xdr:rowOff>190500</xdr:rowOff>
    </xdr:to>
    <xdr:grpSp>
      <xdr:nvGrpSpPr>
        <xdr:cNvPr id="43" name="Group 42">
          <a:extLst>
            <a:ext uri="{FF2B5EF4-FFF2-40B4-BE49-F238E27FC236}">
              <a16:creationId xmlns:a16="http://schemas.microsoft.com/office/drawing/2014/main" id="{B9484F37-7CBA-4A6F-B3F2-7DA218793365}"/>
            </a:ext>
          </a:extLst>
        </xdr:cNvPr>
        <xdr:cNvGrpSpPr/>
      </xdr:nvGrpSpPr>
      <xdr:grpSpPr>
        <a:xfrm>
          <a:off x="161925" y="109032675"/>
          <a:ext cx="6057899" cy="5638800"/>
          <a:chOff x="67634" y="485600"/>
          <a:chExt cx="6595449" cy="5778284"/>
        </a:xfrm>
      </xdr:grpSpPr>
      <xdr:pic>
        <xdr:nvPicPr>
          <xdr:cNvPr id="44" name="Picture 43">
            <a:extLst>
              <a:ext uri="{FF2B5EF4-FFF2-40B4-BE49-F238E27FC236}">
                <a16:creationId xmlns:a16="http://schemas.microsoft.com/office/drawing/2014/main" id="{4C1AFAC7-6F97-47DA-A715-4F5CDCA0592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531776" y="485600"/>
            <a:ext cx="2700000" cy="3600000"/>
          </a:xfrm>
          <a:prstGeom prst="rect">
            <a:avLst/>
          </a:prstGeom>
          <a:ln>
            <a:solidFill>
              <a:schemeClr val="tx1"/>
            </a:solidFill>
          </a:ln>
        </xdr:spPr>
      </xdr:pic>
      <xdr:pic>
        <xdr:nvPicPr>
          <xdr:cNvPr id="45" name="Picture 44">
            <a:extLst>
              <a:ext uri="{FF2B5EF4-FFF2-40B4-BE49-F238E27FC236}">
                <a16:creationId xmlns:a16="http://schemas.microsoft.com/office/drawing/2014/main" id="{2EDE1A08-365B-4B3B-8FA6-4746A28DE666}"/>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67634" y="4283884"/>
            <a:ext cx="3200000" cy="1980000"/>
          </a:xfrm>
          <a:prstGeom prst="rect">
            <a:avLst/>
          </a:prstGeom>
          <a:ln>
            <a:solidFill>
              <a:schemeClr val="tx1"/>
            </a:solidFill>
          </a:ln>
        </xdr:spPr>
      </xdr:pic>
      <xdr:pic>
        <xdr:nvPicPr>
          <xdr:cNvPr id="46" name="Picture 45">
            <a:extLst>
              <a:ext uri="{FF2B5EF4-FFF2-40B4-BE49-F238E27FC236}">
                <a16:creationId xmlns:a16="http://schemas.microsoft.com/office/drawing/2014/main" id="{DD1FB57F-6BF3-41E8-A139-F63E866323A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462551" y="485600"/>
            <a:ext cx="2700000" cy="3600000"/>
          </a:xfrm>
          <a:prstGeom prst="rect">
            <a:avLst/>
          </a:prstGeom>
          <a:ln>
            <a:solidFill>
              <a:schemeClr val="tx1"/>
            </a:solidFill>
          </a:ln>
        </xdr:spPr>
      </xdr:pic>
      <xdr:pic>
        <xdr:nvPicPr>
          <xdr:cNvPr id="47" name="Picture 46">
            <a:extLst>
              <a:ext uri="{FF2B5EF4-FFF2-40B4-BE49-F238E27FC236}">
                <a16:creationId xmlns:a16="http://schemas.microsoft.com/office/drawing/2014/main" id="{F06E4A51-BD4E-4D56-BB60-52822F2164C2}"/>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463083" y="4283884"/>
            <a:ext cx="3200000" cy="1980000"/>
          </a:xfrm>
          <a:prstGeom prst="rect">
            <a:avLst/>
          </a:prstGeom>
          <a:ln>
            <a:solidFill>
              <a:schemeClr val="tx1"/>
            </a:solidFill>
          </a:ln>
        </xdr:spPr>
      </xdr:pic>
    </xdr:grpSp>
    <xdr:clientData/>
  </xdr:twoCellAnchor>
  <xdr:twoCellAnchor>
    <xdr:from>
      <xdr:col>1</xdr:col>
      <xdr:colOff>616579</xdr:colOff>
      <xdr:row>507</xdr:row>
      <xdr:rowOff>197937</xdr:rowOff>
    </xdr:from>
    <xdr:to>
      <xdr:col>2</xdr:col>
      <xdr:colOff>175831</xdr:colOff>
      <xdr:row>509</xdr:row>
      <xdr:rowOff>170655</xdr:rowOff>
    </xdr:to>
    <xdr:sp macro="" textlink="">
      <xdr:nvSpPr>
        <xdr:cNvPr id="48" name="TextBox 20">
          <a:extLst>
            <a:ext uri="{FF2B5EF4-FFF2-40B4-BE49-F238E27FC236}">
              <a16:creationId xmlns:a16="http://schemas.microsoft.com/office/drawing/2014/main" id="{CDB14321-C968-4EAD-841B-66E7155BCE84}"/>
            </a:ext>
          </a:extLst>
        </xdr:cNvPr>
        <xdr:cNvSpPr txBox="1"/>
      </xdr:nvSpPr>
      <xdr:spPr>
        <a:xfrm>
          <a:off x="1378579" y="109678287"/>
          <a:ext cx="321252" cy="37276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D</a:t>
          </a:r>
        </a:p>
      </xdr:txBody>
    </xdr:sp>
    <xdr:clientData/>
  </xdr:twoCellAnchor>
  <xdr:twoCellAnchor>
    <xdr:from>
      <xdr:col>2</xdr:col>
      <xdr:colOff>361950</xdr:colOff>
      <xdr:row>505</xdr:row>
      <xdr:rowOff>187325</xdr:rowOff>
    </xdr:from>
    <xdr:to>
      <xdr:col>2</xdr:col>
      <xdr:colOff>650484</xdr:colOff>
      <xdr:row>507</xdr:row>
      <xdr:rowOff>169568</xdr:rowOff>
    </xdr:to>
    <xdr:sp macro="" textlink="">
      <xdr:nvSpPr>
        <xdr:cNvPr id="49" name="TextBox 21">
          <a:extLst>
            <a:ext uri="{FF2B5EF4-FFF2-40B4-BE49-F238E27FC236}">
              <a16:creationId xmlns:a16="http://schemas.microsoft.com/office/drawing/2014/main" id="{3B2785D6-CBEC-40CB-B78F-88249CEB118F}"/>
            </a:ext>
          </a:extLst>
        </xdr:cNvPr>
        <xdr:cNvSpPr txBox="1"/>
      </xdr:nvSpPr>
      <xdr:spPr>
        <a:xfrm>
          <a:off x="1885950" y="109277150"/>
          <a:ext cx="288534" cy="37276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6</xdr:col>
      <xdr:colOff>352489</xdr:colOff>
      <xdr:row>32</xdr:row>
      <xdr:rowOff>171000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79783" y="2675283"/>
          <a:ext cx="6754945" cy="3600000"/>
        </a:xfrm>
        <a:prstGeom prst="rect">
          <a:avLst/>
        </a:prstGeom>
        <a:ln>
          <a:solidFill>
            <a:schemeClr val="tx1"/>
          </a:solidFill>
        </a:ln>
      </xdr:spPr>
    </xdr:pic>
    <xdr:clientData/>
  </xdr:twoCellAnchor>
  <xdr:twoCellAnchor editAs="oneCell">
    <xdr:from>
      <xdr:col>1</xdr:col>
      <xdr:colOff>39297</xdr:colOff>
      <xdr:row>33</xdr:row>
      <xdr:rowOff>83267</xdr:rowOff>
    </xdr:from>
    <xdr:to>
      <xdr:col>6</xdr:col>
      <xdr:colOff>391786</xdr:colOff>
      <xdr:row>52</xdr:row>
      <xdr:rowOff>63767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619080" y="6378050"/>
          <a:ext cx="6754945" cy="3600000"/>
        </a:xfrm>
        <a:prstGeom prst="rect">
          <a:avLst/>
        </a:prstGeom>
        <a:ln>
          <a:solidFill>
            <a:schemeClr val="tx1"/>
          </a:solidFill>
        </a:ln>
      </xdr:spPr>
    </xdr:pic>
    <xdr:clientData/>
  </xdr:twoCellAnchor>
  <xdr:twoCellAnchor editAs="oneCell">
    <xdr:from>
      <xdr:col>6</xdr:col>
      <xdr:colOff>565463</xdr:colOff>
      <xdr:row>14</xdr:row>
      <xdr:rowOff>12804</xdr:rowOff>
    </xdr:from>
    <xdr:to>
      <xdr:col>16</xdr:col>
      <xdr:colOff>255343</xdr:colOff>
      <xdr:row>32</xdr:row>
      <xdr:rowOff>183804</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a:stretch>
          <a:fillRect/>
        </a:stretch>
      </xdr:blipFill>
      <xdr:spPr>
        <a:xfrm>
          <a:off x="7547702" y="2688087"/>
          <a:ext cx="6754945" cy="3600000"/>
        </a:xfrm>
        <a:prstGeom prst="rect">
          <a:avLst/>
        </a:prstGeom>
        <a:ln>
          <a:solidFill>
            <a:schemeClr val="tx1"/>
          </a:solidFill>
        </a:ln>
      </xdr:spPr>
    </xdr:pic>
    <xdr:clientData/>
  </xdr:twoCellAnchor>
  <xdr:twoCellAnchor editAs="oneCell">
    <xdr:from>
      <xdr:col>6</xdr:col>
      <xdr:colOff>565463</xdr:colOff>
      <xdr:row>33</xdr:row>
      <xdr:rowOff>58510</xdr:rowOff>
    </xdr:from>
    <xdr:to>
      <xdr:col>16</xdr:col>
      <xdr:colOff>255343</xdr:colOff>
      <xdr:row>52</xdr:row>
      <xdr:rowOff>39010</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stretch>
          <a:fillRect/>
        </a:stretch>
      </xdr:blipFill>
      <xdr:spPr>
        <a:xfrm>
          <a:off x="7547702" y="6353293"/>
          <a:ext cx="675494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youtube.com/watch?v=sdSsAhoW4U0" TargetMode="External"/><Relationship Id="rId1" Type="http://schemas.openxmlformats.org/officeDocument/2006/relationships/hyperlink" Target="https://goo.gl/maps/LjQspwgw3XJc3Zmr6"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46"/>
  <sheetViews>
    <sheetView tabSelected="1" view="pageBreakPreview" topLeftCell="A511" zoomScaleNormal="100" zoomScaleSheetLayoutView="100" zoomScalePageLayoutView="85" workbookViewId="0">
      <selection activeCell="I524" sqref="I524"/>
    </sheetView>
  </sheetViews>
  <sheetFormatPr defaultColWidth="9.42578125" defaultRowHeight="15.75" x14ac:dyDescent="0.25"/>
  <cols>
    <col min="1" max="2" width="11.42578125" style="21" customWidth="1"/>
    <col min="3" max="4" width="12.5703125" style="21" customWidth="1"/>
    <col min="5" max="7" width="11.5703125" style="21" customWidth="1"/>
    <col min="8" max="8" width="12.42578125" style="21" customWidth="1"/>
    <col min="9" max="9" width="20.42578125" style="8" customWidth="1"/>
    <col min="10" max="10" width="13.5703125" style="8" bestFit="1" customWidth="1"/>
    <col min="11" max="11" width="9.42578125" style="8"/>
    <col min="12" max="12" width="11.42578125" style="8" bestFit="1" customWidth="1"/>
    <col min="13" max="13" width="9.42578125" style="8"/>
    <col min="14" max="16" width="0" style="8" hidden="1" customWidth="1"/>
    <col min="17" max="252" width="9.42578125" style="8"/>
    <col min="253" max="253" width="8.5703125" style="8" customWidth="1"/>
    <col min="254" max="254" width="9.5703125" style="8" customWidth="1"/>
    <col min="255" max="255" width="14.42578125" style="8" customWidth="1"/>
    <col min="256" max="256" width="7.42578125" style="8" customWidth="1"/>
    <col min="257" max="257" width="5.5703125" style="8" customWidth="1"/>
    <col min="258" max="258" width="9" style="8" customWidth="1"/>
    <col min="259" max="260" width="9.5703125" style="8" customWidth="1"/>
    <col min="261" max="261" width="11.42578125" style="8" customWidth="1"/>
    <col min="262" max="262" width="2.5703125" style="8" customWidth="1"/>
    <col min="263" max="263" width="3.5703125" style="8" customWidth="1"/>
    <col min="264" max="508" width="9.42578125" style="8"/>
    <col min="509" max="509" width="8.5703125" style="8" customWidth="1"/>
    <col min="510" max="510" width="9.5703125" style="8" customWidth="1"/>
    <col min="511" max="511" width="14.42578125" style="8" customWidth="1"/>
    <col min="512" max="512" width="7.42578125" style="8" customWidth="1"/>
    <col min="513" max="513" width="5.5703125" style="8" customWidth="1"/>
    <col min="514" max="514" width="9" style="8" customWidth="1"/>
    <col min="515" max="516" width="9.5703125" style="8" customWidth="1"/>
    <col min="517" max="517" width="11.42578125" style="8" customWidth="1"/>
    <col min="518" max="518" width="2.5703125" style="8" customWidth="1"/>
    <col min="519" max="519" width="3.5703125" style="8" customWidth="1"/>
    <col min="520" max="764" width="9.42578125" style="8"/>
    <col min="765" max="765" width="8.5703125" style="8" customWidth="1"/>
    <col min="766" max="766" width="9.5703125" style="8" customWidth="1"/>
    <col min="767" max="767" width="14.42578125" style="8" customWidth="1"/>
    <col min="768" max="768" width="7.42578125" style="8" customWidth="1"/>
    <col min="769" max="769" width="5.5703125" style="8" customWidth="1"/>
    <col min="770" max="770" width="9" style="8" customWidth="1"/>
    <col min="771" max="772" width="9.5703125" style="8" customWidth="1"/>
    <col min="773" max="773" width="11.42578125" style="8" customWidth="1"/>
    <col min="774" max="774" width="2.5703125" style="8" customWidth="1"/>
    <col min="775" max="775" width="3.5703125" style="8" customWidth="1"/>
    <col min="776" max="1020" width="9.42578125" style="8"/>
    <col min="1021" max="1021" width="8.5703125" style="8" customWidth="1"/>
    <col min="1022" max="1022" width="9.5703125" style="8" customWidth="1"/>
    <col min="1023" max="1023" width="14.42578125" style="8" customWidth="1"/>
    <col min="1024" max="1024" width="7.42578125" style="8" customWidth="1"/>
    <col min="1025" max="1025" width="5.5703125" style="8" customWidth="1"/>
    <col min="1026" max="1026" width="9" style="8" customWidth="1"/>
    <col min="1027" max="1028" width="9.5703125" style="8" customWidth="1"/>
    <col min="1029" max="1029" width="11.42578125" style="8" customWidth="1"/>
    <col min="1030" max="1030" width="2.5703125" style="8" customWidth="1"/>
    <col min="1031" max="1031" width="3.5703125" style="8" customWidth="1"/>
    <col min="1032" max="1276" width="9.42578125" style="8"/>
    <col min="1277" max="1277" width="8.5703125" style="8" customWidth="1"/>
    <col min="1278" max="1278" width="9.5703125" style="8" customWidth="1"/>
    <col min="1279" max="1279" width="14.42578125" style="8" customWidth="1"/>
    <col min="1280" max="1280" width="7.42578125" style="8" customWidth="1"/>
    <col min="1281" max="1281" width="5.5703125" style="8" customWidth="1"/>
    <col min="1282" max="1282" width="9" style="8" customWidth="1"/>
    <col min="1283" max="1284" width="9.5703125" style="8" customWidth="1"/>
    <col min="1285" max="1285" width="11.42578125" style="8" customWidth="1"/>
    <col min="1286" max="1286" width="2.5703125" style="8" customWidth="1"/>
    <col min="1287" max="1287" width="3.5703125" style="8" customWidth="1"/>
    <col min="1288" max="1532" width="9.42578125" style="8"/>
    <col min="1533" max="1533" width="8.5703125" style="8" customWidth="1"/>
    <col min="1534" max="1534" width="9.5703125" style="8" customWidth="1"/>
    <col min="1535" max="1535" width="14.42578125" style="8" customWidth="1"/>
    <col min="1536" max="1536" width="7.42578125" style="8" customWidth="1"/>
    <col min="1537" max="1537" width="5.5703125" style="8" customWidth="1"/>
    <col min="1538" max="1538" width="9" style="8" customWidth="1"/>
    <col min="1539" max="1540" width="9.5703125" style="8" customWidth="1"/>
    <col min="1541" max="1541" width="11.42578125" style="8" customWidth="1"/>
    <col min="1542" max="1542" width="2.5703125" style="8" customWidth="1"/>
    <col min="1543" max="1543" width="3.5703125" style="8" customWidth="1"/>
    <col min="1544" max="1788" width="9.42578125" style="8"/>
    <col min="1789" max="1789" width="8.5703125" style="8" customWidth="1"/>
    <col min="1790" max="1790" width="9.5703125" style="8" customWidth="1"/>
    <col min="1791" max="1791" width="14.42578125" style="8" customWidth="1"/>
    <col min="1792" max="1792" width="7.42578125" style="8" customWidth="1"/>
    <col min="1793" max="1793" width="5.5703125" style="8" customWidth="1"/>
    <col min="1794" max="1794" width="9" style="8" customWidth="1"/>
    <col min="1795" max="1796" width="9.5703125" style="8" customWidth="1"/>
    <col min="1797" max="1797" width="11.42578125" style="8" customWidth="1"/>
    <col min="1798" max="1798" width="2.5703125" style="8" customWidth="1"/>
    <col min="1799" max="1799" width="3.5703125" style="8" customWidth="1"/>
    <col min="1800" max="2044" width="9.42578125" style="8"/>
    <col min="2045" max="2045" width="8.5703125" style="8" customWidth="1"/>
    <col min="2046" max="2046" width="9.5703125" style="8" customWidth="1"/>
    <col min="2047" max="2047" width="14.42578125" style="8" customWidth="1"/>
    <col min="2048" max="2048" width="7.42578125" style="8" customWidth="1"/>
    <col min="2049" max="2049" width="5.5703125" style="8" customWidth="1"/>
    <col min="2050" max="2050" width="9" style="8" customWidth="1"/>
    <col min="2051" max="2052" width="9.5703125" style="8" customWidth="1"/>
    <col min="2053" max="2053" width="11.42578125" style="8" customWidth="1"/>
    <col min="2054" max="2054" width="2.5703125" style="8" customWidth="1"/>
    <col min="2055" max="2055" width="3.5703125" style="8" customWidth="1"/>
    <col min="2056" max="2300" width="9.42578125" style="8"/>
    <col min="2301" max="2301" width="8.5703125" style="8" customWidth="1"/>
    <col min="2302" max="2302" width="9.5703125" style="8" customWidth="1"/>
    <col min="2303" max="2303" width="14.42578125" style="8" customWidth="1"/>
    <col min="2304" max="2304" width="7.42578125" style="8" customWidth="1"/>
    <col min="2305" max="2305" width="5.5703125" style="8" customWidth="1"/>
    <col min="2306" max="2306" width="9" style="8" customWidth="1"/>
    <col min="2307" max="2308" width="9.5703125" style="8" customWidth="1"/>
    <col min="2309" max="2309" width="11.42578125" style="8" customWidth="1"/>
    <col min="2310" max="2310" width="2.5703125" style="8" customWidth="1"/>
    <col min="2311" max="2311" width="3.5703125" style="8" customWidth="1"/>
    <col min="2312" max="2556" width="9.42578125" style="8"/>
    <col min="2557" max="2557" width="8.5703125" style="8" customWidth="1"/>
    <col min="2558" max="2558" width="9.5703125" style="8" customWidth="1"/>
    <col min="2559" max="2559" width="14.42578125" style="8" customWidth="1"/>
    <col min="2560" max="2560" width="7.42578125" style="8" customWidth="1"/>
    <col min="2561" max="2561" width="5.5703125" style="8" customWidth="1"/>
    <col min="2562" max="2562" width="9" style="8" customWidth="1"/>
    <col min="2563" max="2564" width="9.5703125" style="8" customWidth="1"/>
    <col min="2565" max="2565" width="11.42578125" style="8" customWidth="1"/>
    <col min="2566" max="2566" width="2.5703125" style="8" customWidth="1"/>
    <col min="2567" max="2567" width="3.5703125" style="8" customWidth="1"/>
    <col min="2568" max="2812" width="9.42578125" style="8"/>
    <col min="2813" max="2813" width="8.5703125" style="8" customWidth="1"/>
    <col min="2814" max="2814" width="9.5703125" style="8" customWidth="1"/>
    <col min="2815" max="2815" width="14.42578125" style="8" customWidth="1"/>
    <col min="2816" max="2816" width="7.42578125" style="8" customWidth="1"/>
    <col min="2817" max="2817" width="5.5703125" style="8" customWidth="1"/>
    <col min="2818" max="2818" width="9" style="8" customWidth="1"/>
    <col min="2819" max="2820" width="9.5703125" style="8" customWidth="1"/>
    <col min="2821" max="2821" width="11.42578125" style="8" customWidth="1"/>
    <col min="2822" max="2822" width="2.5703125" style="8" customWidth="1"/>
    <col min="2823" max="2823" width="3.5703125" style="8" customWidth="1"/>
    <col min="2824" max="3068" width="9.42578125" style="8"/>
    <col min="3069" max="3069" width="8.5703125" style="8" customWidth="1"/>
    <col min="3070" max="3070" width="9.5703125" style="8" customWidth="1"/>
    <col min="3071" max="3071" width="14.42578125" style="8" customWidth="1"/>
    <col min="3072" max="3072" width="7.42578125" style="8" customWidth="1"/>
    <col min="3073" max="3073" width="5.5703125" style="8" customWidth="1"/>
    <col min="3074" max="3074" width="9" style="8" customWidth="1"/>
    <col min="3075" max="3076" width="9.5703125" style="8" customWidth="1"/>
    <col min="3077" max="3077" width="11.42578125" style="8" customWidth="1"/>
    <col min="3078" max="3078" width="2.5703125" style="8" customWidth="1"/>
    <col min="3079" max="3079" width="3.5703125" style="8" customWidth="1"/>
    <col min="3080" max="3324" width="9.42578125" style="8"/>
    <col min="3325" max="3325" width="8.5703125" style="8" customWidth="1"/>
    <col min="3326" max="3326" width="9.5703125" style="8" customWidth="1"/>
    <col min="3327" max="3327" width="14.42578125" style="8" customWidth="1"/>
    <col min="3328" max="3328" width="7.42578125" style="8" customWidth="1"/>
    <col min="3329" max="3329" width="5.5703125" style="8" customWidth="1"/>
    <col min="3330" max="3330" width="9" style="8" customWidth="1"/>
    <col min="3331" max="3332" width="9.5703125" style="8" customWidth="1"/>
    <col min="3333" max="3333" width="11.42578125" style="8" customWidth="1"/>
    <col min="3334" max="3334" width="2.5703125" style="8" customWidth="1"/>
    <col min="3335" max="3335" width="3.5703125" style="8" customWidth="1"/>
    <col min="3336" max="3580" width="9.42578125" style="8"/>
    <col min="3581" max="3581" width="8.5703125" style="8" customWidth="1"/>
    <col min="3582" max="3582" width="9.5703125" style="8" customWidth="1"/>
    <col min="3583" max="3583" width="14.42578125" style="8" customWidth="1"/>
    <col min="3584" max="3584" width="7.42578125" style="8" customWidth="1"/>
    <col min="3585" max="3585" width="5.5703125" style="8" customWidth="1"/>
    <col min="3586" max="3586" width="9" style="8" customWidth="1"/>
    <col min="3587" max="3588" width="9.5703125" style="8" customWidth="1"/>
    <col min="3589" max="3589" width="11.42578125" style="8" customWidth="1"/>
    <col min="3590" max="3590" width="2.5703125" style="8" customWidth="1"/>
    <col min="3591" max="3591" width="3.5703125" style="8" customWidth="1"/>
    <col min="3592" max="3836" width="9.42578125" style="8"/>
    <col min="3837" max="3837" width="8.5703125" style="8" customWidth="1"/>
    <col min="3838" max="3838" width="9.5703125" style="8" customWidth="1"/>
    <col min="3839" max="3839" width="14.42578125" style="8" customWidth="1"/>
    <col min="3840" max="3840" width="7.42578125" style="8" customWidth="1"/>
    <col min="3841" max="3841" width="5.5703125" style="8" customWidth="1"/>
    <col min="3842" max="3842" width="9" style="8" customWidth="1"/>
    <col min="3843" max="3844" width="9.5703125" style="8" customWidth="1"/>
    <col min="3845" max="3845" width="11.42578125" style="8" customWidth="1"/>
    <col min="3846" max="3846" width="2.5703125" style="8" customWidth="1"/>
    <col min="3847" max="3847" width="3.5703125" style="8" customWidth="1"/>
    <col min="3848" max="4092" width="9.42578125" style="8"/>
    <col min="4093" max="4093" width="8.5703125" style="8" customWidth="1"/>
    <col min="4094" max="4094" width="9.5703125" style="8" customWidth="1"/>
    <col min="4095" max="4095" width="14.42578125" style="8" customWidth="1"/>
    <col min="4096" max="4096" width="7.42578125" style="8" customWidth="1"/>
    <col min="4097" max="4097" width="5.5703125" style="8" customWidth="1"/>
    <col min="4098" max="4098" width="9" style="8" customWidth="1"/>
    <col min="4099" max="4100" width="9.5703125" style="8" customWidth="1"/>
    <col min="4101" max="4101" width="11.42578125" style="8" customWidth="1"/>
    <col min="4102" max="4102" width="2.5703125" style="8" customWidth="1"/>
    <col min="4103" max="4103" width="3.5703125" style="8" customWidth="1"/>
    <col min="4104" max="4348" width="9.42578125" style="8"/>
    <col min="4349" max="4349" width="8.5703125" style="8" customWidth="1"/>
    <col min="4350" max="4350" width="9.5703125" style="8" customWidth="1"/>
    <col min="4351" max="4351" width="14.42578125" style="8" customWidth="1"/>
    <col min="4352" max="4352" width="7.42578125" style="8" customWidth="1"/>
    <col min="4353" max="4353" width="5.5703125" style="8" customWidth="1"/>
    <col min="4354" max="4354" width="9" style="8" customWidth="1"/>
    <col min="4355" max="4356" width="9.5703125" style="8" customWidth="1"/>
    <col min="4357" max="4357" width="11.42578125" style="8" customWidth="1"/>
    <col min="4358" max="4358" width="2.5703125" style="8" customWidth="1"/>
    <col min="4359" max="4359" width="3.5703125" style="8" customWidth="1"/>
    <col min="4360" max="4604" width="9.42578125" style="8"/>
    <col min="4605" max="4605" width="8.5703125" style="8" customWidth="1"/>
    <col min="4606" max="4606" width="9.5703125" style="8" customWidth="1"/>
    <col min="4607" max="4607" width="14.42578125" style="8" customWidth="1"/>
    <col min="4608" max="4608" width="7.42578125" style="8" customWidth="1"/>
    <col min="4609" max="4609" width="5.5703125" style="8" customWidth="1"/>
    <col min="4610" max="4610" width="9" style="8" customWidth="1"/>
    <col min="4611" max="4612" width="9.5703125" style="8" customWidth="1"/>
    <col min="4613" max="4613" width="11.42578125" style="8" customWidth="1"/>
    <col min="4614" max="4614" width="2.5703125" style="8" customWidth="1"/>
    <col min="4615" max="4615" width="3.5703125" style="8" customWidth="1"/>
    <col min="4616" max="4860" width="9.42578125" style="8"/>
    <col min="4861" max="4861" width="8.5703125" style="8" customWidth="1"/>
    <col min="4862" max="4862" width="9.5703125" style="8" customWidth="1"/>
    <col min="4863" max="4863" width="14.42578125" style="8" customWidth="1"/>
    <col min="4864" max="4864" width="7.42578125" style="8" customWidth="1"/>
    <col min="4865" max="4865" width="5.5703125" style="8" customWidth="1"/>
    <col min="4866" max="4866" width="9" style="8" customWidth="1"/>
    <col min="4867" max="4868" width="9.5703125" style="8" customWidth="1"/>
    <col min="4869" max="4869" width="11.42578125" style="8" customWidth="1"/>
    <col min="4870" max="4870" width="2.5703125" style="8" customWidth="1"/>
    <col min="4871" max="4871" width="3.5703125" style="8" customWidth="1"/>
    <col min="4872" max="5116" width="9.42578125" style="8"/>
    <col min="5117" max="5117" width="8.5703125" style="8" customWidth="1"/>
    <col min="5118" max="5118" width="9.5703125" style="8" customWidth="1"/>
    <col min="5119" max="5119" width="14.42578125" style="8" customWidth="1"/>
    <col min="5120" max="5120" width="7.42578125" style="8" customWidth="1"/>
    <col min="5121" max="5121" width="5.5703125" style="8" customWidth="1"/>
    <col min="5122" max="5122" width="9" style="8" customWidth="1"/>
    <col min="5123" max="5124" width="9.5703125" style="8" customWidth="1"/>
    <col min="5125" max="5125" width="11.42578125" style="8" customWidth="1"/>
    <col min="5126" max="5126" width="2.5703125" style="8" customWidth="1"/>
    <col min="5127" max="5127" width="3.5703125" style="8" customWidth="1"/>
    <col min="5128" max="5372" width="9.42578125" style="8"/>
    <col min="5373" max="5373" width="8.5703125" style="8" customWidth="1"/>
    <col min="5374" max="5374" width="9.5703125" style="8" customWidth="1"/>
    <col min="5375" max="5375" width="14.42578125" style="8" customWidth="1"/>
    <col min="5376" max="5376" width="7.42578125" style="8" customWidth="1"/>
    <col min="5377" max="5377" width="5.5703125" style="8" customWidth="1"/>
    <col min="5378" max="5378" width="9" style="8" customWidth="1"/>
    <col min="5379" max="5380" width="9.5703125" style="8" customWidth="1"/>
    <col min="5381" max="5381" width="11.42578125" style="8" customWidth="1"/>
    <col min="5382" max="5382" width="2.5703125" style="8" customWidth="1"/>
    <col min="5383" max="5383" width="3.5703125" style="8" customWidth="1"/>
    <col min="5384" max="5628" width="9.42578125" style="8"/>
    <col min="5629" max="5629" width="8.5703125" style="8" customWidth="1"/>
    <col min="5630" max="5630" width="9.5703125" style="8" customWidth="1"/>
    <col min="5631" max="5631" width="14.42578125" style="8" customWidth="1"/>
    <col min="5632" max="5632" width="7.42578125" style="8" customWidth="1"/>
    <col min="5633" max="5633" width="5.5703125" style="8" customWidth="1"/>
    <col min="5634" max="5634" width="9" style="8" customWidth="1"/>
    <col min="5635" max="5636" width="9.5703125" style="8" customWidth="1"/>
    <col min="5637" max="5637" width="11.42578125" style="8" customWidth="1"/>
    <col min="5638" max="5638" width="2.5703125" style="8" customWidth="1"/>
    <col min="5639" max="5639" width="3.5703125" style="8" customWidth="1"/>
    <col min="5640" max="5884" width="9.42578125" style="8"/>
    <col min="5885" max="5885" width="8.5703125" style="8" customWidth="1"/>
    <col min="5886" max="5886" width="9.5703125" style="8" customWidth="1"/>
    <col min="5887" max="5887" width="14.42578125" style="8" customWidth="1"/>
    <col min="5888" max="5888" width="7.42578125" style="8" customWidth="1"/>
    <col min="5889" max="5889" width="5.5703125" style="8" customWidth="1"/>
    <col min="5890" max="5890" width="9" style="8" customWidth="1"/>
    <col min="5891" max="5892" width="9.5703125" style="8" customWidth="1"/>
    <col min="5893" max="5893" width="11.42578125" style="8" customWidth="1"/>
    <col min="5894" max="5894" width="2.5703125" style="8" customWidth="1"/>
    <col min="5895" max="5895" width="3.5703125" style="8" customWidth="1"/>
    <col min="5896" max="6140" width="9.42578125" style="8"/>
    <col min="6141" max="6141" width="8.5703125" style="8" customWidth="1"/>
    <col min="6142" max="6142" width="9.5703125" style="8" customWidth="1"/>
    <col min="6143" max="6143" width="14.42578125" style="8" customWidth="1"/>
    <col min="6144" max="6144" width="7.42578125" style="8" customWidth="1"/>
    <col min="6145" max="6145" width="5.5703125" style="8" customWidth="1"/>
    <col min="6146" max="6146" width="9" style="8" customWidth="1"/>
    <col min="6147" max="6148" width="9.5703125" style="8" customWidth="1"/>
    <col min="6149" max="6149" width="11.42578125" style="8" customWidth="1"/>
    <col min="6150" max="6150" width="2.5703125" style="8" customWidth="1"/>
    <col min="6151" max="6151" width="3.5703125" style="8" customWidth="1"/>
    <col min="6152" max="6396" width="9.42578125" style="8"/>
    <col min="6397" max="6397" width="8.5703125" style="8" customWidth="1"/>
    <col min="6398" max="6398" width="9.5703125" style="8" customWidth="1"/>
    <col min="6399" max="6399" width="14.42578125" style="8" customWidth="1"/>
    <col min="6400" max="6400" width="7.42578125" style="8" customWidth="1"/>
    <col min="6401" max="6401" width="5.5703125" style="8" customWidth="1"/>
    <col min="6402" max="6402" width="9" style="8" customWidth="1"/>
    <col min="6403" max="6404" width="9.5703125" style="8" customWidth="1"/>
    <col min="6405" max="6405" width="11.42578125" style="8" customWidth="1"/>
    <col min="6406" max="6406" width="2.5703125" style="8" customWidth="1"/>
    <col min="6407" max="6407" width="3.5703125" style="8" customWidth="1"/>
    <col min="6408" max="6652" width="9.42578125" style="8"/>
    <col min="6653" max="6653" width="8.5703125" style="8" customWidth="1"/>
    <col min="6654" max="6654" width="9.5703125" style="8" customWidth="1"/>
    <col min="6655" max="6655" width="14.42578125" style="8" customWidth="1"/>
    <col min="6656" max="6656" width="7.42578125" style="8" customWidth="1"/>
    <col min="6657" max="6657" width="5.5703125" style="8" customWidth="1"/>
    <col min="6658" max="6658" width="9" style="8" customWidth="1"/>
    <col min="6659" max="6660" width="9.5703125" style="8" customWidth="1"/>
    <col min="6661" max="6661" width="11.42578125" style="8" customWidth="1"/>
    <col min="6662" max="6662" width="2.5703125" style="8" customWidth="1"/>
    <col min="6663" max="6663" width="3.5703125" style="8" customWidth="1"/>
    <col min="6664" max="6908" width="9.42578125" style="8"/>
    <col min="6909" max="6909" width="8.5703125" style="8" customWidth="1"/>
    <col min="6910" max="6910" width="9.5703125" style="8" customWidth="1"/>
    <col min="6911" max="6911" width="14.42578125" style="8" customWidth="1"/>
    <col min="6912" max="6912" width="7.42578125" style="8" customWidth="1"/>
    <col min="6913" max="6913" width="5.5703125" style="8" customWidth="1"/>
    <col min="6914" max="6914" width="9" style="8" customWidth="1"/>
    <col min="6915" max="6916" width="9.5703125" style="8" customWidth="1"/>
    <col min="6917" max="6917" width="11.42578125" style="8" customWidth="1"/>
    <col min="6918" max="6918" width="2.5703125" style="8" customWidth="1"/>
    <col min="6919" max="6919" width="3.5703125" style="8" customWidth="1"/>
    <col min="6920" max="7164" width="9.42578125" style="8"/>
    <col min="7165" max="7165" width="8.5703125" style="8" customWidth="1"/>
    <col min="7166" max="7166" width="9.5703125" style="8" customWidth="1"/>
    <col min="7167" max="7167" width="14.42578125" style="8" customWidth="1"/>
    <col min="7168" max="7168" width="7.42578125" style="8" customWidth="1"/>
    <col min="7169" max="7169" width="5.5703125" style="8" customWidth="1"/>
    <col min="7170" max="7170" width="9" style="8" customWidth="1"/>
    <col min="7171" max="7172" width="9.5703125" style="8" customWidth="1"/>
    <col min="7173" max="7173" width="11.42578125" style="8" customWidth="1"/>
    <col min="7174" max="7174" width="2.5703125" style="8" customWidth="1"/>
    <col min="7175" max="7175" width="3.5703125" style="8" customWidth="1"/>
    <col min="7176" max="7420" width="9.42578125" style="8"/>
    <col min="7421" max="7421" width="8.5703125" style="8" customWidth="1"/>
    <col min="7422" max="7422" width="9.5703125" style="8" customWidth="1"/>
    <col min="7423" max="7423" width="14.42578125" style="8" customWidth="1"/>
    <col min="7424" max="7424" width="7.42578125" style="8" customWidth="1"/>
    <col min="7425" max="7425" width="5.5703125" style="8" customWidth="1"/>
    <col min="7426" max="7426" width="9" style="8" customWidth="1"/>
    <col min="7427" max="7428" width="9.5703125" style="8" customWidth="1"/>
    <col min="7429" max="7429" width="11.42578125" style="8" customWidth="1"/>
    <col min="7430" max="7430" width="2.5703125" style="8" customWidth="1"/>
    <col min="7431" max="7431" width="3.5703125" style="8" customWidth="1"/>
    <col min="7432" max="7676" width="9.42578125" style="8"/>
    <col min="7677" max="7677" width="8.5703125" style="8" customWidth="1"/>
    <col min="7678" max="7678" width="9.5703125" style="8" customWidth="1"/>
    <col min="7679" max="7679" width="14.42578125" style="8" customWidth="1"/>
    <col min="7680" max="7680" width="7.42578125" style="8" customWidth="1"/>
    <col min="7681" max="7681" width="5.5703125" style="8" customWidth="1"/>
    <col min="7682" max="7682" width="9" style="8" customWidth="1"/>
    <col min="7683" max="7684" width="9.5703125" style="8" customWidth="1"/>
    <col min="7685" max="7685" width="11.42578125" style="8" customWidth="1"/>
    <col min="7686" max="7686" width="2.5703125" style="8" customWidth="1"/>
    <col min="7687" max="7687" width="3.5703125" style="8" customWidth="1"/>
    <col min="7688" max="7932" width="9.42578125" style="8"/>
    <col min="7933" max="7933" width="8.5703125" style="8" customWidth="1"/>
    <col min="7934" max="7934" width="9.5703125" style="8" customWidth="1"/>
    <col min="7935" max="7935" width="14.42578125" style="8" customWidth="1"/>
    <col min="7936" max="7936" width="7.42578125" style="8" customWidth="1"/>
    <col min="7937" max="7937" width="5.5703125" style="8" customWidth="1"/>
    <col min="7938" max="7938" width="9" style="8" customWidth="1"/>
    <col min="7939" max="7940" width="9.5703125" style="8" customWidth="1"/>
    <col min="7941" max="7941" width="11.42578125" style="8" customWidth="1"/>
    <col min="7942" max="7942" width="2.5703125" style="8" customWidth="1"/>
    <col min="7943" max="7943" width="3.5703125" style="8" customWidth="1"/>
    <col min="7944" max="8188" width="9.42578125" style="8"/>
    <col min="8189" max="8189" width="8.5703125" style="8" customWidth="1"/>
    <col min="8190" max="8190" width="9.5703125" style="8" customWidth="1"/>
    <col min="8191" max="8191" width="14.42578125" style="8" customWidth="1"/>
    <col min="8192" max="8192" width="7.42578125" style="8" customWidth="1"/>
    <col min="8193" max="8193" width="5.5703125" style="8" customWidth="1"/>
    <col min="8194" max="8194" width="9" style="8" customWidth="1"/>
    <col min="8195" max="8196" width="9.5703125" style="8" customWidth="1"/>
    <col min="8197" max="8197" width="11.42578125" style="8" customWidth="1"/>
    <col min="8198" max="8198" width="2.5703125" style="8" customWidth="1"/>
    <col min="8199" max="8199" width="3.5703125" style="8" customWidth="1"/>
    <col min="8200" max="8444" width="9.42578125" style="8"/>
    <col min="8445" max="8445" width="8.5703125" style="8" customWidth="1"/>
    <col min="8446" max="8446" width="9.5703125" style="8" customWidth="1"/>
    <col min="8447" max="8447" width="14.42578125" style="8" customWidth="1"/>
    <col min="8448" max="8448" width="7.42578125" style="8" customWidth="1"/>
    <col min="8449" max="8449" width="5.5703125" style="8" customWidth="1"/>
    <col min="8450" max="8450" width="9" style="8" customWidth="1"/>
    <col min="8451" max="8452" width="9.5703125" style="8" customWidth="1"/>
    <col min="8453" max="8453" width="11.42578125" style="8" customWidth="1"/>
    <col min="8454" max="8454" width="2.5703125" style="8" customWidth="1"/>
    <col min="8455" max="8455" width="3.5703125" style="8" customWidth="1"/>
    <col min="8456" max="8700" width="9.42578125" style="8"/>
    <col min="8701" max="8701" width="8.5703125" style="8" customWidth="1"/>
    <col min="8702" max="8702" width="9.5703125" style="8" customWidth="1"/>
    <col min="8703" max="8703" width="14.42578125" style="8" customWidth="1"/>
    <col min="8704" max="8704" width="7.42578125" style="8" customWidth="1"/>
    <col min="8705" max="8705" width="5.5703125" style="8" customWidth="1"/>
    <col min="8706" max="8706" width="9" style="8" customWidth="1"/>
    <col min="8707" max="8708" width="9.5703125" style="8" customWidth="1"/>
    <col min="8709" max="8709" width="11.42578125" style="8" customWidth="1"/>
    <col min="8710" max="8710" width="2.5703125" style="8" customWidth="1"/>
    <col min="8711" max="8711" width="3.5703125" style="8" customWidth="1"/>
    <col min="8712" max="8956" width="9.42578125" style="8"/>
    <col min="8957" max="8957" width="8.5703125" style="8" customWidth="1"/>
    <col min="8958" max="8958" width="9.5703125" style="8" customWidth="1"/>
    <col min="8959" max="8959" width="14.42578125" style="8" customWidth="1"/>
    <col min="8960" max="8960" width="7.42578125" style="8" customWidth="1"/>
    <col min="8961" max="8961" width="5.5703125" style="8" customWidth="1"/>
    <col min="8962" max="8962" width="9" style="8" customWidth="1"/>
    <col min="8963" max="8964" width="9.5703125" style="8" customWidth="1"/>
    <col min="8965" max="8965" width="11.42578125" style="8" customWidth="1"/>
    <col min="8966" max="8966" width="2.5703125" style="8" customWidth="1"/>
    <col min="8967" max="8967" width="3.5703125" style="8" customWidth="1"/>
    <col min="8968" max="9212" width="9.42578125" style="8"/>
    <col min="9213" max="9213" width="8.5703125" style="8" customWidth="1"/>
    <col min="9214" max="9214" width="9.5703125" style="8" customWidth="1"/>
    <col min="9215" max="9215" width="14.42578125" style="8" customWidth="1"/>
    <col min="9216" max="9216" width="7.42578125" style="8" customWidth="1"/>
    <col min="9217" max="9217" width="5.5703125" style="8" customWidth="1"/>
    <col min="9218" max="9218" width="9" style="8" customWidth="1"/>
    <col min="9219" max="9220" width="9.5703125" style="8" customWidth="1"/>
    <col min="9221" max="9221" width="11.42578125" style="8" customWidth="1"/>
    <col min="9222" max="9222" width="2.5703125" style="8" customWidth="1"/>
    <col min="9223" max="9223" width="3.5703125" style="8" customWidth="1"/>
    <col min="9224" max="9468" width="9.42578125" style="8"/>
    <col min="9469" max="9469" width="8.5703125" style="8" customWidth="1"/>
    <col min="9470" max="9470" width="9.5703125" style="8" customWidth="1"/>
    <col min="9471" max="9471" width="14.42578125" style="8" customWidth="1"/>
    <col min="9472" max="9472" width="7.42578125" style="8" customWidth="1"/>
    <col min="9473" max="9473" width="5.5703125" style="8" customWidth="1"/>
    <col min="9474" max="9474" width="9" style="8" customWidth="1"/>
    <col min="9475" max="9476" width="9.5703125" style="8" customWidth="1"/>
    <col min="9477" max="9477" width="11.42578125" style="8" customWidth="1"/>
    <col min="9478" max="9478" width="2.5703125" style="8" customWidth="1"/>
    <col min="9479" max="9479" width="3.5703125" style="8" customWidth="1"/>
    <col min="9480" max="9724" width="9.42578125" style="8"/>
    <col min="9725" max="9725" width="8.5703125" style="8" customWidth="1"/>
    <col min="9726" max="9726" width="9.5703125" style="8" customWidth="1"/>
    <col min="9727" max="9727" width="14.42578125" style="8" customWidth="1"/>
    <col min="9728" max="9728" width="7.42578125" style="8" customWidth="1"/>
    <col min="9729" max="9729" width="5.5703125" style="8" customWidth="1"/>
    <col min="9730" max="9730" width="9" style="8" customWidth="1"/>
    <col min="9731" max="9732" width="9.5703125" style="8" customWidth="1"/>
    <col min="9733" max="9733" width="11.42578125" style="8" customWidth="1"/>
    <col min="9734" max="9734" width="2.5703125" style="8" customWidth="1"/>
    <col min="9735" max="9735" width="3.5703125" style="8" customWidth="1"/>
    <col min="9736" max="9980" width="9.42578125" style="8"/>
    <col min="9981" max="9981" width="8.5703125" style="8" customWidth="1"/>
    <col min="9982" max="9982" width="9.5703125" style="8" customWidth="1"/>
    <col min="9983" max="9983" width="14.42578125" style="8" customWidth="1"/>
    <col min="9984" max="9984" width="7.42578125" style="8" customWidth="1"/>
    <col min="9985" max="9985" width="5.5703125" style="8" customWidth="1"/>
    <col min="9986" max="9986" width="9" style="8" customWidth="1"/>
    <col min="9987" max="9988" width="9.5703125" style="8" customWidth="1"/>
    <col min="9989" max="9989" width="11.42578125" style="8" customWidth="1"/>
    <col min="9990" max="9990" width="2.5703125" style="8" customWidth="1"/>
    <col min="9991" max="9991" width="3.5703125" style="8" customWidth="1"/>
    <col min="9992" max="10236" width="9.42578125" style="8"/>
    <col min="10237" max="10237" width="8.5703125" style="8" customWidth="1"/>
    <col min="10238" max="10238" width="9.5703125" style="8" customWidth="1"/>
    <col min="10239" max="10239" width="14.42578125" style="8" customWidth="1"/>
    <col min="10240" max="10240" width="7.42578125" style="8" customWidth="1"/>
    <col min="10241" max="10241" width="5.5703125" style="8" customWidth="1"/>
    <col min="10242" max="10242" width="9" style="8" customWidth="1"/>
    <col min="10243" max="10244" width="9.5703125" style="8" customWidth="1"/>
    <col min="10245" max="10245" width="11.42578125" style="8" customWidth="1"/>
    <col min="10246" max="10246" width="2.5703125" style="8" customWidth="1"/>
    <col min="10247" max="10247" width="3.5703125" style="8" customWidth="1"/>
    <col min="10248" max="10492" width="9.42578125" style="8"/>
    <col min="10493" max="10493" width="8.5703125" style="8" customWidth="1"/>
    <col min="10494" max="10494" width="9.5703125" style="8" customWidth="1"/>
    <col min="10495" max="10495" width="14.42578125" style="8" customWidth="1"/>
    <col min="10496" max="10496" width="7.42578125" style="8" customWidth="1"/>
    <col min="10497" max="10497" width="5.5703125" style="8" customWidth="1"/>
    <col min="10498" max="10498" width="9" style="8" customWidth="1"/>
    <col min="10499" max="10500" width="9.5703125" style="8" customWidth="1"/>
    <col min="10501" max="10501" width="11.42578125" style="8" customWidth="1"/>
    <col min="10502" max="10502" width="2.5703125" style="8" customWidth="1"/>
    <col min="10503" max="10503" width="3.5703125" style="8" customWidth="1"/>
    <col min="10504" max="10748" width="9.42578125" style="8"/>
    <col min="10749" max="10749" width="8.5703125" style="8" customWidth="1"/>
    <col min="10750" max="10750" width="9.5703125" style="8" customWidth="1"/>
    <col min="10751" max="10751" width="14.42578125" style="8" customWidth="1"/>
    <col min="10752" max="10752" width="7.42578125" style="8" customWidth="1"/>
    <col min="10753" max="10753" width="5.5703125" style="8" customWidth="1"/>
    <col min="10754" max="10754" width="9" style="8" customWidth="1"/>
    <col min="10755" max="10756" width="9.5703125" style="8" customWidth="1"/>
    <col min="10757" max="10757" width="11.42578125" style="8" customWidth="1"/>
    <col min="10758" max="10758" width="2.5703125" style="8" customWidth="1"/>
    <col min="10759" max="10759" width="3.5703125" style="8" customWidth="1"/>
    <col min="10760" max="11004" width="9.42578125" style="8"/>
    <col min="11005" max="11005" width="8.5703125" style="8" customWidth="1"/>
    <col min="11006" max="11006" width="9.5703125" style="8" customWidth="1"/>
    <col min="11007" max="11007" width="14.42578125" style="8" customWidth="1"/>
    <col min="11008" max="11008" width="7.42578125" style="8" customWidth="1"/>
    <col min="11009" max="11009" width="5.5703125" style="8" customWidth="1"/>
    <col min="11010" max="11010" width="9" style="8" customWidth="1"/>
    <col min="11011" max="11012" width="9.5703125" style="8" customWidth="1"/>
    <col min="11013" max="11013" width="11.42578125" style="8" customWidth="1"/>
    <col min="11014" max="11014" width="2.5703125" style="8" customWidth="1"/>
    <col min="11015" max="11015" width="3.5703125" style="8" customWidth="1"/>
    <col min="11016" max="11260" width="9.42578125" style="8"/>
    <col min="11261" max="11261" width="8.5703125" style="8" customWidth="1"/>
    <col min="11262" max="11262" width="9.5703125" style="8" customWidth="1"/>
    <col min="11263" max="11263" width="14.42578125" style="8" customWidth="1"/>
    <col min="11264" max="11264" width="7.42578125" style="8" customWidth="1"/>
    <col min="11265" max="11265" width="5.5703125" style="8" customWidth="1"/>
    <col min="11266" max="11266" width="9" style="8" customWidth="1"/>
    <col min="11267" max="11268" width="9.5703125" style="8" customWidth="1"/>
    <col min="11269" max="11269" width="11.42578125" style="8" customWidth="1"/>
    <col min="11270" max="11270" width="2.5703125" style="8" customWidth="1"/>
    <col min="11271" max="11271" width="3.5703125" style="8" customWidth="1"/>
    <col min="11272" max="11516" width="9.42578125" style="8"/>
    <col min="11517" max="11517" width="8.5703125" style="8" customWidth="1"/>
    <col min="11518" max="11518" width="9.5703125" style="8" customWidth="1"/>
    <col min="11519" max="11519" width="14.42578125" style="8" customWidth="1"/>
    <col min="11520" max="11520" width="7.42578125" style="8" customWidth="1"/>
    <col min="11521" max="11521" width="5.5703125" style="8" customWidth="1"/>
    <col min="11522" max="11522" width="9" style="8" customWidth="1"/>
    <col min="11523" max="11524" width="9.5703125" style="8" customWidth="1"/>
    <col min="11525" max="11525" width="11.42578125" style="8" customWidth="1"/>
    <col min="11526" max="11526" width="2.5703125" style="8" customWidth="1"/>
    <col min="11527" max="11527" width="3.5703125" style="8" customWidth="1"/>
    <col min="11528" max="11772" width="9.42578125" style="8"/>
    <col min="11773" max="11773" width="8.5703125" style="8" customWidth="1"/>
    <col min="11774" max="11774" width="9.5703125" style="8" customWidth="1"/>
    <col min="11775" max="11775" width="14.42578125" style="8" customWidth="1"/>
    <col min="11776" max="11776" width="7.42578125" style="8" customWidth="1"/>
    <col min="11777" max="11777" width="5.5703125" style="8" customWidth="1"/>
    <col min="11778" max="11778" width="9" style="8" customWidth="1"/>
    <col min="11779" max="11780" width="9.5703125" style="8" customWidth="1"/>
    <col min="11781" max="11781" width="11.42578125" style="8" customWidth="1"/>
    <col min="11782" max="11782" width="2.5703125" style="8" customWidth="1"/>
    <col min="11783" max="11783" width="3.5703125" style="8" customWidth="1"/>
    <col min="11784" max="12028" width="9.42578125" style="8"/>
    <col min="12029" max="12029" width="8.5703125" style="8" customWidth="1"/>
    <col min="12030" max="12030" width="9.5703125" style="8" customWidth="1"/>
    <col min="12031" max="12031" width="14.42578125" style="8" customWidth="1"/>
    <col min="12032" max="12032" width="7.42578125" style="8" customWidth="1"/>
    <col min="12033" max="12033" width="5.5703125" style="8" customWidth="1"/>
    <col min="12034" max="12034" width="9" style="8" customWidth="1"/>
    <col min="12035" max="12036" width="9.5703125" style="8" customWidth="1"/>
    <col min="12037" max="12037" width="11.42578125" style="8" customWidth="1"/>
    <col min="12038" max="12038" width="2.5703125" style="8" customWidth="1"/>
    <col min="12039" max="12039" width="3.5703125" style="8" customWidth="1"/>
    <col min="12040" max="12284" width="9.42578125" style="8"/>
    <col min="12285" max="12285" width="8.5703125" style="8" customWidth="1"/>
    <col min="12286" max="12286" width="9.5703125" style="8" customWidth="1"/>
    <col min="12287" max="12287" width="14.42578125" style="8" customWidth="1"/>
    <col min="12288" max="12288" width="7.42578125" style="8" customWidth="1"/>
    <col min="12289" max="12289" width="5.5703125" style="8" customWidth="1"/>
    <col min="12290" max="12290" width="9" style="8" customWidth="1"/>
    <col min="12291" max="12292" width="9.5703125" style="8" customWidth="1"/>
    <col min="12293" max="12293" width="11.42578125" style="8" customWidth="1"/>
    <col min="12294" max="12294" width="2.5703125" style="8" customWidth="1"/>
    <col min="12295" max="12295" width="3.5703125" style="8" customWidth="1"/>
    <col min="12296" max="12540" width="9.42578125" style="8"/>
    <col min="12541" max="12541" width="8.5703125" style="8" customWidth="1"/>
    <col min="12542" max="12542" width="9.5703125" style="8" customWidth="1"/>
    <col min="12543" max="12543" width="14.42578125" style="8" customWidth="1"/>
    <col min="12544" max="12544" width="7.42578125" style="8" customWidth="1"/>
    <col min="12545" max="12545" width="5.5703125" style="8" customWidth="1"/>
    <col min="12546" max="12546" width="9" style="8" customWidth="1"/>
    <col min="12547" max="12548" width="9.5703125" style="8" customWidth="1"/>
    <col min="12549" max="12549" width="11.42578125" style="8" customWidth="1"/>
    <col min="12550" max="12550" width="2.5703125" style="8" customWidth="1"/>
    <col min="12551" max="12551" width="3.5703125" style="8" customWidth="1"/>
    <col min="12552" max="12796" width="9.42578125" style="8"/>
    <col min="12797" max="12797" width="8.5703125" style="8" customWidth="1"/>
    <col min="12798" max="12798" width="9.5703125" style="8" customWidth="1"/>
    <col min="12799" max="12799" width="14.42578125" style="8" customWidth="1"/>
    <col min="12800" max="12800" width="7.42578125" style="8" customWidth="1"/>
    <col min="12801" max="12801" width="5.5703125" style="8" customWidth="1"/>
    <col min="12802" max="12802" width="9" style="8" customWidth="1"/>
    <col min="12803" max="12804" width="9.5703125" style="8" customWidth="1"/>
    <col min="12805" max="12805" width="11.42578125" style="8" customWidth="1"/>
    <col min="12806" max="12806" width="2.5703125" style="8" customWidth="1"/>
    <col min="12807" max="12807" width="3.5703125" style="8" customWidth="1"/>
    <col min="12808" max="13052" width="9.42578125" style="8"/>
    <col min="13053" max="13053" width="8.5703125" style="8" customWidth="1"/>
    <col min="13054" max="13054" width="9.5703125" style="8" customWidth="1"/>
    <col min="13055" max="13055" width="14.42578125" style="8" customWidth="1"/>
    <col min="13056" max="13056" width="7.42578125" style="8" customWidth="1"/>
    <col min="13057" max="13057" width="5.5703125" style="8" customWidth="1"/>
    <col min="13058" max="13058" width="9" style="8" customWidth="1"/>
    <col min="13059" max="13060" width="9.5703125" style="8" customWidth="1"/>
    <col min="13061" max="13061" width="11.42578125" style="8" customWidth="1"/>
    <col min="13062" max="13062" width="2.5703125" style="8" customWidth="1"/>
    <col min="13063" max="13063" width="3.5703125" style="8" customWidth="1"/>
    <col min="13064" max="13308" width="9.42578125" style="8"/>
    <col min="13309" max="13309" width="8.5703125" style="8" customWidth="1"/>
    <col min="13310" max="13310" width="9.5703125" style="8" customWidth="1"/>
    <col min="13311" max="13311" width="14.42578125" style="8" customWidth="1"/>
    <col min="13312" max="13312" width="7.42578125" style="8" customWidth="1"/>
    <col min="13313" max="13313" width="5.5703125" style="8" customWidth="1"/>
    <col min="13314" max="13314" width="9" style="8" customWidth="1"/>
    <col min="13315" max="13316" width="9.5703125" style="8" customWidth="1"/>
    <col min="13317" max="13317" width="11.42578125" style="8" customWidth="1"/>
    <col min="13318" max="13318" width="2.5703125" style="8" customWidth="1"/>
    <col min="13319" max="13319" width="3.5703125" style="8" customWidth="1"/>
    <col min="13320" max="13564" width="9.42578125" style="8"/>
    <col min="13565" max="13565" width="8.5703125" style="8" customWidth="1"/>
    <col min="13566" max="13566" width="9.5703125" style="8" customWidth="1"/>
    <col min="13567" max="13567" width="14.42578125" style="8" customWidth="1"/>
    <col min="13568" max="13568" width="7.42578125" style="8" customWidth="1"/>
    <col min="13569" max="13569" width="5.5703125" style="8" customWidth="1"/>
    <col min="13570" max="13570" width="9" style="8" customWidth="1"/>
    <col min="13571" max="13572" width="9.5703125" style="8" customWidth="1"/>
    <col min="13573" max="13573" width="11.42578125" style="8" customWidth="1"/>
    <col min="13574" max="13574" width="2.5703125" style="8" customWidth="1"/>
    <col min="13575" max="13575" width="3.5703125" style="8" customWidth="1"/>
    <col min="13576" max="13820" width="9.42578125" style="8"/>
    <col min="13821" max="13821" width="8.5703125" style="8" customWidth="1"/>
    <col min="13822" max="13822" width="9.5703125" style="8" customWidth="1"/>
    <col min="13823" max="13823" width="14.42578125" style="8" customWidth="1"/>
    <col min="13824" max="13824" width="7.42578125" style="8" customWidth="1"/>
    <col min="13825" max="13825" width="5.5703125" style="8" customWidth="1"/>
    <col min="13826" max="13826" width="9" style="8" customWidth="1"/>
    <col min="13827" max="13828" width="9.5703125" style="8" customWidth="1"/>
    <col min="13829" max="13829" width="11.42578125" style="8" customWidth="1"/>
    <col min="13830" max="13830" width="2.5703125" style="8" customWidth="1"/>
    <col min="13831" max="13831" width="3.5703125" style="8" customWidth="1"/>
    <col min="13832" max="14076" width="9.42578125" style="8"/>
    <col min="14077" max="14077" width="8.5703125" style="8" customWidth="1"/>
    <col min="14078" max="14078" width="9.5703125" style="8" customWidth="1"/>
    <col min="14079" max="14079" width="14.42578125" style="8" customWidth="1"/>
    <col min="14080" max="14080" width="7.42578125" style="8" customWidth="1"/>
    <col min="14081" max="14081" width="5.5703125" style="8" customWidth="1"/>
    <col min="14082" max="14082" width="9" style="8" customWidth="1"/>
    <col min="14083" max="14084" width="9.5703125" style="8" customWidth="1"/>
    <col min="14085" max="14085" width="11.42578125" style="8" customWidth="1"/>
    <col min="14086" max="14086" width="2.5703125" style="8" customWidth="1"/>
    <col min="14087" max="14087" width="3.5703125" style="8" customWidth="1"/>
    <col min="14088" max="14332" width="9.42578125" style="8"/>
    <col min="14333" max="14333" width="8.5703125" style="8" customWidth="1"/>
    <col min="14334" max="14334" width="9.5703125" style="8" customWidth="1"/>
    <col min="14335" max="14335" width="14.42578125" style="8" customWidth="1"/>
    <col min="14336" max="14336" width="7.42578125" style="8" customWidth="1"/>
    <col min="14337" max="14337" width="5.5703125" style="8" customWidth="1"/>
    <col min="14338" max="14338" width="9" style="8" customWidth="1"/>
    <col min="14339" max="14340" width="9.5703125" style="8" customWidth="1"/>
    <col min="14341" max="14341" width="11.42578125" style="8" customWidth="1"/>
    <col min="14342" max="14342" width="2.5703125" style="8" customWidth="1"/>
    <col min="14343" max="14343" width="3.5703125" style="8" customWidth="1"/>
    <col min="14344" max="14588" width="9.42578125" style="8"/>
    <col min="14589" max="14589" width="8.5703125" style="8" customWidth="1"/>
    <col min="14590" max="14590" width="9.5703125" style="8" customWidth="1"/>
    <col min="14591" max="14591" width="14.42578125" style="8" customWidth="1"/>
    <col min="14592" max="14592" width="7.42578125" style="8" customWidth="1"/>
    <col min="14593" max="14593" width="5.5703125" style="8" customWidth="1"/>
    <col min="14594" max="14594" width="9" style="8" customWidth="1"/>
    <col min="14595" max="14596" width="9.5703125" style="8" customWidth="1"/>
    <col min="14597" max="14597" width="11.42578125" style="8" customWidth="1"/>
    <col min="14598" max="14598" width="2.5703125" style="8" customWidth="1"/>
    <col min="14599" max="14599" width="3.5703125" style="8" customWidth="1"/>
    <col min="14600" max="14844" width="9.42578125" style="8"/>
    <col min="14845" max="14845" width="8.5703125" style="8" customWidth="1"/>
    <col min="14846" max="14846" width="9.5703125" style="8" customWidth="1"/>
    <col min="14847" max="14847" width="14.42578125" style="8" customWidth="1"/>
    <col min="14848" max="14848" width="7.42578125" style="8" customWidth="1"/>
    <col min="14849" max="14849" width="5.5703125" style="8" customWidth="1"/>
    <col min="14850" max="14850" width="9" style="8" customWidth="1"/>
    <col min="14851" max="14852" width="9.5703125" style="8" customWidth="1"/>
    <col min="14853" max="14853" width="11.42578125" style="8" customWidth="1"/>
    <col min="14854" max="14854" width="2.5703125" style="8" customWidth="1"/>
    <col min="14855" max="14855" width="3.5703125" style="8" customWidth="1"/>
    <col min="14856" max="15100" width="9.42578125" style="8"/>
    <col min="15101" max="15101" width="8.5703125" style="8" customWidth="1"/>
    <col min="15102" max="15102" width="9.5703125" style="8" customWidth="1"/>
    <col min="15103" max="15103" width="14.42578125" style="8" customWidth="1"/>
    <col min="15104" max="15104" width="7.42578125" style="8" customWidth="1"/>
    <col min="15105" max="15105" width="5.5703125" style="8" customWidth="1"/>
    <col min="15106" max="15106" width="9" style="8" customWidth="1"/>
    <col min="15107" max="15108" width="9.5703125" style="8" customWidth="1"/>
    <col min="15109" max="15109" width="11.42578125" style="8" customWidth="1"/>
    <col min="15110" max="15110" width="2.5703125" style="8" customWidth="1"/>
    <col min="15111" max="15111" width="3.5703125" style="8" customWidth="1"/>
    <col min="15112" max="15356" width="9.42578125" style="8"/>
    <col min="15357" max="15357" width="8.5703125" style="8" customWidth="1"/>
    <col min="15358" max="15358" width="9.5703125" style="8" customWidth="1"/>
    <col min="15359" max="15359" width="14.42578125" style="8" customWidth="1"/>
    <col min="15360" max="15360" width="7.42578125" style="8" customWidth="1"/>
    <col min="15361" max="15361" width="5.5703125" style="8" customWidth="1"/>
    <col min="15362" max="15362" width="9" style="8" customWidth="1"/>
    <col min="15363" max="15364" width="9.5703125" style="8" customWidth="1"/>
    <col min="15365" max="15365" width="11.42578125" style="8" customWidth="1"/>
    <col min="15366" max="15366" width="2.5703125" style="8" customWidth="1"/>
    <col min="15367" max="15367" width="3.5703125" style="8" customWidth="1"/>
    <col min="15368" max="15612" width="9.42578125" style="8"/>
    <col min="15613" max="15613" width="8.5703125" style="8" customWidth="1"/>
    <col min="15614" max="15614" width="9.5703125" style="8" customWidth="1"/>
    <col min="15615" max="15615" width="14.42578125" style="8" customWidth="1"/>
    <col min="15616" max="15616" width="7.42578125" style="8" customWidth="1"/>
    <col min="15617" max="15617" width="5.5703125" style="8" customWidth="1"/>
    <col min="15618" max="15618" width="9" style="8" customWidth="1"/>
    <col min="15619" max="15620" width="9.5703125" style="8" customWidth="1"/>
    <col min="15621" max="15621" width="11.42578125" style="8" customWidth="1"/>
    <col min="15622" max="15622" width="2.5703125" style="8" customWidth="1"/>
    <col min="15623" max="15623" width="3.5703125" style="8" customWidth="1"/>
    <col min="15624" max="15868" width="9.42578125" style="8"/>
    <col min="15869" max="15869" width="8.5703125" style="8" customWidth="1"/>
    <col min="15870" max="15870" width="9.5703125" style="8" customWidth="1"/>
    <col min="15871" max="15871" width="14.42578125" style="8" customWidth="1"/>
    <col min="15872" max="15872" width="7.42578125" style="8" customWidth="1"/>
    <col min="15873" max="15873" width="5.5703125" style="8" customWidth="1"/>
    <col min="15874" max="15874" width="9" style="8" customWidth="1"/>
    <col min="15875" max="15876" width="9.5703125" style="8" customWidth="1"/>
    <col min="15877" max="15877" width="11.42578125" style="8" customWidth="1"/>
    <col min="15878" max="15878" width="2.5703125" style="8" customWidth="1"/>
    <col min="15879" max="15879" width="3.5703125" style="8" customWidth="1"/>
    <col min="15880" max="16124" width="9.42578125" style="8"/>
    <col min="16125" max="16125" width="8.5703125" style="8" customWidth="1"/>
    <col min="16126" max="16126" width="9.5703125" style="8" customWidth="1"/>
    <col min="16127" max="16127" width="14.42578125" style="8" customWidth="1"/>
    <col min="16128" max="16128" width="7.42578125" style="8" customWidth="1"/>
    <col min="16129" max="16129" width="5.5703125" style="8" customWidth="1"/>
    <col min="16130" max="16130" width="9" style="8" customWidth="1"/>
    <col min="16131" max="16132" width="9.5703125" style="8" customWidth="1"/>
    <col min="16133" max="16133" width="11.42578125" style="8" customWidth="1"/>
    <col min="16134" max="16134" width="2.5703125" style="8" customWidth="1"/>
    <col min="16135" max="16135" width="3.5703125" style="8" customWidth="1"/>
    <col min="16136" max="16384" width="9.42578125" style="8"/>
  </cols>
  <sheetData>
    <row r="1" spans="1:10" ht="46.5" customHeight="1" x14ac:dyDescent="0.25">
      <c r="A1" s="122" t="s">
        <v>293</v>
      </c>
      <c r="B1" s="122"/>
      <c r="C1" s="122"/>
      <c r="D1" s="122"/>
      <c r="E1" s="122"/>
      <c r="F1" s="122"/>
      <c r="G1" s="122"/>
      <c r="H1" s="122"/>
      <c r="I1" s="172" t="s">
        <v>311</v>
      </c>
      <c r="J1" s="171" t="s">
        <v>310</v>
      </c>
    </row>
    <row r="2" spans="1:10" ht="16.5" customHeight="1" x14ac:dyDescent="0.25">
      <c r="A2" s="65" t="s">
        <v>0</v>
      </c>
      <c r="B2" s="65"/>
      <c r="C2" s="65"/>
      <c r="D2" s="65"/>
      <c r="E2" s="65"/>
      <c r="F2" s="65"/>
      <c r="G2" s="65"/>
      <c r="H2" s="65"/>
    </row>
    <row r="3" spans="1:10" x14ac:dyDescent="0.25">
      <c r="A3" s="85" t="s">
        <v>1</v>
      </c>
      <c r="B3" s="85"/>
      <c r="C3" s="85"/>
      <c r="D3" s="85"/>
      <c r="E3" s="123" t="str">
        <f ca="1">TEXT(TODAY(),"DD/MM/YYYY")</f>
        <v>10/09/2025</v>
      </c>
      <c r="F3" s="123"/>
      <c r="G3" s="123"/>
      <c r="H3" s="123"/>
    </row>
    <row r="4" spans="1:10" ht="15" customHeight="1" x14ac:dyDescent="0.25">
      <c r="A4" s="85" t="s">
        <v>2</v>
      </c>
      <c r="B4" s="85"/>
      <c r="C4" s="85"/>
      <c r="D4" s="85"/>
      <c r="E4" s="119" t="s">
        <v>159</v>
      </c>
      <c r="F4" s="119"/>
      <c r="G4" s="119"/>
      <c r="H4" s="119"/>
    </row>
    <row r="5" spans="1:10" x14ac:dyDescent="0.25">
      <c r="A5" s="85" t="s">
        <v>3</v>
      </c>
      <c r="B5" s="85"/>
      <c r="C5" s="85"/>
      <c r="D5" s="85"/>
      <c r="E5" s="123">
        <v>45909</v>
      </c>
      <c r="F5" s="123"/>
      <c r="G5" s="123"/>
      <c r="H5" s="123"/>
      <c r="J5" s="8" t="s">
        <v>259</v>
      </c>
    </row>
    <row r="6" spans="1:10" ht="16.5" customHeight="1" x14ac:dyDescent="0.25">
      <c r="A6" s="85" t="s">
        <v>4</v>
      </c>
      <c r="B6" s="85"/>
      <c r="C6" s="85"/>
      <c r="D6" s="85"/>
      <c r="E6" s="86" t="s">
        <v>255</v>
      </c>
      <c r="F6" s="86"/>
      <c r="G6" s="86"/>
      <c r="H6" s="86"/>
      <c r="J6" s="8" t="str">
        <f>PROPER(J5)</f>
        <v>Jdlivkjxlz</v>
      </c>
    </row>
    <row r="7" spans="1:10" ht="15" customHeight="1" x14ac:dyDescent="0.25">
      <c r="A7" s="85" t="s">
        <v>5</v>
      </c>
      <c r="B7" s="85"/>
      <c r="C7" s="85"/>
      <c r="D7" s="85"/>
      <c r="E7" s="86" t="str">
        <f>E6</f>
        <v>M/s. Dosti Realty LTD</v>
      </c>
      <c r="F7" s="86"/>
      <c r="G7" s="86"/>
      <c r="H7" s="86"/>
    </row>
    <row r="8" spans="1:10" x14ac:dyDescent="0.25">
      <c r="A8" s="85" t="s">
        <v>6</v>
      </c>
      <c r="B8" s="85"/>
      <c r="C8" s="85"/>
      <c r="D8" s="85"/>
      <c r="E8" s="103" t="s">
        <v>258</v>
      </c>
      <c r="F8" s="103"/>
      <c r="G8" s="103"/>
      <c r="H8" s="103"/>
    </row>
    <row r="9" spans="1:10" x14ac:dyDescent="0.25">
      <c r="A9" s="85" t="s">
        <v>294</v>
      </c>
      <c r="B9" s="85"/>
      <c r="C9" s="85"/>
      <c r="D9" s="85"/>
      <c r="E9" s="85" t="s">
        <v>254</v>
      </c>
      <c r="F9" s="85"/>
      <c r="G9" s="85"/>
      <c r="H9" s="85"/>
    </row>
    <row r="10" spans="1:10" hidden="1" x14ac:dyDescent="0.25">
      <c r="A10" s="85" t="s">
        <v>301</v>
      </c>
      <c r="B10" s="85"/>
      <c r="C10" s="85"/>
      <c r="D10" s="85"/>
      <c r="E10" s="85" t="s">
        <v>302</v>
      </c>
      <c r="F10" s="85"/>
      <c r="G10" s="85"/>
      <c r="H10" s="85"/>
    </row>
    <row r="11" spans="1:10" x14ac:dyDescent="0.25">
      <c r="A11" s="102" t="s">
        <v>7</v>
      </c>
      <c r="B11" s="102"/>
      <c r="C11" s="102"/>
      <c r="D11" s="102"/>
      <c r="E11" s="102" t="s">
        <v>222</v>
      </c>
      <c r="F11" s="102"/>
      <c r="G11" s="102"/>
      <c r="H11" s="102"/>
    </row>
    <row r="12" spans="1:10" x14ac:dyDescent="0.25">
      <c r="A12" s="85" t="s">
        <v>8</v>
      </c>
      <c r="B12" s="85"/>
      <c r="C12" s="85"/>
      <c r="D12" s="85"/>
      <c r="E12" s="88" t="s">
        <v>194</v>
      </c>
      <c r="F12" s="88"/>
      <c r="G12" s="88"/>
      <c r="H12" s="88"/>
    </row>
    <row r="13" spans="1:10" ht="15.75" customHeight="1" x14ac:dyDescent="0.25">
      <c r="A13" s="85" t="s">
        <v>9</v>
      </c>
      <c r="B13" s="85"/>
      <c r="C13" s="85"/>
      <c r="D13" s="85"/>
      <c r="E13" s="88" t="s">
        <v>223</v>
      </c>
      <c r="F13" s="102"/>
      <c r="G13" s="102"/>
      <c r="H13" s="102"/>
    </row>
    <row r="14" spans="1:10" ht="34.5" customHeight="1" x14ac:dyDescent="0.25">
      <c r="A14" s="86" t="s">
        <v>10</v>
      </c>
      <c r="B14" s="86"/>
      <c r="C14" s="86" t="s">
        <v>216</v>
      </c>
      <c r="D14" s="86"/>
      <c r="E14" s="86"/>
      <c r="F14" s="86"/>
      <c r="G14" s="86"/>
      <c r="H14" s="86"/>
    </row>
    <row r="15" spans="1:10" ht="15.75" customHeight="1" x14ac:dyDescent="0.25">
      <c r="A15" s="88" t="s">
        <v>163</v>
      </c>
      <c r="B15" s="88"/>
      <c r="C15" s="88" t="s">
        <v>160</v>
      </c>
      <c r="D15" s="88"/>
      <c r="E15" s="88"/>
      <c r="F15" s="88"/>
      <c r="G15" s="88"/>
      <c r="H15" s="88"/>
    </row>
    <row r="16" spans="1:10" ht="15.75" customHeight="1" x14ac:dyDescent="0.25">
      <c r="A16" s="86" t="s">
        <v>11</v>
      </c>
      <c r="B16" s="86"/>
      <c r="C16" s="102" t="s">
        <v>166</v>
      </c>
      <c r="D16" s="102"/>
      <c r="E16" s="86" t="s">
        <v>161</v>
      </c>
      <c r="F16" s="86"/>
      <c r="G16" s="88" t="s">
        <v>162</v>
      </c>
      <c r="H16" s="88"/>
    </row>
    <row r="17" spans="1:8" x14ac:dyDescent="0.25">
      <c r="A17" s="85" t="s">
        <v>13</v>
      </c>
      <c r="B17" s="85"/>
      <c r="C17" s="88" t="s">
        <v>197</v>
      </c>
      <c r="D17" s="88"/>
      <c r="E17" s="86" t="s">
        <v>12</v>
      </c>
      <c r="F17" s="86"/>
      <c r="G17" s="117" t="s">
        <v>164</v>
      </c>
      <c r="H17" s="117"/>
    </row>
    <row r="18" spans="1:8" x14ac:dyDescent="0.25">
      <c r="A18" s="85" t="s">
        <v>107</v>
      </c>
      <c r="B18" s="85"/>
      <c r="C18" s="88" t="s">
        <v>165</v>
      </c>
      <c r="D18" s="88"/>
      <c r="E18" s="86" t="s">
        <v>14</v>
      </c>
      <c r="F18" s="86"/>
      <c r="G18" s="88">
        <v>400037</v>
      </c>
      <c r="H18" s="88"/>
    </row>
    <row r="19" spans="1:8" ht="32.25" customHeight="1" x14ac:dyDescent="0.25">
      <c r="A19" s="85" t="s">
        <v>15</v>
      </c>
      <c r="B19" s="85"/>
      <c r="C19" s="124" t="s">
        <v>167</v>
      </c>
      <c r="D19" s="124"/>
      <c r="E19" s="86" t="s">
        <v>16</v>
      </c>
      <c r="F19" s="86"/>
      <c r="G19" s="88" t="s">
        <v>171</v>
      </c>
      <c r="H19" s="88"/>
    </row>
    <row r="20" spans="1:8" ht="15" customHeight="1" x14ac:dyDescent="0.25">
      <c r="A20" s="86" t="s">
        <v>113</v>
      </c>
      <c r="B20" s="86"/>
      <c r="C20" s="86"/>
      <c r="D20" s="86"/>
      <c r="E20" s="102" t="s">
        <v>17</v>
      </c>
      <c r="F20" s="102"/>
      <c r="G20" s="102"/>
      <c r="H20" s="102"/>
    </row>
    <row r="21" spans="1:8" ht="18.75" customHeight="1" x14ac:dyDescent="0.25">
      <c r="A21" s="86"/>
      <c r="B21" s="86"/>
      <c r="C21" s="86"/>
      <c r="D21" s="86"/>
      <c r="E21" s="102"/>
      <c r="F21" s="102"/>
      <c r="G21" s="102"/>
      <c r="H21" s="102"/>
    </row>
    <row r="22" spans="1:8" ht="15" customHeight="1" x14ac:dyDescent="0.25">
      <c r="A22" s="86" t="s">
        <v>18</v>
      </c>
      <c r="B22" s="86"/>
      <c r="C22" s="86"/>
      <c r="D22" s="86"/>
      <c r="E22" s="88" t="s">
        <v>19</v>
      </c>
      <c r="F22" s="88"/>
      <c r="G22" s="88"/>
      <c r="H22" s="88"/>
    </row>
    <row r="23" spans="1:8" ht="15" customHeight="1" x14ac:dyDescent="0.25">
      <c r="A23" s="85" t="s">
        <v>20</v>
      </c>
      <c r="B23" s="85"/>
      <c r="C23" s="85"/>
      <c r="D23" s="85"/>
      <c r="E23" s="88" t="s">
        <v>169</v>
      </c>
      <c r="F23" s="88"/>
      <c r="G23" s="88"/>
      <c r="H23" s="88"/>
    </row>
    <row r="24" spans="1:8" x14ac:dyDescent="0.25">
      <c r="A24" s="85" t="s">
        <v>21</v>
      </c>
      <c r="B24" s="85"/>
      <c r="C24" s="85"/>
      <c r="D24" s="85"/>
      <c r="E24" s="88" t="s">
        <v>22</v>
      </c>
      <c r="F24" s="88"/>
      <c r="G24" s="88"/>
      <c r="H24" s="88"/>
    </row>
    <row r="25" spans="1:8" x14ac:dyDescent="0.25">
      <c r="A25" s="85" t="s">
        <v>23</v>
      </c>
      <c r="B25" s="85"/>
      <c r="C25" s="85"/>
      <c r="D25" s="85"/>
      <c r="E25" s="88" t="s">
        <v>170</v>
      </c>
      <c r="F25" s="88"/>
      <c r="G25" s="88"/>
      <c r="H25" s="88"/>
    </row>
    <row r="26" spans="1:8" x14ac:dyDescent="0.25">
      <c r="A26" s="85" t="s">
        <v>24</v>
      </c>
      <c r="B26" s="85"/>
      <c r="C26" s="85"/>
      <c r="D26" s="85"/>
      <c r="E26" s="88" t="s">
        <v>25</v>
      </c>
      <c r="F26" s="88"/>
      <c r="G26" s="88"/>
      <c r="H26" s="88"/>
    </row>
    <row r="27" spans="1:8" x14ac:dyDescent="0.25">
      <c r="A27" s="85" t="s">
        <v>118</v>
      </c>
      <c r="B27" s="85"/>
      <c r="C27" s="85"/>
      <c r="D27" s="85"/>
      <c r="E27" s="88" t="s">
        <v>119</v>
      </c>
      <c r="F27" s="88"/>
      <c r="G27" s="88"/>
      <c r="H27" s="88"/>
    </row>
    <row r="28" spans="1:8" ht="15" customHeight="1" x14ac:dyDescent="0.25">
      <c r="A28" s="86" t="s">
        <v>34</v>
      </c>
      <c r="B28" s="86"/>
      <c r="C28" s="86"/>
      <c r="D28" s="86"/>
      <c r="E28" s="119" t="s">
        <v>192</v>
      </c>
      <c r="F28" s="119"/>
      <c r="G28" s="119"/>
      <c r="H28" s="119"/>
    </row>
    <row r="29" spans="1:8" x14ac:dyDescent="0.25">
      <c r="A29" s="86" t="s">
        <v>132</v>
      </c>
      <c r="B29" s="86"/>
      <c r="C29" s="86"/>
      <c r="D29" s="86"/>
      <c r="E29" s="86" t="s">
        <v>35</v>
      </c>
      <c r="F29" s="86"/>
      <c r="G29" s="86"/>
      <c r="H29" s="86"/>
    </row>
    <row r="30" spans="1:8" s="12" customFormat="1" x14ac:dyDescent="0.25">
      <c r="A30" s="83" t="s">
        <v>133</v>
      </c>
      <c r="B30" s="83"/>
      <c r="C30" s="121" t="s">
        <v>30</v>
      </c>
      <c r="D30" s="121"/>
      <c r="E30" s="121"/>
      <c r="F30" s="121" t="s">
        <v>32</v>
      </c>
      <c r="G30" s="121"/>
      <c r="H30" s="121"/>
    </row>
    <row r="31" spans="1:8" s="12" customFormat="1" x14ac:dyDescent="0.25">
      <c r="A31" s="105" t="s">
        <v>26</v>
      </c>
      <c r="B31" s="105" t="s">
        <v>31</v>
      </c>
      <c r="C31" s="104" t="s">
        <v>31</v>
      </c>
      <c r="D31" s="104"/>
      <c r="E31" s="104"/>
      <c r="F31" s="104" t="s">
        <v>11</v>
      </c>
      <c r="G31" s="104"/>
      <c r="H31" s="104"/>
    </row>
    <row r="32" spans="1:8" x14ac:dyDescent="0.25">
      <c r="A32" s="105" t="s">
        <v>27</v>
      </c>
      <c r="B32" s="105" t="s">
        <v>31</v>
      </c>
      <c r="C32" s="104" t="s">
        <v>31</v>
      </c>
      <c r="D32" s="104"/>
      <c r="E32" s="104"/>
      <c r="F32" s="104" t="s">
        <v>168</v>
      </c>
      <c r="G32" s="104"/>
      <c r="H32" s="104"/>
    </row>
    <row r="33" spans="1:8" s="12" customFormat="1" x14ac:dyDescent="0.25">
      <c r="A33" s="105" t="s">
        <v>29</v>
      </c>
      <c r="B33" s="105" t="s">
        <v>31</v>
      </c>
      <c r="C33" s="104" t="s">
        <v>31</v>
      </c>
      <c r="D33" s="104"/>
      <c r="E33" s="104"/>
      <c r="F33" s="104" t="s">
        <v>167</v>
      </c>
      <c r="G33" s="104"/>
      <c r="H33" s="104"/>
    </row>
    <row r="34" spans="1:8" x14ac:dyDescent="0.25">
      <c r="A34" s="105" t="s">
        <v>28</v>
      </c>
      <c r="B34" s="105" t="s">
        <v>31</v>
      </c>
      <c r="C34" s="104" t="s">
        <v>31</v>
      </c>
      <c r="D34" s="104"/>
      <c r="E34" s="104"/>
      <c r="F34" s="104" t="s">
        <v>166</v>
      </c>
      <c r="G34" s="104"/>
      <c r="H34" s="104"/>
    </row>
    <row r="35" spans="1:8" x14ac:dyDescent="0.25">
      <c r="A35" s="85" t="s">
        <v>33</v>
      </c>
      <c r="B35" s="85"/>
      <c r="C35" s="85"/>
      <c r="D35" s="85"/>
      <c r="E35" s="85"/>
      <c r="F35" s="85"/>
      <c r="G35" s="85"/>
      <c r="H35" s="85"/>
    </row>
    <row r="36" spans="1:8" ht="15.75" customHeight="1" x14ac:dyDescent="0.25">
      <c r="A36" s="65" t="s">
        <v>262</v>
      </c>
      <c r="B36" s="65"/>
      <c r="C36" s="66" t="s">
        <v>263</v>
      </c>
      <c r="D36" s="66"/>
      <c r="E36" s="66"/>
      <c r="F36" s="66"/>
      <c r="G36" s="66"/>
      <c r="H36" s="66"/>
    </row>
    <row r="37" spans="1:8" ht="15.75" customHeight="1" x14ac:dyDescent="0.25">
      <c r="A37" s="65" t="s">
        <v>264</v>
      </c>
      <c r="B37" s="65"/>
      <c r="C37" s="67" t="s">
        <v>265</v>
      </c>
      <c r="D37" s="66"/>
      <c r="E37" s="66"/>
      <c r="F37" s="66"/>
      <c r="G37" s="66"/>
      <c r="H37" s="66"/>
    </row>
    <row r="38" spans="1:8" x14ac:dyDescent="0.25">
      <c r="A38" s="103" t="s">
        <v>36</v>
      </c>
      <c r="B38" s="103"/>
      <c r="C38" s="103"/>
      <c r="D38" s="103"/>
      <c r="E38" s="103"/>
      <c r="F38" s="103"/>
      <c r="G38" s="103"/>
      <c r="H38" s="103"/>
    </row>
    <row r="39" spans="1:8" x14ac:dyDescent="0.25">
      <c r="A39" s="85" t="s">
        <v>37</v>
      </c>
      <c r="B39" s="85"/>
      <c r="C39" s="85"/>
      <c r="D39" s="85"/>
      <c r="E39" s="120">
        <v>17733.73</v>
      </c>
      <c r="F39" s="120"/>
      <c r="G39" s="120"/>
      <c r="H39" s="120"/>
    </row>
    <row r="40" spans="1:8" x14ac:dyDescent="0.25">
      <c r="A40" s="85" t="s">
        <v>38</v>
      </c>
      <c r="B40" s="85"/>
      <c r="C40" s="85"/>
      <c r="D40" s="85"/>
      <c r="E40" s="118">
        <v>1.33</v>
      </c>
      <c r="F40" s="118"/>
      <c r="G40" s="118"/>
      <c r="H40" s="118"/>
    </row>
    <row r="41" spans="1:8" x14ac:dyDescent="0.25">
      <c r="A41" s="85" t="s">
        <v>39</v>
      </c>
      <c r="B41" s="85"/>
      <c r="C41" s="85"/>
      <c r="D41" s="85"/>
      <c r="E41" s="118">
        <f>E43/E39-E40</f>
        <v>2.581858362566702</v>
      </c>
      <c r="F41" s="118"/>
      <c r="G41" s="118"/>
      <c r="H41" s="118"/>
    </row>
    <row r="42" spans="1:8" x14ac:dyDescent="0.25">
      <c r="A42" s="85" t="s">
        <v>40</v>
      </c>
      <c r="B42" s="85"/>
      <c r="C42" s="85"/>
      <c r="D42" s="85"/>
      <c r="E42" s="118">
        <f>E40+E41</f>
        <v>3.9118583625667021</v>
      </c>
      <c r="F42" s="118"/>
      <c r="G42" s="118"/>
      <c r="H42" s="118"/>
    </row>
    <row r="43" spans="1:8" x14ac:dyDescent="0.25">
      <c r="A43" s="85" t="s">
        <v>131</v>
      </c>
      <c r="B43" s="85"/>
      <c r="C43" s="85"/>
      <c r="D43" s="85"/>
      <c r="E43" s="125">
        <v>69371.839999999997</v>
      </c>
      <c r="F43" s="125"/>
      <c r="G43" s="125"/>
      <c r="H43" s="125"/>
    </row>
    <row r="44" spans="1:8" x14ac:dyDescent="0.25">
      <c r="A44" s="102" t="s">
        <v>41</v>
      </c>
      <c r="B44" s="102"/>
      <c r="C44" s="102"/>
      <c r="D44" s="102"/>
      <c r="E44" s="102" t="s">
        <v>224</v>
      </c>
      <c r="F44" s="102"/>
      <c r="G44" s="102"/>
      <c r="H44" s="102"/>
    </row>
    <row r="45" spans="1:8" x14ac:dyDescent="0.25">
      <c r="A45" s="93" t="s">
        <v>42</v>
      </c>
      <c r="B45" s="93"/>
      <c r="C45" s="93"/>
      <c r="D45" s="93"/>
      <c r="E45" s="93"/>
      <c r="F45" s="93"/>
      <c r="G45" s="93"/>
      <c r="H45" s="93"/>
    </row>
    <row r="46" spans="1:8" ht="37.5" customHeight="1" x14ac:dyDescent="0.25">
      <c r="A46" s="88" t="s">
        <v>43</v>
      </c>
      <c r="B46" s="88"/>
      <c r="C46" s="89" t="s">
        <v>266</v>
      </c>
      <c r="D46" s="89"/>
      <c r="E46" s="89"/>
      <c r="F46" s="60" t="s">
        <v>44</v>
      </c>
      <c r="G46" s="90">
        <v>44953</v>
      </c>
      <c r="H46" s="88"/>
    </row>
    <row r="47" spans="1:8" ht="33.75" customHeight="1" x14ac:dyDescent="0.25">
      <c r="A47" s="88" t="s">
        <v>45</v>
      </c>
      <c r="B47" s="88"/>
      <c r="C47" s="89" t="str">
        <f>C46</f>
        <v>CHE/CTY/0953/F/N/337
(NEW)/337/10/Amend</v>
      </c>
      <c r="D47" s="89"/>
      <c r="E47" s="89"/>
      <c r="F47" s="60" t="s">
        <v>44</v>
      </c>
      <c r="G47" s="90">
        <f>G46</f>
        <v>44953</v>
      </c>
      <c r="H47" s="88"/>
    </row>
    <row r="48" spans="1:8" s="11" customFormat="1" ht="32.25" customHeight="1" x14ac:dyDescent="0.25">
      <c r="A48" s="88" t="s">
        <v>46</v>
      </c>
      <c r="B48" s="88"/>
      <c r="C48" s="89" t="s">
        <v>304</v>
      </c>
      <c r="D48" s="84"/>
      <c r="E48" s="84"/>
      <c r="F48" s="14" t="s">
        <v>44</v>
      </c>
      <c r="G48" s="91">
        <v>45392</v>
      </c>
      <c r="H48" s="84"/>
    </row>
    <row r="49" spans="1:11" s="11" customFormat="1" ht="188.45" customHeight="1" x14ac:dyDescent="0.25">
      <c r="A49" s="88"/>
      <c r="B49" s="88"/>
      <c r="C49" s="89" t="s">
        <v>306</v>
      </c>
      <c r="D49" s="89"/>
      <c r="E49" s="89"/>
      <c r="F49" s="15" t="s">
        <v>127</v>
      </c>
      <c r="G49" s="90">
        <v>45756</v>
      </c>
      <c r="H49" s="88"/>
    </row>
    <row r="50" spans="1:11" s="11" customFormat="1" ht="32.25" customHeight="1" x14ac:dyDescent="0.25">
      <c r="A50" s="88" t="s">
        <v>46</v>
      </c>
      <c r="B50" s="88"/>
      <c r="C50" s="89" t="s">
        <v>303</v>
      </c>
      <c r="D50" s="84"/>
      <c r="E50" s="84"/>
      <c r="F50" s="14" t="s">
        <v>44</v>
      </c>
      <c r="G50" s="91">
        <v>45751</v>
      </c>
      <c r="H50" s="84"/>
    </row>
    <row r="51" spans="1:11" s="11" customFormat="1" ht="172.35" customHeight="1" x14ac:dyDescent="0.25">
      <c r="A51" s="88"/>
      <c r="B51" s="88"/>
      <c r="C51" s="89" t="s">
        <v>305</v>
      </c>
      <c r="D51" s="89"/>
      <c r="E51" s="89"/>
      <c r="F51" s="15" t="s">
        <v>127</v>
      </c>
      <c r="G51" s="90">
        <v>45758</v>
      </c>
      <c r="H51" s="88"/>
    </row>
    <row r="52" spans="1:11" x14ac:dyDescent="0.25">
      <c r="A52" s="127" t="s">
        <v>47</v>
      </c>
      <c r="B52" s="127"/>
      <c r="C52" s="128" t="s">
        <v>145</v>
      </c>
      <c r="D52" s="129"/>
      <c r="E52" s="129" t="s">
        <v>48</v>
      </c>
      <c r="F52" s="62" t="s">
        <v>44</v>
      </c>
      <c r="G52" s="126" t="s">
        <v>31</v>
      </c>
      <c r="H52" s="126"/>
    </row>
    <row r="53" spans="1:11" x14ac:dyDescent="0.25">
      <c r="A53" s="130" t="s">
        <v>50</v>
      </c>
      <c r="B53" s="130"/>
      <c r="C53" s="130"/>
      <c r="D53" s="130"/>
      <c r="E53" s="130"/>
      <c r="F53" s="130"/>
      <c r="G53" s="130"/>
      <c r="H53" s="130"/>
    </row>
    <row r="54" spans="1:11" x14ac:dyDescent="0.25">
      <c r="A54" s="86" t="s">
        <v>130</v>
      </c>
      <c r="B54" s="86"/>
      <c r="C54" s="86"/>
      <c r="D54" s="85">
        <v>69371.839999999997</v>
      </c>
      <c r="E54" s="85"/>
      <c r="F54" s="85"/>
      <c r="G54" s="85"/>
      <c r="H54" s="85"/>
    </row>
    <row r="55" spans="1:11" x14ac:dyDescent="0.25">
      <c r="A55" s="88" t="s">
        <v>51</v>
      </c>
      <c r="B55" s="102"/>
      <c r="C55" s="102"/>
      <c r="D55" s="102" t="s">
        <v>292</v>
      </c>
      <c r="E55" s="102"/>
      <c r="F55" s="102"/>
      <c r="G55" s="102"/>
      <c r="H55" s="102"/>
    </row>
    <row r="56" spans="1:11" ht="65.25" customHeight="1" x14ac:dyDescent="0.25">
      <c r="A56" s="88" t="s">
        <v>52</v>
      </c>
      <c r="B56" s="102"/>
      <c r="C56" s="102"/>
      <c r="D56" s="88" t="s">
        <v>291</v>
      </c>
      <c r="E56" s="88"/>
      <c r="F56" s="88"/>
      <c r="G56" s="88"/>
      <c r="H56" s="88"/>
    </row>
    <row r="57" spans="1:11" ht="33.6" customHeight="1" x14ac:dyDescent="0.25">
      <c r="A57" s="88" t="s">
        <v>128</v>
      </c>
      <c r="B57" s="88"/>
      <c r="C57" s="88"/>
      <c r="D57" s="88" t="s">
        <v>290</v>
      </c>
      <c r="E57" s="88"/>
      <c r="F57" s="88"/>
      <c r="G57" s="88"/>
      <c r="H57" s="88"/>
    </row>
    <row r="58" spans="1:11" ht="15.75" customHeight="1" x14ac:dyDescent="0.25">
      <c r="A58" s="85" t="s">
        <v>49</v>
      </c>
      <c r="B58" s="85"/>
      <c r="C58" s="85"/>
      <c r="D58" s="86" t="s">
        <v>196</v>
      </c>
      <c r="E58" s="86"/>
      <c r="F58" s="86"/>
      <c r="G58" s="86"/>
      <c r="H58" s="86"/>
    </row>
    <row r="59" spans="1:11" ht="15.75" customHeight="1" x14ac:dyDescent="0.25">
      <c r="A59" s="85" t="s">
        <v>124</v>
      </c>
      <c r="B59" s="85"/>
      <c r="C59" s="85"/>
      <c r="D59" s="86" t="s">
        <v>125</v>
      </c>
      <c r="E59" s="86"/>
      <c r="F59" s="86"/>
      <c r="G59" s="86"/>
      <c r="H59" s="86"/>
    </row>
    <row r="60" spans="1:11" ht="15.75" customHeight="1" x14ac:dyDescent="0.25">
      <c r="A60" s="85" t="s">
        <v>126</v>
      </c>
      <c r="B60" s="85"/>
      <c r="C60" s="85"/>
      <c r="D60" s="86" t="s">
        <v>25</v>
      </c>
      <c r="E60" s="86"/>
      <c r="F60" s="86"/>
      <c r="G60" s="86"/>
      <c r="H60" s="86"/>
      <c r="J60" s="23"/>
      <c r="K60" s="23"/>
    </row>
    <row r="61" spans="1:11" ht="15.75" customHeight="1" thickBot="1" x14ac:dyDescent="0.3">
      <c r="A61" s="132" t="s">
        <v>123</v>
      </c>
      <c r="B61" s="132"/>
      <c r="C61" s="132"/>
      <c r="D61" s="133" t="s">
        <v>191</v>
      </c>
      <c r="E61" s="133"/>
      <c r="F61" s="133"/>
      <c r="G61" s="133"/>
      <c r="H61" s="133"/>
      <c r="J61" s="23"/>
      <c r="K61" s="23"/>
    </row>
    <row r="62" spans="1:11" ht="17.25" customHeight="1" x14ac:dyDescent="0.25">
      <c r="A62" s="134" t="s">
        <v>198</v>
      </c>
      <c r="B62" s="135"/>
      <c r="C62" s="136" t="str">
        <f>D57</f>
        <v>D &amp; E Wing = 3B + Gr. + 5P + Transfer level +  Sr.Floor + 1st to 44th Floor</v>
      </c>
      <c r="D62" s="137"/>
      <c r="E62" s="137"/>
      <c r="F62" s="137"/>
      <c r="G62" s="137"/>
      <c r="H62" s="138"/>
      <c r="I62" s="52" t="str">
        <f ca="1">(IF(E66&gt;99%,"All work completed. Please provide OC.",IF(E66&gt;89.8%,"Plinth, RCC, Brick, Plaster, Flooring, Painting work Completed. Finishing work is in process.",IF(E66&lt;94%,(IF(C66=0,"Work not yet Started.",IF(D66=25%,"Piling work in process",IF(D66=50%,"Excavation work in process",IF(D66=100%,"Excavation work Completed. ","0")))&amp;(IF(C67=0%,"",IF(C67=J68,"Footing work is process",IF(C67=J69,"Footing work Completed",IF(C67=J70,"1st Basement Completed",IF(C67=J71,"1st &amp; 2nd Basement Completed",IF(C67=J72,"1st to 3rd Basement Completed",IF(C67=J73,"1st to 4th Basement Completed",IF(C67=J74,"Plinth work is process",IF(C67=J75,"Plinth work completed","0")))))))))))&amp;(IF(C68=(D63+F63+H63),", RCC Slab",IF(C68&gt;0,", RCC upto "&amp;C68&amp;" Slab",""))&amp;(IF(C69=H63,", Brickwork",IF(C69&gt;0,", Brickwork upto "&amp;C69&amp;" Floor",""))&amp;(IF(C70=H63,", Internal Plaster",IF(C70&gt;0,", Internal Plaster upto "&amp;C70&amp;" Floor",""))&amp;(IF(C71=H63,", External Plaster",IF(C71&gt;0,", External Plaster upto "&amp;C71&amp;" Floor",""))&amp;(IF(C72=H63,", Flooring",IF(C72&gt;0,", Flooring upto "&amp;C72&amp;" Floor",""))&amp;(IF(C73=H63,", Painting",IF(C73&gt;0,", Painting upto "&amp;C73&amp;" Floor",""))&amp;(IF(C74&gt;0,", Finishing upto "&amp;C74&amp;" Floor","")&amp;(IF(C68&gt;0.5," Completed",""))))))))))))))</f>
        <v>Excavation work Completed. Plinth work completed, RCC Slab, Brickwork, Internal Plaster, External Plaster, Flooring, Painting upto 40 Floor Completed</v>
      </c>
      <c r="J62" s="25"/>
      <c r="K62" s="23"/>
    </row>
    <row r="63" spans="1:11" ht="15.75" customHeight="1" x14ac:dyDescent="0.25">
      <c r="A63" s="24" t="s">
        <v>104</v>
      </c>
      <c r="B63" s="51">
        <v>3</v>
      </c>
      <c r="C63" s="51" t="s">
        <v>106</v>
      </c>
      <c r="D63" s="51">
        <v>1</v>
      </c>
      <c r="E63" s="51" t="s">
        <v>105</v>
      </c>
      <c r="F63" s="51">
        <v>6</v>
      </c>
      <c r="G63" s="51" t="s">
        <v>117</v>
      </c>
      <c r="H63" s="43">
        <f ca="1">--TRIM(RIGHT(SUBSTITUTE(LEFT(C62,_xlfn.AGGREGATE(16,6,FIND({0,1,2,3,4,5,6,7,8,9},C62,ROW(INDIRECT("1:"&amp;LEN(C62)))),1))," ",REPT(" ",LEN(C62))),LEN(C62)))</f>
        <v>44</v>
      </c>
      <c r="I63" s="23"/>
      <c r="J63" s="26"/>
      <c r="K63" s="23"/>
    </row>
    <row r="64" spans="1:11" ht="48" customHeight="1" x14ac:dyDescent="0.25">
      <c r="A64" s="92" t="s">
        <v>129</v>
      </c>
      <c r="B64" s="93"/>
      <c r="C64" s="94" t="str">
        <f ca="1">I62</f>
        <v>Excavation work Completed. Plinth work completed, RCC Slab, Brickwork, Internal Plaster, External Plaster, Flooring, Painting upto 40 Floor Completed</v>
      </c>
      <c r="D64" s="95"/>
      <c r="E64" s="95"/>
      <c r="F64" s="95"/>
      <c r="G64" s="95"/>
      <c r="H64" s="96"/>
      <c r="I64" s="23" t="s">
        <v>144</v>
      </c>
      <c r="J64" s="26"/>
      <c r="K64" s="23"/>
    </row>
    <row r="65" spans="1:12" ht="15.75" customHeight="1" x14ac:dyDescent="0.25">
      <c r="A65" s="97" t="s">
        <v>53</v>
      </c>
      <c r="B65" s="98"/>
      <c r="C65" s="44" t="s">
        <v>199</v>
      </c>
      <c r="D65" s="44" t="s">
        <v>120</v>
      </c>
      <c r="E65" s="99" t="s">
        <v>122</v>
      </c>
      <c r="F65" s="100"/>
      <c r="G65" s="99" t="s">
        <v>121</v>
      </c>
      <c r="H65" s="101"/>
      <c r="I65" s="53" t="s">
        <v>200</v>
      </c>
      <c r="J65" s="27">
        <f ca="1">H63*25%</f>
        <v>11</v>
      </c>
      <c r="K65" s="23"/>
    </row>
    <row r="66" spans="1:12" ht="15.75" customHeight="1" x14ac:dyDescent="0.25">
      <c r="A66" s="97" t="s">
        <v>201</v>
      </c>
      <c r="B66" s="98"/>
      <c r="C66" s="45">
        <f ca="1">J67</f>
        <v>44</v>
      </c>
      <c r="D66" s="49">
        <f ca="1">((100/H63)*C66)/100</f>
        <v>1.0000000000000002</v>
      </c>
      <c r="E66" s="141">
        <f ca="1">(((C67/H63*10)+(40/(D63+F63+H63)*C68)+(7.5/(H63)*C69)+(7.5/(H63)*C70)+(10/H63*C71)+(10/H63*C72)+(5/H63*C73)+(5/H63*C74)+(5/H63*C75))/100)</f>
        <v>0.8954545454545455</v>
      </c>
      <c r="F66" s="142"/>
      <c r="G66" s="141">
        <f ca="1">((((C66/H63)*20)+((C67/H63)*25)+(30/(H63+F63+D63)*C68)+(5/H63*C69)+(5/H63*C70)+(5/H63*C71)+(5/H63*C72)+(0/H63*C73)+(0/H63*C74)+(5/H63*C75))/100)</f>
        <v>0.95</v>
      </c>
      <c r="H66" s="147"/>
      <c r="I66" s="53" t="s">
        <v>138</v>
      </c>
      <c r="J66" s="54">
        <f ca="1">H63*50%</f>
        <v>22</v>
      </c>
      <c r="K66" s="23"/>
    </row>
    <row r="67" spans="1:12" ht="15.75" customHeight="1" x14ac:dyDescent="0.25">
      <c r="A67" s="97" t="s">
        <v>54</v>
      </c>
      <c r="B67" s="98"/>
      <c r="C67" s="46">
        <f ca="1">J75</f>
        <v>44</v>
      </c>
      <c r="D67" s="49">
        <f ca="1">((100/H63)*C67)/100</f>
        <v>1.0000000000000002</v>
      </c>
      <c r="E67" s="143"/>
      <c r="F67" s="144"/>
      <c r="G67" s="143"/>
      <c r="H67" s="148"/>
      <c r="I67" s="53" t="s">
        <v>139</v>
      </c>
      <c r="J67" s="54">
        <f ca="1">H63</f>
        <v>44</v>
      </c>
      <c r="K67" s="23"/>
    </row>
    <row r="68" spans="1:12" ht="15.75" customHeight="1" x14ac:dyDescent="0.25">
      <c r="A68" s="150" t="s">
        <v>202</v>
      </c>
      <c r="B68" s="104"/>
      <c r="C68" s="46">
        <v>51</v>
      </c>
      <c r="D68" s="49">
        <f ca="1">((100/(D63+F63+H63))*C68)/100</f>
        <v>1</v>
      </c>
      <c r="E68" s="143"/>
      <c r="F68" s="144"/>
      <c r="G68" s="143"/>
      <c r="H68" s="148"/>
      <c r="I68" s="53" t="s">
        <v>140</v>
      </c>
      <c r="J68" s="55">
        <f ca="1">(IF(B63&gt;1,(H63/(B63+2)),H63/4))</f>
        <v>8.8000000000000007</v>
      </c>
      <c r="K68" s="23"/>
    </row>
    <row r="69" spans="1:12" ht="15.75" customHeight="1" x14ac:dyDescent="0.25">
      <c r="A69" s="97" t="s">
        <v>203</v>
      </c>
      <c r="B69" s="98" t="s">
        <v>204</v>
      </c>
      <c r="C69" s="46">
        <v>44</v>
      </c>
      <c r="D69" s="49">
        <f ca="1">((100/H63)*C69)/100</f>
        <v>1.0000000000000002</v>
      </c>
      <c r="E69" s="143"/>
      <c r="F69" s="144"/>
      <c r="G69" s="143"/>
      <c r="H69" s="148"/>
      <c r="I69" s="53" t="s">
        <v>141</v>
      </c>
      <c r="J69" s="55">
        <f ca="1">(IF(B63&gt;1,(H63/(B63+2)+J68),H63/4+J68))</f>
        <v>17.600000000000001</v>
      </c>
      <c r="K69" s="23"/>
    </row>
    <row r="70" spans="1:12" ht="15.75" customHeight="1" x14ac:dyDescent="0.25">
      <c r="A70" s="97" t="s">
        <v>205</v>
      </c>
      <c r="B70" s="98" t="s">
        <v>204</v>
      </c>
      <c r="C70" s="46">
        <v>44</v>
      </c>
      <c r="D70" s="49">
        <f ca="1">((100/H63)*C70)/100</f>
        <v>1.0000000000000002</v>
      </c>
      <c r="E70" s="143"/>
      <c r="F70" s="144"/>
      <c r="G70" s="143"/>
      <c r="H70" s="148"/>
      <c r="I70" s="53" t="s">
        <v>206</v>
      </c>
      <c r="J70" s="55">
        <f ca="1">(IF(B63&gt;1,(H63/(B63+2)+J69),0))</f>
        <v>26.400000000000002</v>
      </c>
      <c r="K70" s="23"/>
    </row>
    <row r="71" spans="1:12" ht="15.75" customHeight="1" x14ac:dyDescent="0.25">
      <c r="A71" s="97" t="s">
        <v>207</v>
      </c>
      <c r="B71" s="98" t="s">
        <v>208</v>
      </c>
      <c r="C71" s="46">
        <v>44</v>
      </c>
      <c r="D71" s="49">
        <f ca="1">((100/(H63))*C71)/100</f>
        <v>1.0000000000000002</v>
      </c>
      <c r="E71" s="143"/>
      <c r="F71" s="144"/>
      <c r="G71" s="143"/>
      <c r="H71" s="148"/>
      <c r="I71" s="53" t="s">
        <v>209</v>
      </c>
      <c r="J71" s="55">
        <f ca="1">(IF(B63&gt;2,(H63/(B63+2)+J70),0))</f>
        <v>35.200000000000003</v>
      </c>
      <c r="K71" s="23"/>
    </row>
    <row r="72" spans="1:12" ht="15.75" customHeight="1" x14ac:dyDescent="0.25">
      <c r="A72" s="97" t="s">
        <v>210</v>
      </c>
      <c r="B72" s="98" t="s">
        <v>210</v>
      </c>
      <c r="C72" s="45">
        <v>44</v>
      </c>
      <c r="D72" s="49">
        <f ca="1">((100/H63)*C72)/100</f>
        <v>1.0000000000000002</v>
      </c>
      <c r="E72" s="143"/>
      <c r="F72" s="144"/>
      <c r="G72" s="143"/>
      <c r="H72" s="148"/>
      <c r="I72" s="53" t="s">
        <v>211</v>
      </c>
      <c r="J72" s="56">
        <f>(IF(B63&gt;3,(H63/(B63+2)+J71),0))</f>
        <v>0</v>
      </c>
      <c r="K72" s="23"/>
    </row>
    <row r="73" spans="1:12" ht="15.75" customHeight="1" x14ac:dyDescent="0.25">
      <c r="A73" s="97" t="s">
        <v>212</v>
      </c>
      <c r="B73" s="98"/>
      <c r="C73" s="45">
        <v>40</v>
      </c>
      <c r="D73" s="49">
        <f ca="1">((100/H63)*C73)/100</f>
        <v>0.90909090909090917</v>
      </c>
      <c r="E73" s="143"/>
      <c r="F73" s="144"/>
      <c r="G73" s="143"/>
      <c r="H73" s="148"/>
      <c r="I73" s="53" t="s">
        <v>213</v>
      </c>
      <c r="J73" s="55">
        <f>(IF(B63&gt;4,(H63/(B63+2)+J72),0))</f>
        <v>0</v>
      </c>
      <c r="K73" s="23"/>
    </row>
    <row r="74" spans="1:12" ht="15.75" customHeight="1" x14ac:dyDescent="0.25">
      <c r="A74" s="97" t="s">
        <v>214</v>
      </c>
      <c r="B74" s="98" t="s">
        <v>214</v>
      </c>
      <c r="C74" s="45">
        <v>0</v>
      </c>
      <c r="D74" s="49">
        <f ca="1">((100/(H63))*C74)/100</f>
        <v>0</v>
      </c>
      <c r="E74" s="143"/>
      <c r="F74" s="144"/>
      <c r="G74" s="143"/>
      <c r="H74" s="148"/>
      <c r="I74" s="53" t="s">
        <v>142</v>
      </c>
      <c r="J74" s="55">
        <f>(IF(B63=1,(H63/(B63+3)+J69),IF(B63=0,(H63/4+J69),IF(B63&gt;1,0))))</f>
        <v>0</v>
      </c>
      <c r="K74" s="23"/>
    </row>
    <row r="75" spans="1:12" ht="15.75" customHeight="1" thickBot="1" x14ac:dyDescent="0.3">
      <c r="A75" s="151" t="s">
        <v>215</v>
      </c>
      <c r="B75" s="152"/>
      <c r="C75" s="47">
        <v>0</v>
      </c>
      <c r="D75" s="50">
        <f ca="1">((100/(H63))*C75)/100</f>
        <v>0</v>
      </c>
      <c r="E75" s="145"/>
      <c r="F75" s="146"/>
      <c r="G75" s="145"/>
      <c r="H75" s="149"/>
      <c r="I75" s="57" t="s">
        <v>143</v>
      </c>
      <c r="J75" s="58">
        <f ca="1">(IF(B63&gt;1.5,(H63/(B63+2)+J69+MAX(0,J70-J69)+MAX(0,J71-J70)+MAX(0,J72-J71)+MAX(0,J73-J72)+MAX(0,J74-J73)),IF(B63=1,(H63/(B63+3)+J74),IF(B63=0,H63/4+J74))))</f>
        <v>44</v>
      </c>
      <c r="K75" s="23"/>
    </row>
    <row r="76" spans="1:12" x14ac:dyDescent="0.25">
      <c r="A76" s="131" t="s">
        <v>195</v>
      </c>
      <c r="B76" s="131"/>
      <c r="C76" s="131"/>
      <c r="D76" s="131"/>
      <c r="E76" s="131"/>
      <c r="F76" s="131"/>
      <c r="G76" s="131"/>
      <c r="H76" s="131"/>
    </row>
    <row r="77" spans="1:12" x14ac:dyDescent="0.25">
      <c r="A77" s="85" t="s">
        <v>55</v>
      </c>
      <c r="B77" s="85"/>
      <c r="C77" s="85"/>
      <c r="D77" s="85"/>
      <c r="E77" s="85"/>
      <c r="F77" s="85"/>
      <c r="G77" s="85"/>
      <c r="H77" s="85"/>
    </row>
    <row r="78" spans="1:12" ht="15" customHeight="1" x14ac:dyDescent="0.25">
      <c r="A78" s="93" t="s">
        <v>108</v>
      </c>
      <c r="B78" s="93"/>
      <c r="C78" s="126" t="s">
        <v>109</v>
      </c>
      <c r="D78" s="126"/>
      <c r="E78" s="126"/>
      <c r="F78" s="126"/>
      <c r="G78" s="126"/>
      <c r="H78" s="126"/>
    </row>
    <row r="79" spans="1:12" x14ac:dyDescent="0.25">
      <c r="A79" s="103" t="s">
        <v>56</v>
      </c>
      <c r="B79" s="103"/>
      <c r="C79" s="103"/>
      <c r="D79" s="103"/>
      <c r="E79" s="103"/>
      <c r="F79" s="103"/>
      <c r="G79" s="103"/>
      <c r="H79" s="103"/>
    </row>
    <row r="80" spans="1:12" x14ac:dyDescent="0.25">
      <c r="A80" s="85" t="s">
        <v>110</v>
      </c>
      <c r="B80" s="85"/>
      <c r="C80" s="85"/>
      <c r="D80" s="85"/>
      <c r="E80" s="85"/>
      <c r="F80" s="87">
        <v>25000</v>
      </c>
      <c r="G80" s="87"/>
      <c r="H80" s="87"/>
      <c r="J80" s="8" t="s">
        <v>296</v>
      </c>
      <c r="K80" s="8" t="s">
        <v>297</v>
      </c>
      <c r="L80" s="63">
        <v>45295</v>
      </c>
    </row>
    <row r="81" spans="1:12" s="13" customFormat="1" x14ac:dyDescent="0.25">
      <c r="A81" s="85" t="s">
        <v>134</v>
      </c>
      <c r="B81" s="85"/>
      <c r="C81" s="85"/>
      <c r="D81" s="85"/>
      <c r="E81" s="85"/>
      <c r="F81" s="162" t="s">
        <v>298</v>
      </c>
      <c r="G81" s="162"/>
      <c r="H81" s="162"/>
      <c r="J81" s="13" t="s">
        <v>295</v>
      </c>
    </row>
    <row r="82" spans="1:12" s="13" customFormat="1" x14ac:dyDescent="0.25">
      <c r="A82" s="85" t="s">
        <v>261</v>
      </c>
      <c r="B82" s="85"/>
      <c r="C82" s="85"/>
      <c r="D82" s="85"/>
      <c r="E82" s="85"/>
      <c r="F82" s="163" t="s">
        <v>260</v>
      </c>
      <c r="G82" s="163"/>
      <c r="H82" s="163"/>
      <c r="I82" s="13">
        <v>350</v>
      </c>
    </row>
    <row r="83" spans="1:12" s="13" customFormat="1" ht="33" customHeight="1" x14ac:dyDescent="0.25">
      <c r="A83" s="86" t="s">
        <v>257</v>
      </c>
      <c r="B83" s="86"/>
      <c r="C83" s="86"/>
      <c r="D83" s="86"/>
      <c r="E83" s="86"/>
      <c r="F83" s="87">
        <v>30000</v>
      </c>
      <c r="G83" s="87"/>
      <c r="H83" s="87"/>
      <c r="I83" s="13" t="s">
        <v>221</v>
      </c>
    </row>
    <row r="84" spans="1:12" s="13" customFormat="1" x14ac:dyDescent="0.25">
      <c r="A84" s="85" t="s">
        <v>256</v>
      </c>
      <c r="B84" s="85"/>
      <c r="C84" s="85"/>
      <c r="D84" s="85"/>
      <c r="E84" s="85"/>
      <c r="F84" s="87">
        <v>125000</v>
      </c>
      <c r="G84" s="87"/>
      <c r="H84" s="87"/>
      <c r="I84" s="13" t="s">
        <v>219</v>
      </c>
    </row>
    <row r="85" spans="1:12" s="13" customFormat="1" hidden="1" x14ac:dyDescent="0.25">
      <c r="A85" s="85" t="s">
        <v>220</v>
      </c>
      <c r="B85" s="85"/>
      <c r="C85" s="85"/>
      <c r="D85" s="85"/>
      <c r="E85" s="85"/>
      <c r="F85" s="87">
        <v>100000</v>
      </c>
      <c r="G85" s="87"/>
      <c r="H85" s="87"/>
    </row>
    <row r="86" spans="1:12" s="13" customFormat="1" hidden="1" x14ac:dyDescent="0.25">
      <c r="A86" s="85" t="s">
        <v>135</v>
      </c>
      <c r="B86" s="85"/>
      <c r="C86" s="85"/>
      <c r="D86" s="85"/>
      <c r="E86" s="85"/>
      <c r="F86" s="84" t="s">
        <v>31</v>
      </c>
      <c r="G86" s="84"/>
      <c r="H86" s="84"/>
    </row>
    <row r="87" spans="1:12" s="13" customFormat="1" hidden="1" x14ac:dyDescent="0.25">
      <c r="A87" s="85" t="s">
        <v>136</v>
      </c>
      <c r="B87" s="85"/>
      <c r="C87" s="85"/>
      <c r="D87" s="85"/>
      <c r="E87" s="85"/>
      <c r="F87" s="84" t="s">
        <v>31</v>
      </c>
      <c r="G87" s="84"/>
      <c r="H87" s="84"/>
    </row>
    <row r="88" spans="1:12" s="13" customFormat="1" hidden="1" x14ac:dyDescent="0.25">
      <c r="A88" s="85" t="s">
        <v>137</v>
      </c>
      <c r="B88" s="85"/>
      <c r="C88" s="85"/>
      <c r="D88" s="85"/>
      <c r="E88" s="85"/>
      <c r="F88" s="84" t="s">
        <v>31</v>
      </c>
      <c r="G88" s="84"/>
      <c r="H88" s="84"/>
    </row>
    <row r="89" spans="1:12" x14ac:dyDescent="0.25">
      <c r="A89" s="85" t="s">
        <v>57</v>
      </c>
      <c r="B89" s="85"/>
      <c r="C89" s="85"/>
      <c r="D89" s="85"/>
      <c r="E89" s="85"/>
      <c r="F89" s="87">
        <v>1500000</v>
      </c>
      <c r="G89" s="87"/>
      <c r="H89" s="87"/>
      <c r="J89" s="8" t="s">
        <v>299</v>
      </c>
      <c r="K89" s="8" t="s">
        <v>300</v>
      </c>
      <c r="L89" s="63">
        <v>45303</v>
      </c>
    </row>
    <row r="90" spans="1:12" s="9" customFormat="1" x14ac:dyDescent="0.25">
      <c r="A90" s="103" t="s">
        <v>58</v>
      </c>
      <c r="B90" s="103"/>
      <c r="C90" s="103"/>
      <c r="D90" s="103"/>
      <c r="E90" s="103"/>
      <c r="F90" s="87">
        <f>F80*0.8</f>
        <v>20000</v>
      </c>
      <c r="G90" s="87"/>
      <c r="H90" s="87"/>
    </row>
    <row r="91" spans="1:12" s="1" customFormat="1" ht="15.75" hidden="1" customHeight="1" x14ac:dyDescent="0.25">
      <c r="A91" s="74" t="s">
        <v>111</v>
      </c>
      <c r="B91" s="74"/>
      <c r="C91" s="74"/>
      <c r="D91" s="74"/>
      <c r="E91" s="74"/>
      <c r="F91" s="74"/>
      <c r="G91" s="74"/>
      <c r="H91" s="74"/>
    </row>
    <row r="92" spans="1:12" s="1" customFormat="1" ht="15.75" hidden="1" customHeight="1" x14ac:dyDescent="0.25">
      <c r="A92" s="76" t="s">
        <v>59</v>
      </c>
      <c r="B92" s="76"/>
      <c r="C92" s="16" t="s">
        <v>115</v>
      </c>
      <c r="D92" s="139" t="s">
        <v>60</v>
      </c>
      <c r="E92" s="139"/>
      <c r="F92" s="76" t="s">
        <v>61</v>
      </c>
      <c r="G92" s="76"/>
      <c r="H92" s="76"/>
    </row>
    <row r="93" spans="1:12" s="1" customFormat="1" hidden="1" x14ac:dyDescent="0.25">
      <c r="A93" s="72"/>
      <c r="B93" s="72"/>
      <c r="C93" s="17"/>
      <c r="D93" s="73"/>
      <c r="E93" s="73"/>
      <c r="F93" s="140"/>
      <c r="G93" s="140"/>
      <c r="H93" s="140"/>
    </row>
    <row r="94" spans="1:12" s="1" customFormat="1" x14ac:dyDescent="0.25">
      <c r="A94" s="74" t="s">
        <v>103</v>
      </c>
      <c r="B94" s="74"/>
      <c r="C94" s="74"/>
      <c r="D94" s="74"/>
      <c r="E94" s="74"/>
      <c r="F94" s="74"/>
      <c r="G94" s="74"/>
      <c r="H94" s="74"/>
    </row>
    <row r="95" spans="1:12" s="1" customFormat="1" x14ac:dyDescent="0.25">
      <c r="A95" s="76" t="s">
        <v>59</v>
      </c>
      <c r="B95" s="76"/>
      <c r="C95" s="16" t="s">
        <v>115</v>
      </c>
      <c r="D95" s="139" t="s">
        <v>60</v>
      </c>
      <c r="E95" s="139"/>
      <c r="F95" s="76" t="s">
        <v>61</v>
      </c>
      <c r="G95" s="76"/>
      <c r="H95" s="76"/>
    </row>
    <row r="96" spans="1:12" s="1" customFormat="1" x14ac:dyDescent="0.25">
      <c r="A96" s="72" t="s">
        <v>225</v>
      </c>
      <c r="B96" s="72"/>
      <c r="C96" s="17">
        <f>COUNT(D110:D112)+COUNT(D114:D117)+COUNT(D119:D122)+COUNT(D124:D127)+COUNT(D129:D132)+COUNT(D134:D137)+COUNT(D139:D142)+COUNT(D145:D147)+COUNT(D149:D152)+COUNT(D154:D157)+COUNT(D159:D162)+COUNT(D164:D167)+COUNT(D169:D172)*2+COUNT(D174:D177)*2+COUNT(D180:D182)*2+COUNT(D184:D187)*2+COUNT(D189:D192)*3+COUNT(D194:D197)*3+COUNT(D199:D202)*3+COUNT(D204:D207)*3+COUNT(D209:D212)*3+COUNT(D215:D217)*2+COUNT(D219:D222)+COUNT(D224:D227)*2+COUNT(D229:D232)+COUNT(D234:D237)+COUNT(D239:D242,D244,D246:D248,D250:D253)</f>
        <v>174</v>
      </c>
      <c r="D96" s="73">
        <f>SUM(D110:D112)+SUM(D114:D117)+SUM(D119:D122)+SUM(D124:D127)+SUM(D129:D132)+SUM(D134:D137)+SUM(D139:D142)+SUM(D145:D147)+SUM(D149:D152)+SUM(D154:D157)+SUM(D159:D162)+SUM(D164:D167)+SUM(D169:D172)*2+SUM(D174:D177)*2+SUM(D180:D182)*2+SUM(D184:D187)*2+SUM(D189:D192)*3+SUM(D194:D197)*3+SUM(D199:D202)*3+SUM(D204:D207)*3+SUM(D209:D212)*3+SUM(D215:D217)*2+SUM(D219:D222)+SUM(D224:D227)*2+SUM(D229:D232)+SUM(D234:D237)+SUM(D239:D242,D244,D246:D248,D250:D253)</f>
        <v>127217.71793249993</v>
      </c>
      <c r="E96" s="73"/>
      <c r="F96" s="73">
        <f>SUM(F110:F112)+SUM(F114:F117)+SUM(F119:F122)+SUM(F124:F127)+SUM(F129:F132)+SUM(F134:F137)+SUM(F139:F142)+SUM(F145:F147)+SUM(F149:F152)+SUM(F154:F157)+SUM(F159:F162)+SUM(F164:F167)+SUM(F169:F172)*2+SUM(F174:F177)*2+SUM(F180:F182)*2+SUM(F184:F187)*2+SUM(F189:F192)*3+SUM(F194:F197)*3+SUM(F199:F202)*3+SUM(F204:F207)*3+SUM(F209:F212)*3+SUM(F215:F217)*2+SUM(F219:F222)+SUM(F224:F227)*2+SUM(F229:F232)+SUM(F234:F237)+SUM(F239:F242,F244,F246:F248,F250:F253)</f>
        <v>203548.34869199997</v>
      </c>
      <c r="G96" s="73"/>
      <c r="H96" s="73"/>
    </row>
    <row r="97" spans="1:11" s="1" customFormat="1" x14ac:dyDescent="0.25">
      <c r="A97" s="72" t="s">
        <v>249</v>
      </c>
      <c r="B97" s="72"/>
      <c r="C97" s="17">
        <f>COUNT(D262)+COUNT(D265:D266)+COUNT(D268:D272)+COUNT(D274:D278)+COUNT(D280:D284)+COUNT(D286:D290)+COUNT(D292:D296)+COUNT(D298:D302)+COUNT(D306:D308)+COUNT(D310:D314)+COUNT(D316:D320)+COUNT(D322:D326)+COUNT(D328:D332)+COUNT(D334:D338)+COUNT(D340:D344)+COUNT(D348:D350)+COUNT(D352:D356)+COUNT(D358:D362)*2+COUNT(D364:D368)*2+COUNT(D370:D374)+COUNT(D376:D380)*2+COUNT(D382:D386)*2+COUNT(D388:D392)*2+COUNT(D396:D398)*2+COUNT(D400:D404)+COUNT(D406:D410)+COUNT(D412:D416)+COUNT(D418:D422,D424:D428,D430:D434,D438:D440,D442:D446,D448:D452,D454:D458,D460:D464,D466:D470,D472:D476,D479:D482,D484:D488)</f>
        <v>207</v>
      </c>
      <c r="D97" s="73">
        <f>SUM(D262)+SUM(D265:D266)+SUM(D268:D272)+SUM(D274:D278)+SUM(D280:D284)+SUM(D286:D290)+SUM(D292:D296)+SUM(D298:D302)+SUM(D306:D308)+SUM(D310:D314)+SUM(D316:D320)+SUM(D322:D326)+SUM(D328:D332)+SUM(D334:D338)+SUM(D340:D344)+SUM(D348:D350)+SUM(D352:D356)+SUM(D358:D362)*2+SUM(D364:D368)*2+SUM(D370:D374)+SUM(D376:D380)*2+SUM(D382:D386)*2+SUM(D388:D392)*2+SUM(D396:D398)*2+SUM(D400:D404)+SUM(D406:D410)+SUM(D412:D416)+SUM(D418:D422,D424:D428,D430:D434,D438:D440,D442:D446,D448:D452,D454:D458,D460:D464,D466:D470,D472:D476,D479:D482,D484:D488)</f>
        <v>214303.41564839991</v>
      </c>
      <c r="E97" s="73"/>
      <c r="F97" s="73">
        <f>SUM(F262)+SUM(F265:F266)+SUM(F268:F272)+SUM(F274:F278)+SUM(F280:F284)+SUM(F286:F290)+SUM(F292:F296)+SUM(F298:F302)+SUM(F306:F308)+SUM(F310:F314)+SUM(F316:F320)+SUM(F322:F326)+SUM(F328:F332)+SUM(F334:F338)+SUM(F340:F344)+SUM(F348:F350)+SUM(F352:F356)+SUM(F358:F362)*2+SUM(F364:F368)*2+SUM(F370:F374)+SUM(F376:F380)*2+SUM(F382:F386)*2+SUM(F388:F392)*2+SUM(F396:F398)*2+SUM(F400:F404)+SUM(F406:F410)+SUM(F412:F416)+SUM(F418:F422,F424:F428,F430:F434,F438:F440,F442:F446,F448:F452,F454:F458,F460:F464,F466:F470,F472:F476,F479:F482,F484:F488)</f>
        <v>342885.46503743983</v>
      </c>
      <c r="G97" s="73"/>
      <c r="H97" s="73"/>
    </row>
    <row r="98" spans="1:11" s="1" customFormat="1" x14ac:dyDescent="0.25">
      <c r="A98" s="74" t="s">
        <v>63</v>
      </c>
      <c r="B98" s="74"/>
      <c r="C98" s="39">
        <f>SUM(C96:C97)</f>
        <v>381</v>
      </c>
      <c r="D98" s="75">
        <f>SUM(D96:D97)</f>
        <v>341521.13358089986</v>
      </c>
      <c r="E98" s="75"/>
      <c r="F98" s="76">
        <f>SUM(F96:F97)</f>
        <v>546433.81372943986</v>
      </c>
      <c r="G98" s="76"/>
      <c r="H98" s="76"/>
    </row>
    <row r="99" spans="1:11" s="9" customFormat="1" x14ac:dyDescent="0.25">
      <c r="A99" s="65" t="s">
        <v>64</v>
      </c>
      <c r="B99" s="65"/>
      <c r="C99" s="65"/>
      <c r="D99" s="65"/>
      <c r="E99" s="65"/>
      <c r="F99" s="65"/>
      <c r="G99" s="65"/>
      <c r="H99" s="65"/>
    </row>
    <row r="100" spans="1:11" x14ac:dyDescent="0.25">
      <c r="A100" s="65" t="s">
        <v>65</v>
      </c>
      <c r="B100" s="65"/>
      <c r="C100" s="65"/>
      <c r="D100" s="65"/>
      <c r="E100" s="65"/>
      <c r="F100" s="65"/>
      <c r="G100" s="65"/>
      <c r="H100" s="65"/>
    </row>
    <row r="101" spans="1:11" ht="47.25" customHeight="1" x14ac:dyDescent="0.25">
      <c r="A101" s="116" t="s">
        <v>112</v>
      </c>
      <c r="B101" s="116"/>
      <c r="C101" s="61" t="s">
        <v>66</v>
      </c>
      <c r="D101" s="61" t="s">
        <v>67</v>
      </c>
      <c r="E101" s="18" t="s">
        <v>68</v>
      </c>
      <c r="F101" s="61" t="s">
        <v>69</v>
      </c>
      <c r="G101" s="116" t="s">
        <v>70</v>
      </c>
      <c r="H101" s="116"/>
    </row>
    <row r="102" spans="1:11" s="2" customFormat="1" x14ac:dyDescent="0.25">
      <c r="A102" s="70" t="s">
        <v>225</v>
      </c>
      <c r="B102" s="70"/>
      <c r="C102" s="70"/>
      <c r="D102" s="70"/>
      <c r="E102" s="70"/>
      <c r="F102" s="70"/>
      <c r="G102" s="70"/>
      <c r="H102" s="70"/>
    </row>
    <row r="103" spans="1:11" s="2" customFormat="1" x14ac:dyDescent="0.25">
      <c r="A103" s="70" t="s">
        <v>172</v>
      </c>
      <c r="B103" s="70"/>
      <c r="C103" s="70"/>
      <c r="D103" s="70"/>
      <c r="E103" s="70"/>
      <c r="F103" s="70"/>
      <c r="G103" s="70"/>
      <c r="H103" s="70"/>
    </row>
    <row r="104" spans="1:11" s="2" customFormat="1" x14ac:dyDescent="0.25">
      <c r="A104" s="70" t="s">
        <v>173</v>
      </c>
      <c r="B104" s="70"/>
      <c r="C104" s="70"/>
      <c r="D104" s="70"/>
      <c r="E104" s="70"/>
      <c r="F104" s="70"/>
      <c r="G104" s="70"/>
      <c r="H104" s="70"/>
    </row>
    <row r="105" spans="1:11" s="2" customFormat="1" x14ac:dyDescent="0.25">
      <c r="A105" s="70" t="s">
        <v>175</v>
      </c>
      <c r="B105" s="70"/>
      <c r="C105" s="70"/>
      <c r="D105" s="70"/>
      <c r="E105" s="70"/>
      <c r="F105" s="70"/>
      <c r="G105" s="70"/>
      <c r="H105" s="70"/>
    </row>
    <row r="106" spans="1:11" s="2" customFormat="1" ht="15.75" customHeight="1" x14ac:dyDescent="0.25">
      <c r="A106" s="69" t="s">
        <v>189</v>
      </c>
      <c r="B106" s="69"/>
      <c r="C106" s="69"/>
      <c r="D106" s="69"/>
      <c r="E106" s="69"/>
      <c r="F106" s="69"/>
      <c r="G106" s="69"/>
      <c r="H106" s="69"/>
    </row>
    <row r="107" spans="1:11" s="2" customFormat="1" ht="15.75" customHeight="1" x14ac:dyDescent="0.25">
      <c r="A107" s="69" t="s">
        <v>176</v>
      </c>
      <c r="B107" s="69"/>
      <c r="C107" s="69"/>
      <c r="D107" s="69"/>
      <c r="E107" s="69"/>
      <c r="F107" s="69"/>
      <c r="G107" s="69"/>
      <c r="H107" s="69"/>
    </row>
    <row r="108" spans="1:11" s="38" customFormat="1" ht="15.75" customHeight="1" x14ac:dyDescent="0.25">
      <c r="A108" s="69" t="s">
        <v>177</v>
      </c>
      <c r="B108" s="69"/>
      <c r="C108" s="69"/>
      <c r="D108" s="69"/>
      <c r="E108" s="69"/>
      <c r="F108" s="69"/>
      <c r="G108" s="69"/>
      <c r="H108" s="69"/>
    </row>
    <row r="109" spans="1:11" s="2" customFormat="1" ht="15.75" customHeight="1" x14ac:dyDescent="0.25">
      <c r="A109" s="68">
        <v>1</v>
      </c>
      <c r="B109" s="68"/>
      <c r="C109" s="68" t="s">
        <v>179</v>
      </c>
      <c r="D109" s="68"/>
      <c r="E109" s="68"/>
      <c r="F109" s="68"/>
      <c r="G109" s="68" t="str">
        <f>A108</f>
        <v>1st Floor (Part Refuge Area)</v>
      </c>
      <c r="H109" s="68"/>
      <c r="I109" s="2">
        <f>F109*17500+F109*350+F109*7.5+1200*24+100000</f>
        <v>128800</v>
      </c>
      <c r="J109" s="2">
        <f>F109*19000</f>
        <v>0</v>
      </c>
      <c r="K109" s="2" t="e">
        <f>I109/F109</f>
        <v>#DIV/0!</v>
      </c>
    </row>
    <row r="110" spans="1:11" s="2" customFormat="1" x14ac:dyDescent="0.25">
      <c r="A110" s="68">
        <v>2</v>
      </c>
      <c r="B110" s="68"/>
      <c r="C110" s="59" t="s">
        <v>178</v>
      </c>
      <c r="D110" s="59">
        <f>(64.12+1.2*3.05)*10.764</f>
        <v>729.58391999999992</v>
      </c>
      <c r="E110" s="59">
        <v>0</v>
      </c>
      <c r="F110" s="59">
        <f>D110*1.6+E110</f>
        <v>1167.3342719999998</v>
      </c>
      <c r="G110" s="68"/>
      <c r="H110" s="68"/>
      <c r="I110" s="2">
        <f>25578948/F110</f>
        <v>21912.273642215143</v>
      </c>
      <c r="J110" s="2">
        <f>511578/F110</f>
        <v>438.24465045775685</v>
      </c>
    </row>
    <row r="111" spans="1:11" s="2" customFormat="1" x14ac:dyDescent="0.25">
      <c r="A111" s="68">
        <v>3</v>
      </c>
      <c r="B111" s="68"/>
      <c r="C111" s="59" t="s">
        <v>178</v>
      </c>
      <c r="D111" s="59">
        <f>(63.55+1.2*3.05)*10.764</f>
        <v>723.44843999999989</v>
      </c>
      <c r="E111" s="59">
        <v>0</v>
      </c>
      <c r="F111" s="59">
        <f>D111*1.6+E111</f>
        <v>1157.5175039999999</v>
      </c>
      <c r="G111" s="68"/>
      <c r="H111" s="68"/>
    </row>
    <row r="112" spans="1:11" s="2" customFormat="1" x14ac:dyDescent="0.25">
      <c r="A112" s="68">
        <v>4</v>
      </c>
      <c r="B112" s="68"/>
      <c r="C112" s="59" t="s">
        <v>178</v>
      </c>
      <c r="D112" s="59">
        <f>(64.55+1.2*3.05)*10.764</f>
        <v>734.2124399999999</v>
      </c>
      <c r="E112" s="59">
        <v>0</v>
      </c>
      <c r="F112" s="59">
        <f>D112*1.6+E112</f>
        <v>1174.7399039999998</v>
      </c>
      <c r="G112" s="68"/>
      <c r="H112" s="68"/>
    </row>
    <row r="113" spans="1:9" s="38" customFormat="1" ht="15.75" customHeight="1" x14ac:dyDescent="0.25">
      <c r="A113" s="69" t="s">
        <v>226</v>
      </c>
      <c r="B113" s="69"/>
      <c r="C113" s="69"/>
      <c r="D113" s="69"/>
      <c r="E113" s="69"/>
      <c r="F113" s="69"/>
      <c r="G113" s="69"/>
      <c r="H113" s="69"/>
    </row>
    <row r="114" spans="1:9" s="2" customFormat="1" x14ac:dyDescent="0.25">
      <c r="A114" s="68">
        <v>1</v>
      </c>
      <c r="B114" s="68"/>
      <c r="C114" s="59" t="s">
        <v>178</v>
      </c>
      <c r="D114" s="59">
        <f>(65.59+1.2*3.05)*10.764</f>
        <v>745.40699999999993</v>
      </c>
      <c r="E114" s="59">
        <v>0</v>
      </c>
      <c r="F114" s="59">
        <f>D114*1.6+E114</f>
        <v>1192.6512</v>
      </c>
      <c r="G114" s="68" t="str">
        <f>A113</f>
        <v>2nd Floor</v>
      </c>
      <c r="H114" s="68"/>
      <c r="I114" s="59">
        <f>5.475*3.05+3.275*0.9+2.125*1.375+3.5*2.125+3.5*3.05+4.425*3.05+0.225*0.575+1.05*2.05+0.6*1.75+1.05*2.625+2.275*1.375+2.125*0.8</f>
        <v>65.093124999999986</v>
      </c>
    </row>
    <row r="115" spans="1:9" s="2" customFormat="1" ht="15.75" customHeight="1" x14ac:dyDescent="0.25">
      <c r="A115" s="68">
        <v>2</v>
      </c>
      <c r="B115" s="68"/>
      <c r="C115" s="59" t="s">
        <v>178</v>
      </c>
      <c r="D115" s="59">
        <f>(64.12+1.2*3.05)*10.764</f>
        <v>729.58391999999992</v>
      </c>
      <c r="E115" s="59">
        <v>0</v>
      </c>
      <c r="F115" s="59">
        <f>D115*1.6+E115</f>
        <v>1167.3342719999998</v>
      </c>
      <c r="G115" s="68"/>
      <c r="H115" s="68"/>
      <c r="I115" s="59">
        <f>5.475*3.05+3.275*0.9+3.5*2.125+3.5*3.05+4.275*3.05+0.375*0.575+1.375*2.275+2.125*1.375+1.05*2.05+1.05*2.625+2.125*0.8</f>
        <v>63.671874999999993</v>
      </c>
    </row>
    <row r="116" spans="1:9" s="2" customFormat="1" ht="15.75" customHeight="1" x14ac:dyDescent="0.25">
      <c r="A116" s="68">
        <v>3</v>
      </c>
      <c r="B116" s="68"/>
      <c r="C116" s="59" t="s">
        <v>178</v>
      </c>
      <c r="D116" s="59">
        <f>(63.55+1.2*3.05)*10.764</f>
        <v>723.44843999999989</v>
      </c>
      <c r="E116" s="59">
        <v>0</v>
      </c>
      <c r="F116" s="59">
        <f>D116*1.6+E116</f>
        <v>1157.5175039999999</v>
      </c>
      <c r="G116" s="68"/>
      <c r="H116" s="68"/>
    </row>
    <row r="117" spans="1:9" s="2" customFormat="1" ht="15.75" customHeight="1" x14ac:dyDescent="0.25">
      <c r="A117" s="68">
        <v>4</v>
      </c>
      <c r="B117" s="68"/>
      <c r="C117" s="59" t="s">
        <v>178</v>
      </c>
      <c r="D117" s="59">
        <f>(64.55+1.2*3.05)*10.764</f>
        <v>734.2124399999999</v>
      </c>
      <c r="E117" s="59">
        <v>0</v>
      </c>
      <c r="F117" s="59">
        <f>D117*1.6+E117</f>
        <v>1174.7399039999998</v>
      </c>
      <c r="G117" s="68"/>
      <c r="H117" s="68"/>
    </row>
    <row r="118" spans="1:9" s="38" customFormat="1" ht="15.75" customHeight="1" x14ac:dyDescent="0.25">
      <c r="A118" s="69" t="s">
        <v>227</v>
      </c>
      <c r="B118" s="69"/>
      <c r="C118" s="69"/>
      <c r="D118" s="69"/>
      <c r="E118" s="69"/>
      <c r="F118" s="69"/>
      <c r="G118" s="69"/>
      <c r="H118" s="69"/>
    </row>
    <row r="119" spans="1:9" s="2" customFormat="1" x14ac:dyDescent="0.25">
      <c r="A119" s="68">
        <v>1</v>
      </c>
      <c r="B119" s="68"/>
      <c r="C119" s="59" t="s">
        <v>178</v>
      </c>
      <c r="D119" s="59">
        <f>(65.59+1.2*3.05)*10.764</f>
        <v>745.40699999999993</v>
      </c>
      <c r="E119" s="59">
        <v>0</v>
      </c>
      <c r="F119" s="59">
        <f>D119*1.6+E119</f>
        <v>1192.6512</v>
      </c>
      <c r="G119" s="68" t="str">
        <f>A118</f>
        <v>3rd Floor</v>
      </c>
      <c r="H119" s="68"/>
    </row>
    <row r="120" spans="1:9" s="2" customFormat="1" ht="15.75" customHeight="1" x14ac:dyDescent="0.25">
      <c r="A120" s="68">
        <v>2</v>
      </c>
      <c r="B120" s="68"/>
      <c r="C120" s="59" t="s">
        <v>178</v>
      </c>
      <c r="D120" s="59">
        <f>(64.12+1.2*3.05)*10.764</f>
        <v>729.58391999999992</v>
      </c>
      <c r="E120" s="59">
        <v>0</v>
      </c>
      <c r="F120" s="59">
        <f>D120*1.6+E120</f>
        <v>1167.3342719999998</v>
      </c>
      <c r="G120" s="68"/>
      <c r="H120" s="68"/>
    </row>
    <row r="121" spans="1:9" s="2" customFormat="1" ht="15.75" customHeight="1" x14ac:dyDescent="0.25">
      <c r="A121" s="68">
        <v>3</v>
      </c>
      <c r="B121" s="68"/>
      <c r="C121" s="59" t="s">
        <v>178</v>
      </c>
      <c r="D121" s="59">
        <f>(63.55+1.2*3.05)*10.764</f>
        <v>723.44843999999989</v>
      </c>
      <c r="E121" s="59">
        <v>0</v>
      </c>
      <c r="F121" s="59">
        <f>D121*1.6+E121</f>
        <v>1157.5175039999999</v>
      </c>
      <c r="G121" s="68"/>
      <c r="H121" s="68"/>
    </row>
    <row r="122" spans="1:9" s="2" customFormat="1" ht="15.75" customHeight="1" x14ac:dyDescent="0.25">
      <c r="A122" s="68">
        <v>4</v>
      </c>
      <c r="B122" s="68"/>
      <c r="C122" s="59" t="s">
        <v>178</v>
      </c>
      <c r="D122" s="59">
        <f>(64.55+1.2*3.05)*10.764</f>
        <v>734.2124399999999</v>
      </c>
      <c r="E122" s="59">
        <v>0</v>
      </c>
      <c r="F122" s="59">
        <f>D122*1.6+E122</f>
        <v>1174.7399039999998</v>
      </c>
      <c r="G122" s="68"/>
      <c r="H122" s="68"/>
    </row>
    <row r="123" spans="1:9" s="38" customFormat="1" ht="15.75" customHeight="1" x14ac:dyDescent="0.25">
      <c r="A123" s="69" t="s">
        <v>228</v>
      </c>
      <c r="B123" s="69"/>
      <c r="C123" s="69"/>
      <c r="D123" s="69"/>
      <c r="E123" s="69"/>
      <c r="F123" s="69"/>
      <c r="G123" s="69"/>
      <c r="H123" s="69"/>
    </row>
    <row r="124" spans="1:9" s="2" customFormat="1" x14ac:dyDescent="0.25">
      <c r="A124" s="68">
        <v>1</v>
      </c>
      <c r="B124" s="68"/>
      <c r="C124" s="59" t="s">
        <v>178</v>
      </c>
      <c r="D124" s="59">
        <f>(65.59+1.2*3.05)*10.764</f>
        <v>745.40699999999993</v>
      </c>
      <c r="E124" s="59">
        <v>0</v>
      </c>
      <c r="F124" s="59">
        <f>D124*1.6+E124</f>
        <v>1192.6512</v>
      </c>
      <c r="G124" s="68" t="str">
        <f>A123</f>
        <v>4th Floor</v>
      </c>
      <c r="H124" s="68"/>
    </row>
    <row r="125" spans="1:9" s="2" customFormat="1" ht="15.75" customHeight="1" x14ac:dyDescent="0.25">
      <c r="A125" s="68">
        <v>2</v>
      </c>
      <c r="B125" s="68"/>
      <c r="C125" s="59" t="s">
        <v>178</v>
      </c>
      <c r="D125" s="59">
        <f>(64.12+1.2*3.05)*10.764</f>
        <v>729.58391999999992</v>
      </c>
      <c r="E125" s="59">
        <v>0</v>
      </c>
      <c r="F125" s="59">
        <f>D125*1.6+E125</f>
        <v>1167.3342719999998</v>
      </c>
      <c r="G125" s="68"/>
      <c r="H125" s="68"/>
    </row>
    <row r="126" spans="1:9" s="2" customFormat="1" ht="15.75" customHeight="1" x14ac:dyDescent="0.25">
      <c r="A126" s="68">
        <v>3</v>
      </c>
      <c r="B126" s="68"/>
      <c r="C126" s="59" t="s">
        <v>178</v>
      </c>
      <c r="D126" s="59">
        <f>(63.55+1.2*3.05)*10.764</f>
        <v>723.44843999999989</v>
      </c>
      <c r="E126" s="59">
        <v>0</v>
      </c>
      <c r="F126" s="59">
        <f>D126*1.6+E126</f>
        <v>1157.5175039999999</v>
      </c>
      <c r="G126" s="68"/>
      <c r="H126" s="68"/>
    </row>
    <row r="127" spans="1:9" s="2" customFormat="1" ht="15.75" customHeight="1" x14ac:dyDescent="0.25">
      <c r="A127" s="68">
        <v>4</v>
      </c>
      <c r="B127" s="68"/>
      <c r="C127" s="59" t="s">
        <v>178</v>
      </c>
      <c r="D127" s="59">
        <f>(64.55+1.2*3.05)*10.764</f>
        <v>734.2124399999999</v>
      </c>
      <c r="E127" s="59">
        <v>0</v>
      </c>
      <c r="F127" s="59">
        <f>D127*1.6+E127</f>
        <v>1174.7399039999998</v>
      </c>
      <c r="G127" s="68"/>
      <c r="H127" s="68"/>
    </row>
    <row r="128" spans="1:9" s="38" customFormat="1" ht="15.75" customHeight="1" x14ac:dyDescent="0.25">
      <c r="A128" s="69" t="s">
        <v>229</v>
      </c>
      <c r="B128" s="69"/>
      <c r="C128" s="69"/>
      <c r="D128" s="69"/>
      <c r="E128" s="69"/>
      <c r="F128" s="69"/>
      <c r="G128" s="69"/>
      <c r="H128" s="69"/>
    </row>
    <row r="129" spans="1:11" s="2" customFormat="1" x14ac:dyDescent="0.25">
      <c r="A129" s="68">
        <v>1</v>
      </c>
      <c r="B129" s="68"/>
      <c r="C129" s="59" t="s">
        <v>178</v>
      </c>
      <c r="D129" s="59">
        <f>(65.59+1.2*3.05)*10.764</f>
        <v>745.40699999999993</v>
      </c>
      <c r="E129" s="59">
        <v>0</v>
      </c>
      <c r="F129" s="59">
        <f>D129*1.6+E129</f>
        <v>1192.6512</v>
      </c>
      <c r="G129" s="68" t="str">
        <f>A128</f>
        <v>5th Floor</v>
      </c>
      <c r="H129" s="68"/>
    </row>
    <row r="130" spans="1:11" s="2" customFormat="1" ht="15.75" customHeight="1" x14ac:dyDescent="0.25">
      <c r="A130" s="68">
        <v>2</v>
      </c>
      <c r="B130" s="68"/>
      <c r="C130" s="59" t="s">
        <v>178</v>
      </c>
      <c r="D130" s="59">
        <f>(64.12+1.2*3.05)*10.764</f>
        <v>729.58391999999992</v>
      </c>
      <c r="E130" s="59">
        <v>0</v>
      </c>
      <c r="F130" s="59">
        <f>D130*1.6+E130</f>
        <v>1167.3342719999998</v>
      </c>
      <c r="G130" s="68"/>
      <c r="H130" s="68"/>
    </row>
    <row r="131" spans="1:11" s="2" customFormat="1" ht="15.75" customHeight="1" x14ac:dyDescent="0.25">
      <c r="A131" s="68">
        <v>3</v>
      </c>
      <c r="B131" s="68"/>
      <c r="C131" s="59" t="s">
        <v>178</v>
      </c>
      <c r="D131" s="59">
        <f>(63.55+1.2*3.05)*10.764</f>
        <v>723.44843999999989</v>
      </c>
      <c r="E131" s="59">
        <v>0</v>
      </c>
      <c r="F131" s="59">
        <f>D131*1.6+E131</f>
        <v>1157.5175039999999</v>
      </c>
      <c r="G131" s="68"/>
      <c r="H131" s="68"/>
    </row>
    <row r="132" spans="1:11" s="2" customFormat="1" ht="15.75" customHeight="1" x14ac:dyDescent="0.25">
      <c r="A132" s="68">
        <v>4</v>
      </c>
      <c r="B132" s="68"/>
      <c r="C132" s="59" t="s">
        <v>178</v>
      </c>
      <c r="D132" s="59">
        <f>(64.55+1.2*3.05)*10.764</f>
        <v>734.2124399999999</v>
      </c>
      <c r="E132" s="59">
        <v>0</v>
      </c>
      <c r="F132" s="59">
        <f>D132*1.6+E132</f>
        <v>1174.7399039999998</v>
      </c>
      <c r="G132" s="68"/>
      <c r="H132" s="68"/>
    </row>
    <row r="133" spans="1:11" s="38" customFormat="1" ht="15.75" customHeight="1" x14ac:dyDescent="0.25">
      <c r="A133" s="69" t="s">
        <v>230</v>
      </c>
      <c r="B133" s="69"/>
      <c r="C133" s="69"/>
      <c r="D133" s="69"/>
      <c r="E133" s="69"/>
      <c r="F133" s="69"/>
      <c r="G133" s="69"/>
      <c r="H133" s="69"/>
    </row>
    <row r="134" spans="1:11" s="2" customFormat="1" x14ac:dyDescent="0.25">
      <c r="A134" s="68">
        <v>1</v>
      </c>
      <c r="B134" s="68"/>
      <c r="C134" s="64" t="s">
        <v>178</v>
      </c>
      <c r="D134" s="64">
        <f>(65.59+1.2*3.05)*10.764</f>
        <v>745.40699999999993</v>
      </c>
      <c r="E134" s="64">
        <v>0</v>
      </c>
      <c r="F134" s="64">
        <f>D134*1.6+E134</f>
        <v>1192.6512</v>
      </c>
      <c r="G134" s="68" t="str">
        <f>A133</f>
        <v>6th Floor</v>
      </c>
      <c r="H134" s="68"/>
    </row>
    <row r="135" spans="1:11" s="2" customFormat="1" ht="15.75" customHeight="1" x14ac:dyDescent="0.25">
      <c r="A135" s="68">
        <v>2</v>
      </c>
      <c r="B135" s="68"/>
      <c r="C135" s="64" t="s">
        <v>178</v>
      </c>
      <c r="D135" s="64">
        <f>(64.12+1.2*3.05)*10.764</f>
        <v>729.58391999999992</v>
      </c>
      <c r="E135" s="64">
        <v>0</v>
      </c>
      <c r="F135" s="64">
        <f>D135*1.6+E135</f>
        <v>1167.3342719999998</v>
      </c>
      <c r="G135" s="68"/>
      <c r="H135" s="68"/>
    </row>
    <row r="136" spans="1:11" s="2" customFormat="1" ht="15.75" customHeight="1" x14ac:dyDescent="0.25">
      <c r="A136" s="68">
        <v>3</v>
      </c>
      <c r="B136" s="68"/>
      <c r="C136" s="64" t="s">
        <v>178</v>
      </c>
      <c r="D136" s="64">
        <f>(63.55+1.2*3.05)*10.764</f>
        <v>723.44843999999989</v>
      </c>
      <c r="E136" s="64">
        <v>0</v>
      </c>
      <c r="F136" s="64">
        <f>D136*1.6+E136</f>
        <v>1157.5175039999999</v>
      </c>
      <c r="G136" s="68"/>
      <c r="H136" s="68"/>
    </row>
    <row r="137" spans="1:11" s="2" customFormat="1" ht="15.75" customHeight="1" x14ac:dyDescent="0.25">
      <c r="A137" s="68">
        <v>4</v>
      </c>
      <c r="B137" s="68"/>
      <c r="C137" s="64" t="s">
        <v>178</v>
      </c>
      <c r="D137" s="64">
        <f>(64.55+1.2*3.05)*10.764</f>
        <v>734.2124399999999</v>
      </c>
      <c r="E137" s="64">
        <v>0</v>
      </c>
      <c r="F137" s="64">
        <f>D137*1.6+E137</f>
        <v>1174.7399039999998</v>
      </c>
      <c r="G137" s="68"/>
      <c r="H137" s="68"/>
    </row>
    <row r="138" spans="1:11" s="38" customFormat="1" ht="15.75" customHeight="1" x14ac:dyDescent="0.25">
      <c r="A138" s="69" t="s">
        <v>231</v>
      </c>
      <c r="B138" s="69"/>
      <c r="C138" s="69"/>
      <c r="D138" s="69"/>
      <c r="E138" s="69"/>
      <c r="F138" s="69"/>
      <c r="G138" s="69"/>
      <c r="H138" s="69"/>
    </row>
    <row r="139" spans="1:11" s="2" customFormat="1" x14ac:dyDescent="0.25">
      <c r="A139" s="68">
        <v>1</v>
      </c>
      <c r="B139" s="68"/>
      <c r="C139" s="64" t="s">
        <v>178</v>
      </c>
      <c r="D139" s="64">
        <f>(65.59+1.2*3.05)*10.764</f>
        <v>745.40699999999993</v>
      </c>
      <c r="E139" s="64">
        <v>0</v>
      </c>
      <c r="F139" s="64">
        <f>D139*1.6+E139</f>
        <v>1192.6512</v>
      </c>
      <c r="G139" s="68" t="str">
        <f>A138</f>
        <v>7th Floor</v>
      </c>
      <c r="H139" s="68"/>
    </row>
    <row r="140" spans="1:11" s="2" customFormat="1" ht="15.75" customHeight="1" x14ac:dyDescent="0.25">
      <c r="A140" s="68">
        <v>2</v>
      </c>
      <c r="B140" s="68"/>
      <c r="C140" s="64" t="s">
        <v>178</v>
      </c>
      <c r="D140" s="64">
        <f>(64.12+1.2*3.05)*10.764</f>
        <v>729.58391999999992</v>
      </c>
      <c r="E140" s="64">
        <v>0</v>
      </c>
      <c r="F140" s="64">
        <f>D140*1.6+E140</f>
        <v>1167.3342719999998</v>
      </c>
      <c r="G140" s="68"/>
      <c r="H140" s="68"/>
    </row>
    <row r="141" spans="1:11" s="2" customFormat="1" ht="15.75" customHeight="1" x14ac:dyDescent="0.25">
      <c r="A141" s="68">
        <v>3</v>
      </c>
      <c r="B141" s="68"/>
      <c r="C141" s="64" t="s">
        <v>178</v>
      </c>
      <c r="D141" s="64">
        <f>(63.55+1.2*3.05)*10.764</f>
        <v>723.44843999999989</v>
      </c>
      <c r="E141" s="64">
        <v>0</v>
      </c>
      <c r="F141" s="64">
        <f>D141*1.6+E141</f>
        <v>1157.5175039999999</v>
      </c>
      <c r="G141" s="68"/>
      <c r="H141" s="68"/>
    </row>
    <row r="142" spans="1:11" s="2" customFormat="1" ht="15.75" customHeight="1" x14ac:dyDescent="0.25">
      <c r="A142" s="68">
        <v>4</v>
      </c>
      <c r="B142" s="68"/>
      <c r="C142" s="64" t="s">
        <v>178</v>
      </c>
      <c r="D142" s="64">
        <f>(64.55+1.2*3.05)*10.764</f>
        <v>734.2124399999999</v>
      </c>
      <c r="E142" s="64">
        <v>0</v>
      </c>
      <c r="F142" s="64">
        <f>D142*1.6+E142</f>
        <v>1174.7399039999998</v>
      </c>
      <c r="G142" s="68"/>
      <c r="H142" s="68"/>
    </row>
    <row r="143" spans="1:11" s="38" customFormat="1" ht="15.75" customHeight="1" x14ac:dyDescent="0.25">
      <c r="A143" s="69" t="s">
        <v>233</v>
      </c>
      <c r="B143" s="69"/>
      <c r="C143" s="69"/>
      <c r="D143" s="69"/>
      <c r="E143" s="69"/>
      <c r="F143" s="69"/>
      <c r="G143" s="69"/>
      <c r="H143" s="69"/>
    </row>
    <row r="144" spans="1:11" s="2" customFormat="1" ht="15.75" customHeight="1" x14ac:dyDescent="0.25">
      <c r="A144" s="68">
        <v>1</v>
      </c>
      <c r="B144" s="68"/>
      <c r="C144" s="68" t="s">
        <v>179</v>
      </c>
      <c r="D144" s="68"/>
      <c r="E144" s="68"/>
      <c r="F144" s="68"/>
      <c r="G144" s="68" t="str">
        <f>A143</f>
        <v>8th Floor (Part Refuge Area)</v>
      </c>
      <c r="H144" s="68"/>
      <c r="K144" s="2" t="e">
        <f>I144/F144</f>
        <v>#DIV/0!</v>
      </c>
    </row>
    <row r="145" spans="1:8" s="2" customFormat="1" x14ac:dyDescent="0.25">
      <c r="A145" s="68">
        <v>2</v>
      </c>
      <c r="B145" s="68"/>
      <c r="C145" s="59" t="s">
        <v>178</v>
      </c>
      <c r="D145" s="59">
        <f>(64.12+1.2*3.05)*10.764</f>
        <v>729.58391999999992</v>
      </c>
      <c r="E145" s="59">
        <v>0</v>
      </c>
      <c r="F145" s="59">
        <f>D145*1.6+E145</f>
        <v>1167.3342719999998</v>
      </c>
      <c r="G145" s="68"/>
      <c r="H145" s="68"/>
    </row>
    <row r="146" spans="1:8" s="2" customFormat="1" x14ac:dyDescent="0.25">
      <c r="A146" s="68">
        <v>3</v>
      </c>
      <c r="B146" s="68"/>
      <c r="C146" s="59" t="s">
        <v>178</v>
      </c>
      <c r="D146" s="59">
        <f>(63.55+1.2*3.05)*10.764</f>
        <v>723.44843999999989</v>
      </c>
      <c r="E146" s="59">
        <v>0</v>
      </c>
      <c r="F146" s="59">
        <f>D146*1.6+E146</f>
        <v>1157.5175039999999</v>
      </c>
      <c r="G146" s="68"/>
      <c r="H146" s="68"/>
    </row>
    <row r="147" spans="1:8" s="2" customFormat="1" x14ac:dyDescent="0.25">
      <c r="A147" s="68">
        <v>4</v>
      </c>
      <c r="B147" s="68"/>
      <c r="C147" s="59" t="s">
        <v>178</v>
      </c>
      <c r="D147" s="59">
        <f>(64.55+1.2*3.05)*10.764</f>
        <v>734.2124399999999</v>
      </c>
      <c r="E147" s="59">
        <v>0</v>
      </c>
      <c r="F147" s="59">
        <f>D147*1.6+E147</f>
        <v>1174.7399039999998</v>
      </c>
      <c r="G147" s="68"/>
      <c r="H147" s="68"/>
    </row>
    <row r="148" spans="1:8" s="38" customFormat="1" ht="15.75" customHeight="1" x14ac:dyDescent="0.25">
      <c r="A148" s="69" t="s">
        <v>232</v>
      </c>
      <c r="B148" s="69"/>
      <c r="C148" s="69"/>
      <c r="D148" s="69"/>
      <c r="E148" s="69"/>
      <c r="F148" s="69"/>
      <c r="G148" s="69"/>
      <c r="H148" s="69"/>
    </row>
    <row r="149" spans="1:8" s="2" customFormat="1" x14ac:dyDescent="0.25">
      <c r="A149" s="68">
        <v>1</v>
      </c>
      <c r="B149" s="68"/>
      <c r="C149" s="59" t="s">
        <v>178</v>
      </c>
      <c r="D149" s="59">
        <f>(65.59+1.2*3.05)*10.764</f>
        <v>745.40699999999993</v>
      </c>
      <c r="E149" s="59">
        <v>0</v>
      </c>
      <c r="F149" s="59">
        <f>D149*1.6+E149</f>
        <v>1192.6512</v>
      </c>
      <c r="G149" s="68" t="str">
        <f>A148</f>
        <v>9th Floor</v>
      </c>
      <c r="H149" s="68"/>
    </row>
    <row r="150" spans="1:8" s="2" customFormat="1" ht="15.75" customHeight="1" x14ac:dyDescent="0.25">
      <c r="A150" s="68">
        <v>2</v>
      </c>
      <c r="B150" s="68"/>
      <c r="C150" s="59" t="s">
        <v>178</v>
      </c>
      <c r="D150" s="59">
        <f>(64.12+1.2*3.05)*10.764</f>
        <v>729.58391999999992</v>
      </c>
      <c r="E150" s="59">
        <v>0</v>
      </c>
      <c r="F150" s="59">
        <f>D150*1.6+E150</f>
        <v>1167.3342719999998</v>
      </c>
      <c r="G150" s="68"/>
      <c r="H150" s="68"/>
    </row>
    <row r="151" spans="1:8" s="2" customFormat="1" ht="15.75" customHeight="1" x14ac:dyDescent="0.25">
      <c r="A151" s="68">
        <v>3</v>
      </c>
      <c r="B151" s="68"/>
      <c r="C151" s="59" t="s">
        <v>178</v>
      </c>
      <c r="D151" s="59">
        <f>(63.55+1.2*3.05)*10.764</f>
        <v>723.44843999999989</v>
      </c>
      <c r="E151" s="59">
        <v>0</v>
      </c>
      <c r="F151" s="59">
        <f>D151*1.6+E151</f>
        <v>1157.5175039999999</v>
      </c>
      <c r="G151" s="68"/>
      <c r="H151" s="68"/>
    </row>
    <row r="152" spans="1:8" s="2" customFormat="1" ht="15.75" customHeight="1" x14ac:dyDescent="0.25">
      <c r="A152" s="68">
        <v>4</v>
      </c>
      <c r="B152" s="68"/>
      <c r="C152" s="59" t="s">
        <v>178</v>
      </c>
      <c r="D152" s="59">
        <f>(64.55+1.2*3.05)*10.764</f>
        <v>734.2124399999999</v>
      </c>
      <c r="E152" s="59">
        <v>0</v>
      </c>
      <c r="F152" s="59">
        <f>D152*1.6+E152</f>
        <v>1174.7399039999998</v>
      </c>
      <c r="G152" s="68"/>
      <c r="H152" s="68"/>
    </row>
    <row r="153" spans="1:8" s="38" customFormat="1" ht="15.75" customHeight="1" x14ac:dyDescent="0.25">
      <c r="A153" s="69" t="s">
        <v>234</v>
      </c>
      <c r="B153" s="69"/>
      <c r="C153" s="69"/>
      <c r="D153" s="69"/>
      <c r="E153" s="69"/>
      <c r="F153" s="69"/>
      <c r="G153" s="69"/>
      <c r="H153" s="69"/>
    </row>
    <row r="154" spans="1:8" s="2" customFormat="1" x14ac:dyDescent="0.25">
      <c r="A154" s="68">
        <v>1</v>
      </c>
      <c r="B154" s="68"/>
      <c r="C154" s="59" t="s">
        <v>178</v>
      </c>
      <c r="D154" s="59">
        <f>(65.59+1.2*3.05)*10.764</f>
        <v>745.40699999999993</v>
      </c>
      <c r="E154" s="59">
        <v>0</v>
      </c>
      <c r="F154" s="59">
        <f>D154*1.6+E154</f>
        <v>1192.6512</v>
      </c>
      <c r="G154" s="68" t="str">
        <f>A153</f>
        <v>10th Floor</v>
      </c>
      <c r="H154" s="68"/>
    </row>
    <row r="155" spans="1:8" s="2" customFormat="1" ht="15.75" customHeight="1" x14ac:dyDescent="0.25">
      <c r="A155" s="68">
        <v>2</v>
      </c>
      <c r="B155" s="68"/>
      <c r="C155" s="59" t="s">
        <v>178</v>
      </c>
      <c r="D155" s="59">
        <f>(64.12+1.2*3.05)*10.764</f>
        <v>729.58391999999992</v>
      </c>
      <c r="E155" s="59">
        <v>0</v>
      </c>
      <c r="F155" s="59">
        <f>D155*1.6+E155</f>
        <v>1167.3342719999998</v>
      </c>
      <c r="G155" s="68"/>
      <c r="H155" s="68"/>
    </row>
    <row r="156" spans="1:8" s="2" customFormat="1" ht="15.75" customHeight="1" x14ac:dyDescent="0.25">
      <c r="A156" s="68">
        <v>3</v>
      </c>
      <c r="B156" s="68"/>
      <c r="C156" s="59" t="s">
        <v>178</v>
      </c>
      <c r="D156" s="59">
        <f>(63.55+1.2*3.05)*10.764</f>
        <v>723.44843999999989</v>
      </c>
      <c r="E156" s="59">
        <v>0</v>
      </c>
      <c r="F156" s="59">
        <f>D156*1.6+E156</f>
        <v>1157.5175039999999</v>
      </c>
      <c r="G156" s="68"/>
      <c r="H156" s="68"/>
    </row>
    <row r="157" spans="1:8" s="2" customFormat="1" ht="15.75" customHeight="1" x14ac:dyDescent="0.25">
      <c r="A157" s="68">
        <v>4</v>
      </c>
      <c r="B157" s="68"/>
      <c r="C157" s="59" t="s">
        <v>178</v>
      </c>
      <c r="D157" s="59">
        <f>(64.55+1.2*3.05)*10.764</f>
        <v>734.2124399999999</v>
      </c>
      <c r="E157" s="59">
        <v>0</v>
      </c>
      <c r="F157" s="59">
        <f>D157*1.6+E157</f>
        <v>1174.7399039999998</v>
      </c>
      <c r="G157" s="68"/>
      <c r="H157" s="68"/>
    </row>
    <row r="158" spans="1:8" s="38" customFormat="1" ht="15.75" customHeight="1" x14ac:dyDescent="0.25">
      <c r="A158" s="69" t="s">
        <v>235</v>
      </c>
      <c r="B158" s="69"/>
      <c r="C158" s="69"/>
      <c r="D158" s="69"/>
      <c r="E158" s="69"/>
      <c r="F158" s="69"/>
      <c r="G158" s="69"/>
      <c r="H158" s="69"/>
    </row>
    <row r="159" spans="1:8" s="2" customFormat="1" x14ac:dyDescent="0.25">
      <c r="A159" s="68">
        <v>1</v>
      </c>
      <c r="B159" s="68"/>
      <c r="C159" s="59" t="s">
        <v>178</v>
      </c>
      <c r="D159" s="59">
        <f>(65.59+1.2*3.05)*10.764</f>
        <v>745.40699999999993</v>
      </c>
      <c r="E159" s="59">
        <v>0</v>
      </c>
      <c r="F159" s="59">
        <f>D159*1.6+E159</f>
        <v>1192.6512</v>
      </c>
      <c r="G159" s="68" t="str">
        <f>A158</f>
        <v>11th Floor</v>
      </c>
      <c r="H159" s="68"/>
    </row>
    <row r="160" spans="1:8" s="2" customFormat="1" ht="15.75" customHeight="1" x14ac:dyDescent="0.25">
      <c r="A160" s="68">
        <v>2</v>
      </c>
      <c r="B160" s="68"/>
      <c r="C160" s="59" t="s">
        <v>178</v>
      </c>
      <c r="D160" s="59">
        <f>(64.12+1.2*3.05)*10.764</f>
        <v>729.58391999999992</v>
      </c>
      <c r="E160" s="59">
        <v>0</v>
      </c>
      <c r="F160" s="59">
        <f>D160*1.6+E160</f>
        <v>1167.3342719999998</v>
      </c>
      <c r="G160" s="68"/>
      <c r="H160" s="68"/>
    </row>
    <row r="161" spans="1:8" s="2" customFormat="1" ht="15.75" customHeight="1" x14ac:dyDescent="0.25">
      <c r="A161" s="68">
        <v>3</v>
      </c>
      <c r="B161" s="68"/>
      <c r="C161" s="59" t="s">
        <v>178</v>
      </c>
      <c r="D161" s="59">
        <f>(63.55+1.2*3.05)*10.764</f>
        <v>723.44843999999989</v>
      </c>
      <c r="E161" s="59">
        <v>0</v>
      </c>
      <c r="F161" s="59">
        <f>D161*1.6+E161</f>
        <v>1157.5175039999999</v>
      </c>
      <c r="G161" s="68"/>
      <c r="H161" s="68"/>
    </row>
    <row r="162" spans="1:8" s="2" customFormat="1" ht="15.75" customHeight="1" x14ac:dyDescent="0.25">
      <c r="A162" s="68">
        <v>4</v>
      </c>
      <c r="B162" s="68"/>
      <c r="C162" s="59" t="s">
        <v>178</v>
      </c>
      <c r="D162" s="59">
        <f>(64.55+1.2*3.05)*10.764</f>
        <v>734.2124399999999</v>
      </c>
      <c r="E162" s="59">
        <v>0</v>
      </c>
      <c r="F162" s="59">
        <f>D162*1.6+E162</f>
        <v>1174.7399039999998</v>
      </c>
      <c r="G162" s="68"/>
      <c r="H162" s="68"/>
    </row>
    <row r="163" spans="1:8" s="38" customFormat="1" ht="15.75" customHeight="1" x14ac:dyDescent="0.25">
      <c r="A163" s="69" t="s">
        <v>236</v>
      </c>
      <c r="B163" s="69"/>
      <c r="C163" s="69"/>
      <c r="D163" s="69"/>
      <c r="E163" s="69"/>
      <c r="F163" s="69"/>
      <c r="G163" s="69"/>
      <c r="H163" s="69"/>
    </row>
    <row r="164" spans="1:8" s="2" customFormat="1" x14ac:dyDescent="0.25">
      <c r="A164" s="68">
        <v>1</v>
      </c>
      <c r="B164" s="68"/>
      <c r="C164" s="59" t="s">
        <v>178</v>
      </c>
      <c r="D164" s="59">
        <f>(65.59+1.2*3.05)*10.764</f>
        <v>745.40699999999993</v>
      </c>
      <c r="E164" s="59">
        <v>0</v>
      </c>
      <c r="F164" s="59">
        <f>D164*1.6+E164</f>
        <v>1192.6512</v>
      </c>
      <c r="G164" s="68" t="str">
        <f>A163</f>
        <v>12th Floor</v>
      </c>
      <c r="H164" s="68"/>
    </row>
    <row r="165" spans="1:8" s="2" customFormat="1" ht="15.75" customHeight="1" x14ac:dyDescent="0.25">
      <c r="A165" s="68">
        <v>2</v>
      </c>
      <c r="B165" s="68"/>
      <c r="C165" s="59" t="s">
        <v>178</v>
      </c>
      <c r="D165" s="59">
        <f>(64.12+1.2*3.05)*10.764</f>
        <v>729.58391999999992</v>
      </c>
      <c r="E165" s="59">
        <v>0</v>
      </c>
      <c r="F165" s="59">
        <f>D165*1.6+E165</f>
        <v>1167.3342719999998</v>
      </c>
      <c r="G165" s="68"/>
      <c r="H165" s="68"/>
    </row>
    <row r="166" spans="1:8" s="2" customFormat="1" ht="15.75" customHeight="1" x14ac:dyDescent="0.25">
      <c r="A166" s="68">
        <v>3</v>
      </c>
      <c r="B166" s="68"/>
      <c r="C166" s="59" t="s">
        <v>178</v>
      </c>
      <c r="D166" s="59">
        <f>(63.55+1.2*3.05)*10.764</f>
        <v>723.44843999999989</v>
      </c>
      <c r="E166" s="59">
        <v>0</v>
      </c>
      <c r="F166" s="59">
        <f>D166*1.6+E166</f>
        <v>1157.5175039999999</v>
      </c>
      <c r="G166" s="68"/>
      <c r="H166" s="68"/>
    </row>
    <row r="167" spans="1:8" s="2" customFormat="1" ht="15.75" customHeight="1" x14ac:dyDescent="0.25">
      <c r="A167" s="68">
        <v>4</v>
      </c>
      <c r="B167" s="68"/>
      <c r="C167" s="59" t="s">
        <v>178</v>
      </c>
      <c r="D167" s="59">
        <f>(64.55+1.2*3.05)*10.764</f>
        <v>734.2124399999999</v>
      </c>
      <c r="E167" s="59">
        <v>0</v>
      </c>
      <c r="F167" s="59">
        <f>D167*1.6+E167</f>
        <v>1174.7399039999998</v>
      </c>
      <c r="G167" s="68"/>
      <c r="H167" s="68"/>
    </row>
    <row r="168" spans="1:8" s="38" customFormat="1" ht="15.75" customHeight="1" x14ac:dyDescent="0.25">
      <c r="A168" s="69" t="s">
        <v>180</v>
      </c>
      <c r="B168" s="69"/>
      <c r="C168" s="69"/>
      <c r="D168" s="69"/>
      <c r="E168" s="69"/>
      <c r="F168" s="69"/>
      <c r="G168" s="69"/>
      <c r="H168" s="69"/>
    </row>
    <row r="169" spans="1:8" s="2" customFormat="1" ht="15.75" customHeight="1" x14ac:dyDescent="0.25">
      <c r="A169" s="68">
        <v>1</v>
      </c>
      <c r="B169" s="68"/>
      <c r="C169" s="59" t="s">
        <v>178</v>
      </c>
      <c r="D169" s="59">
        <f>(65.59+1.2*3.05)*10.764</f>
        <v>745.40699999999993</v>
      </c>
      <c r="E169" s="59">
        <v>0</v>
      </c>
      <c r="F169" s="59">
        <f>D169*1.6+E169</f>
        <v>1192.6512</v>
      </c>
      <c r="G169" s="68" t="str">
        <f>A168</f>
        <v>13th &amp; 34th Floor</v>
      </c>
      <c r="H169" s="68"/>
    </row>
    <row r="170" spans="1:8" s="2" customFormat="1" ht="15.75" customHeight="1" x14ac:dyDescent="0.25">
      <c r="A170" s="68">
        <v>2</v>
      </c>
      <c r="B170" s="68"/>
      <c r="C170" s="59" t="s">
        <v>178</v>
      </c>
      <c r="D170" s="59">
        <f>(64.12+1.2*3.05)*10.764</f>
        <v>729.58391999999992</v>
      </c>
      <c r="E170" s="59">
        <v>0</v>
      </c>
      <c r="F170" s="59">
        <f>D170*1.6+E170</f>
        <v>1167.3342719999998</v>
      </c>
      <c r="G170" s="68"/>
      <c r="H170" s="68"/>
    </row>
    <row r="171" spans="1:8" s="2" customFormat="1" ht="15.75" customHeight="1" x14ac:dyDescent="0.25">
      <c r="A171" s="68">
        <v>3</v>
      </c>
      <c r="B171" s="68"/>
      <c r="C171" s="59" t="s">
        <v>178</v>
      </c>
      <c r="D171" s="59">
        <f>(63.55+1.2*3.05)*10.764</f>
        <v>723.44843999999989</v>
      </c>
      <c r="E171" s="59">
        <v>0</v>
      </c>
      <c r="F171" s="59">
        <f>D171*1.6+E171</f>
        <v>1157.5175039999999</v>
      </c>
      <c r="G171" s="68"/>
      <c r="H171" s="68"/>
    </row>
    <row r="172" spans="1:8" s="2" customFormat="1" ht="15.75" customHeight="1" x14ac:dyDescent="0.25">
      <c r="A172" s="68">
        <v>4</v>
      </c>
      <c r="B172" s="68"/>
      <c r="C172" s="59" t="s">
        <v>178</v>
      </c>
      <c r="D172" s="59">
        <f>(64.55+1.2*3.05)*10.764</f>
        <v>734.2124399999999</v>
      </c>
      <c r="E172" s="59">
        <v>0</v>
      </c>
      <c r="F172" s="59">
        <f>D172*1.6+E172</f>
        <v>1174.7399039999998</v>
      </c>
      <c r="G172" s="68"/>
      <c r="H172" s="68"/>
    </row>
    <row r="173" spans="1:8" s="38" customFormat="1" ht="15.75" customHeight="1" x14ac:dyDescent="0.25">
      <c r="A173" s="69" t="s">
        <v>267</v>
      </c>
      <c r="B173" s="69"/>
      <c r="C173" s="69"/>
      <c r="D173" s="69"/>
      <c r="E173" s="69"/>
      <c r="F173" s="69"/>
      <c r="G173" s="69"/>
      <c r="H173" s="69"/>
    </row>
    <row r="174" spans="1:8" s="2" customFormat="1" x14ac:dyDescent="0.25">
      <c r="A174" s="68">
        <v>1</v>
      </c>
      <c r="B174" s="68"/>
      <c r="C174" s="64" t="s">
        <v>178</v>
      </c>
      <c r="D174" s="64">
        <f>(65.59+1.2*3.05)*10.764</f>
        <v>745.40699999999993</v>
      </c>
      <c r="E174" s="64">
        <v>0</v>
      </c>
      <c r="F174" s="64">
        <f>D174*1.6+E174</f>
        <v>1192.6512</v>
      </c>
      <c r="G174" s="68" t="str">
        <f>A173</f>
        <v>14th &amp; 35th Floor</v>
      </c>
      <c r="H174" s="68"/>
    </row>
    <row r="175" spans="1:8" s="2" customFormat="1" ht="15.75" customHeight="1" x14ac:dyDescent="0.25">
      <c r="A175" s="68">
        <v>2</v>
      </c>
      <c r="B175" s="68"/>
      <c r="C175" s="64" t="s">
        <v>178</v>
      </c>
      <c r="D175" s="64">
        <f>(64.12+1.2*3.05)*10.764</f>
        <v>729.58391999999992</v>
      </c>
      <c r="E175" s="64">
        <v>0</v>
      </c>
      <c r="F175" s="64">
        <f>D175*1.6+E175</f>
        <v>1167.3342719999998</v>
      </c>
      <c r="G175" s="68"/>
      <c r="H175" s="68"/>
    </row>
    <row r="176" spans="1:8" s="2" customFormat="1" ht="15.75" customHeight="1" x14ac:dyDescent="0.25">
      <c r="A176" s="68">
        <v>3</v>
      </c>
      <c r="B176" s="68"/>
      <c r="C176" s="64" t="s">
        <v>178</v>
      </c>
      <c r="D176" s="64">
        <f>(63.55+1.2*3.05)*10.764</f>
        <v>723.44843999999989</v>
      </c>
      <c r="E176" s="64">
        <v>0</v>
      </c>
      <c r="F176" s="64">
        <f>D176*1.6+E176</f>
        <v>1157.5175039999999</v>
      </c>
      <c r="G176" s="68"/>
      <c r="H176" s="68"/>
    </row>
    <row r="177" spans="1:8" s="2" customFormat="1" ht="15.75" customHeight="1" x14ac:dyDescent="0.25">
      <c r="A177" s="68">
        <v>4</v>
      </c>
      <c r="B177" s="68"/>
      <c r="C177" s="64" t="s">
        <v>178</v>
      </c>
      <c r="D177" s="64">
        <f>(64.55+1.2*3.05)*10.764</f>
        <v>734.2124399999999</v>
      </c>
      <c r="E177" s="64">
        <v>0</v>
      </c>
      <c r="F177" s="64">
        <f>D177*1.6+E177</f>
        <v>1174.7399039999998</v>
      </c>
      <c r="G177" s="68"/>
      <c r="H177" s="68"/>
    </row>
    <row r="178" spans="1:8" s="38" customFormat="1" ht="15.75" customHeight="1" x14ac:dyDescent="0.25">
      <c r="A178" s="69" t="s">
        <v>268</v>
      </c>
      <c r="B178" s="69"/>
      <c r="C178" s="69"/>
      <c r="D178" s="69"/>
      <c r="E178" s="69"/>
      <c r="F178" s="69"/>
      <c r="G178" s="69"/>
      <c r="H178" s="69"/>
    </row>
    <row r="179" spans="1:8" s="2" customFormat="1" x14ac:dyDescent="0.25">
      <c r="A179" s="68">
        <v>1</v>
      </c>
      <c r="B179" s="68"/>
      <c r="C179" s="68" t="s">
        <v>179</v>
      </c>
      <c r="D179" s="68"/>
      <c r="E179" s="68"/>
      <c r="F179" s="68"/>
      <c r="G179" s="68" t="str">
        <f>A178</f>
        <v>15th &amp; 36th Floor (Part Refuge Area)</v>
      </c>
      <c r="H179" s="68"/>
    </row>
    <row r="180" spans="1:8" s="2" customFormat="1" ht="15.75" customHeight="1" x14ac:dyDescent="0.25">
      <c r="A180" s="68">
        <v>2</v>
      </c>
      <c r="B180" s="68"/>
      <c r="C180" s="64" t="s">
        <v>178</v>
      </c>
      <c r="D180" s="64">
        <f>(64.12+1.2*3.05)*10.764</f>
        <v>729.58391999999992</v>
      </c>
      <c r="E180" s="64">
        <v>0</v>
      </c>
      <c r="F180" s="64">
        <f>D180*1.6+E180</f>
        <v>1167.3342719999998</v>
      </c>
      <c r="G180" s="68"/>
      <c r="H180" s="68"/>
    </row>
    <row r="181" spans="1:8" s="2" customFormat="1" ht="15.75" customHeight="1" x14ac:dyDescent="0.25">
      <c r="A181" s="68">
        <v>3</v>
      </c>
      <c r="B181" s="68"/>
      <c r="C181" s="64" t="s">
        <v>178</v>
      </c>
      <c r="D181" s="64">
        <f>(63.55+1.2*3.05)*10.764</f>
        <v>723.44843999999989</v>
      </c>
      <c r="E181" s="64">
        <v>0</v>
      </c>
      <c r="F181" s="64">
        <f>D181*1.6+E181</f>
        <v>1157.5175039999999</v>
      </c>
      <c r="G181" s="68"/>
      <c r="H181" s="68"/>
    </row>
    <row r="182" spans="1:8" s="2" customFormat="1" ht="15.75" customHeight="1" x14ac:dyDescent="0.25">
      <c r="A182" s="68">
        <v>4</v>
      </c>
      <c r="B182" s="68"/>
      <c r="C182" s="64" t="s">
        <v>178</v>
      </c>
      <c r="D182" s="64">
        <f>(64.55+1.2*3.05)*10.764</f>
        <v>734.2124399999999</v>
      </c>
      <c r="E182" s="64">
        <v>0</v>
      </c>
      <c r="F182" s="64">
        <f>D182*1.6+E182</f>
        <v>1174.7399039999998</v>
      </c>
      <c r="G182" s="68"/>
      <c r="H182" s="68"/>
    </row>
    <row r="183" spans="1:8" s="38" customFormat="1" ht="15.75" customHeight="1" x14ac:dyDescent="0.25">
      <c r="A183" s="69" t="s">
        <v>269</v>
      </c>
      <c r="B183" s="69"/>
      <c r="C183" s="69"/>
      <c r="D183" s="69"/>
      <c r="E183" s="69"/>
      <c r="F183" s="69"/>
      <c r="G183" s="69"/>
      <c r="H183" s="69"/>
    </row>
    <row r="184" spans="1:8" s="2" customFormat="1" x14ac:dyDescent="0.25">
      <c r="A184" s="68">
        <v>1</v>
      </c>
      <c r="B184" s="68"/>
      <c r="C184" s="59" t="s">
        <v>178</v>
      </c>
      <c r="D184" s="59">
        <f>(65.59+1.2*3.05)*10.764</f>
        <v>745.40699999999993</v>
      </c>
      <c r="E184" s="59">
        <v>0</v>
      </c>
      <c r="F184" s="59">
        <f>D184*1.6+E184</f>
        <v>1192.6512</v>
      </c>
      <c r="G184" s="68" t="str">
        <f>A183</f>
        <v>16th &amp; 37th Floor</v>
      </c>
      <c r="H184" s="68"/>
    </row>
    <row r="185" spans="1:8" s="2" customFormat="1" ht="15.75" customHeight="1" x14ac:dyDescent="0.25">
      <c r="A185" s="68">
        <v>2</v>
      </c>
      <c r="B185" s="68"/>
      <c r="C185" s="59" t="s">
        <v>178</v>
      </c>
      <c r="D185" s="59">
        <f>(64.12+1.2*3.05)*10.764</f>
        <v>729.58391999999992</v>
      </c>
      <c r="E185" s="59">
        <v>0</v>
      </c>
      <c r="F185" s="59">
        <f>D185*1.6+E185</f>
        <v>1167.3342719999998</v>
      </c>
      <c r="G185" s="68"/>
      <c r="H185" s="68"/>
    </row>
    <row r="186" spans="1:8" s="2" customFormat="1" ht="15.75" customHeight="1" x14ac:dyDescent="0.25">
      <c r="A186" s="68">
        <v>3</v>
      </c>
      <c r="B186" s="68"/>
      <c r="C186" s="59" t="s">
        <v>178</v>
      </c>
      <c r="D186" s="59">
        <f>(63.55+1.2*3.05)*10.764</f>
        <v>723.44843999999989</v>
      </c>
      <c r="E186" s="59">
        <v>0</v>
      </c>
      <c r="F186" s="59">
        <f>D186*1.6+E186</f>
        <v>1157.5175039999999</v>
      </c>
      <c r="G186" s="68"/>
      <c r="H186" s="68"/>
    </row>
    <row r="187" spans="1:8" s="2" customFormat="1" ht="15.75" customHeight="1" x14ac:dyDescent="0.25">
      <c r="A187" s="68">
        <v>4</v>
      </c>
      <c r="B187" s="68"/>
      <c r="C187" s="59" t="s">
        <v>178</v>
      </c>
      <c r="D187" s="59">
        <f>(64.55+1.2*3.05)*10.764</f>
        <v>734.2124399999999</v>
      </c>
      <c r="E187" s="59">
        <v>0</v>
      </c>
      <c r="F187" s="59">
        <f>D187*1.6+E187</f>
        <v>1174.7399039999998</v>
      </c>
      <c r="G187" s="68"/>
      <c r="H187" s="68"/>
    </row>
    <row r="188" spans="1:8" s="38" customFormat="1" ht="15.75" customHeight="1" x14ac:dyDescent="0.25">
      <c r="A188" s="69" t="s">
        <v>270</v>
      </c>
      <c r="B188" s="69"/>
      <c r="C188" s="69"/>
      <c r="D188" s="69"/>
      <c r="E188" s="69"/>
      <c r="F188" s="69"/>
      <c r="G188" s="69"/>
      <c r="H188" s="69"/>
    </row>
    <row r="189" spans="1:8" s="2" customFormat="1" ht="15.75" customHeight="1" x14ac:dyDescent="0.25">
      <c r="A189" s="68">
        <v>1</v>
      </c>
      <c r="B189" s="68"/>
      <c r="C189" s="59" t="s">
        <v>178</v>
      </c>
      <c r="D189" s="59">
        <f>(65.59+1.2*3.05)*10.764</f>
        <v>745.40699999999993</v>
      </c>
      <c r="E189" s="59">
        <v>0</v>
      </c>
      <c r="F189" s="59">
        <f>D189*1.6+E189</f>
        <v>1192.6512</v>
      </c>
      <c r="G189" s="68" t="str">
        <f>A188</f>
        <v>17th, 24th &amp; 38th Floor</v>
      </c>
      <c r="H189" s="68"/>
    </row>
    <row r="190" spans="1:8" s="2" customFormat="1" ht="15.75" customHeight="1" x14ac:dyDescent="0.25">
      <c r="A190" s="68">
        <v>2</v>
      </c>
      <c r="B190" s="68"/>
      <c r="C190" s="59" t="s">
        <v>178</v>
      </c>
      <c r="D190" s="59">
        <f>(64.12+1.2*3.05)*10.764</f>
        <v>729.58391999999992</v>
      </c>
      <c r="E190" s="59">
        <v>0</v>
      </c>
      <c r="F190" s="59">
        <f>D190*1.6+E190</f>
        <v>1167.3342719999998</v>
      </c>
      <c r="G190" s="68"/>
      <c r="H190" s="68"/>
    </row>
    <row r="191" spans="1:8" s="2" customFormat="1" ht="15.75" customHeight="1" x14ac:dyDescent="0.25">
      <c r="A191" s="68">
        <v>3</v>
      </c>
      <c r="B191" s="68"/>
      <c r="C191" s="59" t="s">
        <v>178</v>
      </c>
      <c r="D191" s="59">
        <f>(63.55+1.2*3.05)*10.764</f>
        <v>723.44843999999989</v>
      </c>
      <c r="E191" s="59">
        <v>0</v>
      </c>
      <c r="F191" s="59">
        <f>D191*1.6+E191</f>
        <v>1157.5175039999999</v>
      </c>
      <c r="G191" s="68"/>
      <c r="H191" s="68"/>
    </row>
    <row r="192" spans="1:8" s="2" customFormat="1" ht="15.75" customHeight="1" x14ac:dyDescent="0.25">
      <c r="A192" s="68">
        <v>4</v>
      </c>
      <c r="B192" s="68"/>
      <c r="C192" s="59" t="s">
        <v>178</v>
      </c>
      <c r="D192" s="59">
        <f>(64.55+1.2*3.05)*10.764</f>
        <v>734.2124399999999</v>
      </c>
      <c r="E192" s="59">
        <v>0</v>
      </c>
      <c r="F192" s="59">
        <f>D192*1.6+E192</f>
        <v>1174.7399039999998</v>
      </c>
      <c r="G192" s="68"/>
      <c r="H192" s="68"/>
    </row>
    <row r="193" spans="1:8" s="38" customFormat="1" ht="15.75" customHeight="1" x14ac:dyDescent="0.25">
      <c r="A193" s="69" t="s">
        <v>271</v>
      </c>
      <c r="B193" s="69"/>
      <c r="C193" s="69"/>
      <c r="D193" s="69"/>
      <c r="E193" s="69"/>
      <c r="F193" s="69"/>
      <c r="G193" s="69"/>
      <c r="H193" s="69"/>
    </row>
    <row r="194" spans="1:8" s="2" customFormat="1" ht="15.75" customHeight="1" x14ac:dyDescent="0.25">
      <c r="A194" s="68">
        <v>1</v>
      </c>
      <c r="B194" s="68"/>
      <c r="C194" s="59" t="s">
        <v>178</v>
      </c>
      <c r="D194" s="59">
        <f>(65.59+1.2*3.05)*10.764</f>
        <v>745.40699999999993</v>
      </c>
      <c r="E194" s="59">
        <v>0</v>
      </c>
      <c r="F194" s="59">
        <f>D194*1.6+E194</f>
        <v>1192.6512</v>
      </c>
      <c r="G194" s="68" t="str">
        <f>A193</f>
        <v>18th, 25th &amp; 39th Floor</v>
      </c>
      <c r="H194" s="68"/>
    </row>
    <row r="195" spans="1:8" s="2" customFormat="1" ht="15.75" customHeight="1" x14ac:dyDescent="0.25">
      <c r="A195" s="68">
        <v>2</v>
      </c>
      <c r="B195" s="68"/>
      <c r="C195" s="59" t="s">
        <v>178</v>
      </c>
      <c r="D195" s="59">
        <f>(64.12+1.2*3.05)*10.764</f>
        <v>729.58391999999992</v>
      </c>
      <c r="E195" s="59">
        <v>0</v>
      </c>
      <c r="F195" s="59">
        <f>D195*1.6+E195</f>
        <v>1167.3342719999998</v>
      </c>
      <c r="G195" s="68"/>
      <c r="H195" s="68"/>
    </row>
    <row r="196" spans="1:8" s="2" customFormat="1" ht="15.75" customHeight="1" x14ac:dyDescent="0.25">
      <c r="A196" s="68">
        <v>3</v>
      </c>
      <c r="B196" s="68"/>
      <c r="C196" s="59" t="s">
        <v>178</v>
      </c>
      <c r="D196" s="59">
        <f>(63.55+1.2*3.05)*10.764</f>
        <v>723.44843999999989</v>
      </c>
      <c r="E196" s="59">
        <v>0</v>
      </c>
      <c r="F196" s="59">
        <f>D196*1.6+E196</f>
        <v>1157.5175039999999</v>
      </c>
      <c r="G196" s="68"/>
      <c r="H196" s="68"/>
    </row>
    <row r="197" spans="1:8" s="2" customFormat="1" ht="15.75" customHeight="1" x14ac:dyDescent="0.25">
      <c r="A197" s="68">
        <v>4</v>
      </c>
      <c r="B197" s="68"/>
      <c r="C197" s="59" t="s">
        <v>178</v>
      </c>
      <c r="D197" s="59">
        <f>(64.55+1.2*3.05)*10.764</f>
        <v>734.2124399999999</v>
      </c>
      <c r="E197" s="59">
        <v>0</v>
      </c>
      <c r="F197" s="59">
        <f>D197*1.6+E197</f>
        <v>1174.7399039999998</v>
      </c>
      <c r="G197" s="68"/>
      <c r="H197" s="68"/>
    </row>
    <row r="198" spans="1:8" s="38" customFormat="1" ht="15.75" customHeight="1" x14ac:dyDescent="0.25">
      <c r="A198" s="69" t="s">
        <v>272</v>
      </c>
      <c r="B198" s="69"/>
      <c r="C198" s="69"/>
      <c r="D198" s="69"/>
      <c r="E198" s="69"/>
      <c r="F198" s="69"/>
      <c r="G198" s="69"/>
      <c r="H198" s="69"/>
    </row>
    <row r="199" spans="1:8" s="2" customFormat="1" ht="15.75" customHeight="1" x14ac:dyDescent="0.25">
      <c r="A199" s="68">
        <v>1</v>
      </c>
      <c r="B199" s="68"/>
      <c r="C199" s="59" t="s">
        <v>178</v>
      </c>
      <c r="D199" s="59">
        <f>(65.59+1.2*3.05)*10.764</f>
        <v>745.40699999999993</v>
      </c>
      <c r="E199" s="59">
        <v>0</v>
      </c>
      <c r="F199" s="59">
        <f>D199*1.6+E199</f>
        <v>1192.6512</v>
      </c>
      <c r="G199" s="68" t="str">
        <f>A198</f>
        <v>19th, 26th &amp; 40th Floor</v>
      </c>
      <c r="H199" s="68"/>
    </row>
    <row r="200" spans="1:8" s="2" customFormat="1" ht="15.75" customHeight="1" x14ac:dyDescent="0.25">
      <c r="A200" s="68">
        <v>2</v>
      </c>
      <c r="B200" s="68"/>
      <c r="C200" s="59" t="s">
        <v>178</v>
      </c>
      <c r="D200" s="59">
        <f>(64.12+1.2*3.05)*10.764</f>
        <v>729.58391999999992</v>
      </c>
      <c r="E200" s="59">
        <v>0</v>
      </c>
      <c r="F200" s="59">
        <f>D200*1.6+E200</f>
        <v>1167.3342719999998</v>
      </c>
      <c r="G200" s="68"/>
      <c r="H200" s="68"/>
    </row>
    <row r="201" spans="1:8" s="2" customFormat="1" ht="15.75" customHeight="1" x14ac:dyDescent="0.25">
      <c r="A201" s="68">
        <v>3</v>
      </c>
      <c r="B201" s="68"/>
      <c r="C201" s="59" t="s">
        <v>178</v>
      </c>
      <c r="D201" s="59">
        <f>(63.55+1.2*3.05)*10.764</f>
        <v>723.44843999999989</v>
      </c>
      <c r="E201" s="59">
        <v>0</v>
      </c>
      <c r="F201" s="59">
        <f>D201*1.6+E201</f>
        <v>1157.5175039999999</v>
      </c>
      <c r="G201" s="68"/>
      <c r="H201" s="68"/>
    </row>
    <row r="202" spans="1:8" s="2" customFormat="1" ht="15.75" customHeight="1" x14ac:dyDescent="0.25">
      <c r="A202" s="68">
        <v>4</v>
      </c>
      <c r="B202" s="68"/>
      <c r="C202" s="59" t="s">
        <v>178</v>
      </c>
      <c r="D202" s="59">
        <f>(64.55+1.2*3.05)*10.764</f>
        <v>734.2124399999999</v>
      </c>
      <c r="E202" s="59">
        <v>0</v>
      </c>
      <c r="F202" s="59">
        <f>D202*1.6+E202</f>
        <v>1174.7399039999998</v>
      </c>
      <c r="G202" s="68"/>
      <c r="H202" s="68"/>
    </row>
    <row r="203" spans="1:8" s="38" customFormat="1" ht="15.75" customHeight="1" x14ac:dyDescent="0.25">
      <c r="A203" s="69" t="s">
        <v>273</v>
      </c>
      <c r="B203" s="69"/>
      <c r="C203" s="69"/>
      <c r="D203" s="69"/>
      <c r="E203" s="69"/>
      <c r="F203" s="69"/>
      <c r="G203" s="69"/>
      <c r="H203" s="69"/>
    </row>
    <row r="204" spans="1:8" s="2" customFormat="1" ht="15.75" customHeight="1" x14ac:dyDescent="0.25">
      <c r="A204" s="68">
        <v>1</v>
      </c>
      <c r="B204" s="68"/>
      <c r="C204" s="59" t="s">
        <v>178</v>
      </c>
      <c r="D204" s="59">
        <f>(65.59+1.2*3.05)*10.764</f>
        <v>745.40699999999993</v>
      </c>
      <c r="E204" s="59">
        <v>0</v>
      </c>
      <c r="F204" s="59">
        <f>D204*1.6+E204</f>
        <v>1192.6512</v>
      </c>
      <c r="G204" s="68" t="str">
        <f>A203</f>
        <v>20th, 27th &amp; 41st Floor</v>
      </c>
      <c r="H204" s="68"/>
    </row>
    <row r="205" spans="1:8" s="2" customFormat="1" ht="15.75" customHeight="1" x14ac:dyDescent="0.25">
      <c r="A205" s="68">
        <v>2</v>
      </c>
      <c r="B205" s="68"/>
      <c r="C205" s="59" t="s">
        <v>178</v>
      </c>
      <c r="D205" s="59">
        <f>(64.12+1.2*3.05)*10.764</f>
        <v>729.58391999999992</v>
      </c>
      <c r="E205" s="59">
        <v>0</v>
      </c>
      <c r="F205" s="59">
        <f>D205*1.6+E205</f>
        <v>1167.3342719999998</v>
      </c>
      <c r="G205" s="68"/>
      <c r="H205" s="68"/>
    </row>
    <row r="206" spans="1:8" s="2" customFormat="1" ht="15.75" customHeight="1" x14ac:dyDescent="0.25">
      <c r="A206" s="68">
        <v>3</v>
      </c>
      <c r="B206" s="68"/>
      <c r="C206" s="59" t="s">
        <v>178</v>
      </c>
      <c r="D206" s="59">
        <f>(63.55+1.2*3.05)*10.764</f>
        <v>723.44843999999989</v>
      </c>
      <c r="E206" s="59">
        <v>0</v>
      </c>
      <c r="F206" s="59">
        <f>D206*1.6+E206</f>
        <v>1157.5175039999999</v>
      </c>
      <c r="G206" s="68"/>
      <c r="H206" s="68"/>
    </row>
    <row r="207" spans="1:8" s="2" customFormat="1" ht="15.75" customHeight="1" x14ac:dyDescent="0.25">
      <c r="A207" s="68">
        <v>4</v>
      </c>
      <c r="B207" s="68"/>
      <c r="C207" s="59" t="s">
        <v>178</v>
      </c>
      <c r="D207" s="59">
        <f>(64.55+1.2*3.05)*10.764</f>
        <v>734.2124399999999</v>
      </c>
      <c r="E207" s="59">
        <v>0</v>
      </c>
      <c r="F207" s="59">
        <f>D207*1.6+E207</f>
        <v>1174.7399039999998</v>
      </c>
      <c r="G207" s="68"/>
      <c r="H207" s="68"/>
    </row>
    <row r="208" spans="1:8" s="38" customFormat="1" ht="15.75" customHeight="1" x14ac:dyDescent="0.25">
      <c r="A208" s="69" t="s">
        <v>274</v>
      </c>
      <c r="B208" s="69"/>
      <c r="C208" s="69"/>
      <c r="D208" s="69"/>
      <c r="E208" s="69"/>
      <c r="F208" s="69"/>
      <c r="G208" s="69"/>
      <c r="H208" s="69"/>
    </row>
    <row r="209" spans="1:8" s="2" customFormat="1" ht="15.75" customHeight="1" x14ac:dyDescent="0.25">
      <c r="A209" s="68">
        <v>1</v>
      </c>
      <c r="B209" s="68"/>
      <c r="C209" s="59" t="s">
        <v>178</v>
      </c>
      <c r="D209" s="59">
        <f>(65.59+1.2*3.05)*10.764</f>
        <v>745.40699999999993</v>
      </c>
      <c r="E209" s="59">
        <v>0</v>
      </c>
      <c r="F209" s="59">
        <f>D209*1.6+E209</f>
        <v>1192.6512</v>
      </c>
      <c r="G209" s="68" t="str">
        <f>A208</f>
        <v>21st, 28th &amp; 42nd Floor</v>
      </c>
      <c r="H209" s="68"/>
    </row>
    <row r="210" spans="1:8" s="2" customFormat="1" ht="15.75" customHeight="1" x14ac:dyDescent="0.25">
      <c r="A210" s="68">
        <v>2</v>
      </c>
      <c r="B210" s="68"/>
      <c r="C210" s="59" t="s">
        <v>178</v>
      </c>
      <c r="D210" s="59">
        <f>(64.12+1.2*3.05)*10.764</f>
        <v>729.58391999999992</v>
      </c>
      <c r="E210" s="59">
        <v>0</v>
      </c>
      <c r="F210" s="59">
        <f>D210*1.6+E210</f>
        <v>1167.3342719999998</v>
      </c>
      <c r="G210" s="68"/>
      <c r="H210" s="68"/>
    </row>
    <row r="211" spans="1:8" s="2" customFormat="1" ht="15.75" customHeight="1" x14ac:dyDescent="0.25">
      <c r="A211" s="68">
        <v>3</v>
      </c>
      <c r="B211" s="68"/>
      <c r="C211" s="59" t="s">
        <v>178</v>
      </c>
      <c r="D211" s="59">
        <f>(63.55+1.2*3.05)*10.764</f>
        <v>723.44843999999989</v>
      </c>
      <c r="E211" s="59">
        <v>0</v>
      </c>
      <c r="F211" s="59">
        <f>D211*1.6+E211</f>
        <v>1157.5175039999999</v>
      </c>
      <c r="G211" s="68"/>
      <c r="H211" s="68"/>
    </row>
    <row r="212" spans="1:8" s="2" customFormat="1" ht="15.75" customHeight="1" x14ac:dyDescent="0.25">
      <c r="A212" s="68">
        <v>4</v>
      </c>
      <c r="B212" s="68"/>
      <c r="C212" s="59" t="s">
        <v>178</v>
      </c>
      <c r="D212" s="59">
        <f>(64.55+1.2*3.05)*10.764</f>
        <v>734.2124399999999</v>
      </c>
      <c r="E212" s="59">
        <v>0</v>
      </c>
      <c r="F212" s="59">
        <f>D212*1.6+E212</f>
        <v>1174.7399039999998</v>
      </c>
      <c r="G212" s="68"/>
      <c r="H212" s="68"/>
    </row>
    <row r="213" spans="1:8" s="38" customFormat="1" ht="15.75" customHeight="1" x14ac:dyDescent="0.25">
      <c r="A213" s="69" t="s">
        <v>248</v>
      </c>
      <c r="B213" s="69"/>
      <c r="C213" s="69"/>
      <c r="D213" s="69"/>
      <c r="E213" s="69"/>
      <c r="F213" s="69"/>
      <c r="G213" s="69"/>
      <c r="H213" s="69"/>
    </row>
    <row r="214" spans="1:8" s="2" customFormat="1" x14ac:dyDescent="0.25">
      <c r="A214" s="71">
        <v>1</v>
      </c>
      <c r="B214" s="71"/>
      <c r="C214" s="68" t="s">
        <v>179</v>
      </c>
      <c r="D214" s="68"/>
      <c r="E214" s="68"/>
      <c r="F214" s="68"/>
      <c r="G214" s="68" t="str">
        <f>A213</f>
        <v>22nd &amp; 29th Floor (Part Refuge Area)</v>
      </c>
      <c r="H214" s="68"/>
    </row>
    <row r="215" spans="1:8" s="2" customFormat="1" ht="15.75" customHeight="1" x14ac:dyDescent="0.25">
      <c r="A215" s="68">
        <v>2</v>
      </c>
      <c r="B215" s="68"/>
      <c r="C215" s="64" t="s">
        <v>178</v>
      </c>
      <c r="D215" s="64">
        <f>(64.12+1.2*3.05)*10.764</f>
        <v>729.58391999999992</v>
      </c>
      <c r="E215" s="64">
        <v>0</v>
      </c>
      <c r="F215" s="64">
        <f>D215*1.6+E215</f>
        <v>1167.3342719999998</v>
      </c>
      <c r="G215" s="68"/>
      <c r="H215" s="68"/>
    </row>
    <row r="216" spans="1:8" s="2" customFormat="1" ht="15.75" customHeight="1" x14ac:dyDescent="0.25">
      <c r="A216" s="68">
        <v>3</v>
      </c>
      <c r="B216" s="68"/>
      <c r="C216" s="64" t="s">
        <v>178</v>
      </c>
      <c r="D216" s="64">
        <f>(63.55+1.2*3.05)*10.764</f>
        <v>723.44843999999989</v>
      </c>
      <c r="E216" s="64">
        <v>0</v>
      </c>
      <c r="F216" s="64">
        <f>D216*1.6+E216</f>
        <v>1157.5175039999999</v>
      </c>
      <c r="G216" s="68"/>
      <c r="H216" s="68"/>
    </row>
    <row r="217" spans="1:8" s="2" customFormat="1" ht="15.75" customHeight="1" x14ac:dyDescent="0.25">
      <c r="A217" s="68">
        <v>4</v>
      </c>
      <c r="B217" s="68"/>
      <c r="C217" s="64" t="s">
        <v>178</v>
      </c>
      <c r="D217" s="64">
        <f>(64.55+1.2*3.05)*10.764</f>
        <v>734.2124399999999</v>
      </c>
      <c r="E217" s="64">
        <v>0</v>
      </c>
      <c r="F217" s="64">
        <f>D217*1.6+E217</f>
        <v>1174.7399039999998</v>
      </c>
      <c r="G217" s="68"/>
      <c r="H217" s="68"/>
    </row>
    <row r="218" spans="1:8" s="38" customFormat="1" ht="15.75" customHeight="1" x14ac:dyDescent="0.25">
      <c r="A218" s="69" t="s">
        <v>246</v>
      </c>
      <c r="B218" s="69"/>
      <c r="C218" s="69"/>
      <c r="D218" s="69"/>
      <c r="E218" s="69"/>
      <c r="F218" s="69"/>
      <c r="G218" s="69"/>
      <c r="H218" s="69"/>
    </row>
    <row r="219" spans="1:8" s="2" customFormat="1" x14ac:dyDescent="0.25">
      <c r="A219" s="68">
        <v>1</v>
      </c>
      <c r="B219" s="68"/>
      <c r="C219" s="64" t="s">
        <v>178</v>
      </c>
      <c r="D219" s="64">
        <f>(65.59+1.2*3.05)*10.764</f>
        <v>745.40699999999993</v>
      </c>
      <c r="E219" s="64">
        <v>0</v>
      </c>
      <c r="F219" s="64">
        <f>D219*1.6+E219</f>
        <v>1192.6512</v>
      </c>
      <c r="G219" s="68" t="str">
        <f>A218</f>
        <v>23rd Floor</v>
      </c>
      <c r="H219" s="68"/>
    </row>
    <row r="220" spans="1:8" s="2" customFormat="1" ht="15.75" customHeight="1" x14ac:dyDescent="0.25">
      <c r="A220" s="68">
        <v>2</v>
      </c>
      <c r="B220" s="68"/>
      <c r="C220" s="64" t="s">
        <v>178</v>
      </c>
      <c r="D220" s="64">
        <f>(64.12+1.2*3.05)*10.764</f>
        <v>729.58391999999992</v>
      </c>
      <c r="E220" s="64">
        <v>0</v>
      </c>
      <c r="F220" s="64">
        <f>D220*1.6+E220</f>
        <v>1167.3342719999998</v>
      </c>
      <c r="G220" s="68"/>
      <c r="H220" s="68"/>
    </row>
    <row r="221" spans="1:8" s="2" customFormat="1" ht="15.75" customHeight="1" x14ac:dyDescent="0.25">
      <c r="A221" s="68">
        <v>3</v>
      </c>
      <c r="B221" s="68"/>
      <c r="C221" s="64" t="s">
        <v>178</v>
      </c>
      <c r="D221" s="64">
        <f>(63.55+1.2*3.05)*10.764</f>
        <v>723.44843999999989</v>
      </c>
      <c r="E221" s="64">
        <v>0</v>
      </c>
      <c r="F221" s="64">
        <f>D221*1.6+E221</f>
        <v>1157.5175039999999</v>
      </c>
      <c r="G221" s="68"/>
      <c r="H221" s="68"/>
    </row>
    <row r="222" spans="1:8" s="2" customFormat="1" ht="15.75" customHeight="1" x14ac:dyDescent="0.25">
      <c r="A222" s="68">
        <v>4</v>
      </c>
      <c r="B222" s="68"/>
      <c r="C222" s="64" t="s">
        <v>178</v>
      </c>
      <c r="D222" s="64">
        <f>(64.55+1.2*3.05)*10.764</f>
        <v>734.2124399999999</v>
      </c>
      <c r="E222" s="64">
        <v>0</v>
      </c>
      <c r="F222" s="64">
        <f>D222*1.6+E222</f>
        <v>1174.7399039999998</v>
      </c>
      <c r="G222" s="68"/>
      <c r="H222" s="68"/>
    </row>
    <row r="223" spans="1:8" s="38" customFormat="1" ht="15.75" customHeight="1" x14ac:dyDescent="0.25">
      <c r="A223" s="69" t="s">
        <v>275</v>
      </c>
      <c r="B223" s="69"/>
      <c r="C223" s="69"/>
      <c r="D223" s="69"/>
      <c r="E223" s="69"/>
      <c r="F223" s="69"/>
      <c r="G223" s="69"/>
      <c r="H223" s="69"/>
    </row>
    <row r="224" spans="1:8" s="2" customFormat="1" x14ac:dyDescent="0.25">
      <c r="A224" s="68">
        <v>1</v>
      </c>
      <c r="B224" s="68"/>
      <c r="C224" s="59" t="s">
        <v>178</v>
      </c>
      <c r="D224" s="59">
        <f>(65.59+1.2*3.05)*10.764</f>
        <v>745.40699999999993</v>
      </c>
      <c r="E224" s="59">
        <v>0</v>
      </c>
      <c r="F224" s="59">
        <f>D224*1.6+E224</f>
        <v>1192.6512</v>
      </c>
      <c r="G224" s="68" t="str">
        <f>A223</f>
        <v>30th &amp; 44th Floor</v>
      </c>
      <c r="H224" s="68"/>
    </row>
    <row r="225" spans="1:8" s="2" customFormat="1" ht="15.75" customHeight="1" x14ac:dyDescent="0.25">
      <c r="A225" s="68">
        <v>2</v>
      </c>
      <c r="B225" s="68"/>
      <c r="C225" s="59" t="s">
        <v>178</v>
      </c>
      <c r="D225" s="59">
        <f>(64.12+1.2*3.05)*10.764</f>
        <v>729.58391999999992</v>
      </c>
      <c r="E225" s="59">
        <v>0</v>
      </c>
      <c r="F225" s="59">
        <f>D225*1.6+E225</f>
        <v>1167.3342719999998</v>
      </c>
      <c r="G225" s="68"/>
      <c r="H225" s="68"/>
    </row>
    <row r="226" spans="1:8" s="2" customFormat="1" ht="15.75" customHeight="1" x14ac:dyDescent="0.25">
      <c r="A226" s="68">
        <v>3</v>
      </c>
      <c r="B226" s="68"/>
      <c r="C226" s="59" t="s">
        <v>178</v>
      </c>
      <c r="D226" s="59">
        <f>(63.55+1.2*3.05)*10.764</f>
        <v>723.44843999999989</v>
      </c>
      <c r="E226" s="59">
        <v>0</v>
      </c>
      <c r="F226" s="59">
        <f>D226*1.6+E226</f>
        <v>1157.5175039999999</v>
      </c>
      <c r="G226" s="68"/>
      <c r="H226" s="68"/>
    </row>
    <row r="227" spans="1:8" s="2" customFormat="1" ht="15.75" customHeight="1" x14ac:dyDescent="0.25">
      <c r="A227" s="68">
        <v>4</v>
      </c>
      <c r="B227" s="68"/>
      <c r="C227" s="59" t="s">
        <v>178</v>
      </c>
      <c r="D227" s="59">
        <f>(64.55+1.2*3.05)*10.764</f>
        <v>734.2124399999999</v>
      </c>
      <c r="E227" s="59">
        <v>0</v>
      </c>
      <c r="F227" s="59">
        <f>D227*1.6+E227</f>
        <v>1174.7399039999998</v>
      </c>
      <c r="G227" s="68"/>
      <c r="H227" s="68"/>
    </row>
    <row r="228" spans="1:8" s="38" customFormat="1" ht="15.75" customHeight="1" x14ac:dyDescent="0.25">
      <c r="A228" s="69" t="s">
        <v>243</v>
      </c>
      <c r="B228" s="69"/>
      <c r="C228" s="69"/>
      <c r="D228" s="69"/>
      <c r="E228" s="69"/>
      <c r="F228" s="69"/>
      <c r="G228" s="69"/>
      <c r="H228" s="69"/>
    </row>
    <row r="229" spans="1:8" s="2" customFormat="1" x14ac:dyDescent="0.25">
      <c r="A229" s="68">
        <v>1</v>
      </c>
      <c r="B229" s="68"/>
      <c r="C229" s="59" t="s">
        <v>178</v>
      </c>
      <c r="D229" s="59">
        <f>(65.59+1.2*3.05)*10.764</f>
        <v>745.40699999999993</v>
      </c>
      <c r="E229" s="59">
        <v>0</v>
      </c>
      <c r="F229" s="59">
        <f>D229*1.6+E229</f>
        <v>1192.6512</v>
      </c>
      <c r="G229" s="68" t="str">
        <f>A228</f>
        <v>31st Floor</v>
      </c>
      <c r="H229" s="68"/>
    </row>
    <row r="230" spans="1:8" s="2" customFormat="1" ht="15.75" customHeight="1" x14ac:dyDescent="0.25">
      <c r="A230" s="68">
        <v>2</v>
      </c>
      <c r="B230" s="68"/>
      <c r="C230" s="59" t="s">
        <v>178</v>
      </c>
      <c r="D230" s="59">
        <f>(64.12+1.2*3.05)*10.764</f>
        <v>729.58391999999992</v>
      </c>
      <c r="E230" s="59">
        <v>0</v>
      </c>
      <c r="F230" s="59">
        <f>D230*1.6+E230</f>
        <v>1167.3342719999998</v>
      </c>
      <c r="G230" s="68"/>
      <c r="H230" s="68"/>
    </row>
    <row r="231" spans="1:8" s="2" customFormat="1" ht="15.75" customHeight="1" x14ac:dyDescent="0.25">
      <c r="A231" s="68">
        <v>3</v>
      </c>
      <c r="B231" s="68"/>
      <c r="C231" s="59" t="s">
        <v>178</v>
      </c>
      <c r="D231" s="59">
        <f>(63.55+1.2*3.05)*10.764</f>
        <v>723.44843999999989</v>
      </c>
      <c r="E231" s="59">
        <v>0</v>
      </c>
      <c r="F231" s="59">
        <f>D231*1.6+E231</f>
        <v>1157.5175039999999</v>
      </c>
      <c r="G231" s="68"/>
      <c r="H231" s="68"/>
    </row>
    <row r="232" spans="1:8" s="2" customFormat="1" ht="15.75" customHeight="1" x14ac:dyDescent="0.25">
      <c r="A232" s="68">
        <v>4</v>
      </c>
      <c r="B232" s="68"/>
      <c r="C232" s="59" t="s">
        <v>178</v>
      </c>
      <c r="D232" s="59">
        <f>(64.55+1.2*3.05)*10.764</f>
        <v>734.2124399999999</v>
      </c>
      <c r="E232" s="59">
        <v>0</v>
      </c>
      <c r="F232" s="59">
        <f>D232*1.6+E232</f>
        <v>1174.7399039999998</v>
      </c>
      <c r="G232" s="68"/>
      <c r="H232" s="68"/>
    </row>
    <row r="233" spans="1:8" s="38" customFormat="1" ht="15.75" customHeight="1" x14ac:dyDescent="0.25">
      <c r="A233" s="69" t="s">
        <v>244</v>
      </c>
      <c r="B233" s="69"/>
      <c r="C233" s="69"/>
      <c r="D233" s="69"/>
      <c r="E233" s="69"/>
      <c r="F233" s="69"/>
      <c r="G233" s="69"/>
      <c r="H233" s="69"/>
    </row>
    <row r="234" spans="1:8" s="2" customFormat="1" x14ac:dyDescent="0.25">
      <c r="A234" s="68">
        <v>1</v>
      </c>
      <c r="B234" s="68"/>
      <c r="C234" s="59" t="s">
        <v>178</v>
      </c>
      <c r="D234" s="59">
        <f>(65.59+1.2*3.05)*10.764</f>
        <v>745.40699999999993</v>
      </c>
      <c r="E234" s="59">
        <v>0</v>
      </c>
      <c r="F234" s="59">
        <f>D234*1.6+E234</f>
        <v>1192.6512</v>
      </c>
      <c r="G234" s="68" t="str">
        <f>A233</f>
        <v>32nd Floor</v>
      </c>
      <c r="H234" s="68"/>
    </row>
    <row r="235" spans="1:8" s="2" customFormat="1" ht="15.75" customHeight="1" x14ac:dyDescent="0.25">
      <c r="A235" s="68">
        <v>2</v>
      </c>
      <c r="B235" s="68"/>
      <c r="C235" s="59" t="s">
        <v>178</v>
      </c>
      <c r="D235" s="59">
        <f>(64.12+1.2*3.05)*10.764</f>
        <v>729.58391999999992</v>
      </c>
      <c r="E235" s="59">
        <v>0</v>
      </c>
      <c r="F235" s="59">
        <f>D235*1.6+E235</f>
        <v>1167.3342719999998</v>
      </c>
      <c r="G235" s="68"/>
      <c r="H235" s="68"/>
    </row>
    <row r="236" spans="1:8" s="2" customFormat="1" ht="15.75" customHeight="1" x14ac:dyDescent="0.25">
      <c r="A236" s="68">
        <v>3</v>
      </c>
      <c r="B236" s="68"/>
      <c r="C236" s="59" t="s">
        <v>178</v>
      </c>
      <c r="D236" s="59">
        <f>(63.55+1.2*3.05)*10.764</f>
        <v>723.44843999999989</v>
      </c>
      <c r="E236" s="59">
        <v>0</v>
      </c>
      <c r="F236" s="59">
        <f>D236*1.6+E236</f>
        <v>1157.5175039999999</v>
      </c>
      <c r="G236" s="68"/>
      <c r="H236" s="68"/>
    </row>
    <row r="237" spans="1:8" s="2" customFormat="1" ht="15.75" customHeight="1" x14ac:dyDescent="0.25">
      <c r="A237" s="68">
        <v>4</v>
      </c>
      <c r="B237" s="68"/>
      <c r="C237" s="59" t="s">
        <v>178</v>
      </c>
      <c r="D237" s="59">
        <f>(64.55+1.2*3.05)*10.764</f>
        <v>734.2124399999999</v>
      </c>
      <c r="E237" s="59">
        <v>0</v>
      </c>
      <c r="F237" s="59">
        <f>D237*1.6+E237</f>
        <v>1174.7399039999998</v>
      </c>
      <c r="G237" s="68"/>
      <c r="H237" s="68"/>
    </row>
    <row r="238" spans="1:8" s="38" customFormat="1" ht="15.75" customHeight="1" x14ac:dyDescent="0.25">
      <c r="A238" s="69" t="s">
        <v>245</v>
      </c>
      <c r="B238" s="69"/>
      <c r="C238" s="69"/>
      <c r="D238" s="69"/>
      <c r="E238" s="69"/>
      <c r="F238" s="69"/>
      <c r="G238" s="69"/>
      <c r="H238" s="69"/>
    </row>
    <row r="239" spans="1:8" s="2" customFormat="1" x14ac:dyDescent="0.25">
      <c r="A239" s="68">
        <v>1</v>
      </c>
      <c r="B239" s="68"/>
      <c r="C239" s="59" t="s">
        <v>178</v>
      </c>
      <c r="D239" s="59">
        <f>(65.59+1.2*3.05)*10.764</f>
        <v>745.40699999999993</v>
      </c>
      <c r="E239" s="59">
        <v>0</v>
      </c>
      <c r="F239" s="59">
        <f>D239*1.6+E239</f>
        <v>1192.6512</v>
      </c>
      <c r="G239" s="68" t="str">
        <f>A238</f>
        <v>33rd Floor</v>
      </c>
      <c r="H239" s="68"/>
    </row>
    <row r="240" spans="1:8" s="2" customFormat="1" ht="15.75" customHeight="1" x14ac:dyDescent="0.25">
      <c r="A240" s="68">
        <v>2</v>
      </c>
      <c r="B240" s="68"/>
      <c r="C240" s="59" t="s">
        <v>178</v>
      </c>
      <c r="D240" s="59">
        <f>(64.12+1.2*3.05)*10.764</f>
        <v>729.58391999999992</v>
      </c>
      <c r="E240" s="59">
        <v>0</v>
      </c>
      <c r="F240" s="59">
        <f>D240*1.6+E240</f>
        <v>1167.3342719999998</v>
      </c>
      <c r="G240" s="68"/>
      <c r="H240" s="68"/>
    </row>
    <row r="241" spans="1:8" s="2" customFormat="1" ht="15.75" customHeight="1" x14ac:dyDescent="0.25">
      <c r="A241" s="68">
        <v>3</v>
      </c>
      <c r="B241" s="68"/>
      <c r="C241" s="59" t="s">
        <v>178</v>
      </c>
      <c r="D241" s="59">
        <f>(63.55+1.2*3.05)*10.764</f>
        <v>723.44843999999989</v>
      </c>
      <c r="E241" s="59">
        <v>0</v>
      </c>
      <c r="F241" s="59">
        <f>D241*1.6+E241</f>
        <v>1157.5175039999999</v>
      </c>
      <c r="G241" s="68"/>
      <c r="H241" s="68"/>
    </row>
    <row r="242" spans="1:8" s="2" customFormat="1" ht="15.75" customHeight="1" x14ac:dyDescent="0.25">
      <c r="A242" s="68">
        <v>4</v>
      </c>
      <c r="B242" s="68"/>
      <c r="C242" s="59" t="s">
        <v>178</v>
      </c>
      <c r="D242" s="59">
        <f>(64.55+1.2*3.05)*10.764</f>
        <v>734.2124399999999</v>
      </c>
      <c r="E242" s="59">
        <v>0</v>
      </c>
      <c r="F242" s="59">
        <f>D242*1.6+E242</f>
        <v>1174.7399039999998</v>
      </c>
      <c r="G242" s="68"/>
      <c r="H242" s="68"/>
    </row>
    <row r="243" spans="1:8" s="38" customFormat="1" ht="15.75" customHeight="1" x14ac:dyDescent="0.25">
      <c r="A243" s="69" t="s">
        <v>277</v>
      </c>
      <c r="B243" s="69"/>
      <c r="C243" s="69"/>
      <c r="D243" s="69"/>
      <c r="E243" s="69"/>
      <c r="F243" s="69"/>
      <c r="G243" s="69"/>
      <c r="H243" s="69"/>
    </row>
    <row r="244" spans="1:8" s="2" customFormat="1" x14ac:dyDescent="0.25">
      <c r="A244" s="68">
        <v>1</v>
      </c>
      <c r="B244" s="68"/>
      <c r="C244" s="59" t="s">
        <v>279</v>
      </c>
      <c r="D244" s="59">
        <f>(1.2*1.25+2.225*2.275+4.65*4.075+0.225*0.575+0.6*1.75+1.375*2.275+4.425*3.05)*10.764</f>
        <v>466.23593250000005</v>
      </c>
      <c r="E244" s="59">
        <v>0</v>
      </c>
      <c r="F244" s="59">
        <f>D244*1.6+E244</f>
        <v>745.9774920000001</v>
      </c>
      <c r="G244" s="68" t="str">
        <f>A243</f>
        <v>43rd Floor (Part Refuge Floor)</v>
      </c>
      <c r="H244" s="68"/>
    </row>
    <row r="245" spans="1:8" s="2" customFormat="1" ht="15.75" customHeight="1" x14ac:dyDescent="0.25">
      <c r="A245" s="68" t="s">
        <v>278</v>
      </c>
      <c r="B245" s="68"/>
      <c r="C245" s="164" t="s">
        <v>179</v>
      </c>
      <c r="D245" s="165"/>
      <c r="E245" s="165"/>
      <c r="F245" s="166"/>
      <c r="G245" s="68"/>
      <c r="H245" s="68"/>
    </row>
    <row r="246" spans="1:8" s="2" customFormat="1" ht="15.75" customHeight="1" x14ac:dyDescent="0.25">
      <c r="A246" s="68">
        <v>2</v>
      </c>
      <c r="B246" s="68"/>
      <c r="C246" s="59" t="s">
        <v>178</v>
      </c>
      <c r="D246" s="59">
        <f>(64.12+1.2*3.05)*10.764</f>
        <v>729.58391999999992</v>
      </c>
      <c r="E246" s="59">
        <v>0</v>
      </c>
      <c r="F246" s="59">
        <f>D246*1.6+E246</f>
        <v>1167.3342719999998</v>
      </c>
      <c r="G246" s="68"/>
      <c r="H246" s="68"/>
    </row>
    <row r="247" spans="1:8" s="2" customFormat="1" ht="15.75" customHeight="1" x14ac:dyDescent="0.25">
      <c r="A247" s="68">
        <v>3</v>
      </c>
      <c r="B247" s="68"/>
      <c r="C247" s="59" t="s">
        <v>178</v>
      </c>
      <c r="D247" s="59">
        <f>(63.55+1.2*3.05)*10.764</f>
        <v>723.44843999999989</v>
      </c>
      <c r="E247" s="59">
        <v>0</v>
      </c>
      <c r="F247" s="59">
        <f>D247*1.6+E247</f>
        <v>1157.5175039999999</v>
      </c>
      <c r="G247" s="68"/>
      <c r="H247" s="68"/>
    </row>
    <row r="248" spans="1:8" s="2" customFormat="1" ht="15.75" customHeight="1" x14ac:dyDescent="0.25">
      <c r="A248" s="68">
        <v>4</v>
      </c>
      <c r="B248" s="68"/>
      <c r="C248" s="59" t="s">
        <v>178</v>
      </c>
      <c r="D248" s="59">
        <f>(64.55+1.2*3.05)*10.764</f>
        <v>734.2124399999999</v>
      </c>
      <c r="E248" s="59">
        <v>0</v>
      </c>
      <c r="F248" s="59">
        <f>D248*1.6+E248</f>
        <v>1174.7399039999998</v>
      </c>
      <c r="G248" s="68"/>
      <c r="H248" s="68"/>
    </row>
    <row r="249" spans="1:8" s="38" customFormat="1" ht="15.75" customHeight="1" x14ac:dyDescent="0.25">
      <c r="A249" s="69" t="s">
        <v>276</v>
      </c>
      <c r="B249" s="69"/>
      <c r="C249" s="69"/>
      <c r="D249" s="69"/>
      <c r="E249" s="69"/>
      <c r="F249" s="69"/>
      <c r="G249" s="69"/>
      <c r="H249" s="69"/>
    </row>
    <row r="250" spans="1:8" s="2" customFormat="1" x14ac:dyDescent="0.25">
      <c r="A250" s="68">
        <v>1</v>
      </c>
      <c r="B250" s="68"/>
      <c r="C250" s="59" t="s">
        <v>178</v>
      </c>
      <c r="D250" s="59">
        <f>(65.59+1.2*3.05)*10.764</f>
        <v>745.40699999999993</v>
      </c>
      <c r="E250" s="59">
        <v>0</v>
      </c>
      <c r="F250" s="59">
        <f>D250*1.6+E250</f>
        <v>1192.6512</v>
      </c>
      <c r="G250" s="68" t="str">
        <f>A249</f>
        <v>44th Floor</v>
      </c>
      <c r="H250" s="68"/>
    </row>
    <row r="251" spans="1:8" s="2" customFormat="1" ht="15.75" customHeight="1" x14ac:dyDescent="0.25">
      <c r="A251" s="68">
        <v>2</v>
      </c>
      <c r="B251" s="68"/>
      <c r="C251" s="59" t="s">
        <v>178</v>
      </c>
      <c r="D251" s="59">
        <f>(64.12+1.2*3.05)*10.764</f>
        <v>729.58391999999992</v>
      </c>
      <c r="E251" s="59">
        <v>0</v>
      </c>
      <c r="F251" s="59">
        <f>D251*1.6+E251</f>
        <v>1167.3342719999998</v>
      </c>
      <c r="G251" s="68"/>
      <c r="H251" s="68"/>
    </row>
    <row r="252" spans="1:8" s="2" customFormat="1" ht="15.75" customHeight="1" x14ac:dyDescent="0.25">
      <c r="A252" s="68">
        <v>3</v>
      </c>
      <c r="B252" s="68"/>
      <c r="C252" s="59" t="s">
        <v>178</v>
      </c>
      <c r="D252" s="59">
        <f>(63.55+1.2*3.05)*10.764</f>
        <v>723.44843999999989</v>
      </c>
      <c r="E252" s="59">
        <v>0</v>
      </c>
      <c r="F252" s="59">
        <f>D252*1.6+E252</f>
        <v>1157.5175039999999</v>
      </c>
      <c r="G252" s="68"/>
      <c r="H252" s="68"/>
    </row>
    <row r="253" spans="1:8" s="2" customFormat="1" ht="15.75" customHeight="1" x14ac:dyDescent="0.25">
      <c r="A253" s="68">
        <v>4</v>
      </c>
      <c r="B253" s="68"/>
      <c r="C253" s="59" t="s">
        <v>178</v>
      </c>
      <c r="D253" s="59">
        <f>(64.55+1.2*3.05)*10.764</f>
        <v>734.2124399999999</v>
      </c>
      <c r="E253" s="59">
        <v>0</v>
      </c>
      <c r="F253" s="59">
        <f>D253*1.6+E253</f>
        <v>1174.7399039999998</v>
      </c>
      <c r="G253" s="68"/>
      <c r="H253" s="68"/>
    </row>
    <row r="254" spans="1:8" s="2" customFormat="1" x14ac:dyDescent="0.25">
      <c r="A254" s="70" t="s">
        <v>253</v>
      </c>
      <c r="B254" s="70"/>
      <c r="C254" s="70"/>
      <c r="D254" s="70"/>
      <c r="E254" s="70"/>
      <c r="F254" s="70"/>
      <c r="G254" s="70"/>
      <c r="H254" s="70"/>
    </row>
    <row r="255" spans="1:8" s="2" customFormat="1" x14ac:dyDescent="0.25">
      <c r="A255" s="70" t="s">
        <v>172</v>
      </c>
      <c r="B255" s="70"/>
      <c r="C255" s="70"/>
      <c r="D255" s="70"/>
      <c r="E255" s="70"/>
      <c r="F255" s="70"/>
      <c r="G255" s="70"/>
      <c r="H255" s="70"/>
    </row>
    <row r="256" spans="1:8" s="2" customFormat="1" x14ac:dyDescent="0.25">
      <c r="A256" s="70" t="s">
        <v>250</v>
      </c>
      <c r="B256" s="70"/>
      <c r="C256" s="70"/>
      <c r="D256" s="70"/>
      <c r="E256" s="70"/>
      <c r="F256" s="70"/>
      <c r="G256" s="70"/>
      <c r="H256" s="70"/>
    </row>
    <row r="257" spans="1:9" s="2" customFormat="1" x14ac:dyDescent="0.25">
      <c r="A257" s="70" t="s">
        <v>190</v>
      </c>
      <c r="B257" s="70"/>
      <c r="C257" s="70"/>
      <c r="D257" s="70"/>
      <c r="E257" s="70"/>
      <c r="F257" s="70"/>
      <c r="G257" s="70"/>
      <c r="H257" s="70"/>
    </row>
    <row r="258" spans="1:9" s="2" customFormat="1" x14ac:dyDescent="0.25">
      <c r="A258" s="70" t="s">
        <v>174</v>
      </c>
      <c r="B258" s="70"/>
      <c r="C258" s="70"/>
      <c r="D258" s="70"/>
      <c r="E258" s="70"/>
      <c r="F258" s="70"/>
      <c r="G258" s="70"/>
      <c r="H258" s="70"/>
    </row>
    <row r="259" spans="1:9" s="2" customFormat="1" x14ac:dyDescent="0.25">
      <c r="A259" s="69" t="s">
        <v>189</v>
      </c>
      <c r="B259" s="69"/>
      <c r="C259" s="69"/>
      <c r="D259" s="69"/>
      <c r="E259" s="69"/>
      <c r="F259" s="69"/>
      <c r="G259" s="69"/>
      <c r="H259" s="69"/>
    </row>
    <row r="260" spans="1:9" s="2" customFormat="1" x14ac:dyDescent="0.25">
      <c r="A260" s="69" t="s">
        <v>176</v>
      </c>
      <c r="B260" s="69"/>
      <c r="C260" s="69"/>
      <c r="D260" s="69"/>
      <c r="E260" s="69"/>
      <c r="F260" s="69"/>
      <c r="G260" s="69"/>
      <c r="H260" s="69"/>
    </row>
    <row r="261" spans="1:9" s="2" customFormat="1" x14ac:dyDescent="0.25">
      <c r="A261" s="69" t="s">
        <v>177</v>
      </c>
      <c r="B261" s="69"/>
      <c r="C261" s="69"/>
      <c r="D261" s="69"/>
      <c r="E261" s="69"/>
      <c r="F261" s="69"/>
      <c r="G261" s="69"/>
      <c r="H261" s="69"/>
    </row>
    <row r="262" spans="1:9" s="2" customFormat="1" ht="15.75" customHeight="1" x14ac:dyDescent="0.25">
      <c r="A262" s="68">
        <v>1</v>
      </c>
      <c r="B262" s="68"/>
      <c r="C262" s="64" t="s">
        <v>178</v>
      </c>
      <c r="D262" s="64">
        <f>(64.56+1.5*4)*10.764</f>
        <v>759.50783999999999</v>
      </c>
      <c r="E262" s="64">
        <v>0</v>
      </c>
      <c r="F262" s="64">
        <f>D262*1.6+E262</f>
        <v>1215.212544</v>
      </c>
      <c r="G262" s="68" t="str">
        <f>A261</f>
        <v>1st Floor (Part Refuge Area)</v>
      </c>
      <c r="H262" s="68"/>
    </row>
    <row r="263" spans="1:9" s="2" customFormat="1" x14ac:dyDescent="0.25">
      <c r="A263" s="68">
        <v>2</v>
      </c>
      <c r="B263" s="68"/>
      <c r="C263" s="68" t="s">
        <v>179</v>
      </c>
      <c r="D263" s="68"/>
      <c r="E263" s="68"/>
      <c r="F263" s="68"/>
      <c r="G263" s="68"/>
      <c r="H263" s="68"/>
    </row>
    <row r="264" spans="1:9" s="2" customFormat="1" x14ac:dyDescent="0.25">
      <c r="A264" s="68">
        <v>3</v>
      </c>
      <c r="B264" s="68"/>
      <c r="C264" s="68"/>
      <c r="D264" s="68"/>
      <c r="E264" s="68"/>
      <c r="F264" s="68"/>
      <c r="G264" s="68"/>
      <c r="H264" s="68"/>
    </row>
    <row r="265" spans="1:9" s="2" customFormat="1" x14ac:dyDescent="0.25">
      <c r="A265" s="68">
        <v>4</v>
      </c>
      <c r="B265" s="68"/>
      <c r="C265" s="64" t="s">
        <v>251</v>
      </c>
      <c r="D265" s="64">
        <f>(133.14+1.5*3.65)*10.764</f>
        <v>1492.0518599999998</v>
      </c>
      <c r="E265" s="64">
        <v>0</v>
      </c>
      <c r="F265" s="64">
        <f>D265*1.6+E265</f>
        <v>2387.282976</v>
      </c>
      <c r="G265" s="68"/>
      <c r="H265" s="68"/>
    </row>
    <row r="266" spans="1:9" s="2" customFormat="1" x14ac:dyDescent="0.25">
      <c r="A266" s="68">
        <v>5</v>
      </c>
      <c r="B266" s="68"/>
      <c r="C266" s="64" t="s">
        <v>153</v>
      </c>
      <c r="D266" s="64">
        <f>(92.1+1.5*3.35)*10.764</f>
        <v>1045.4534999999998</v>
      </c>
      <c r="E266" s="64">
        <v>0</v>
      </c>
      <c r="F266" s="64">
        <f>D266*1.6+E266</f>
        <v>1672.7255999999998</v>
      </c>
      <c r="G266" s="68"/>
      <c r="H266" s="68"/>
    </row>
    <row r="267" spans="1:9" s="2" customFormat="1" ht="15.75" customHeight="1" x14ac:dyDescent="0.25">
      <c r="A267" s="69" t="s">
        <v>226</v>
      </c>
      <c r="B267" s="69"/>
      <c r="C267" s="69"/>
      <c r="D267" s="69"/>
      <c r="E267" s="69"/>
      <c r="F267" s="69"/>
      <c r="G267" s="69"/>
      <c r="H267" s="69"/>
    </row>
    <row r="268" spans="1:9" s="2" customFormat="1" x14ac:dyDescent="0.25">
      <c r="A268" s="68">
        <v>1</v>
      </c>
      <c r="B268" s="68"/>
      <c r="C268" s="64" t="s">
        <v>178</v>
      </c>
      <c r="D268" s="64">
        <f>(62.03+1.2*3.05)*10.764</f>
        <v>707.08715999999993</v>
      </c>
      <c r="E268" s="64">
        <v>0</v>
      </c>
      <c r="F268" s="64">
        <f>D268*1.6+E268</f>
        <v>1131.3394559999999</v>
      </c>
      <c r="G268" s="68" t="str">
        <f>A267</f>
        <v>2nd Floor</v>
      </c>
      <c r="H268" s="68"/>
      <c r="I268" s="59">
        <f>5.475*3.05+3.275*0.6+3.5*2.125+3.5*3.05+3.95*3.05+1.35*2.275+1.05*2.1+1.05*2.875+2.125*1.3+2.125*0.8</f>
        <v>61.581249999999997</v>
      </c>
    </row>
    <row r="269" spans="1:9" s="2" customFormat="1" ht="15.75" customHeight="1" x14ac:dyDescent="0.25">
      <c r="A269" s="68">
        <v>2</v>
      </c>
      <c r="B269" s="68"/>
      <c r="C269" s="64" t="s">
        <v>178</v>
      </c>
      <c r="D269" s="64">
        <f>(61.75+1.2*3.05)*10.764</f>
        <v>704.07323999999994</v>
      </c>
      <c r="E269" s="64">
        <v>0</v>
      </c>
      <c r="F269" s="64">
        <f>D269*1.6+E269</f>
        <v>1126.517184</v>
      </c>
      <c r="G269" s="68"/>
      <c r="H269" s="68"/>
      <c r="I269" s="59">
        <v>0</v>
      </c>
    </row>
    <row r="270" spans="1:9" s="2" customFormat="1" ht="15.75" customHeight="1" x14ac:dyDescent="0.25">
      <c r="A270" s="68">
        <v>3</v>
      </c>
      <c r="B270" s="68"/>
      <c r="C270" s="64" t="s">
        <v>153</v>
      </c>
      <c r="D270" s="64">
        <f>(96.36+1.5*3.2)*10.764</f>
        <v>1088.8862399999998</v>
      </c>
      <c r="E270" s="64">
        <v>0</v>
      </c>
      <c r="F270" s="64">
        <f>D270*1.6+E270</f>
        <v>1742.2179839999999</v>
      </c>
      <c r="G270" s="68"/>
      <c r="H270" s="68"/>
      <c r="I270" s="59">
        <f>6.675*3.2+1.5*1.425+1.2*1.025+3.225*0.65+3.5*2.125+3.65*2.9+3.05*3.841+3.15*4.275+1.5*2.125+2.2*1.525+2.275*1.25+2.075*1.375+1.225*1.2+0.99*1.625+1.05*0.425+1.8*0.9+1.05*5.75+1.4*0.8</f>
        <v>94.569425000000024</v>
      </c>
    </row>
    <row r="271" spans="1:9" s="2" customFormat="1" ht="15.75" customHeight="1" x14ac:dyDescent="0.25">
      <c r="A271" s="68">
        <v>4</v>
      </c>
      <c r="B271" s="68"/>
      <c r="C271" s="64" t="s">
        <v>251</v>
      </c>
      <c r="D271" s="64">
        <f>(133.14+1.5*3.65)*10.764</f>
        <v>1492.0518599999998</v>
      </c>
      <c r="E271" s="64">
        <v>0</v>
      </c>
      <c r="F271" s="64">
        <f>D271*1.6+E271</f>
        <v>2387.282976</v>
      </c>
      <c r="G271" s="68"/>
      <c r="H271" s="68"/>
    </row>
    <row r="272" spans="1:9" s="2" customFormat="1" ht="15.75" customHeight="1" x14ac:dyDescent="0.25">
      <c r="A272" s="68">
        <v>5</v>
      </c>
      <c r="B272" s="68"/>
      <c r="C272" s="64" t="s">
        <v>153</v>
      </c>
      <c r="D272" s="64">
        <f>(92.1+1.5*3.35)*10.764</f>
        <v>1045.4534999999998</v>
      </c>
      <c r="E272" s="64">
        <v>0</v>
      </c>
      <c r="F272" s="64">
        <f>D272*1.6+E272</f>
        <v>1672.7255999999998</v>
      </c>
      <c r="G272" s="68"/>
      <c r="H272" s="68"/>
    </row>
    <row r="273" spans="1:9" s="2" customFormat="1" ht="15.75" customHeight="1" x14ac:dyDescent="0.25">
      <c r="A273" s="69" t="s">
        <v>227</v>
      </c>
      <c r="B273" s="69"/>
      <c r="C273" s="69"/>
      <c r="D273" s="69"/>
      <c r="E273" s="69"/>
      <c r="F273" s="69"/>
      <c r="G273" s="69"/>
      <c r="H273" s="69"/>
    </row>
    <row r="274" spans="1:9" s="2" customFormat="1" x14ac:dyDescent="0.25">
      <c r="A274" s="68">
        <v>1</v>
      </c>
      <c r="B274" s="68"/>
      <c r="C274" s="59" t="s">
        <v>178</v>
      </c>
      <c r="D274" s="59">
        <f>(62.03+1.2*3.05)*10.764</f>
        <v>707.08715999999993</v>
      </c>
      <c r="E274" s="59">
        <v>0</v>
      </c>
      <c r="F274" s="59">
        <f>D274*1.6+E274</f>
        <v>1131.3394559999999</v>
      </c>
      <c r="G274" s="68" t="str">
        <f>A273</f>
        <v>3rd Floor</v>
      </c>
      <c r="H274" s="68"/>
      <c r="I274" s="48"/>
    </row>
    <row r="275" spans="1:9" s="2" customFormat="1" ht="15.75" customHeight="1" x14ac:dyDescent="0.25">
      <c r="A275" s="68">
        <v>2</v>
      </c>
      <c r="B275" s="68"/>
      <c r="C275" s="59" t="s">
        <v>178</v>
      </c>
      <c r="D275" s="59">
        <f>(61.75+1.2*3.05)*10.764</f>
        <v>704.07323999999994</v>
      </c>
      <c r="E275" s="59">
        <v>0</v>
      </c>
      <c r="F275" s="59">
        <f>D275*1.6+E275</f>
        <v>1126.517184</v>
      </c>
      <c r="G275" s="68"/>
      <c r="H275" s="68"/>
    </row>
    <row r="276" spans="1:9" s="2" customFormat="1" ht="15.75" customHeight="1" x14ac:dyDescent="0.25">
      <c r="A276" s="68">
        <v>3</v>
      </c>
      <c r="B276" s="68"/>
      <c r="C276" s="59" t="s">
        <v>153</v>
      </c>
      <c r="D276" s="59">
        <f>(96.36+1.5*3.2)*10.764</f>
        <v>1088.8862399999998</v>
      </c>
      <c r="E276" s="59">
        <v>0</v>
      </c>
      <c r="F276" s="59">
        <f>D276*1.6+E276</f>
        <v>1742.2179839999999</v>
      </c>
      <c r="G276" s="68"/>
      <c r="H276" s="68"/>
    </row>
    <row r="277" spans="1:9" s="2" customFormat="1" ht="15.75" customHeight="1" x14ac:dyDescent="0.25">
      <c r="A277" s="68">
        <v>4</v>
      </c>
      <c r="B277" s="68"/>
      <c r="C277" s="59" t="s">
        <v>251</v>
      </c>
      <c r="D277" s="59">
        <f>(133.14+1.5*3.65)*10.764</f>
        <v>1492.0518599999998</v>
      </c>
      <c r="E277" s="59">
        <v>0</v>
      </c>
      <c r="F277" s="59">
        <f>D277*1.6+E277</f>
        <v>2387.282976</v>
      </c>
      <c r="G277" s="68"/>
      <c r="H277" s="68"/>
    </row>
    <row r="278" spans="1:9" s="2" customFormat="1" ht="15.75" customHeight="1" x14ac:dyDescent="0.25">
      <c r="A278" s="68">
        <v>5</v>
      </c>
      <c r="B278" s="68"/>
      <c r="C278" s="59" t="s">
        <v>153</v>
      </c>
      <c r="D278" s="59">
        <f>(92.1+1.5*3.35)*10.764</f>
        <v>1045.4534999999998</v>
      </c>
      <c r="E278" s="59">
        <v>0</v>
      </c>
      <c r="F278" s="59">
        <f>D278*1.6+E278</f>
        <v>1672.7255999999998</v>
      </c>
      <c r="G278" s="68"/>
      <c r="H278" s="68"/>
    </row>
    <row r="279" spans="1:9" s="2" customFormat="1" ht="15.75" customHeight="1" x14ac:dyDescent="0.25">
      <c r="A279" s="69" t="s">
        <v>228</v>
      </c>
      <c r="B279" s="69"/>
      <c r="C279" s="69"/>
      <c r="D279" s="69"/>
      <c r="E279" s="69"/>
      <c r="F279" s="69"/>
      <c r="G279" s="69"/>
      <c r="H279" s="69"/>
    </row>
    <row r="280" spans="1:9" s="2" customFormat="1" x14ac:dyDescent="0.25">
      <c r="A280" s="68">
        <v>1</v>
      </c>
      <c r="B280" s="68"/>
      <c r="C280" s="59" t="s">
        <v>178</v>
      </c>
      <c r="D280" s="59">
        <f>(62.03+1.2*3.05)*10.764</f>
        <v>707.08715999999993</v>
      </c>
      <c r="E280" s="59">
        <v>0</v>
      </c>
      <c r="F280" s="59">
        <f>D280*1.6+E280</f>
        <v>1131.3394559999999</v>
      </c>
      <c r="G280" s="68" t="str">
        <f>A279</f>
        <v>4th Floor</v>
      </c>
      <c r="H280" s="68"/>
      <c r="I280" s="48"/>
    </row>
    <row r="281" spans="1:9" s="2" customFormat="1" ht="15.75" customHeight="1" x14ac:dyDescent="0.25">
      <c r="A281" s="68">
        <v>2</v>
      </c>
      <c r="B281" s="68"/>
      <c r="C281" s="59" t="s">
        <v>178</v>
      </c>
      <c r="D281" s="59">
        <f>(61.75+1.2*3.05)*10.764</f>
        <v>704.07323999999994</v>
      </c>
      <c r="E281" s="59">
        <v>0</v>
      </c>
      <c r="F281" s="59">
        <f>D281*1.6+E281</f>
        <v>1126.517184</v>
      </c>
      <c r="G281" s="68"/>
      <c r="H281" s="68"/>
    </row>
    <row r="282" spans="1:9" s="2" customFormat="1" ht="15.75" customHeight="1" x14ac:dyDescent="0.25">
      <c r="A282" s="68">
        <v>3</v>
      </c>
      <c r="B282" s="68"/>
      <c r="C282" s="59" t="s">
        <v>153</v>
      </c>
      <c r="D282" s="59">
        <f>(96.36+1.5*3.2)*10.764</f>
        <v>1088.8862399999998</v>
      </c>
      <c r="E282" s="59">
        <v>0</v>
      </c>
      <c r="F282" s="59">
        <f>D282*1.6+E282</f>
        <v>1742.2179839999999</v>
      </c>
      <c r="G282" s="68"/>
      <c r="H282" s="68"/>
    </row>
    <row r="283" spans="1:9" s="2" customFormat="1" ht="15.75" customHeight="1" x14ac:dyDescent="0.25">
      <c r="A283" s="68">
        <v>4</v>
      </c>
      <c r="B283" s="68"/>
      <c r="C283" s="59" t="s">
        <v>251</v>
      </c>
      <c r="D283" s="59">
        <f>(133.14+1.5*3.65)*10.764</f>
        <v>1492.0518599999998</v>
      </c>
      <c r="E283" s="59">
        <v>0</v>
      </c>
      <c r="F283" s="59">
        <f>D283*1.6+E283</f>
        <v>2387.282976</v>
      </c>
      <c r="G283" s="68"/>
      <c r="H283" s="68"/>
    </row>
    <row r="284" spans="1:9" s="2" customFormat="1" ht="15.75" customHeight="1" x14ac:dyDescent="0.25">
      <c r="A284" s="68">
        <v>5</v>
      </c>
      <c r="B284" s="68"/>
      <c r="C284" s="59" t="s">
        <v>153</v>
      </c>
      <c r="D284" s="59">
        <f>(92.1+1.5*3.35)*10.764</f>
        <v>1045.4534999999998</v>
      </c>
      <c r="E284" s="59">
        <v>0</v>
      </c>
      <c r="F284" s="59">
        <f>D284*1.6+E284</f>
        <v>1672.7255999999998</v>
      </c>
      <c r="G284" s="68"/>
      <c r="H284" s="68"/>
    </row>
    <row r="285" spans="1:9" s="2" customFormat="1" ht="15.75" customHeight="1" x14ac:dyDescent="0.25">
      <c r="A285" s="69" t="s">
        <v>229</v>
      </c>
      <c r="B285" s="69"/>
      <c r="C285" s="69"/>
      <c r="D285" s="69"/>
      <c r="E285" s="69"/>
      <c r="F285" s="69"/>
      <c r="G285" s="69"/>
      <c r="H285" s="69"/>
    </row>
    <row r="286" spans="1:9" s="2" customFormat="1" x14ac:dyDescent="0.25">
      <c r="A286" s="68">
        <v>1</v>
      </c>
      <c r="B286" s="68"/>
      <c r="C286" s="59" t="s">
        <v>178</v>
      </c>
      <c r="D286" s="59">
        <f>(62.03+1.2*3.05)*10.764</f>
        <v>707.08715999999993</v>
      </c>
      <c r="E286" s="59">
        <v>0</v>
      </c>
      <c r="F286" s="59">
        <f>D286*1.6+E286</f>
        <v>1131.3394559999999</v>
      </c>
      <c r="G286" s="68" t="str">
        <f>A285</f>
        <v>5th Floor</v>
      </c>
      <c r="H286" s="68"/>
      <c r="I286" s="48"/>
    </row>
    <row r="287" spans="1:9" s="2" customFormat="1" ht="15.75" customHeight="1" x14ac:dyDescent="0.25">
      <c r="A287" s="68">
        <v>2</v>
      </c>
      <c r="B287" s="68"/>
      <c r="C287" s="59" t="s">
        <v>178</v>
      </c>
      <c r="D287" s="59">
        <f>(61.75+1.2*3.05)*10.764</f>
        <v>704.07323999999994</v>
      </c>
      <c r="E287" s="59">
        <v>0</v>
      </c>
      <c r="F287" s="59">
        <f>D287*1.6+E287</f>
        <v>1126.517184</v>
      </c>
      <c r="G287" s="68"/>
      <c r="H287" s="68"/>
    </row>
    <row r="288" spans="1:9" s="2" customFormat="1" ht="15.75" customHeight="1" x14ac:dyDescent="0.25">
      <c r="A288" s="68">
        <v>3</v>
      </c>
      <c r="B288" s="68"/>
      <c r="C288" s="59" t="s">
        <v>153</v>
      </c>
      <c r="D288" s="59">
        <f>(96.36+1.5*3.2)*10.764</f>
        <v>1088.8862399999998</v>
      </c>
      <c r="E288" s="59">
        <v>0</v>
      </c>
      <c r="F288" s="59">
        <f>D288*1.6+E288</f>
        <v>1742.2179839999999</v>
      </c>
      <c r="G288" s="68"/>
      <c r="H288" s="68"/>
    </row>
    <row r="289" spans="1:9" s="2" customFormat="1" ht="15.75" customHeight="1" x14ac:dyDescent="0.25">
      <c r="A289" s="68">
        <v>4</v>
      </c>
      <c r="B289" s="68"/>
      <c r="C289" s="59" t="s">
        <v>251</v>
      </c>
      <c r="D289" s="59">
        <f>(133.14+1.5*3.65)*10.764</f>
        <v>1492.0518599999998</v>
      </c>
      <c r="E289" s="59">
        <v>0</v>
      </c>
      <c r="F289" s="59">
        <f>D289*1.6+E289</f>
        <v>2387.282976</v>
      </c>
      <c r="G289" s="68"/>
      <c r="H289" s="68"/>
    </row>
    <row r="290" spans="1:9" s="2" customFormat="1" ht="15.75" customHeight="1" x14ac:dyDescent="0.25">
      <c r="A290" s="68">
        <v>5</v>
      </c>
      <c r="B290" s="68"/>
      <c r="C290" s="59" t="s">
        <v>153</v>
      </c>
      <c r="D290" s="59">
        <f>(92.1+1.5*3.35)*10.764</f>
        <v>1045.4534999999998</v>
      </c>
      <c r="E290" s="59">
        <v>0</v>
      </c>
      <c r="F290" s="59">
        <f>D290*1.6+E290</f>
        <v>1672.7255999999998</v>
      </c>
      <c r="G290" s="68"/>
      <c r="H290" s="68"/>
    </row>
    <row r="291" spans="1:9" s="2" customFormat="1" ht="15.75" customHeight="1" x14ac:dyDescent="0.25">
      <c r="A291" s="69" t="s">
        <v>230</v>
      </c>
      <c r="B291" s="69"/>
      <c r="C291" s="69"/>
      <c r="D291" s="69"/>
      <c r="E291" s="69"/>
      <c r="F291" s="69"/>
      <c r="G291" s="69"/>
      <c r="H291" s="69"/>
    </row>
    <row r="292" spans="1:9" s="2" customFormat="1" x14ac:dyDescent="0.25">
      <c r="A292" s="68">
        <v>1</v>
      </c>
      <c r="B292" s="68"/>
      <c r="C292" s="59" t="s">
        <v>178</v>
      </c>
      <c r="D292" s="59">
        <f>(62.03+1.2*3.05)*10.764</f>
        <v>707.08715999999993</v>
      </c>
      <c r="E292" s="59">
        <v>0</v>
      </c>
      <c r="F292" s="59">
        <f>D292*1.6+E292</f>
        <v>1131.3394559999999</v>
      </c>
      <c r="G292" s="68" t="str">
        <f>A291</f>
        <v>6th Floor</v>
      </c>
      <c r="H292" s="68"/>
      <c r="I292" s="48"/>
    </row>
    <row r="293" spans="1:9" s="2" customFormat="1" ht="15.75" customHeight="1" x14ac:dyDescent="0.25">
      <c r="A293" s="68">
        <v>2</v>
      </c>
      <c r="B293" s="68"/>
      <c r="C293" s="59" t="s">
        <v>178</v>
      </c>
      <c r="D293" s="59">
        <f>(61.75+1.2*3.05)*10.764</f>
        <v>704.07323999999994</v>
      </c>
      <c r="E293" s="59">
        <v>0</v>
      </c>
      <c r="F293" s="59">
        <f>D293*1.6+E293</f>
        <v>1126.517184</v>
      </c>
      <c r="G293" s="68"/>
      <c r="H293" s="68"/>
    </row>
    <row r="294" spans="1:9" s="2" customFormat="1" ht="15.75" customHeight="1" x14ac:dyDescent="0.25">
      <c r="A294" s="68">
        <v>3</v>
      </c>
      <c r="B294" s="68"/>
      <c r="C294" s="59" t="s">
        <v>153</v>
      </c>
      <c r="D294" s="59">
        <f>(96.36+1.5*3.2)*10.764</f>
        <v>1088.8862399999998</v>
      </c>
      <c r="E294" s="59">
        <v>0</v>
      </c>
      <c r="F294" s="59">
        <f>D294*1.6+E294</f>
        <v>1742.2179839999999</v>
      </c>
      <c r="G294" s="68"/>
      <c r="H294" s="68"/>
    </row>
    <row r="295" spans="1:9" s="2" customFormat="1" ht="15.75" customHeight="1" x14ac:dyDescent="0.25">
      <c r="A295" s="68">
        <v>4</v>
      </c>
      <c r="B295" s="68"/>
      <c r="C295" s="59" t="s">
        <v>251</v>
      </c>
      <c r="D295" s="59">
        <f>(133.14+1.5*3.65)*10.764</f>
        <v>1492.0518599999998</v>
      </c>
      <c r="E295" s="59">
        <v>0</v>
      </c>
      <c r="F295" s="59">
        <f>D295*1.6+E295</f>
        <v>2387.282976</v>
      </c>
      <c r="G295" s="68"/>
      <c r="H295" s="68"/>
    </row>
    <row r="296" spans="1:9" s="2" customFormat="1" ht="15.75" customHeight="1" x14ac:dyDescent="0.25">
      <c r="A296" s="68">
        <v>5</v>
      </c>
      <c r="B296" s="68"/>
      <c r="C296" s="59" t="s">
        <v>153</v>
      </c>
      <c r="D296" s="59">
        <f>(92.1+1.5*3.35)*10.764</f>
        <v>1045.4534999999998</v>
      </c>
      <c r="E296" s="59">
        <v>0</v>
      </c>
      <c r="F296" s="59">
        <f>D296*1.6+E296</f>
        <v>1672.7255999999998</v>
      </c>
      <c r="G296" s="68"/>
      <c r="H296" s="68"/>
    </row>
    <row r="297" spans="1:9" s="2" customFormat="1" ht="15.75" customHeight="1" x14ac:dyDescent="0.25">
      <c r="A297" s="69" t="s">
        <v>231</v>
      </c>
      <c r="B297" s="69"/>
      <c r="C297" s="69"/>
      <c r="D297" s="69"/>
      <c r="E297" s="69"/>
      <c r="F297" s="69"/>
      <c r="G297" s="69"/>
      <c r="H297" s="69"/>
    </row>
    <row r="298" spans="1:9" s="2" customFormat="1" x14ac:dyDescent="0.25">
      <c r="A298" s="68">
        <v>1</v>
      </c>
      <c r="B298" s="68"/>
      <c r="C298" s="59" t="s">
        <v>178</v>
      </c>
      <c r="D298" s="59">
        <f>(62.03+1.2*3.05)*10.764</f>
        <v>707.08715999999993</v>
      </c>
      <c r="E298" s="59">
        <v>0</v>
      </c>
      <c r="F298" s="59">
        <f>D298*1.6+E298</f>
        <v>1131.3394559999999</v>
      </c>
      <c r="G298" s="68" t="str">
        <f>A297</f>
        <v>7th Floor</v>
      </c>
      <c r="H298" s="68"/>
      <c r="I298" s="48"/>
    </row>
    <row r="299" spans="1:9" s="2" customFormat="1" ht="15.75" customHeight="1" x14ac:dyDescent="0.25">
      <c r="A299" s="68">
        <v>2</v>
      </c>
      <c r="B299" s="68"/>
      <c r="C299" s="59" t="s">
        <v>178</v>
      </c>
      <c r="D299" s="59">
        <f>(61.75+1.2*3.05)*10.764</f>
        <v>704.07323999999994</v>
      </c>
      <c r="E299" s="59">
        <v>0</v>
      </c>
      <c r="F299" s="59">
        <f>D299*1.6+E299</f>
        <v>1126.517184</v>
      </c>
      <c r="G299" s="68"/>
      <c r="H299" s="68"/>
    </row>
    <row r="300" spans="1:9" s="2" customFormat="1" ht="15.75" customHeight="1" x14ac:dyDescent="0.25">
      <c r="A300" s="68">
        <v>3</v>
      </c>
      <c r="B300" s="68"/>
      <c r="C300" s="59" t="s">
        <v>153</v>
      </c>
      <c r="D300" s="59">
        <f>(96.36+1.5*3.2)*10.764</f>
        <v>1088.8862399999998</v>
      </c>
      <c r="E300" s="59">
        <v>0</v>
      </c>
      <c r="F300" s="59">
        <f>D300*1.6+E300</f>
        <v>1742.2179839999999</v>
      </c>
      <c r="G300" s="68"/>
      <c r="H300" s="68"/>
    </row>
    <row r="301" spans="1:9" s="2" customFormat="1" ht="15.75" customHeight="1" x14ac:dyDescent="0.25">
      <c r="A301" s="68">
        <v>4</v>
      </c>
      <c r="B301" s="68"/>
      <c r="C301" s="59" t="s">
        <v>251</v>
      </c>
      <c r="D301" s="59">
        <f>(133.14+1.5*3.65)*10.764</f>
        <v>1492.0518599999998</v>
      </c>
      <c r="E301" s="59">
        <v>0</v>
      </c>
      <c r="F301" s="59">
        <f>D301*1.6+E301</f>
        <v>2387.282976</v>
      </c>
      <c r="G301" s="68"/>
      <c r="H301" s="68"/>
    </row>
    <row r="302" spans="1:9" s="2" customFormat="1" ht="15.75" customHeight="1" x14ac:dyDescent="0.25">
      <c r="A302" s="68">
        <v>5</v>
      </c>
      <c r="B302" s="68"/>
      <c r="C302" s="59" t="s">
        <v>153</v>
      </c>
      <c r="D302" s="59">
        <f>(92.1+1.5*3.35)*10.764</f>
        <v>1045.4534999999998</v>
      </c>
      <c r="E302" s="59">
        <v>0</v>
      </c>
      <c r="F302" s="59">
        <f>D302*1.6+E302</f>
        <v>1672.7255999999998</v>
      </c>
      <c r="G302" s="68"/>
      <c r="H302" s="68"/>
    </row>
    <row r="303" spans="1:9" s="2" customFormat="1" ht="15.75" customHeight="1" x14ac:dyDescent="0.25">
      <c r="A303" s="69" t="s">
        <v>233</v>
      </c>
      <c r="B303" s="69"/>
      <c r="C303" s="69"/>
      <c r="D303" s="69"/>
      <c r="E303" s="69"/>
      <c r="F303" s="69"/>
      <c r="G303" s="69"/>
      <c r="H303" s="69"/>
    </row>
    <row r="304" spans="1:9" s="2" customFormat="1" x14ac:dyDescent="0.25">
      <c r="A304" s="68">
        <v>1</v>
      </c>
      <c r="B304" s="68"/>
      <c r="C304" s="68" t="s">
        <v>179</v>
      </c>
      <c r="D304" s="68"/>
      <c r="E304" s="68"/>
      <c r="F304" s="68"/>
      <c r="G304" s="68" t="str">
        <f>A303</f>
        <v>8th Floor (Part Refuge Area)</v>
      </c>
      <c r="H304" s="68"/>
      <c r="I304" s="48"/>
    </row>
    <row r="305" spans="1:9" s="2" customFormat="1" ht="15.75" customHeight="1" x14ac:dyDescent="0.25">
      <c r="A305" s="68">
        <v>2</v>
      </c>
      <c r="B305" s="68"/>
      <c r="C305" s="68"/>
      <c r="D305" s="68"/>
      <c r="E305" s="68"/>
      <c r="F305" s="68"/>
      <c r="G305" s="68"/>
      <c r="H305" s="68"/>
    </row>
    <row r="306" spans="1:9" s="2" customFormat="1" ht="15.75" customHeight="1" x14ac:dyDescent="0.25">
      <c r="A306" s="68">
        <v>3</v>
      </c>
      <c r="B306" s="68"/>
      <c r="C306" s="64" t="s">
        <v>153</v>
      </c>
      <c r="D306" s="64">
        <f>(96.36+1.5*3.2)*10.764</f>
        <v>1088.8862399999998</v>
      </c>
      <c r="E306" s="64">
        <v>0</v>
      </c>
      <c r="F306" s="64">
        <f>D306*1.6+E306</f>
        <v>1742.2179839999999</v>
      </c>
      <c r="G306" s="68"/>
      <c r="H306" s="68"/>
    </row>
    <row r="307" spans="1:9" s="2" customFormat="1" ht="15.75" customHeight="1" x14ac:dyDescent="0.25">
      <c r="A307" s="68">
        <v>4</v>
      </c>
      <c r="B307" s="68"/>
      <c r="C307" s="64" t="s">
        <v>251</v>
      </c>
      <c r="D307" s="64">
        <f>(133.14+1.5*3.65)*10.764</f>
        <v>1492.0518599999998</v>
      </c>
      <c r="E307" s="64">
        <v>0</v>
      </c>
      <c r="F307" s="64">
        <f>D307*1.6+E307</f>
        <v>2387.282976</v>
      </c>
      <c r="G307" s="68"/>
      <c r="H307" s="68"/>
    </row>
    <row r="308" spans="1:9" s="2" customFormat="1" ht="15.75" customHeight="1" x14ac:dyDescent="0.25">
      <c r="A308" s="68">
        <v>5</v>
      </c>
      <c r="B308" s="68"/>
      <c r="C308" s="64" t="s">
        <v>153</v>
      </c>
      <c r="D308" s="64">
        <f>(92.1+1.5*3.35)*10.764</f>
        <v>1045.4534999999998</v>
      </c>
      <c r="E308" s="64">
        <v>0</v>
      </c>
      <c r="F308" s="64">
        <f>D308*1.6+E308</f>
        <v>1672.7255999999998</v>
      </c>
      <c r="G308" s="68"/>
      <c r="H308" s="68"/>
    </row>
    <row r="309" spans="1:9" s="2" customFormat="1" ht="15.75" customHeight="1" x14ac:dyDescent="0.25">
      <c r="A309" s="69" t="s">
        <v>232</v>
      </c>
      <c r="B309" s="69"/>
      <c r="C309" s="69"/>
      <c r="D309" s="69"/>
      <c r="E309" s="69"/>
      <c r="F309" s="69"/>
      <c r="G309" s="69"/>
      <c r="H309" s="69"/>
    </row>
    <row r="310" spans="1:9" s="2" customFormat="1" x14ac:dyDescent="0.25">
      <c r="A310" s="68">
        <v>1</v>
      </c>
      <c r="B310" s="68"/>
      <c r="C310" s="64" t="s">
        <v>178</v>
      </c>
      <c r="D310" s="64">
        <f>(62.03+1.2*3.05)*10.764</f>
        <v>707.08715999999993</v>
      </c>
      <c r="E310" s="64">
        <v>0</v>
      </c>
      <c r="F310" s="64">
        <f>D310*1.6+E310</f>
        <v>1131.3394559999999</v>
      </c>
      <c r="G310" s="68" t="str">
        <f>A309</f>
        <v>9th Floor</v>
      </c>
      <c r="H310" s="68"/>
      <c r="I310" s="48"/>
    </row>
    <row r="311" spans="1:9" s="2" customFormat="1" ht="15.75" customHeight="1" x14ac:dyDescent="0.25">
      <c r="A311" s="68">
        <v>2</v>
      </c>
      <c r="B311" s="68"/>
      <c r="C311" s="64" t="s">
        <v>178</v>
      </c>
      <c r="D311" s="64">
        <f>(61.75+1.2*3.05)*10.764</f>
        <v>704.07323999999994</v>
      </c>
      <c r="E311" s="64">
        <v>0</v>
      </c>
      <c r="F311" s="64">
        <f>D311*1.6+E311</f>
        <v>1126.517184</v>
      </c>
      <c r="G311" s="68"/>
      <c r="H311" s="68"/>
    </row>
    <row r="312" spans="1:9" s="2" customFormat="1" ht="15.75" customHeight="1" x14ac:dyDescent="0.25">
      <c r="A312" s="68">
        <v>3</v>
      </c>
      <c r="B312" s="68"/>
      <c r="C312" s="64" t="s">
        <v>153</v>
      </c>
      <c r="D312" s="64">
        <f>(96.36+1.5*3.2)*10.764</f>
        <v>1088.8862399999998</v>
      </c>
      <c r="E312" s="64">
        <v>0</v>
      </c>
      <c r="F312" s="64">
        <f>D312*1.6+E312</f>
        <v>1742.2179839999999</v>
      </c>
      <c r="G312" s="68"/>
      <c r="H312" s="68"/>
    </row>
    <row r="313" spans="1:9" s="2" customFormat="1" ht="15.75" customHeight="1" x14ac:dyDescent="0.25">
      <c r="A313" s="68">
        <v>4</v>
      </c>
      <c r="B313" s="68"/>
      <c r="C313" s="64" t="s">
        <v>251</v>
      </c>
      <c r="D313" s="64">
        <f>(133.14+1.5*3.65)*10.764</f>
        <v>1492.0518599999998</v>
      </c>
      <c r="E313" s="64">
        <v>0</v>
      </c>
      <c r="F313" s="64">
        <f>D313*1.6+E313</f>
        <v>2387.282976</v>
      </c>
      <c r="G313" s="68"/>
      <c r="H313" s="68"/>
    </row>
    <row r="314" spans="1:9" s="2" customFormat="1" ht="15.75" customHeight="1" x14ac:dyDescent="0.25">
      <c r="A314" s="68">
        <v>5</v>
      </c>
      <c r="B314" s="68"/>
      <c r="C314" s="64" t="s">
        <v>153</v>
      </c>
      <c r="D314" s="64">
        <f>(92.1+1.5*3.35)*10.764</f>
        <v>1045.4534999999998</v>
      </c>
      <c r="E314" s="64">
        <v>0</v>
      </c>
      <c r="F314" s="64">
        <f>D314*1.6+E314</f>
        <v>1672.7255999999998</v>
      </c>
      <c r="G314" s="68"/>
      <c r="H314" s="68"/>
    </row>
    <row r="315" spans="1:9" s="2" customFormat="1" ht="15.75" customHeight="1" x14ac:dyDescent="0.25">
      <c r="A315" s="69" t="s">
        <v>234</v>
      </c>
      <c r="B315" s="69"/>
      <c r="C315" s="69"/>
      <c r="D315" s="69"/>
      <c r="E315" s="69"/>
      <c r="F315" s="69"/>
      <c r="G315" s="69"/>
      <c r="H315" s="69"/>
    </row>
    <row r="316" spans="1:9" s="2" customFormat="1" x14ac:dyDescent="0.25">
      <c r="A316" s="68">
        <v>1</v>
      </c>
      <c r="B316" s="68"/>
      <c r="C316" s="59" t="s">
        <v>178</v>
      </c>
      <c r="D316" s="59">
        <f>(62.03+1.2*3.05)*10.764</f>
        <v>707.08715999999993</v>
      </c>
      <c r="E316" s="59">
        <v>0</v>
      </c>
      <c r="F316" s="59">
        <f>D316*1.6+E316</f>
        <v>1131.3394559999999</v>
      </c>
      <c r="G316" s="68" t="str">
        <f>A315</f>
        <v>10th Floor</v>
      </c>
      <c r="H316" s="68"/>
      <c r="I316" s="48"/>
    </row>
    <row r="317" spans="1:9" s="2" customFormat="1" ht="15.75" customHeight="1" x14ac:dyDescent="0.25">
      <c r="A317" s="68">
        <v>2</v>
      </c>
      <c r="B317" s="68"/>
      <c r="C317" s="59" t="s">
        <v>178</v>
      </c>
      <c r="D317" s="59">
        <f>(61.75+1.2*3.05)*10.764</f>
        <v>704.07323999999994</v>
      </c>
      <c r="E317" s="59">
        <v>0</v>
      </c>
      <c r="F317" s="59">
        <f>D317*1.6+E317</f>
        <v>1126.517184</v>
      </c>
      <c r="G317" s="68"/>
      <c r="H317" s="68"/>
    </row>
    <row r="318" spans="1:9" s="2" customFormat="1" ht="15.75" customHeight="1" x14ac:dyDescent="0.25">
      <c r="A318" s="68">
        <v>3</v>
      </c>
      <c r="B318" s="68"/>
      <c r="C318" s="59" t="s">
        <v>153</v>
      </c>
      <c r="D318" s="59">
        <f>(96.36+1.5*3.2)*10.764</f>
        <v>1088.8862399999998</v>
      </c>
      <c r="E318" s="59">
        <v>0</v>
      </c>
      <c r="F318" s="59">
        <f>D318*1.6+E318</f>
        <v>1742.2179839999999</v>
      </c>
      <c r="G318" s="68"/>
      <c r="H318" s="68"/>
    </row>
    <row r="319" spans="1:9" s="2" customFormat="1" ht="15.75" customHeight="1" x14ac:dyDescent="0.25">
      <c r="A319" s="68">
        <v>4</v>
      </c>
      <c r="B319" s="68"/>
      <c r="C319" s="59" t="s">
        <v>251</v>
      </c>
      <c r="D319" s="59">
        <f>(133.14+1.5*3.65)*10.764</f>
        <v>1492.0518599999998</v>
      </c>
      <c r="E319" s="59">
        <v>0</v>
      </c>
      <c r="F319" s="59">
        <f>D319*1.6+E319</f>
        <v>2387.282976</v>
      </c>
      <c r="G319" s="68"/>
      <c r="H319" s="68"/>
    </row>
    <row r="320" spans="1:9" s="2" customFormat="1" ht="15.75" customHeight="1" x14ac:dyDescent="0.25">
      <c r="A320" s="68">
        <v>5</v>
      </c>
      <c r="B320" s="68"/>
      <c r="C320" s="59" t="s">
        <v>153</v>
      </c>
      <c r="D320" s="59">
        <f>(92.1+1.5*3.35)*10.764</f>
        <v>1045.4534999999998</v>
      </c>
      <c r="E320" s="59">
        <v>0</v>
      </c>
      <c r="F320" s="59">
        <f>D320*1.6+E320</f>
        <v>1672.7255999999998</v>
      </c>
      <c r="G320" s="68"/>
      <c r="H320" s="68"/>
    </row>
    <row r="321" spans="1:9" s="2" customFormat="1" ht="15.75" customHeight="1" x14ac:dyDescent="0.25">
      <c r="A321" s="69" t="s">
        <v>235</v>
      </c>
      <c r="B321" s="69"/>
      <c r="C321" s="69"/>
      <c r="D321" s="69"/>
      <c r="E321" s="69"/>
      <c r="F321" s="69"/>
      <c r="G321" s="69"/>
      <c r="H321" s="69"/>
    </row>
    <row r="322" spans="1:9" s="2" customFormat="1" x14ac:dyDescent="0.25">
      <c r="A322" s="68">
        <v>1</v>
      </c>
      <c r="B322" s="68"/>
      <c r="C322" s="59" t="s">
        <v>178</v>
      </c>
      <c r="D322" s="59">
        <f>(62.03+1.2*3.05)*10.764</f>
        <v>707.08715999999993</v>
      </c>
      <c r="E322" s="59">
        <v>0</v>
      </c>
      <c r="F322" s="59">
        <f>D322*1.6+E322</f>
        <v>1131.3394559999999</v>
      </c>
      <c r="G322" s="68" t="str">
        <f>A321</f>
        <v>11th Floor</v>
      </c>
      <c r="H322" s="68"/>
      <c r="I322" s="48"/>
    </row>
    <row r="323" spans="1:9" s="2" customFormat="1" ht="15.75" customHeight="1" x14ac:dyDescent="0.25">
      <c r="A323" s="68">
        <v>2</v>
      </c>
      <c r="B323" s="68"/>
      <c r="C323" s="59" t="s">
        <v>178</v>
      </c>
      <c r="D323" s="59">
        <f>(61.75+1.2*3.05)*10.764</f>
        <v>704.07323999999994</v>
      </c>
      <c r="E323" s="59">
        <v>0</v>
      </c>
      <c r="F323" s="59">
        <f>D323*1.6+E323</f>
        <v>1126.517184</v>
      </c>
      <c r="G323" s="68"/>
      <c r="H323" s="68"/>
    </row>
    <row r="324" spans="1:9" s="2" customFormat="1" ht="15.75" customHeight="1" x14ac:dyDescent="0.25">
      <c r="A324" s="68">
        <v>3</v>
      </c>
      <c r="B324" s="68"/>
      <c r="C324" s="59" t="s">
        <v>153</v>
      </c>
      <c r="D324" s="59">
        <f>(96.36+1.5*3.2)*10.764</f>
        <v>1088.8862399999998</v>
      </c>
      <c r="E324" s="59">
        <v>0</v>
      </c>
      <c r="F324" s="59">
        <f>D324*1.6+E324</f>
        <v>1742.2179839999999</v>
      </c>
      <c r="G324" s="68"/>
      <c r="H324" s="68"/>
    </row>
    <row r="325" spans="1:9" s="2" customFormat="1" ht="15.75" customHeight="1" x14ac:dyDescent="0.25">
      <c r="A325" s="68">
        <v>4</v>
      </c>
      <c r="B325" s="68"/>
      <c r="C325" s="59" t="s">
        <v>251</v>
      </c>
      <c r="D325" s="59">
        <f>(133.14+1.5*3.65)*10.764</f>
        <v>1492.0518599999998</v>
      </c>
      <c r="E325" s="59">
        <v>0</v>
      </c>
      <c r="F325" s="59">
        <f>D325*1.6+E325</f>
        <v>2387.282976</v>
      </c>
      <c r="G325" s="68"/>
      <c r="H325" s="68"/>
    </row>
    <row r="326" spans="1:9" s="2" customFormat="1" ht="15.75" customHeight="1" x14ac:dyDescent="0.25">
      <c r="A326" s="68">
        <v>5</v>
      </c>
      <c r="B326" s="68"/>
      <c r="C326" s="59" t="s">
        <v>153</v>
      </c>
      <c r="D326" s="59">
        <f>(92.1+1.5*3.35)*10.764</f>
        <v>1045.4534999999998</v>
      </c>
      <c r="E326" s="59">
        <v>0</v>
      </c>
      <c r="F326" s="59">
        <f>D326*1.6+E326</f>
        <v>1672.7255999999998</v>
      </c>
      <c r="G326" s="68"/>
      <c r="H326" s="68"/>
    </row>
    <row r="327" spans="1:9" s="2" customFormat="1" ht="15.75" customHeight="1" x14ac:dyDescent="0.25">
      <c r="A327" s="69" t="s">
        <v>236</v>
      </c>
      <c r="B327" s="69"/>
      <c r="C327" s="69"/>
      <c r="D327" s="69"/>
      <c r="E327" s="69"/>
      <c r="F327" s="69"/>
      <c r="G327" s="69"/>
      <c r="H327" s="69"/>
    </row>
    <row r="328" spans="1:9" s="2" customFormat="1" x14ac:dyDescent="0.25">
      <c r="A328" s="68">
        <v>1</v>
      </c>
      <c r="B328" s="68"/>
      <c r="C328" s="59" t="s">
        <v>178</v>
      </c>
      <c r="D328" s="59">
        <f>(62.03+1.2*3.05)*10.764</f>
        <v>707.08715999999993</v>
      </c>
      <c r="E328" s="59">
        <v>0</v>
      </c>
      <c r="F328" s="59">
        <f>D328*1.6+E328</f>
        <v>1131.3394559999999</v>
      </c>
      <c r="G328" s="68" t="str">
        <f>A327</f>
        <v>12th Floor</v>
      </c>
      <c r="H328" s="68"/>
      <c r="I328" s="48"/>
    </row>
    <row r="329" spans="1:9" s="2" customFormat="1" ht="15.75" customHeight="1" x14ac:dyDescent="0.25">
      <c r="A329" s="68">
        <v>2</v>
      </c>
      <c r="B329" s="68"/>
      <c r="C329" s="59" t="s">
        <v>178</v>
      </c>
      <c r="D329" s="59">
        <f>(61.75+1.2*3.05)*10.764</f>
        <v>704.07323999999994</v>
      </c>
      <c r="E329" s="59">
        <v>0</v>
      </c>
      <c r="F329" s="59">
        <f>D329*1.6+E329</f>
        <v>1126.517184</v>
      </c>
      <c r="G329" s="68"/>
      <c r="H329" s="68"/>
    </row>
    <row r="330" spans="1:9" s="2" customFormat="1" ht="15.75" customHeight="1" x14ac:dyDescent="0.25">
      <c r="A330" s="68">
        <v>3</v>
      </c>
      <c r="B330" s="68"/>
      <c r="C330" s="59" t="s">
        <v>153</v>
      </c>
      <c r="D330" s="59">
        <f>(96.36+1.5*3.2)*10.764</f>
        <v>1088.8862399999998</v>
      </c>
      <c r="E330" s="59">
        <v>0</v>
      </c>
      <c r="F330" s="59">
        <f>D330*1.6+E330</f>
        <v>1742.2179839999999</v>
      </c>
      <c r="G330" s="68"/>
      <c r="H330" s="68"/>
    </row>
    <row r="331" spans="1:9" s="2" customFormat="1" ht="15.75" customHeight="1" x14ac:dyDescent="0.25">
      <c r="A331" s="68">
        <v>4</v>
      </c>
      <c r="B331" s="68"/>
      <c r="C331" s="59" t="s">
        <v>251</v>
      </c>
      <c r="D331" s="59">
        <f>(133.14+1.5*3.65)*10.764</f>
        <v>1492.0518599999998</v>
      </c>
      <c r="E331" s="59">
        <v>0</v>
      </c>
      <c r="F331" s="59">
        <f>D331*1.6+E331</f>
        <v>2387.282976</v>
      </c>
      <c r="G331" s="68"/>
      <c r="H331" s="68"/>
    </row>
    <row r="332" spans="1:9" s="2" customFormat="1" ht="15.75" customHeight="1" x14ac:dyDescent="0.25">
      <c r="A332" s="68">
        <v>5</v>
      </c>
      <c r="B332" s="68"/>
      <c r="C332" s="59" t="s">
        <v>153</v>
      </c>
      <c r="D332" s="59">
        <f>(92.1+1.5*3.35)*10.764</f>
        <v>1045.4534999999998</v>
      </c>
      <c r="E332" s="59">
        <v>0</v>
      </c>
      <c r="F332" s="59">
        <f>D332*1.6+E332</f>
        <v>1672.7255999999998</v>
      </c>
      <c r="G332" s="68"/>
      <c r="H332" s="68"/>
    </row>
    <row r="333" spans="1:9" s="2" customFormat="1" ht="15.75" customHeight="1" x14ac:dyDescent="0.25">
      <c r="A333" s="69" t="s">
        <v>252</v>
      </c>
      <c r="B333" s="69"/>
      <c r="C333" s="69"/>
      <c r="D333" s="69"/>
      <c r="E333" s="69"/>
      <c r="F333" s="69"/>
      <c r="G333" s="69"/>
      <c r="H333" s="69"/>
    </row>
    <row r="334" spans="1:9" s="2" customFormat="1" x14ac:dyDescent="0.25">
      <c r="A334" s="68">
        <v>1</v>
      </c>
      <c r="B334" s="68"/>
      <c r="C334" s="59" t="s">
        <v>178</v>
      </c>
      <c r="D334" s="59">
        <f>(62.03+1.2*3.05)*10.764</f>
        <v>707.08715999999993</v>
      </c>
      <c r="E334" s="59">
        <v>0</v>
      </c>
      <c r="F334" s="59">
        <f>D334*1.6+E334</f>
        <v>1131.3394559999999</v>
      </c>
      <c r="G334" s="68" t="str">
        <f>A333</f>
        <v>13th Floor</v>
      </c>
      <c r="H334" s="68"/>
      <c r="I334" s="48"/>
    </row>
    <row r="335" spans="1:9" s="2" customFormat="1" ht="15.75" customHeight="1" x14ac:dyDescent="0.25">
      <c r="A335" s="68">
        <v>2</v>
      </c>
      <c r="B335" s="68"/>
      <c r="C335" s="59" t="s">
        <v>178</v>
      </c>
      <c r="D335" s="59">
        <f>(61.75+1.2*3.05)*10.764</f>
        <v>704.07323999999994</v>
      </c>
      <c r="E335" s="59">
        <v>0</v>
      </c>
      <c r="F335" s="59">
        <f>D335*1.6+E335</f>
        <v>1126.517184</v>
      </c>
      <c r="G335" s="68"/>
      <c r="H335" s="68"/>
    </row>
    <row r="336" spans="1:9" s="2" customFormat="1" ht="15.75" customHeight="1" x14ac:dyDescent="0.25">
      <c r="A336" s="68">
        <v>3</v>
      </c>
      <c r="B336" s="68"/>
      <c r="C336" s="59" t="s">
        <v>153</v>
      </c>
      <c r="D336" s="59">
        <f>(96.36+1.5*3.2)*10.764</f>
        <v>1088.8862399999998</v>
      </c>
      <c r="E336" s="59">
        <v>0</v>
      </c>
      <c r="F336" s="59">
        <f>D336*1.6+E336</f>
        <v>1742.2179839999999</v>
      </c>
      <c r="G336" s="68"/>
      <c r="H336" s="68"/>
    </row>
    <row r="337" spans="1:9" s="2" customFormat="1" ht="15.75" customHeight="1" x14ac:dyDescent="0.25">
      <c r="A337" s="68">
        <v>4</v>
      </c>
      <c r="B337" s="68"/>
      <c r="C337" s="59" t="s">
        <v>251</v>
      </c>
      <c r="D337" s="59">
        <f>(133.14+1.5*3.65)*10.764</f>
        <v>1492.0518599999998</v>
      </c>
      <c r="E337" s="59">
        <v>0</v>
      </c>
      <c r="F337" s="59">
        <f>D337*1.6+E337</f>
        <v>2387.282976</v>
      </c>
      <c r="G337" s="68"/>
      <c r="H337" s="68"/>
    </row>
    <row r="338" spans="1:9" s="2" customFormat="1" ht="15.75" customHeight="1" x14ac:dyDescent="0.25">
      <c r="A338" s="68">
        <v>5</v>
      </c>
      <c r="B338" s="68"/>
      <c r="C338" s="59" t="s">
        <v>153</v>
      </c>
      <c r="D338" s="59">
        <f>(92.1+1.5*3.35)*10.764</f>
        <v>1045.4534999999998</v>
      </c>
      <c r="E338" s="59">
        <v>0</v>
      </c>
      <c r="F338" s="59">
        <f>D338*1.6+E338</f>
        <v>1672.7255999999998</v>
      </c>
      <c r="G338" s="68"/>
      <c r="H338" s="68"/>
    </row>
    <row r="339" spans="1:9" s="2" customFormat="1" ht="15.75" customHeight="1" x14ac:dyDescent="0.25">
      <c r="A339" s="69" t="s">
        <v>218</v>
      </c>
      <c r="B339" s="69"/>
      <c r="C339" s="69"/>
      <c r="D339" s="69"/>
      <c r="E339" s="69"/>
      <c r="F339" s="69"/>
      <c r="G339" s="69"/>
      <c r="H339" s="69"/>
    </row>
    <row r="340" spans="1:9" s="2" customFormat="1" x14ac:dyDescent="0.25">
      <c r="A340" s="68">
        <v>1</v>
      </c>
      <c r="B340" s="68"/>
      <c r="C340" s="59" t="s">
        <v>178</v>
      </c>
      <c r="D340" s="59">
        <f>(62.03+1.2*3.05)*10.764</f>
        <v>707.08715999999993</v>
      </c>
      <c r="E340" s="59">
        <v>0</v>
      </c>
      <c r="F340" s="59">
        <f>D340*1.6+E340</f>
        <v>1131.3394559999999</v>
      </c>
      <c r="G340" s="68" t="str">
        <f>A339</f>
        <v>14th Floor</v>
      </c>
      <c r="H340" s="68"/>
      <c r="I340" s="48"/>
    </row>
    <row r="341" spans="1:9" s="2" customFormat="1" ht="15.75" customHeight="1" x14ac:dyDescent="0.25">
      <c r="A341" s="68">
        <v>2</v>
      </c>
      <c r="B341" s="68"/>
      <c r="C341" s="59" t="s">
        <v>178</v>
      </c>
      <c r="D341" s="59">
        <f>(61.75+1.2*3.05)*10.764</f>
        <v>704.07323999999994</v>
      </c>
      <c r="E341" s="59">
        <v>0</v>
      </c>
      <c r="F341" s="59">
        <f>D341*1.6+E341</f>
        <v>1126.517184</v>
      </c>
      <c r="G341" s="68"/>
      <c r="H341" s="68"/>
    </row>
    <row r="342" spans="1:9" s="2" customFormat="1" ht="15.75" customHeight="1" x14ac:dyDescent="0.25">
      <c r="A342" s="68">
        <v>3</v>
      </c>
      <c r="B342" s="68"/>
      <c r="C342" s="59" t="s">
        <v>153</v>
      </c>
      <c r="D342" s="59">
        <f>(96.36+1.5*3.2)*10.764</f>
        <v>1088.8862399999998</v>
      </c>
      <c r="E342" s="59">
        <v>0</v>
      </c>
      <c r="F342" s="59">
        <f>D342*1.6+E342</f>
        <v>1742.2179839999999</v>
      </c>
      <c r="G342" s="68"/>
      <c r="H342" s="68"/>
    </row>
    <row r="343" spans="1:9" s="2" customFormat="1" ht="15.75" customHeight="1" x14ac:dyDescent="0.25">
      <c r="A343" s="68">
        <v>4</v>
      </c>
      <c r="B343" s="68"/>
      <c r="C343" s="59" t="s">
        <v>251</v>
      </c>
      <c r="D343" s="59">
        <f>(133.14+1.5*3.65)*10.764</f>
        <v>1492.0518599999998</v>
      </c>
      <c r="E343" s="59">
        <v>0</v>
      </c>
      <c r="F343" s="59">
        <f>D343*1.6+E343</f>
        <v>2387.282976</v>
      </c>
      <c r="G343" s="68"/>
      <c r="H343" s="68"/>
    </row>
    <row r="344" spans="1:9" s="2" customFormat="1" ht="15.75" customHeight="1" x14ac:dyDescent="0.25">
      <c r="A344" s="68">
        <v>5</v>
      </c>
      <c r="B344" s="68"/>
      <c r="C344" s="59" t="s">
        <v>153</v>
      </c>
      <c r="D344" s="59">
        <f>(92.1+1.5*3.35)*10.764</f>
        <v>1045.4534999999998</v>
      </c>
      <c r="E344" s="59">
        <v>0</v>
      </c>
      <c r="F344" s="59">
        <f>D344*1.6+E344</f>
        <v>1672.7255999999998</v>
      </c>
      <c r="G344" s="68"/>
      <c r="H344" s="68"/>
    </row>
    <row r="345" spans="1:9" s="2" customFormat="1" ht="15.75" customHeight="1" x14ac:dyDescent="0.25">
      <c r="A345" s="69" t="s">
        <v>247</v>
      </c>
      <c r="B345" s="69"/>
      <c r="C345" s="69"/>
      <c r="D345" s="69"/>
      <c r="E345" s="69"/>
      <c r="F345" s="69"/>
      <c r="G345" s="69"/>
      <c r="H345" s="69"/>
    </row>
    <row r="346" spans="1:9" s="2" customFormat="1" x14ac:dyDescent="0.25">
      <c r="A346" s="68">
        <v>1</v>
      </c>
      <c r="B346" s="68"/>
      <c r="C346" s="68" t="s">
        <v>179</v>
      </c>
      <c r="D346" s="68"/>
      <c r="E346" s="68"/>
      <c r="F346" s="68"/>
      <c r="G346" s="68" t="str">
        <f>A345</f>
        <v>15th Floor (Part Refuge Area)</v>
      </c>
      <c r="H346" s="68"/>
      <c r="I346" s="48"/>
    </row>
    <row r="347" spans="1:9" s="2" customFormat="1" ht="15.75" customHeight="1" x14ac:dyDescent="0.25">
      <c r="A347" s="68">
        <v>2</v>
      </c>
      <c r="B347" s="68"/>
      <c r="C347" s="68"/>
      <c r="D347" s="68"/>
      <c r="E347" s="68"/>
      <c r="F347" s="68"/>
      <c r="G347" s="68"/>
      <c r="H347" s="68"/>
    </row>
    <row r="348" spans="1:9" s="2" customFormat="1" ht="15.75" customHeight="1" x14ac:dyDescent="0.25">
      <c r="A348" s="68">
        <v>3</v>
      </c>
      <c r="B348" s="68"/>
      <c r="C348" s="64" t="s">
        <v>153</v>
      </c>
      <c r="D348" s="64">
        <f>(96.36+1.5*3.2)*10.764</f>
        <v>1088.8862399999998</v>
      </c>
      <c r="E348" s="64">
        <v>0</v>
      </c>
      <c r="F348" s="64">
        <f>D348*1.6+E348</f>
        <v>1742.2179839999999</v>
      </c>
      <c r="G348" s="68"/>
      <c r="H348" s="68"/>
    </row>
    <row r="349" spans="1:9" s="2" customFormat="1" ht="15.75" customHeight="1" x14ac:dyDescent="0.25">
      <c r="A349" s="68">
        <v>4</v>
      </c>
      <c r="B349" s="68"/>
      <c r="C349" s="64" t="s">
        <v>251</v>
      </c>
      <c r="D349" s="64">
        <f>(133.14+1.5*3.65)*10.764</f>
        <v>1492.0518599999998</v>
      </c>
      <c r="E349" s="64">
        <v>0</v>
      </c>
      <c r="F349" s="64">
        <f>D349*1.6+E349</f>
        <v>2387.282976</v>
      </c>
      <c r="G349" s="68"/>
      <c r="H349" s="68"/>
    </row>
    <row r="350" spans="1:9" s="2" customFormat="1" ht="15.75" customHeight="1" x14ac:dyDescent="0.25">
      <c r="A350" s="68">
        <v>5</v>
      </c>
      <c r="B350" s="68"/>
      <c r="C350" s="64" t="s">
        <v>153</v>
      </c>
      <c r="D350" s="64">
        <f>(92.1+1.5*3.35)*10.764</f>
        <v>1045.4534999999998</v>
      </c>
      <c r="E350" s="64">
        <v>0</v>
      </c>
      <c r="F350" s="64">
        <f>D350*1.6+E350</f>
        <v>1672.7255999999998</v>
      </c>
      <c r="G350" s="68"/>
      <c r="H350" s="68"/>
    </row>
    <row r="351" spans="1:9" s="2" customFormat="1" ht="15.75" customHeight="1" x14ac:dyDescent="0.25">
      <c r="A351" s="69" t="s">
        <v>217</v>
      </c>
      <c r="B351" s="69"/>
      <c r="C351" s="69"/>
      <c r="D351" s="69"/>
      <c r="E351" s="69"/>
      <c r="F351" s="69"/>
      <c r="G351" s="69"/>
      <c r="H351" s="69"/>
    </row>
    <row r="352" spans="1:9" s="2" customFormat="1" x14ac:dyDescent="0.25">
      <c r="A352" s="68">
        <v>1</v>
      </c>
      <c r="B352" s="68"/>
      <c r="C352" s="64" t="s">
        <v>178</v>
      </c>
      <c r="D352" s="64">
        <f>(62.03+1.2*3.05)*10.764</f>
        <v>707.08715999999993</v>
      </c>
      <c r="E352" s="64">
        <v>0</v>
      </c>
      <c r="F352" s="64">
        <f>D352*1.6+E352</f>
        <v>1131.3394559999999</v>
      </c>
      <c r="G352" s="68" t="str">
        <f>A351</f>
        <v>16th Floor</v>
      </c>
      <c r="H352" s="68"/>
      <c r="I352" s="48"/>
    </row>
    <row r="353" spans="1:16" s="2" customFormat="1" ht="15.75" customHeight="1" x14ac:dyDescent="0.25">
      <c r="A353" s="68">
        <v>2</v>
      </c>
      <c r="B353" s="68"/>
      <c r="C353" s="64" t="s">
        <v>178</v>
      </c>
      <c r="D353" s="64">
        <f>(61.75+1.2*3.05)*10.764</f>
        <v>704.07323999999994</v>
      </c>
      <c r="E353" s="64">
        <v>0</v>
      </c>
      <c r="F353" s="64">
        <f>D353*1.6+E353</f>
        <v>1126.517184</v>
      </c>
      <c r="G353" s="68"/>
      <c r="H353" s="68"/>
    </row>
    <row r="354" spans="1:16" s="2" customFormat="1" ht="15.75" customHeight="1" x14ac:dyDescent="0.25">
      <c r="A354" s="68">
        <v>3</v>
      </c>
      <c r="B354" s="68"/>
      <c r="C354" s="64" t="s">
        <v>153</v>
      </c>
      <c r="D354" s="64">
        <f>(96.36+1.5*3.2)*10.764</f>
        <v>1088.8862399999998</v>
      </c>
      <c r="E354" s="64">
        <v>0</v>
      </c>
      <c r="F354" s="64">
        <f>D354*1.6+E354</f>
        <v>1742.2179839999999</v>
      </c>
      <c r="G354" s="68"/>
      <c r="H354" s="68"/>
    </row>
    <row r="355" spans="1:16" s="2" customFormat="1" ht="15.75" customHeight="1" x14ac:dyDescent="0.25">
      <c r="A355" s="68">
        <v>4</v>
      </c>
      <c r="B355" s="68"/>
      <c r="C355" s="64" t="s">
        <v>251</v>
      </c>
      <c r="D355" s="64">
        <f>(133.14+1.5*3.65)*10.764</f>
        <v>1492.0518599999998</v>
      </c>
      <c r="E355" s="64">
        <v>0</v>
      </c>
      <c r="F355" s="64">
        <f>D355*1.6+E355</f>
        <v>2387.282976</v>
      </c>
      <c r="G355" s="68"/>
      <c r="H355" s="68"/>
    </row>
    <row r="356" spans="1:16" s="2" customFormat="1" ht="15.75" customHeight="1" x14ac:dyDescent="0.25">
      <c r="A356" s="68">
        <v>5</v>
      </c>
      <c r="B356" s="68"/>
      <c r="C356" s="64" t="s">
        <v>153</v>
      </c>
      <c r="D356" s="64">
        <f>(92.1+1.5*3.35)*10.764</f>
        <v>1045.4534999999998</v>
      </c>
      <c r="E356" s="64">
        <v>0</v>
      </c>
      <c r="F356" s="64">
        <f>D356*1.6+E356</f>
        <v>1672.7255999999998</v>
      </c>
      <c r="G356" s="68"/>
      <c r="H356" s="68"/>
    </row>
    <row r="357" spans="1:16" s="2" customFormat="1" x14ac:dyDescent="0.25">
      <c r="A357" s="70" t="s">
        <v>237</v>
      </c>
      <c r="B357" s="70"/>
      <c r="C357" s="70"/>
      <c r="D357" s="70"/>
      <c r="E357" s="70"/>
      <c r="F357" s="70"/>
      <c r="G357" s="70"/>
      <c r="H357" s="70"/>
      <c r="I357" s="48"/>
    </row>
    <row r="358" spans="1:16" s="2" customFormat="1" ht="15.75" customHeight="1" x14ac:dyDescent="0.25">
      <c r="A358" s="68">
        <v>1</v>
      </c>
      <c r="B358" s="68"/>
      <c r="C358" s="59" t="s">
        <v>178</v>
      </c>
      <c r="D358" s="59">
        <f>(62.03+1.2*3.05)*10.764</f>
        <v>707.08715999999993</v>
      </c>
      <c r="E358" s="59">
        <v>0</v>
      </c>
      <c r="F358" s="59">
        <f>D358*1.6+E358</f>
        <v>1131.3394559999999</v>
      </c>
      <c r="G358" s="68" t="str">
        <f>A357</f>
        <v>17th &amp; 24th Floor</v>
      </c>
      <c r="H358" s="68"/>
      <c r="I358" s="48"/>
      <c r="N358" s="2" t="str">
        <f ca="1">O358&amp;""&amp;" &amp; "&amp;""&amp;P358</f>
        <v>1701 &amp; 2401</v>
      </c>
      <c r="O358" s="2">
        <f ca="1">(SUMPRODUCT(MID(0&amp;(LEFT(A357,SUM(LEN(A357)-LEN(SUBSTITUTE(A357,{"0","1","2"},""))))), LARGE(INDEX(ISNUMBER(--MID((LEFT(A357,SUM(LEN(A357)-LEN(SUBSTITUTE(A357,{"0","1","2"},""))))), ROW(INDIRECT("1:"&amp;LEN((LEFT(A357,SUM(LEN(A357)-LEN(SUBSTITUTE(A357,{"0","1","2"},"")))))))), 1)) * ROW(INDIRECT("1:"&amp;LEN((LEFT(A357,SUM(LEN(A357)-LEN(SUBSTITUTE(A357,{"0","1","2"},"")))))))), 0), ROW(INDIRECT("1:"&amp;LEN((LEFT(A357,SUM(LEN(A357)-LEN(SUBSTITUTE(A357,{"0","1","2"},"")))))))))+1, 1) * 10^ROW(INDIRECT("1:"&amp;LEN((LEFT(A357,SUM(LEN(A357)-LEN(SUBSTITUTE(A357,{"0","1","2"},""))))))))/10))*100+1</f>
        <v>1701</v>
      </c>
      <c r="P358" s="2">
        <f ca="1">(SUMPRODUCT(MID(0&amp;(--TRIM(RIGHT(SUBSTITUTE(LEFT(A357,_xlfn.AGGREGATE(16,6,FIND({0,1,2,3,4,5,6,7,8,9},A357,ROW(INDIRECT("1:"&amp;LEN(A357)))),1))," ",REPT(" ",LEN(A357))),LEN(A357)))), LARGE(INDEX(ISNUMBER(--MID((--TRIM(RIGHT(SUBSTITUTE(LEFT(A357,_xlfn.AGGREGATE(16,6,FIND({0,1,2,3,4,5,6,7,8,9},A357,ROW(INDIRECT("1:"&amp;LEN(A357)))),1))," ",REPT(" ",LEN(A357))),LEN(A357)))), ROW(INDIRECT("1:"&amp;LEN((--TRIM(RIGHT(SUBSTITUTE(LEFT(A357,_xlfn.AGGREGATE(16,6,FIND({0,1,2,3,4,5,6,7,8,9},A357,ROW(INDIRECT("1:"&amp;LEN(A357)))),1))," ",REPT(" ",LEN(A357))),LEN(A357))))))), 1)) * ROW(INDIRECT("1:"&amp;LEN((--TRIM(RIGHT(SUBSTITUTE(LEFT(A357,_xlfn.AGGREGATE(16,6,FIND({0,1,2,3,4,5,6,7,8,9},A357,ROW(INDIRECT("1:"&amp;LEN(A357)))),1))," ",REPT(" ",LEN(A357))),LEN(A357))))))), 0), ROW(INDIRECT("1:"&amp;LEN((--TRIM(RIGHT(SUBSTITUTE(LEFT(A357,_xlfn.AGGREGATE(16,6,FIND({0,1,2,3,4,5,6,7,8,9},A357,ROW(INDIRECT("1:"&amp;LEN(A357)))),1))," ",REPT(" ",LEN(A357))),LEN(A357))))))))+1, 1) * 10^ROW(INDIRECT("1:"&amp;LEN((--TRIM(RIGHT(SUBSTITUTE(LEFT(A357,_xlfn.AGGREGATE(16,6,FIND({0,1,2,3,4,5,6,7,8,9},A357,ROW(INDIRECT("1:"&amp;LEN(A357)))),1))," ",REPT(" ",LEN(A357))),LEN(A357)))))))/10))*100+1</f>
        <v>2401</v>
      </c>
    </row>
    <row r="359" spans="1:16" s="2" customFormat="1" ht="15.75" customHeight="1" x14ac:dyDescent="0.25">
      <c r="A359" s="68">
        <v>2</v>
      </c>
      <c r="B359" s="68"/>
      <c r="C359" s="59" t="s">
        <v>178</v>
      </c>
      <c r="D359" s="59">
        <f>(61.75+1.2*3.05)*10.764</f>
        <v>704.07323999999994</v>
      </c>
      <c r="E359" s="59">
        <v>0</v>
      </c>
      <c r="F359" s="59">
        <f>D359*1.6+E359</f>
        <v>1126.517184</v>
      </c>
      <c r="G359" s="68"/>
      <c r="H359" s="68"/>
      <c r="I359" s="48"/>
      <c r="N359" s="2" t="str">
        <f ca="1">O359&amp;""&amp;" &amp; "&amp;""&amp;P359</f>
        <v>1702 &amp; 2402</v>
      </c>
      <c r="O359" s="2">
        <f t="shared" ref="O359:P362" ca="1" si="0">O358+1</f>
        <v>1702</v>
      </c>
      <c r="P359" s="2">
        <f t="shared" ca="1" si="0"/>
        <v>2402</v>
      </c>
    </row>
    <row r="360" spans="1:16" s="2" customFormat="1" ht="15.75" customHeight="1" x14ac:dyDescent="0.25">
      <c r="A360" s="68">
        <v>3</v>
      </c>
      <c r="B360" s="68"/>
      <c r="C360" s="59" t="s">
        <v>153</v>
      </c>
      <c r="D360" s="59">
        <f>(96.36+1.5*3.2)*10.764</f>
        <v>1088.8862399999998</v>
      </c>
      <c r="E360" s="59">
        <v>0</v>
      </c>
      <c r="F360" s="59">
        <f>D360*1.6+E360</f>
        <v>1742.2179839999999</v>
      </c>
      <c r="G360" s="68"/>
      <c r="H360" s="68"/>
      <c r="I360" s="48"/>
      <c r="N360" s="2" t="str">
        <f ca="1">O360&amp;""&amp;" &amp; "&amp;""&amp;P360</f>
        <v>1703 &amp; 2403</v>
      </c>
      <c r="O360" s="2">
        <f t="shared" ca="1" si="0"/>
        <v>1703</v>
      </c>
      <c r="P360" s="2">
        <f t="shared" ca="1" si="0"/>
        <v>2403</v>
      </c>
    </row>
    <row r="361" spans="1:16" s="2" customFormat="1" ht="15.75" customHeight="1" x14ac:dyDescent="0.25">
      <c r="A361" s="68">
        <v>4</v>
      </c>
      <c r="B361" s="68"/>
      <c r="C361" s="59" t="s">
        <v>251</v>
      </c>
      <c r="D361" s="59">
        <f>(133.14+1.5*3.65)*10.764</f>
        <v>1492.0518599999998</v>
      </c>
      <c r="E361" s="59">
        <v>0</v>
      </c>
      <c r="F361" s="59">
        <f>D361*1.6+E361</f>
        <v>2387.282976</v>
      </c>
      <c r="G361" s="68"/>
      <c r="H361" s="68"/>
      <c r="I361" s="48"/>
      <c r="N361" s="2" t="str">
        <f ca="1">O361&amp;""&amp;" &amp; "&amp;""&amp;P361</f>
        <v>1704 &amp; 2404</v>
      </c>
      <c r="O361" s="2">
        <f t="shared" ca="1" si="0"/>
        <v>1704</v>
      </c>
      <c r="P361" s="2">
        <f t="shared" ca="1" si="0"/>
        <v>2404</v>
      </c>
    </row>
    <row r="362" spans="1:16" s="2" customFormat="1" ht="15.75" customHeight="1" x14ac:dyDescent="0.25">
      <c r="A362" s="68">
        <v>5</v>
      </c>
      <c r="B362" s="68"/>
      <c r="C362" s="59" t="s">
        <v>153</v>
      </c>
      <c r="D362" s="59">
        <f>(92.1+1.5*3.35)*10.764</f>
        <v>1045.4534999999998</v>
      </c>
      <c r="E362" s="59">
        <v>0</v>
      </c>
      <c r="F362" s="59">
        <f>D362*1.6+E362</f>
        <v>1672.7255999999998</v>
      </c>
      <c r="G362" s="68"/>
      <c r="H362" s="68"/>
      <c r="I362" s="48"/>
      <c r="N362" s="2" t="str">
        <f ca="1">O362&amp;""&amp;" &amp; "&amp;""&amp;P362</f>
        <v>1705 &amp; 2405</v>
      </c>
      <c r="O362" s="2">
        <f t="shared" ca="1" si="0"/>
        <v>1705</v>
      </c>
      <c r="P362" s="2">
        <f t="shared" ca="1" si="0"/>
        <v>2405</v>
      </c>
    </row>
    <row r="363" spans="1:16" s="2" customFormat="1" x14ac:dyDescent="0.25">
      <c r="A363" s="70" t="s">
        <v>238</v>
      </c>
      <c r="B363" s="70"/>
      <c r="C363" s="70"/>
      <c r="D363" s="70"/>
      <c r="E363" s="70"/>
      <c r="F363" s="70"/>
      <c r="G363" s="70"/>
      <c r="H363" s="70"/>
      <c r="I363" s="48"/>
    </row>
    <row r="364" spans="1:16" s="2" customFormat="1" ht="15.75" customHeight="1" x14ac:dyDescent="0.25">
      <c r="A364" s="68">
        <v>1</v>
      </c>
      <c r="B364" s="68"/>
      <c r="C364" s="59" t="s">
        <v>178</v>
      </c>
      <c r="D364" s="59">
        <f>(62.03+1.2*3.05)*10.764</f>
        <v>707.08715999999993</v>
      </c>
      <c r="E364" s="59">
        <v>0</v>
      </c>
      <c r="F364" s="59">
        <f>D364*1.6+E364</f>
        <v>1131.3394559999999</v>
      </c>
      <c r="G364" s="68" t="str">
        <f>A363</f>
        <v>18th &amp; 25th Floor</v>
      </c>
      <c r="H364" s="68"/>
      <c r="I364" s="48"/>
      <c r="N364" s="2" t="str">
        <f ca="1">O364&amp;""&amp;" &amp; "&amp;""&amp;P364</f>
        <v>1801 &amp; 2501</v>
      </c>
      <c r="O364" s="2">
        <f ca="1">(SUMPRODUCT(MID(0&amp;(LEFT(A363,SUM(LEN(A363)-LEN(SUBSTITUTE(A363,{"0","1","2"},""))))), LARGE(INDEX(ISNUMBER(--MID((LEFT(A363,SUM(LEN(A363)-LEN(SUBSTITUTE(A363,{"0","1","2"},""))))), ROW(INDIRECT("1:"&amp;LEN((LEFT(A363,SUM(LEN(A363)-LEN(SUBSTITUTE(A363,{"0","1","2"},"")))))))), 1)) * ROW(INDIRECT("1:"&amp;LEN((LEFT(A363,SUM(LEN(A363)-LEN(SUBSTITUTE(A363,{"0","1","2"},"")))))))), 0), ROW(INDIRECT("1:"&amp;LEN((LEFT(A363,SUM(LEN(A363)-LEN(SUBSTITUTE(A363,{"0","1","2"},"")))))))))+1, 1) * 10^ROW(INDIRECT("1:"&amp;LEN((LEFT(A363,SUM(LEN(A363)-LEN(SUBSTITUTE(A363,{"0","1","2"},""))))))))/10))*100+1</f>
        <v>1801</v>
      </c>
      <c r="P364" s="2">
        <f ca="1">(SUMPRODUCT(MID(0&amp;(--TRIM(RIGHT(SUBSTITUTE(LEFT(A363,_xlfn.AGGREGATE(16,6,FIND({0,1,2,3,4,5,6,7,8,9},A363,ROW(INDIRECT("1:"&amp;LEN(A363)))),1))," ",REPT(" ",LEN(A363))),LEN(A363)))), LARGE(INDEX(ISNUMBER(--MID((--TRIM(RIGHT(SUBSTITUTE(LEFT(A363,_xlfn.AGGREGATE(16,6,FIND({0,1,2,3,4,5,6,7,8,9},A363,ROW(INDIRECT("1:"&amp;LEN(A363)))),1))," ",REPT(" ",LEN(A363))),LEN(A363)))), ROW(INDIRECT("1:"&amp;LEN((--TRIM(RIGHT(SUBSTITUTE(LEFT(A363,_xlfn.AGGREGATE(16,6,FIND({0,1,2,3,4,5,6,7,8,9},A363,ROW(INDIRECT("1:"&amp;LEN(A363)))),1))," ",REPT(" ",LEN(A363))),LEN(A363))))))), 1)) * ROW(INDIRECT("1:"&amp;LEN((--TRIM(RIGHT(SUBSTITUTE(LEFT(A363,_xlfn.AGGREGATE(16,6,FIND({0,1,2,3,4,5,6,7,8,9},A363,ROW(INDIRECT("1:"&amp;LEN(A363)))),1))," ",REPT(" ",LEN(A363))),LEN(A363))))))), 0), ROW(INDIRECT("1:"&amp;LEN((--TRIM(RIGHT(SUBSTITUTE(LEFT(A363,_xlfn.AGGREGATE(16,6,FIND({0,1,2,3,4,5,6,7,8,9},A363,ROW(INDIRECT("1:"&amp;LEN(A363)))),1))," ",REPT(" ",LEN(A363))),LEN(A363))))))))+1, 1) * 10^ROW(INDIRECT("1:"&amp;LEN((--TRIM(RIGHT(SUBSTITUTE(LEFT(A363,_xlfn.AGGREGATE(16,6,FIND({0,1,2,3,4,5,6,7,8,9},A363,ROW(INDIRECT("1:"&amp;LEN(A363)))),1))," ",REPT(" ",LEN(A363))),LEN(A363)))))))/10))*100+1</f>
        <v>2501</v>
      </c>
    </row>
    <row r="365" spans="1:16" s="2" customFormat="1" ht="15.75" customHeight="1" x14ac:dyDescent="0.25">
      <c r="A365" s="68">
        <v>2</v>
      </c>
      <c r="B365" s="68"/>
      <c r="C365" s="59" t="s">
        <v>178</v>
      </c>
      <c r="D365" s="59">
        <f>(61.75+1.2*3.05)*10.764</f>
        <v>704.07323999999994</v>
      </c>
      <c r="E365" s="59">
        <v>0</v>
      </c>
      <c r="F365" s="59">
        <f>D365*1.6+E365</f>
        <v>1126.517184</v>
      </c>
      <c r="G365" s="68"/>
      <c r="H365" s="68"/>
      <c r="I365" s="48"/>
      <c r="N365" s="2" t="str">
        <f ca="1">O365&amp;""&amp;" &amp; "&amp;""&amp;P365</f>
        <v>1802 &amp; 2502</v>
      </c>
      <c r="O365" s="2">
        <f t="shared" ref="O365:P368" ca="1" si="1">O364+1</f>
        <v>1802</v>
      </c>
      <c r="P365" s="2">
        <f t="shared" ca="1" si="1"/>
        <v>2502</v>
      </c>
    </row>
    <row r="366" spans="1:16" s="2" customFormat="1" ht="15.75" customHeight="1" x14ac:dyDescent="0.25">
      <c r="A366" s="68">
        <v>3</v>
      </c>
      <c r="B366" s="68"/>
      <c r="C366" s="59" t="s">
        <v>153</v>
      </c>
      <c r="D366" s="59">
        <f>(96.36+1.5*3.2)*10.764</f>
        <v>1088.8862399999998</v>
      </c>
      <c r="E366" s="59">
        <v>0</v>
      </c>
      <c r="F366" s="59">
        <f>D366*1.6+E366</f>
        <v>1742.2179839999999</v>
      </c>
      <c r="G366" s="68"/>
      <c r="H366" s="68"/>
      <c r="I366" s="48"/>
      <c r="N366" s="2" t="str">
        <f ca="1">O366&amp;""&amp;" &amp; "&amp;""&amp;P366</f>
        <v>1803 &amp; 2503</v>
      </c>
      <c r="O366" s="2">
        <f t="shared" ca="1" si="1"/>
        <v>1803</v>
      </c>
      <c r="P366" s="2">
        <f t="shared" ca="1" si="1"/>
        <v>2503</v>
      </c>
    </row>
    <row r="367" spans="1:16" s="2" customFormat="1" ht="15.75" customHeight="1" x14ac:dyDescent="0.25">
      <c r="A367" s="68">
        <v>4</v>
      </c>
      <c r="B367" s="68"/>
      <c r="C367" s="59" t="s">
        <v>251</v>
      </c>
      <c r="D367" s="59">
        <f>(133.14+1.5*3.65)*10.764</f>
        <v>1492.0518599999998</v>
      </c>
      <c r="E367" s="59">
        <v>0</v>
      </c>
      <c r="F367" s="59">
        <f>D367*1.6+E367</f>
        <v>2387.282976</v>
      </c>
      <c r="G367" s="68"/>
      <c r="H367" s="68"/>
      <c r="I367" s="48"/>
      <c r="N367" s="2" t="str">
        <f ca="1">O367&amp;""&amp;" &amp; "&amp;""&amp;P367</f>
        <v>1804 &amp; 2504</v>
      </c>
      <c r="O367" s="2">
        <f t="shared" ca="1" si="1"/>
        <v>1804</v>
      </c>
      <c r="P367" s="2">
        <f t="shared" ca="1" si="1"/>
        <v>2504</v>
      </c>
    </row>
    <row r="368" spans="1:16" s="2" customFormat="1" ht="15.75" customHeight="1" x14ac:dyDescent="0.25">
      <c r="A368" s="68">
        <v>5</v>
      </c>
      <c r="B368" s="68"/>
      <c r="C368" s="59" t="s">
        <v>153</v>
      </c>
      <c r="D368" s="59">
        <f>(92.1+1.5*3.35)*10.764</f>
        <v>1045.4534999999998</v>
      </c>
      <c r="E368" s="59">
        <v>0</v>
      </c>
      <c r="F368" s="59">
        <f>D368*1.6+E368</f>
        <v>1672.7255999999998</v>
      </c>
      <c r="G368" s="68"/>
      <c r="H368" s="68"/>
      <c r="I368" s="48"/>
      <c r="N368" s="2" t="str">
        <f ca="1">O368&amp;""&amp;" &amp; "&amp;""&amp;P368</f>
        <v>1805 &amp; 2505</v>
      </c>
      <c r="O368" s="2">
        <f t="shared" ca="1" si="1"/>
        <v>1805</v>
      </c>
      <c r="P368" s="2">
        <f t="shared" ca="1" si="1"/>
        <v>2505</v>
      </c>
    </row>
    <row r="369" spans="1:16" s="2" customFormat="1" ht="15.75" customHeight="1" x14ac:dyDescent="0.25">
      <c r="A369" s="69" t="s">
        <v>246</v>
      </c>
      <c r="B369" s="69"/>
      <c r="C369" s="69"/>
      <c r="D369" s="69"/>
      <c r="E369" s="69"/>
      <c r="F369" s="69"/>
      <c r="G369" s="69"/>
      <c r="H369" s="69"/>
    </row>
    <row r="370" spans="1:16" s="2" customFormat="1" x14ac:dyDescent="0.25">
      <c r="A370" s="68">
        <v>1</v>
      </c>
      <c r="B370" s="68"/>
      <c r="C370" s="59" t="s">
        <v>178</v>
      </c>
      <c r="D370" s="59">
        <f>(62.03+1.2*3.05)*10.764</f>
        <v>707.08715999999993</v>
      </c>
      <c r="E370" s="59">
        <v>0</v>
      </c>
      <c r="F370" s="59">
        <f>D370*1.6+E370</f>
        <v>1131.3394559999999</v>
      </c>
      <c r="G370" s="68" t="str">
        <f>A369</f>
        <v>23rd Floor</v>
      </c>
      <c r="H370" s="68"/>
      <c r="I370" s="48"/>
    </row>
    <row r="371" spans="1:16" s="2" customFormat="1" ht="15.75" customHeight="1" x14ac:dyDescent="0.25">
      <c r="A371" s="68">
        <v>2</v>
      </c>
      <c r="B371" s="68"/>
      <c r="C371" s="59" t="s">
        <v>178</v>
      </c>
      <c r="D371" s="59">
        <f>(61.75+1.2*3.05)*10.764</f>
        <v>704.07323999999994</v>
      </c>
      <c r="E371" s="59">
        <v>0</v>
      </c>
      <c r="F371" s="59">
        <f>D371*1.6+E371</f>
        <v>1126.517184</v>
      </c>
      <c r="G371" s="68"/>
      <c r="H371" s="68"/>
    </row>
    <row r="372" spans="1:16" s="2" customFormat="1" ht="15.75" customHeight="1" x14ac:dyDescent="0.25">
      <c r="A372" s="68">
        <v>3</v>
      </c>
      <c r="B372" s="68"/>
      <c r="C372" s="59" t="s">
        <v>153</v>
      </c>
      <c r="D372" s="59">
        <f>(96.36+1.5*3.2)*10.764</f>
        <v>1088.8862399999998</v>
      </c>
      <c r="E372" s="59">
        <v>0</v>
      </c>
      <c r="F372" s="59">
        <f>D372*1.6+E372</f>
        <v>1742.2179839999999</v>
      </c>
      <c r="G372" s="68"/>
      <c r="H372" s="68"/>
    </row>
    <row r="373" spans="1:16" s="2" customFormat="1" ht="15.75" customHeight="1" x14ac:dyDescent="0.25">
      <c r="A373" s="68">
        <v>4</v>
      </c>
      <c r="B373" s="68"/>
      <c r="C373" s="59" t="s">
        <v>251</v>
      </c>
      <c r="D373" s="59">
        <f>(133.14+1.5*3.65)*10.764</f>
        <v>1492.0518599999998</v>
      </c>
      <c r="E373" s="59">
        <v>0</v>
      </c>
      <c r="F373" s="59">
        <f>D373*1.6+E373</f>
        <v>2387.282976</v>
      </c>
      <c r="G373" s="68"/>
      <c r="H373" s="68"/>
    </row>
    <row r="374" spans="1:16" s="2" customFormat="1" ht="15.75" customHeight="1" x14ac:dyDescent="0.25">
      <c r="A374" s="68">
        <v>5</v>
      </c>
      <c r="B374" s="68"/>
      <c r="C374" s="59" t="s">
        <v>153</v>
      </c>
      <c r="D374" s="59">
        <f>(92.1+1.5*3.35)*10.764</f>
        <v>1045.4534999999998</v>
      </c>
      <c r="E374" s="59">
        <v>0</v>
      </c>
      <c r="F374" s="59">
        <f>D374*1.6+E374</f>
        <v>1672.7255999999998</v>
      </c>
      <c r="G374" s="68"/>
      <c r="H374" s="68"/>
    </row>
    <row r="375" spans="1:16" s="2" customFormat="1" x14ac:dyDescent="0.25">
      <c r="A375" s="70" t="s">
        <v>239</v>
      </c>
      <c r="B375" s="70"/>
      <c r="C375" s="70"/>
      <c r="D375" s="70"/>
      <c r="E375" s="70"/>
      <c r="F375" s="70"/>
      <c r="G375" s="70"/>
      <c r="H375" s="70"/>
      <c r="I375" s="48"/>
    </row>
    <row r="376" spans="1:16" s="2" customFormat="1" ht="15.75" customHeight="1" x14ac:dyDescent="0.25">
      <c r="A376" s="68">
        <v>1</v>
      </c>
      <c r="B376" s="68"/>
      <c r="C376" s="59" t="s">
        <v>178</v>
      </c>
      <c r="D376" s="59">
        <f>(62.03+1.2*3.05)*10.764</f>
        <v>707.08715999999993</v>
      </c>
      <c r="E376" s="59">
        <v>0</v>
      </c>
      <c r="F376" s="59">
        <f>D376*1.6+E376</f>
        <v>1131.3394559999999</v>
      </c>
      <c r="G376" s="68" t="str">
        <f>A375</f>
        <v>19th &amp; 26th Floor</v>
      </c>
      <c r="H376" s="68"/>
      <c r="I376" s="48"/>
      <c r="N376" s="2" t="str">
        <f ca="1">O376&amp;""&amp;" &amp; "&amp;""&amp;P376</f>
        <v>1901 &amp; 2601</v>
      </c>
      <c r="O376" s="2">
        <f ca="1">(SUMPRODUCT(MID(0&amp;(LEFT(A375,SUM(LEN(A375)-LEN(SUBSTITUTE(A375,{"0","1","2"},""))))), LARGE(INDEX(ISNUMBER(--MID((LEFT(A375,SUM(LEN(A375)-LEN(SUBSTITUTE(A375,{"0","1","2"},""))))), ROW(INDIRECT("1:"&amp;LEN((LEFT(A375,SUM(LEN(A375)-LEN(SUBSTITUTE(A375,{"0","1","2"},"")))))))), 1)) * ROW(INDIRECT("1:"&amp;LEN((LEFT(A375,SUM(LEN(A375)-LEN(SUBSTITUTE(A375,{"0","1","2"},"")))))))), 0), ROW(INDIRECT("1:"&amp;LEN((LEFT(A375,SUM(LEN(A375)-LEN(SUBSTITUTE(A375,{"0","1","2"},"")))))))))+1, 1) * 10^ROW(INDIRECT("1:"&amp;LEN((LEFT(A375,SUM(LEN(A375)-LEN(SUBSTITUTE(A375,{"0","1","2"},""))))))))/10))*100+1</f>
        <v>1901</v>
      </c>
      <c r="P376" s="2">
        <f ca="1">(SUMPRODUCT(MID(0&amp;(--TRIM(RIGHT(SUBSTITUTE(LEFT(A375,_xlfn.AGGREGATE(16,6,FIND({0,1,2,3,4,5,6,7,8,9},A375,ROW(INDIRECT("1:"&amp;LEN(A375)))),1))," ",REPT(" ",LEN(A375))),LEN(A375)))), LARGE(INDEX(ISNUMBER(--MID((--TRIM(RIGHT(SUBSTITUTE(LEFT(A375,_xlfn.AGGREGATE(16,6,FIND({0,1,2,3,4,5,6,7,8,9},A375,ROW(INDIRECT("1:"&amp;LEN(A375)))),1))," ",REPT(" ",LEN(A375))),LEN(A375)))), ROW(INDIRECT("1:"&amp;LEN((--TRIM(RIGHT(SUBSTITUTE(LEFT(A375,_xlfn.AGGREGATE(16,6,FIND({0,1,2,3,4,5,6,7,8,9},A375,ROW(INDIRECT("1:"&amp;LEN(A375)))),1))," ",REPT(" ",LEN(A375))),LEN(A375))))))), 1)) * ROW(INDIRECT("1:"&amp;LEN((--TRIM(RIGHT(SUBSTITUTE(LEFT(A375,_xlfn.AGGREGATE(16,6,FIND({0,1,2,3,4,5,6,7,8,9},A375,ROW(INDIRECT("1:"&amp;LEN(A375)))),1))," ",REPT(" ",LEN(A375))),LEN(A375))))))), 0), ROW(INDIRECT("1:"&amp;LEN((--TRIM(RIGHT(SUBSTITUTE(LEFT(A375,_xlfn.AGGREGATE(16,6,FIND({0,1,2,3,4,5,6,7,8,9},A375,ROW(INDIRECT("1:"&amp;LEN(A375)))),1))," ",REPT(" ",LEN(A375))),LEN(A375))))))))+1, 1) * 10^ROW(INDIRECT("1:"&amp;LEN((--TRIM(RIGHT(SUBSTITUTE(LEFT(A375,_xlfn.AGGREGATE(16,6,FIND({0,1,2,3,4,5,6,7,8,9},A375,ROW(INDIRECT("1:"&amp;LEN(A375)))),1))," ",REPT(" ",LEN(A375))),LEN(A375)))))))/10))*100+1</f>
        <v>2601</v>
      </c>
    </row>
    <row r="377" spans="1:16" s="2" customFormat="1" ht="15.75" customHeight="1" x14ac:dyDescent="0.25">
      <c r="A377" s="68">
        <v>2</v>
      </c>
      <c r="B377" s="68"/>
      <c r="C377" s="59" t="s">
        <v>178</v>
      </c>
      <c r="D377" s="59">
        <f>(61.75+1.2*3.05)*10.764</f>
        <v>704.07323999999994</v>
      </c>
      <c r="E377" s="59">
        <v>0</v>
      </c>
      <c r="F377" s="59">
        <f>D377*1.6+E377</f>
        <v>1126.517184</v>
      </c>
      <c r="G377" s="68"/>
      <c r="H377" s="68"/>
      <c r="I377" s="48"/>
      <c r="N377" s="2" t="str">
        <f ca="1">O377&amp;""&amp;" &amp; "&amp;""&amp;P377</f>
        <v>1902 &amp; 2602</v>
      </c>
      <c r="O377" s="2">
        <f t="shared" ref="O377:P380" ca="1" si="2">O376+1</f>
        <v>1902</v>
      </c>
      <c r="P377" s="2">
        <f t="shared" ca="1" si="2"/>
        <v>2602</v>
      </c>
    </row>
    <row r="378" spans="1:16" s="2" customFormat="1" ht="15.75" customHeight="1" x14ac:dyDescent="0.25">
      <c r="A378" s="68">
        <v>3</v>
      </c>
      <c r="B378" s="68"/>
      <c r="C378" s="59" t="s">
        <v>153</v>
      </c>
      <c r="D378" s="59">
        <f>(96.36+1.5*3.2)*10.764</f>
        <v>1088.8862399999998</v>
      </c>
      <c r="E378" s="59">
        <v>0</v>
      </c>
      <c r="F378" s="59">
        <f>D378*1.6+E378</f>
        <v>1742.2179839999999</v>
      </c>
      <c r="G378" s="68"/>
      <c r="H378" s="68"/>
      <c r="I378" s="48"/>
      <c r="N378" s="2" t="str">
        <f ca="1">O378&amp;""&amp;" &amp; "&amp;""&amp;P378</f>
        <v>1903 &amp; 2603</v>
      </c>
      <c r="O378" s="2">
        <f t="shared" ca="1" si="2"/>
        <v>1903</v>
      </c>
      <c r="P378" s="2">
        <f t="shared" ca="1" si="2"/>
        <v>2603</v>
      </c>
    </row>
    <row r="379" spans="1:16" s="2" customFormat="1" ht="15.75" customHeight="1" x14ac:dyDescent="0.25">
      <c r="A379" s="68">
        <v>4</v>
      </c>
      <c r="B379" s="68"/>
      <c r="C379" s="59" t="s">
        <v>251</v>
      </c>
      <c r="D379" s="59">
        <f>(133.14+1.5*3.65)*10.764</f>
        <v>1492.0518599999998</v>
      </c>
      <c r="E379" s="59">
        <v>0</v>
      </c>
      <c r="F379" s="59">
        <f>D379*1.6+E379</f>
        <v>2387.282976</v>
      </c>
      <c r="G379" s="68"/>
      <c r="H379" s="68"/>
      <c r="I379" s="48"/>
      <c r="N379" s="2" t="str">
        <f ca="1">O379&amp;""&amp;" &amp; "&amp;""&amp;P379</f>
        <v>1904 &amp; 2604</v>
      </c>
      <c r="O379" s="2">
        <f t="shared" ca="1" si="2"/>
        <v>1904</v>
      </c>
      <c r="P379" s="2">
        <f t="shared" ca="1" si="2"/>
        <v>2604</v>
      </c>
    </row>
    <row r="380" spans="1:16" s="2" customFormat="1" ht="15.75" customHeight="1" x14ac:dyDescent="0.25">
      <c r="A380" s="68">
        <v>5</v>
      </c>
      <c r="B380" s="68"/>
      <c r="C380" s="59" t="s">
        <v>153</v>
      </c>
      <c r="D380" s="59">
        <f>(92.1+1.5*3.35)*10.764</f>
        <v>1045.4534999999998</v>
      </c>
      <c r="E380" s="59">
        <v>0</v>
      </c>
      <c r="F380" s="59">
        <f>D380*1.6+E380</f>
        <v>1672.7255999999998</v>
      </c>
      <c r="G380" s="68"/>
      <c r="H380" s="68"/>
      <c r="I380" s="48"/>
      <c r="N380" s="2" t="str">
        <f ca="1">O380&amp;""&amp;" &amp; "&amp;""&amp;P380</f>
        <v>1905 &amp; 2605</v>
      </c>
      <c r="O380" s="2">
        <f t="shared" ca="1" si="2"/>
        <v>1905</v>
      </c>
      <c r="P380" s="2">
        <f t="shared" ca="1" si="2"/>
        <v>2605</v>
      </c>
    </row>
    <row r="381" spans="1:16" s="2" customFormat="1" x14ac:dyDescent="0.25">
      <c r="A381" s="70" t="s">
        <v>240</v>
      </c>
      <c r="B381" s="70"/>
      <c r="C381" s="70"/>
      <c r="D381" s="70"/>
      <c r="E381" s="70"/>
      <c r="F381" s="70"/>
      <c r="G381" s="70"/>
      <c r="H381" s="70"/>
      <c r="I381" s="48"/>
    </row>
    <row r="382" spans="1:16" s="2" customFormat="1" ht="15.75" customHeight="1" x14ac:dyDescent="0.25">
      <c r="A382" s="68">
        <v>1</v>
      </c>
      <c r="B382" s="68"/>
      <c r="C382" s="59" t="s">
        <v>178</v>
      </c>
      <c r="D382" s="59">
        <f>(62.03+1.2*3.05)*10.764</f>
        <v>707.08715999999993</v>
      </c>
      <c r="E382" s="59">
        <v>0</v>
      </c>
      <c r="F382" s="59">
        <f>D382*1.6+E382</f>
        <v>1131.3394559999999</v>
      </c>
      <c r="G382" s="68" t="str">
        <f>A381</f>
        <v>20th &amp; 27th Floor</v>
      </c>
      <c r="H382" s="68"/>
      <c r="I382" s="48"/>
      <c r="N382" s="2" t="str">
        <f ca="1">O382&amp;""&amp;" &amp; "&amp;""&amp;P382</f>
        <v>2001 &amp; 2701</v>
      </c>
      <c r="O382" s="2">
        <f ca="1">(SUMPRODUCT(MID(0&amp;(LEFT(A381,SUM(LEN(A381)-LEN(SUBSTITUTE(A381,{"0","1","2"},""))))), LARGE(INDEX(ISNUMBER(--MID((LEFT(A381,SUM(LEN(A381)-LEN(SUBSTITUTE(A381,{"0","1","2"},""))))), ROW(INDIRECT("1:"&amp;LEN((LEFT(A381,SUM(LEN(A381)-LEN(SUBSTITUTE(A381,{"0","1","2"},"")))))))), 1)) * ROW(INDIRECT("1:"&amp;LEN((LEFT(A381,SUM(LEN(A381)-LEN(SUBSTITUTE(A381,{"0","1","2"},"")))))))), 0), ROW(INDIRECT("1:"&amp;LEN((LEFT(A381,SUM(LEN(A381)-LEN(SUBSTITUTE(A381,{"0","1","2"},"")))))))))+1, 1) * 10^ROW(INDIRECT("1:"&amp;LEN((LEFT(A381,SUM(LEN(A381)-LEN(SUBSTITUTE(A381,{"0","1","2"},""))))))))/10))*100+1</f>
        <v>2001</v>
      </c>
      <c r="P382" s="2">
        <f ca="1">(SUMPRODUCT(MID(0&amp;(--TRIM(RIGHT(SUBSTITUTE(LEFT(A381,_xlfn.AGGREGATE(16,6,FIND({0,1,2,3,4,5,6,7,8,9},A381,ROW(INDIRECT("1:"&amp;LEN(A381)))),1))," ",REPT(" ",LEN(A381))),LEN(A381)))), LARGE(INDEX(ISNUMBER(--MID((--TRIM(RIGHT(SUBSTITUTE(LEFT(A381,_xlfn.AGGREGATE(16,6,FIND({0,1,2,3,4,5,6,7,8,9},A381,ROW(INDIRECT("1:"&amp;LEN(A381)))),1))," ",REPT(" ",LEN(A381))),LEN(A381)))), ROW(INDIRECT("1:"&amp;LEN((--TRIM(RIGHT(SUBSTITUTE(LEFT(A381,_xlfn.AGGREGATE(16,6,FIND({0,1,2,3,4,5,6,7,8,9},A381,ROW(INDIRECT("1:"&amp;LEN(A381)))),1))," ",REPT(" ",LEN(A381))),LEN(A381))))))), 1)) * ROW(INDIRECT("1:"&amp;LEN((--TRIM(RIGHT(SUBSTITUTE(LEFT(A381,_xlfn.AGGREGATE(16,6,FIND({0,1,2,3,4,5,6,7,8,9},A381,ROW(INDIRECT("1:"&amp;LEN(A381)))),1))," ",REPT(" ",LEN(A381))),LEN(A381))))))), 0), ROW(INDIRECT("1:"&amp;LEN((--TRIM(RIGHT(SUBSTITUTE(LEFT(A381,_xlfn.AGGREGATE(16,6,FIND({0,1,2,3,4,5,6,7,8,9},A381,ROW(INDIRECT("1:"&amp;LEN(A381)))),1))," ",REPT(" ",LEN(A381))),LEN(A381))))))))+1, 1) * 10^ROW(INDIRECT("1:"&amp;LEN((--TRIM(RIGHT(SUBSTITUTE(LEFT(A381,_xlfn.AGGREGATE(16,6,FIND({0,1,2,3,4,5,6,7,8,9},A381,ROW(INDIRECT("1:"&amp;LEN(A381)))),1))," ",REPT(" ",LEN(A381))),LEN(A381)))))))/10))*100+1</f>
        <v>2701</v>
      </c>
    </row>
    <row r="383" spans="1:16" s="2" customFormat="1" ht="15.75" customHeight="1" x14ac:dyDescent="0.25">
      <c r="A383" s="68">
        <v>2</v>
      </c>
      <c r="B383" s="68"/>
      <c r="C383" s="59" t="s">
        <v>178</v>
      </c>
      <c r="D383" s="59">
        <f>(61.75+1.2*3.05)*10.764</f>
        <v>704.07323999999994</v>
      </c>
      <c r="E383" s="59">
        <v>0</v>
      </c>
      <c r="F383" s="59">
        <f>D383*1.6+E383</f>
        <v>1126.517184</v>
      </c>
      <c r="G383" s="68"/>
      <c r="H383" s="68"/>
      <c r="I383" s="48"/>
      <c r="N383" s="2" t="str">
        <f ca="1">O383&amp;""&amp;" &amp; "&amp;""&amp;P383</f>
        <v>2002 &amp; 2702</v>
      </c>
      <c r="O383" s="2">
        <f t="shared" ref="O383:P386" ca="1" si="3">O382+1</f>
        <v>2002</v>
      </c>
      <c r="P383" s="2">
        <f t="shared" ca="1" si="3"/>
        <v>2702</v>
      </c>
    </row>
    <row r="384" spans="1:16" s="2" customFormat="1" ht="15.75" customHeight="1" x14ac:dyDescent="0.25">
      <c r="A384" s="68">
        <v>3</v>
      </c>
      <c r="B384" s="68"/>
      <c r="C384" s="59" t="s">
        <v>153</v>
      </c>
      <c r="D384" s="59">
        <f>(96.36+1.5*3.2)*10.764</f>
        <v>1088.8862399999998</v>
      </c>
      <c r="E384" s="59">
        <v>0</v>
      </c>
      <c r="F384" s="59">
        <f>D384*1.6+E384</f>
        <v>1742.2179839999999</v>
      </c>
      <c r="G384" s="68"/>
      <c r="H384" s="68"/>
      <c r="I384" s="48"/>
      <c r="N384" s="2" t="str">
        <f ca="1">O384&amp;""&amp;" &amp; "&amp;""&amp;P384</f>
        <v>2003 &amp; 2703</v>
      </c>
      <c r="O384" s="2">
        <f t="shared" ca="1" si="3"/>
        <v>2003</v>
      </c>
      <c r="P384" s="2">
        <f t="shared" ca="1" si="3"/>
        <v>2703</v>
      </c>
    </row>
    <row r="385" spans="1:16" s="2" customFormat="1" ht="15.75" customHeight="1" x14ac:dyDescent="0.25">
      <c r="A385" s="68">
        <v>4</v>
      </c>
      <c r="B385" s="68"/>
      <c r="C385" s="59" t="s">
        <v>251</v>
      </c>
      <c r="D385" s="59">
        <f>(133.14+1.5*3.65)*10.764</f>
        <v>1492.0518599999998</v>
      </c>
      <c r="E385" s="59">
        <v>0</v>
      </c>
      <c r="F385" s="59">
        <f>D385*1.6+E385</f>
        <v>2387.282976</v>
      </c>
      <c r="G385" s="68"/>
      <c r="H385" s="68"/>
      <c r="I385" s="48"/>
      <c r="N385" s="2" t="str">
        <f ca="1">O385&amp;""&amp;" &amp; "&amp;""&amp;P385</f>
        <v>2004 &amp; 2704</v>
      </c>
      <c r="O385" s="2">
        <f t="shared" ca="1" si="3"/>
        <v>2004</v>
      </c>
      <c r="P385" s="2">
        <f t="shared" ca="1" si="3"/>
        <v>2704</v>
      </c>
    </row>
    <row r="386" spans="1:16" s="2" customFormat="1" ht="15.75" customHeight="1" x14ac:dyDescent="0.25">
      <c r="A386" s="68">
        <v>5</v>
      </c>
      <c r="B386" s="68"/>
      <c r="C386" s="59" t="s">
        <v>153</v>
      </c>
      <c r="D386" s="59">
        <f>(92.1+1.5*3.35)*10.764</f>
        <v>1045.4534999999998</v>
      </c>
      <c r="E386" s="59">
        <v>0</v>
      </c>
      <c r="F386" s="59">
        <f>D386*1.6+E386</f>
        <v>1672.7255999999998</v>
      </c>
      <c r="G386" s="68"/>
      <c r="H386" s="68"/>
      <c r="I386" s="48"/>
      <c r="N386" s="2" t="str">
        <f ca="1">O386&amp;""&amp;" &amp; "&amp;""&amp;P386</f>
        <v>2005 &amp; 2705</v>
      </c>
      <c r="O386" s="2">
        <f t="shared" ca="1" si="3"/>
        <v>2005</v>
      </c>
      <c r="P386" s="2">
        <f t="shared" ca="1" si="3"/>
        <v>2705</v>
      </c>
    </row>
    <row r="387" spans="1:16" s="2" customFormat="1" x14ac:dyDescent="0.25">
      <c r="A387" s="70" t="s">
        <v>241</v>
      </c>
      <c r="B387" s="70"/>
      <c r="C387" s="70"/>
      <c r="D387" s="70"/>
      <c r="E387" s="70"/>
      <c r="F387" s="70"/>
      <c r="G387" s="70"/>
      <c r="H387" s="70"/>
      <c r="I387" s="48"/>
    </row>
    <row r="388" spans="1:16" s="2" customFormat="1" ht="15.75" customHeight="1" x14ac:dyDescent="0.25">
      <c r="A388" s="68">
        <v>1</v>
      </c>
      <c r="B388" s="68"/>
      <c r="C388" s="64" t="s">
        <v>178</v>
      </c>
      <c r="D388" s="64">
        <f>(62.03+1.2*3.05)*10.764</f>
        <v>707.08715999999993</v>
      </c>
      <c r="E388" s="64">
        <v>0</v>
      </c>
      <c r="F388" s="64">
        <f>D388*1.6+E388</f>
        <v>1131.3394559999999</v>
      </c>
      <c r="G388" s="68" t="str">
        <f>A387</f>
        <v>21st &amp; 28th Floor</v>
      </c>
      <c r="H388" s="68"/>
      <c r="I388" s="48"/>
      <c r="N388" s="2" t="str">
        <f ca="1">O388&amp;""&amp;" &amp; "&amp;""&amp;P388</f>
        <v>2101 &amp; 2801</v>
      </c>
      <c r="O388" s="2">
        <f ca="1">(SUMPRODUCT(MID(0&amp;(LEFT(A387,SUM(LEN(A387)-LEN(SUBSTITUTE(A387,{"0","1","2"},""))))), LARGE(INDEX(ISNUMBER(--MID((LEFT(A387,SUM(LEN(A387)-LEN(SUBSTITUTE(A387,{"0","1","2"},""))))), ROW(INDIRECT("1:"&amp;LEN((LEFT(A387,SUM(LEN(A387)-LEN(SUBSTITUTE(A387,{"0","1","2"},"")))))))), 1)) * ROW(INDIRECT("1:"&amp;LEN((LEFT(A387,SUM(LEN(A387)-LEN(SUBSTITUTE(A387,{"0","1","2"},"")))))))), 0), ROW(INDIRECT("1:"&amp;LEN((LEFT(A387,SUM(LEN(A387)-LEN(SUBSTITUTE(A387,{"0","1","2"},"")))))))))+1, 1) * 10^ROW(INDIRECT("1:"&amp;LEN((LEFT(A387,SUM(LEN(A387)-LEN(SUBSTITUTE(A387,{"0","1","2"},""))))))))/10))*100+1</f>
        <v>2101</v>
      </c>
      <c r="P388" s="2">
        <f ca="1">(SUMPRODUCT(MID(0&amp;(--TRIM(RIGHT(SUBSTITUTE(LEFT(A387,_xlfn.AGGREGATE(16,6,FIND({0,1,2,3,4,5,6,7,8,9},A387,ROW(INDIRECT("1:"&amp;LEN(A387)))),1))," ",REPT(" ",LEN(A387))),LEN(A387)))), LARGE(INDEX(ISNUMBER(--MID((--TRIM(RIGHT(SUBSTITUTE(LEFT(A387,_xlfn.AGGREGATE(16,6,FIND({0,1,2,3,4,5,6,7,8,9},A387,ROW(INDIRECT("1:"&amp;LEN(A387)))),1))," ",REPT(" ",LEN(A387))),LEN(A387)))), ROW(INDIRECT("1:"&amp;LEN((--TRIM(RIGHT(SUBSTITUTE(LEFT(A387,_xlfn.AGGREGATE(16,6,FIND({0,1,2,3,4,5,6,7,8,9},A387,ROW(INDIRECT("1:"&amp;LEN(A387)))),1))," ",REPT(" ",LEN(A387))),LEN(A387))))))), 1)) * ROW(INDIRECT("1:"&amp;LEN((--TRIM(RIGHT(SUBSTITUTE(LEFT(A387,_xlfn.AGGREGATE(16,6,FIND({0,1,2,3,4,5,6,7,8,9},A387,ROW(INDIRECT("1:"&amp;LEN(A387)))),1))," ",REPT(" ",LEN(A387))),LEN(A387))))))), 0), ROW(INDIRECT("1:"&amp;LEN((--TRIM(RIGHT(SUBSTITUTE(LEFT(A387,_xlfn.AGGREGATE(16,6,FIND({0,1,2,3,4,5,6,7,8,9},A387,ROW(INDIRECT("1:"&amp;LEN(A387)))),1))," ",REPT(" ",LEN(A387))),LEN(A387))))))))+1, 1) * 10^ROW(INDIRECT("1:"&amp;LEN((--TRIM(RIGHT(SUBSTITUTE(LEFT(A387,_xlfn.AGGREGATE(16,6,FIND({0,1,2,3,4,5,6,7,8,9},A387,ROW(INDIRECT("1:"&amp;LEN(A387)))),1))," ",REPT(" ",LEN(A387))),LEN(A387)))))))/10))*100+1</f>
        <v>2801</v>
      </c>
    </row>
    <row r="389" spans="1:16" s="2" customFormat="1" ht="15.75" customHeight="1" x14ac:dyDescent="0.25">
      <c r="A389" s="68">
        <v>2</v>
      </c>
      <c r="B389" s="68"/>
      <c r="C389" s="64" t="s">
        <v>178</v>
      </c>
      <c r="D389" s="64">
        <f>(61.75+1.2*3.05)*10.764</f>
        <v>704.07323999999994</v>
      </c>
      <c r="E389" s="64">
        <v>0</v>
      </c>
      <c r="F389" s="64">
        <f>D389*1.6+E389</f>
        <v>1126.517184</v>
      </c>
      <c r="G389" s="68"/>
      <c r="H389" s="68"/>
      <c r="I389" s="48"/>
      <c r="N389" s="2" t="str">
        <f ca="1">O389&amp;""&amp;" &amp; "&amp;""&amp;P389</f>
        <v>2102 &amp; 2802</v>
      </c>
      <c r="O389" s="2">
        <f t="shared" ref="O389:P392" ca="1" si="4">O388+1</f>
        <v>2102</v>
      </c>
      <c r="P389" s="2">
        <f t="shared" ca="1" si="4"/>
        <v>2802</v>
      </c>
    </row>
    <row r="390" spans="1:16" s="2" customFormat="1" ht="15.75" customHeight="1" x14ac:dyDescent="0.25">
      <c r="A390" s="68">
        <v>3</v>
      </c>
      <c r="B390" s="68"/>
      <c r="C390" s="64" t="s">
        <v>153</v>
      </c>
      <c r="D390" s="64">
        <f>(96.36+1.5*3.2)*10.764</f>
        <v>1088.8862399999998</v>
      </c>
      <c r="E390" s="64">
        <v>0</v>
      </c>
      <c r="F390" s="64">
        <f>D390*1.6+E390</f>
        <v>1742.2179839999999</v>
      </c>
      <c r="G390" s="68"/>
      <c r="H390" s="68"/>
      <c r="I390" s="48"/>
      <c r="N390" s="2" t="str">
        <f ca="1">O390&amp;""&amp;" &amp; "&amp;""&amp;P390</f>
        <v>2103 &amp; 2803</v>
      </c>
      <c r="O390" s="2">
        <f t="shared" ca="1" si="4"/>
        <v>2103</v>
      </c>
      <c r="P390" s="2">
        <f t="shared" ca="1" si="4"/>
        <v>2803</v>
      </c>
    </row>
    <row r="391" spans="1:16" s="2" customFormat="1" ht="15.75" customHeight="1" x14ac:dyDescent="0.25">
      <c r="A391" s="68">
        <v>4</v>
      </c>
      <c r="B391" s="68"/>
      <c r="C391" s="64" t="s">
        <v>251</v>
      </c>
      <c r="D391" s="64">
        <f>(133.14+1.5*3.65)*10.764</f>
        <v>1492.0518599999998</v>
      </c>
      <c r="E391" s="64">
        <v>0</v>
      </c>
      <c r="F391" s="64">
        <f>D391*1.6+E391</f>
        <v>2387.282976</v>
      </c>
      <c r="G391" s="68"/>
      <c r="H391" s="68"/>
      <c r="I391" s="48"/>
      <c r="N391" s="2" t="str">
        <f ca="1">O391&amp;""&amp;" &amp; "&amp;""&amp;P391</f>
        <v>2104 &amp; 2804</v>
      </c>
      <c r="O391" s="2">
        <f t="shared" ca="1" si="4"/>
        <v>2104</v>
      </c>
      <c r="P391" s="2">
        <f t="shared" ca="1" si="4"/>
        <v>2804</v>
      </c>
    </row>
    <row r="392" spans="1:16" s="2" customFormat="1" ht="15.75" customHeight="1" x14ac:dyDescent="0.25">
      <c r="A392" s="68">
        <v>5</v>
      </c>
      <c r="B392" s="68"/>
      <c r="C392" s="64" t="s">
        <v>153</v>
      </c>
      <c r="D392" s="64">
        <f>(92.1+1.5*3.35)*10.764</f>
        <v>1045.4534999999998</v>
      </c>
      <c r="E392" s="64">
        <v>0</v>
      </c>
      <c r="F392" s="64">
        <f>D392*1.6+E392</f>
        <v>1672.7255999999998</v>
      </c>
      <c r="G392" s="68"/>
      <c r="H392" s="68"/>
      <c r="I392" s="48"/>
      <c r="N392" s="2" t="str">
        <f ca="1">O392&amp;""&amp;" &amp; "&amp;""&amp;P392</f>
        <v>2105 &amp; 2805</v>
      </c>
      <c r="O392" s="2">
        <f t="shared" ca="1" si="4"/>
        <v>2105</v>
      </c>
      <c r="P392" s="2">
        <f t="shared" ca="1" si="4"/>
        <v>2805</v>
      </c>
    </row>
    <row r="393" spans="1:16" s="2" customFormat="1" x14ac:dyDescent="0.25">
      <c r="A393" s="70" t="s">
        <v>248</v>
      </c>
      <c r="B393" s="70"/>
      <c r="C393" s="70"/>
      <c r="D393" s="70"/>
      <c r="E393" s="70"/>
      <c r="F393" s="70"/>
      <c r="G393" s="70"/>
      <c r="H393" s="70"/>
      <c r="I393" s="48"/>
    </row>
    <row r="394" spans="1:16" s="2" customFormat="1" ht="15.75" customHeight="1" x14ac:dyDescent="0.25">
      <c r="A394" s="68">
        <v>1</v>
      </c>
      <c r="B394" s="68"/>
      <c r="C394" s="68" t="s">
        <v>179</v>
      </c>
      <c r="D394" s="68"/>
      <c r="E394" s="68"/>
      <c r="F394" s="68"/>
      <c r="G394" s="68" t="str">
        <f>A393</f>
        <v>22nd &amp; 29th Floor (Part Refuge Area)</v>
      </c>
      <c r="H394" s="68"/>
      <c r="I394" s="48"/>
      <c r="N394" s="2" t="str">
        <f ca="1">O394&amp;""&amp;" &amp; "&amp;""&amp;P394</f>
        <v>2201 &amp; 2901</v>
      </c>
      <c r="O394" s="2">
        <f ca="1">(SUMPRODUCT(MID(0&amp;(LEFT(A393,SUM(LEN(A393)-LEN(SUBSTITUTE(A393,{"0","1","2"},""))))), LARGE(INDEX(ISNUMBER(--MID((LEFT(A393,SUM(LEN(A393)-LEN(SUBSTITUTE(A393,{"0","1","2"},""))))), ROW(INDIRECT("1:"&amp;LEN((LEFT(A393,SUM(LEN(A393)-LEN(SUBSTITUTE(A393,{"0","1","2"},"")))))))), 1)) * ROW(INDIRECT("1:"&amp;LEN((LEFT(A393,SUM(LEN(A393)-LEN(SUBSTITUTE(A393,{"0","1","2"},"")))))))), 0), ROW(INDIRECT("1:"&amp;LEN((LEFT(A393,SUM(LEN(A393)-LEN(SUBSTITUTE(A393,{"0","1","2"},"")))))))))+1, 1) * 10^ROW(INDIRECT("1:"&amp;LEN((LEFT(A393,SUM(LEN(A393)-LEN(SUBSTITUTE(A393,{"0","1","2"},""))))))))/10))*100+1</f>
        <v>2201</v>
      </c>
      <c r="P394" s="2">
        <f ca="1">(SUMPRODUCT(MID(0&amp;(--TRIM(RIGHT(SUBSTITUTE(LEFT(A393,_xlfn.AGGREGATE(16,6,FIND({0,1,2,3,4,5,6,7,8,9},A393,ROW(INDIRECT("1:"&amp;LEN(A393)))),1))," ",REPT(" ",LEN(A393))),LEN(A393)))), LARGE(INDEX(ISNUMBER(--MID((--TRIM(RIGHT(SUBSTITUTE(LEFT(A393,_xlfn.AGGREGATE(16,6,FIND({0,1,2,3,4,5,6,7,8,9},A393,ROW(INDIRECT("1:"&amp;LEN(A393)))),1))," ",REPT(" ",LEN(A393))),LEN(A393)))), ROW(INDIRECT("1:"&amp;LEN((--TRIM(RIGHT(SUBSTITUTE(LEFT(A393,_xlfn.AGGREGATE(16,6,FIND({0,1,2,3,4,5,6,7,8,9},A393,ROW(INDIRECT("1:"&amp;LEN(A393)))),1))," ",REPT(" ",LEN(A393))),LEN(A393))))))), 1)) * ROW(INDIRECT("1:"&amp;LEN((--TRIM(RIGHT(SUBSTITUTE(LEFT(A393,_xlfn.AGGREGATE(16,6,FIND({0,1,2,3,4,5,6,7,8,9},A393,ROW(INDIRECT("1:"&amp;LEN(A393)))),1))," ",REPT(" ",LEN(A393))),LEN(A393))))))), 0), ROW(INDIRECT("1:"&amp;LEN((--TRIM(RIGHT(SUBSTITUTE(LEFT(A393,_xlfn.AGGREGATE(16,6,FIND({0,1,2,3,4,5,6,7,8,9},A393,ROW(INDIRECT("1:"&amp;LEN(A393)))),1))," ",REPT(" ",LEN(A393))),LEN(A393))))))))+1, 1) * 10^ROW(INDIRECT("1:"&amp;LEN((--TRIM(RIGHT(SUBSTITUTE(LEFT(A393,_xlfn.AGGREGATE(16,6,FIND({0,1,2,3,4,5,6,7,8,9},A393,ROW(INDIRECT("1:"&amp;LEN(A393)))),1))," ",REPT(" ",LEN(A393))),LEN(A393)))))))/10))*100+1</f>
        <v>2901</v>
      </c>
    </row>
    <row r="395" spans="1:16" s="2" customFormat="1" ht="15.75" customHeight="1" x14ac:dyDescent="0.25">
      <c r="A395" s="68">
        <v>2</v>
      </c>
      <c r="B395" s="68"/>
      <c r="C395" s="68"/>
      <c r="D395" s="68"/>
      <c r="E395" s="68"/>
      <c r="F395" s="68"/>
      <c r="G395" s="68"/>
      <c r="H395" s="68"/>
      <c r="I395" s="48"/>
      <c r="N395" s="2" t="str">
        <f ca="1">O395&amp;""&amp;" &amp; "&amp;""&amp;P395</f>
        <v>2202 &amp; 2902</v>
      </c>
      <c r="O395" s="2">
        <f t="shared" ref="O395:P398" ca="1" si="5">O394+1</f>
        <v>2202</v>
      </c>
      <c r="P395" s="2">
        <f t="shared" ca="1" si="5"/>
        <v>2902</v>
      </c>
    </row>
    <row r="396" spans="1:16" s="2" customFormat="1" ht="15.75" customHeight="1" x14ac:dyDescent="0.25">
      <c r="A396" s="68">
        <v>3</v>
      </c>
      <c r="B396" s="68"/>
      <c r="C396" s="64" t="s">
        <v>153</v>
      </c>
      <c r="D396" s="64">
        <f>(96.36+1.5*3.2)*10.764</f>
        <v>1088.8862399999998</v>
      </c>
      <c r="E396" s="64">
        <v>0</v>
      </c>
      <c r="F396" s="64">
        <f>D396*1.6+E396</f>
        <v>1742.2179839999999</v>
      </c>
      <c r="G396" s="68"/>
      <c r="H396" s="68"/>
      <c r="I396" s="48"/>
      <c r="N396" s="2" t="str">
        <f ca="1">O396&amp;""&amp;" &amp; "&amp;""&amp;P396</f>
        <v>2203 &amp; 2903</v>
      </c>
      <c r="O396" s="2">
        <f t="shared" ca="1" si="5"/>
        <v>2203</v>
      </c>
      <c r="P396" s="2">
        <f t="shared" ca="1" si="5"/>
        <v>2903</v>
      </c>
    </row>
    <row r="397" spans="1:16" s="2" customFormat="1" ht="15.75" customHeight="1" x14ac:dyDescent="0.25">
      <c r="A397" s="68">
        <v>4</v>
      </c>
      <c r="B397" s="68"/>
      <c r="C397" s="64" t="s">
        <v>251</v>
      </c>
      <c r="D397" s="64">
        <f>(133.14+1.5*3.65)*10.764</f>
        <v>1492.0518599999998</v>
      </c>
      <c r="E397" s="64">
        <v>0</v>
      </c>
      <c r="F397" s="64">
        <f>D397*1.6+E397</f>
        <v>2387.282976</v>
      </c>
      <c r="G397" s="68"/>
      <c r="H397" s="68"/>
      <c r="I397" s="48"/>
      <c r="N397" s="2" t="str">
        <f ca="1">O397&amp;""&amp;" &amp; "&amp;""&amp;P397</f>
        <v>2204 &amp; 2904</v>
      </c>
      <c r="O397" s="2">
        <f t="shared" ca="1" si="5"/>
        <v>2204</v>
      </c>
      <c r="P397" s="2">
        <f t="shared" ca="1" si="5"/>
        <v>2904</v>
      </c>
    </row>
    <row r="398" spans="1:16" s="2" customFormat="1" ht="15.75" customHeight="1" x14ac:dyDescent="0.25">
      <c r="A398" s="68">
        <v>5</v>
      </c>
      <c r="B398" s="68"/>
      <c r="C398" s="64" t="s">
        <v>153</v>
      </c>
      <c r="D398" s="64">
        <f>(92.1+1.5*3.35)*10.764</f>
        <v>1045.4534999999998</v>
      </c>
      <c r="E398" s="64">
        <v>0</v>
      </c>
      <c r="F398" s="64">
        <f>D398*1.6+E398</f>
        <v>1672.7255999999998</v>
      </c>
      <c r="G398" s="68"/>
      <c r="H398" s="68"/>
      <c r="I398" s="48"/>
      <c r="N398" s="2" t="str">
        <f ca="1">O398&amp;""&amp;" &amp; "&amp;""&amp;P398</f>
        <v>2205 &amp; 2905</v>
      </c>
      <c r="O398" s="2">
        <f t="shared" ca="1" si="5"/>
        <v>2205</v>
      </c>
      <c r="P398" s="2">
        <f t="shared" ca="1" si="5"/>
        <v>2905</v>
      </c>
    </row>
    <row r="399" spans="1:16" s="2" customFormat="1" ht="15.75" customHeight="1" x14ac:dyDescent="0.25">
      <c r="A399" s="69" t="s">
        <v>242</v>
      </c>
      <c r="B399" s="69"/>
      <c r="C399" s="69"/>
      <c r="D399" s="69"/>
      <c r="E399" s="69"/>
      <c r="F399" s="69"/>
      <c r="G399" s="69"/>
      <c r="H399" s="69"/>
    </row>
    <row r="400" spans="1:16" s="2" customFormat="1" x14ac:dyDescent="0.25">
      <c r="A400" s="68">
        <v>1</v>
      </c>
      <c r="B400" s="68"/>
      <c r="C400" s="59" t="s">
        <v>178</v>
      </c>
      <c r="D400" s="59">
        <f>(62.03+1.2*3.05)*10.764</f>
        <v>707.08715999999993</v>
      </c>
      <c r="E400" s="59">
        <v>0</v>
      </c>
      <c r="F400" s="59">
        <f>D400*1.6+E400</f>
        <v>1131.3394559999999</v>
      </c>
      <c r="G400" s="68" t="str">
        <f>A399</f>
        <v>30th Floor</v>
      </c>
      <c r="H400" s="68"/>
      <c r="I400" s="48"/>
    </row>
    <row r="401" spans="1:9" s="2" customFormat="1" ht="15.75" customHeight="1" x14ac:dyDescent="0.25">
      <c r="A401" s="68">
        <v>2</v>
      </c>
      <c r="B401" s="68"/>
      <c r="C401" s="59" t="s">
        <v>178</v>
      </c>
      <c r="D401" s="59">
        <f>(61.75+1.2*3.05)*10.764</f>
        <v>704.07323999999994</v>
      </c>
      <c r="E401" s="59">
        <v>0</v>
      </c>
      <c r="F401" s="59">
        <f>D401*1.6+E401</f>
        <v>1126.517184</v>
      </c>
      <c r="G401" s="68"/>
      <c r="H401" s="68"/>
    </row>
    <row r="402" spans="1:9" s="2" customFormat="1" ht="15.75" customHeight="1" x14ac:dyDescent="0.25">
      <c r="A402" s="68">
        <v>3</v>
      </c>
      <c r="B402" s="68"/>
      <c r="C402" s="59" t="s">
        <v>153</v>
      </c>
      <c r="D402" s="59">
        <f>(96.36+1.5*3.2)*10.764</f>
        <v>1088.8862399999998</v>
      </c>
      <c r="E402" s="59">
        <v>0</v>
      </c>
      <c r="F402" s="59">
        <f>D402*1.6+E402</f>
        <v>1742.2179839999999</v>
      </c>
      <c r="G402" s="68"/>
      <c r="H402" s="68"/>
    </row>
    <row r="403" spans="1:9" s="2" customFormat="1" ht="15.75" customHeight="1" x14ac:dyDescent="0.25">
      <c r="A403" s="68">
        <v>4</v>
      </c>
      <c r="B403" s="68"/>
      <c r="C403" s="59" t="s">
        <v>251</v>
      </c>
      <c r="D403" s="59">
        <f>(133.14+1.5*3.65)*10.764</f>
        <v>1492.0518599999998</v>
      </c>
      <c r="E403" s="59">
        <v>0</v>
      </c>
      <c r="F403" s="59">
        <f>D403*1.6+E403</f>
        <v>2387.282976</v>
      </c>
      <c r="G403" s="68"/>
      <c r="H403" s="68"/>
    </row>
    <row r="404" spans="1:9" s="2" customFormat="1" ht="15.75" customHeight="1" x14ac:dyDescent="0.25">
      <c r="A404" s="68">
        <v>5</v>
      </c>
      <c r="B404" s="68"/>
      <c r="C404" s="59" t="s">
        <v>153</v>
      </c>
      <c r="D404" s="59">
        <f>(92.1+1.5*3.35)*10.764</f>
        <v>1045.4534999999998</v>
      </c>
      <c r="E404" s="59">
        <v>0</v>
      </c>
      <c r="F404" s="59">
        <f>D404*1.6+E404</f>
        <v>1672.7255999999998</v>
      </c>
      <c r="G404" s="68"/>
      <c r="H404" s="68"/>
    </row>
    <row r="405" spans="1:9" s="2" customFormat="1" ht="15.75" customHeight="1" x14ac:dyDescent="0.25">
      <c r="A405" s="69" t="s">
        <v>243</v>
      </c>
      <c r="B405" s="69"/>
      <c r="C405" s="69"/>
      <c r="D405" s="69"/>
      <c r="E405" s="69"/>
      <c r="F405" s="69"/>
      <c r="G405" s="69"/>
      <c r="H405" s="69"/>
    </row>
    <row r="406" spans="1:9" s="2" customFormat="1" x14ac:dyDescent="0.25">
      <c r="A406" s="68">
        <v>1</v>
      </c>
      <c r="B406" s="68"/>
      <c r="C406" s="59" t="s">
        <v>178</v>
      </c>
      <c r="D406" s="59">
        <f>(62.03+1.2*3.05)*10.764</f>
        <v>707.08715999999993</v>
      </c>
      <c r="E406" s="59">
        <v>0</v>
      </c>
      <c r="F406" s="59">
        <f>D406*1.6+E406</f>
        <v>1131.3394559999999</v>
      </c>
      <c r="G406" s="68" t="str">
        <f>A405</f>
        <v>31st Floor</v>
      </c>
      <c r="H406" s="68"/>
      <c r="I406" s="48"/>
    </row>
    <row r="407" spans="1:9" s="2" customFormat="1" ht="15.75" customHeight="1" x14ac:dyDescent="0.25">
      <c r="A407" s="68">
        <v>2</v>
      </c>
      <c r="B407" s="68"/>
      <c r="C407" s="59" t="s">
        <v>178</v>
      </c>
      <c r="D407" s="59">
        <f>(61.75+1.2*3.05)*10.764</f>
        <v>704.07323999999994</v>
      </c>
      <c r="E407" s="59">
        <v>0</v>
      </c>
      <c r="F407" s="59">
        <f>D407*1.6+E407</f>
        <v>1126.517184</v>
      </c>
      <c r="G407" s="68"/>
      <c r="H407" s="68"/>
    </row>
    <row r="408" spans="1:9" s="2" customFormat="1" ht="15.75" customHeight="1" x14ac:dyDescent="0.25">
      <c r="A408" s="68">
        <v>3</v>
      </c>
      <c r="B408" s="68"/>
      <c r="C408" s="59" t="s">
        <v>153</v>
      </c>
      <c r="D408" s="59">
        <f>(96.36+1.5*3.2)*10.764</f>
        <v>1088.8862399999998</v>
      </c>
      <c r="E408" s="59">
        <v>0</v>
      </c>
      <c r="F408" s="59">
        <f>D408*1.6+E408</f>
        <v>1742.2179839999999</v>
      </c>
      <c r="G408" s="68"/>
      <c r="H408" s="68"/>
    </row>
    <row r="409" spans="1:9" s="2" customFormat="1" ht="15.75" customHeight="1" x14ac:dyDescent="0.25">
      <c r="A409" s="68">
        <v>4</v>
      </c>
      <c r="B409" s="68"/>
      <c r="C409" s="59" t="s">
        <v>251</v>
      </c>
      <c r="D409" s="59">
        <f>(133.14+1.5*3.65)*10.764</f>
        <v>1492.0518599999998</v>
      </c>
      <c r="E409" s="59">
        <v>0</v>
      </c>
      <c r="F409" s="59">
        <f>D409*1.6+E409</f>
        <v>2387.282976</v>
      </c>
      <c r="G409" s="68"/>
      <c r="H409" s="68"/>
    </row>
    <row r="410" spans="1:9" s="2" customFormat="1" ht="15.75" customHeight="1" x14ac:dyDescent="0.25">
      <c r="A410" s="68">
        <v>5</v>
      </c>
      <c r="B410" s="68"/>
      <c r="C410" s="59" t="s">
        <v>153</v>
      </c>
      <c r="D410" s="59">
        <f>(92.1+1.5*3.35)*10.764</f>
        <v>1045.4534999999998</v>
      </c>
      <c r="E410" s="59">
        <v>0</v>
      </c>
      <c r="F410" s="59">
        <f>D410*1.6+E410</f>
        <v>1672.7255999999998</v>
      </c>
      <c r="G410" s="68"/>
      <c r="H410" s="68"/>
    </row>
    <row r="411" spans="1:9" s="2" customFormat="1" ht="15.75" customHeight="1" x14ac:dyDescent="0.25">
      <c r="A411" s="69" t="s">
        <v>244</v>
      </c>
      <c r="B411" s="69"/>
      <c r="C411" s="69"/>
      <c r="D411" s="69"/>
      <c r="E411" s="69"/>
      <c r="F411" s="69"/>
      <c r="G411" s="69"/>
      <c r="H411" s="69"/>
    </row>
    <row r="412" spans="1:9" s="2" customFormat="1" x14ac:dyDescent="0.25">
      <c r="A412" s="68">
        <v>1</v>
      </c>
      <c r="B412" s="68"/>
      <c r="C412" s="59" t="s">
        <v>178</v>
      </c>
      <c r="D412" s="59">
        <f>(62.03+1.2*3.05)*10.764</f>
        <v>707.08715999999993</v>
      </c>
      <c r="E412" s="59">
        <v>0</v>
      </c>
      <c r="F412" s="59">
        <f>D412*1.6+E412</f>
        <v>1131.3394559999999</v>
      </c>
      <c r="G412" s="68" t="str">
        <f>A411</f>
        <v>32nd Floor</v>
      </c>
      <c r="H412" s="68"/>
      <c r="I412" s="48"/>
    </row>
    <row r="413" spans="1:9" s="2" customFormat="1" ht="15.75" customHeight="1" x14ac:dyDescent="0.25">
      <c r="A413" s="68">
        <v>2</v>
      </c>
      <c r="B413" s="68"/>
      <c r="C413" s="59" t="s">
        <v>178</v>
      </c>
      <c r="D413" s="59">
        <f>(61.75+1.2*3.05)*10.764</f>
        <v>704.07323999999994</v>
      </c>
      <c r="E413" s="59">
        <v>0</v>
      </c>
      <c r="F413" s="59">
        <f>D413*1.6+E413</f>
        <v>1126.517184</v>
      </c>
      <c r="G413" s="68"/>
      <c r="H413" s="68"/>
    </row>
    <row r="414" spans="1:9" s="2" customFormat="1" ht="15.75" customHeight="1" x14ac:dyDescent="0.25">
      <c r="A414" s="68">
        <v>3</v>
      </c>
      <c r="B414" s="68"/>
      <c r="C414" s="59" t="s">
        <v>153</v>
      </c>
      <c r="D414" s="59">
        <f>(96.36+1.5*3.2)*10.764</f>
        <v>1088.8862399999998</v>
      </c>
      <c r="E414" s="59">
        <v>0</v>
      </c>
      <c r="F414" s="59">
        <f>D414*1.6+E414</f>
        <v>1742.2179839999999</v>
      </c>
      <c r="G414" s="68"/>
      <c r="H414" s="68"/>
    </row>
    <row r="415" spans="1:9" s="2" customFormat="1" ht="15.75" customHeight="1" x14ac:dyDescent="0.25">
      <c r="A415" s="68">
        <v>4</v>
      </c>
      <c r="B415" s="68"/>
      <c r="C415" s="59" t="s">
        <v>251</v>
      </c>
      <c r="D415" s="59">
        <f>(133.14+1.5*3.65)*10.764</f>
        <v>1492.0518599999998</v>
      </c>
      <c r="E415" s="59">
        <v>0</v>
      </c>
      <c r="F415" s="59">
        <f>D415*1.6+E415</f>
        <v>2387.282976</v>
      </c>
      <c r="G415" s="68"/>
      <c r="H415" s="68"/>
    </row>
    <row r="416" spans="1:9" s="2" customFormat="1" ht="15.75" customHeight="1" x14ac:dyDescent="0.25">
      <c r="A416" s="68">
        <v>5</v>
      </c>
      <c r="B416" s="68"/>
      <c r="C416" s="59" t="s">
        <v>153</v>
      </c>
      <c r="D416" s="59">
        <f>(92.1+1.5*3.35)*10.764</f>
        <v>1045.4534999999998</v>
      </c>
      <c r="E416" s="59">
        <v>0</v>
      </c>
      <c r="F416" s="59">
        <f>D416*1.6+E416</f>
        <v>1672.7255999999998</v>
      </c>
      <c r="G416" s="68"/>
      <c r="H416" s="68"/>
    </row>
    <row r="417" spans="1:9" s="2" customFormat="1" ht="15.75" customHeight="1" x14ac:dyDescent="0.25">
      <c r="A417" s="69" t="s">
        <v>245</v>
      </c>
      <c r="B417" s="69"/>
      <c r="C417" s="69"/>
      <c r="D417" s="69"/>
      <c r="E417" s="69"/>
      <c r="F417" s="69"/>
      <c r="G417" s="69"/>
      <c r="H417" s="69"/>
    </row>
    <row r="418" spans="1:9" s="2" customFormat="1" x14ac:dyDescent="0.25">
      <c r="A418" s="68">
        <v>1</v>
      </c>
      <c r="B418" s="68"/>
      <c r="C418" s="59" t="s">
        <v>178</v>
      </c>
      <c r="D418" s="59">
        <f>(62.03+1.2*3.05)*10.764</f>
        <v>707.08715999999993</v>
      </c>
      <c r="E418" s="59">
        <v>0</v>
      </c>
      <c r="F418" s="59">
        <f>D418*1.6+E418</f>
        <v>1131.3394559999999</v>
      </c>
      <c r="G418" s="68" t="str">
        <f>A417</f>
        <v>33rd Floor</v>
      </c>
      <c r="H418" s="68"/>
      <c r="I418" s="59">
        <f>5.475*3.05+3.275*0.6+3.5*2.125+3.5*3.05+3.95*3.05+1.35*2.275+1.05*2.1+1.05*2.875+2.125*1.3+2.125*0.8</f>
        <v>61.581249999999997</v>
      </c>
    </row>
    <row r="419" spans="1:9" s="2" customFormat="1" ht="15.75" customHeight="1" x14ac:dyDescent="0.25">
      <c r="A419" s="68">
        <v>2</v>
      </c>
      <c r="B419" s="68"/>
      <c r="C419" s="59" t="s">
        <v>178</v>
      </c>
      <c r="D419" s="59">
        <f>(61.75+1.2*3.05)*10.764</f>
        <v>704.07323999999994</v>
      </c>
      <c r="E419" s="59">
        <v>0</v>
      </c>
      <c r="F419" s="59">
        <f>D419*1.6+E419</f>
        <v>1126.517184</v>
      </c>
      <c r="G419" s="68"/>
      <c r="H419" s="68"/>
      <c r="I419" s="59">
        <v>0</v>
      </c>
    </row>
    <row r="420" spans="1:9" s="2" customFormat="1" ht="15.75" customHeight="1" x14ac:dyDescent="0.25">
      <c r="A420" s="68">
        <v>3</v>
      </c>
      <c r="B420" s="68"/>
      <c r="C420" s="59" t="s">
        <v>153</v>
      </c>
      <c r="D420" s="59">
        <f>(6.675*3.2+1.5*1.425+1.2*1.025+3.225*0.65+3.5*2.125+4.85*2.9+3.05*3.841+3.15*4.275+1.5*2.125+2.2*1.525+2.275*1.25+2.075*1.375+1.225*1.2+0.99*1.625+1.05*0.425+1.8*0.9+1.05*5.75+1.4*0.8+1.5*3.2)*10.764</f>
        <v>1107.0712106999999</v>
      </c>
      <c r="E420" s="59">
        <v>0</v>
      </c>
      <c r="F420" s="59">
        <f>D420*1.6+E420</f>
        <v>1771.31393712</v>
      </c>
      <c r="G420" s="68"/>
      <c r="H420" s="68"/>
      <c r="I420" s="59">
        <f>6.675*3.2+1.5*1.425+1.2*1.025+3.225*0.65+3.5*2.125+3.65*2.9+3.05*3.841+3.15*4.275+1.5*2.125+2.2*1.525+2.275*1.25+2.075*1.375+1.225*1.2+0.99*1.625+1.05*0.425+1.8*0.9+1.05*5.75+1.4*0.8</f>
        <v>94.569425000000024</v>
      </c>
    </row>
    <row r="421" spans="1:9" s="2" customFormat="1" ht="15.75" customHeight="1" x14ac:dyDescent="0.25">
      <c r="A421" s="68">
        <v>4</v>
      </c>
      <c r="B421" s="68"/>
      <c r="C421" s="59" t="s">
        <v>251</v>
      </c>
      <c r="D421" s="59">
        <f>(133.14+3.05+3.2+1.5*3.65)*10.764</f>
        <v>1559.3268599999997</v>
      </c>
      <c r="E421" s="59">
        <v>0</v>
      </c>
      <c r="F421" s="59">
        <f>D421*1.6+E421</f>
        <v>2494.9229759999998</v>
      </c>
      <c r="G421" s="68"/>
      <c r="H421" s="68"/>
    </row>
    <row r="422" spans="1:9" s="2" customFormat="1" ht="15.75" customHeight="1" x14ac:dyDescent="0.25">
      <c r="A422" s="68">
        <v>5</v>
      </c>
      <c r="B422" s="68"/>
      <c r="C422" s="59" t="s">
        <v>153</v>
      </c>
      <c r="D422" s="59">
        <f>(92.1+3.05+3.35+1.5*3.35)*10.764</f>
        <v>1114.3430999999998</v>
      </c>
      <c r="E422" s="59">
        <v>0</v>
      </c>
      <c r="F422" s="59">
        <f>D422*1.6+E422</f>
        <v>1782.9489599999997</v>
      </c>
      <c r="G422" s="68"/>
      <c r="H422" s="68"/>
    </row>
    <row r="423" spans="1:9" s="2" customFormat="1" ht="15.75" customHeight="1" x14ac:dyDescent="0.25">
      <c r="A423" s="69" t="s">
        <v>280</v>
      </c>
      <c r="B423" s="69"/>
      <c r="C423" s="69"/>
      <c r="D423" s="69"/>
      <c r="E423" s="69"/>
      <c r="F423" s="69"/>
      <c r="G423" s="69"/>
      <c r="H423" s="69"/>
    </row>
    <row r="424" spans="1:9" s="2" customFormat="1" x14ac:dyDescent="0.25">
      <c r="A424" s="68">
        <v>1</v>
      </c>
      <c r="B424" s="68"/>
      <c r="C424" s="59" t="s">
        <v>178</v>
      </c>
      <c r="D424" s="59">
        <f>(62.03+1.2*3.05)*10.764</f>
        <v>707.08715999999993</v>
      </c>
      <c r="E424" s="59">
        <v>0</v>
      </c>
      <c r="F424" s="59">
        <f>D424*1.6+E424</f>
        <v>1131.3394559999999</v>
      </c>
      <c r="G424" s="68" t="str">
        <f>A423</f>
        <v>34th Floor</v>
      </c>
      <c r="H424" s="68"/>
      <c r="I424" s="59">
        <f>5.475*3.05+3.275*0.6+3.5*2.125+3.5*3.05+3.95*3.05+1.35*2.275+1.05*2.1+1.05*2.875+2.125*1.3+2.125*0.8</f>
        <v>61.581249999999997</v>
      </c>
    </row>
    <row r="425" spans="1:9" s="2" customFormat="1" ht="15.75" customHeight="1" x14ac:dyDescent="0.25">
      <c r="A425" s="68">
        <v>2</v>
      </c>
      <c r="B425" s="68"/>
      <c r="C425" s="59" t="s">
        <v>178</v>
      </c>
      <c r="D425" s="59">
        <f>(61.75+1.2*3.05)*10.764</f>
        <v>704.07323999999994</v>
      </c>
      <c r="E425" s="59">
        <v>0</v>
      </c>
      <c r="F425" s="59">
        <f>D425*1.6+E425</f>
        <v>1126.517184</v>
      </c>
      <c r="G425" s="68"/>
      <c r="H425" s="68"/>
      <c r="I425" s="59">
        <v>0</v>
      </c>
    </row>
    <row r="426" spans="1:9" s="2" customFormat="1" ht="15.75" customHeight="1" x14ac:dyDescent="0.25">
      <c r="A426" s="68">
        <v>3</v>
      </c>
      <c r="B426" s="68"/>
      <c r="C426" s="59" t="s">
        <v>153</v>
      </c>
      <c r="D426" s="59">
        <f>(6.675*3.2+1.5*1.425+1.2*1.025+3.225*0.65+3.5*2.125+4.85*2.9+3.05*3.841+3.15*4.275+1.5*2.125+2.2*1.525+2.275*1.25+2.075*1.375+1.225*1.2+0.99*1.625+1.05*0.425+1.8*0.9+1.05*5.75+1.4*0.8+1.5*3.2)*10.764</f>
        <v>1107.0712106999999</v>
      </c>
      <c r="E426" s="59">
        <v>0</v>
      </c>
      <c r="F426" s="59">
        <f>D426*1.6+E426</f>
        <v>1771.31393712</v>
      </c>
      <c r="G426" s="68"/>
      <c r="H426" s="68"/>
      <c r="I426" s="59">
        <f>6.675*3.2+1.5*1.425+1.2*1.025+3.225*0.65+3.5*2.125+3.65*2.9+3.05*3.841+3.15*4.275+1.5*2.125+2.2*1.525+2.275*1.25+2.075*1.375+1.225*1.2+0.99*1.625+1.05*0.425+1.8*0.9+1.05*5.75+1.4*0.8</f>
        <v>94.569425000000024</v>
      </c>
    </row>
    <row r="427" spans="1:9" s="2" customFormat="1" ht="15.75" customHeight="1" x14ac:dyDescent="0.25">
      <c r="A427" s="68">
        <v>4</v>
      </c>
      <c r="B427" s="68"/>
      <c r="C427" s="59" t="s">
        <v>251</v>
      </c>
      <c r="D427" s="59">
        <f>(133.14+3.05+3.2+1.5*3.65)*10.764</f>
        <v>1559.3268599999997</v>
      </c>
      <c r="E427" s="59">
        <v>0</v>
      </c>
      <c r="F427" s="59">
        <f>D427*1.6+E427</f>
        <v>2494.9229759999998</v>
      </c>
      <c r="G427" s="68"/>
      <c r="H427" s="68"/>
    </row>
    <row r="428" spans="1:9" s="2" customFormat="1" ht="15.75" customHeight="1" x14ac:dyDescent="0.25">
      <c r="A428" s="68">
        <v>5</v>
      </c>
      <c r="B428" s="68"/>
      <c r="C428" s="59" t="s">
        <v>153</v>
      </c>
      <c r="D428" s="59">
        <f>(92.1+3.05+3.35+1.5*3.35)*10.764</f>
        <v>1114.3430999999998</v>
      </c>
      <c r="E428" s="59">
        <v>0</v>
      </c>
      <c r="F428" s="59">
        <f>D428*1.6+E428</f>
        <v>1782.9489599999997</v>
      </c>
      <c r="G428" s="68"/>
      <c r="H428" s="68"/>
    </row>
    <row r="429" spans="1:9" s="2" customFormat="1" ht="15.75" customHeight="1" x14ac:dyDescent="0.25">
      <c r="A429" s="69" t="s">
        <v>281</v>
      </c>
      <c r="B429" s="69"/>
      <c r="C429" s="69"/>
      <c r="D429" s="69"/>
      <c r="E429" s="69"/>
      <c r="F429" s="69"/>
      <c r="G429" s="69"/>
      <c r="H429" s="69"/>
    </row>
    <row r="430" spans="1:9" s="2" customFormat="1" x14ac:dyDescent="0.25">
      <c r="A430" s="68">
        <v>1</v>
      </c>
      <c r="B430" s="68"/>
      <c r="C430" s="59" t="s">
        <v>178</v>
      </c>
      <c r="D430" s="59">
        <f>(62.03+1.2*3.05)*10.764</f>
        <v>707.08715999999993</v>
      </c>
      <c r="E430" s="59">
        <v>0</v>
      </c>
      <c r="F430" s="59">
        <f>D430*1.6+E430</f>
        <v>1131.3394559999999</v>
      </c>
      <c r="G430" s="68" t="str">
        <f>A429</f>
        <v>35th Floor</v>
      </c>
      <c r="H430" s="68"/>
      <c r="I430" s="59">
        <f>5.475*3.05+3.275*0.6+3.5*2.125+3.5*3.05+3.95*3.05+1.35*2.275+1.05*2.1+1.05*2.875+2.125*1.3+2.125*0.8</f>
        <v>61.581249999999997</v>
      </c>
    </row>
    <row r="431" spans="1:9" s="2" customFormat="1" ht="15.75" customHeight="1" x14ac:dyDescent="0.25">
      <c r="A431" s="68">
        <v>2</v>
      </c>
      <c r="B431" s="68"/>
      <c r="C431" s="59" t="s">
        <v>178</v>
      </c>
      <c r="D431" s="59">
        <f>(61.75+1.2*3.05)*10.764</f>
        <v>704.07323999999994</v>
      </c>
      <c r="E431" s="59">
        <v>0</v>
      </c>
      <c r="F431" s="59">
        <f>D431*1.6+E431</f>
        <v>1126.517184</v>
      </c>
      <c r="G431" s="68"/>
      <c r="H431" s="68"/>
      <c r="I431" s="59">
        <v>0</v>
      </c>
    </row>
    <row r="432" spans="1:9" s="2" customFormat="1" ht="15.75" customHeight="1" x14ac:dyDescent="0.25">
      <c r="A432" s="68">
        <v>3</v>
      </c>
      <c r="B432" s="68"/>
      <c r="C432" s="59" t="s">
        <v>153</v>
      </c>
      <c r="D432" s="59">
        <f>(6.675*3.2+1.5*1.425+1.2*1.025+3.225*0.65+3.5*2.125+4.85*2.9+3.05*3.841+3.15*4.275+1.5*2.125+2.2*1.525+2.275*1.25+2.075*1.375+1.225*1.2+0.99*1.625+1.05*0.425+1.8*0.9+1.05*5.75+1.4*0.8+1.5*3.2)*10.764</f>
        <v>1107.0712106999999</v>
      </c>
      <c r="E432" s="59">
        <v>0</v>
      </c>
      <c r="F432" s="59">
        <f>D432*1.6+E432</f>
        <v>1771.31393712</v>
      </c>
      <c r="G432" s="68"/>
      <c r="H432" s="68"/>
      <c r="I432" s="59">
        <f>6.675*3.2+1.5*1.425+1.2*1.025+3.225*0.65+3.5*2.125+3.65*2.9+3.05*3.841+3.15*4.275+1.5*2.125+2.2*1.525+2.275*1.25+2.075*1.375+1.225*1.2+0.99*1.625+1.05*0.425+1.8*0.9+1.05*5.75+1.4*0.8</f>
        <v>94.569425000000024</v>
      </c>
    </row>
    <row r="433" spans="1:9" s="2" customFormat="1" ht="15.75" customHeight="1" x14ac:dyDescent="0.25">
      <c r="A433" s="68">
        <v>4</v>
      </c>
      <c r="B433" s="68"/>
      <c r="C433" s="59" t="s">
        <v>251</v>
      </c>
      <c r="D433" s="59">
        <f>(133.14+3.05+3.2+1.5*3.65)*10.764</f>
        <v>1559.3268599999997</v>
      </c>
      <c r="E433" s="59">
        <v>0</v>
      </c>
      <c r="F433" s="59">
        <f>D433*1.6+E433</f>
        <v>2494.9229759999998</v>
      </c>
      <c r="G433" s="68"/>
      <c r="H433" s="68"/>
    </row>
    <row r="434" spans="1:9" s="2" customFormat="1" ht="15.75" customHeight="1" x14ac:dyDescent="0.25">
      <c r="A434" s="68">
        <v>5</v>
      </c>
      <c r="B434" s="68"/>
      <c r="C434" s="59" t="s">
        <v>153</v>
      </c>
      <c r="D434" s="59">
        <f>(92.1+3.05+3.35+1.5*3.35)*10.764</f>
        <v>1114.3430999999998</v>
      </c>
      <c r="E434" s="59">
        <v>0</v>
      </c>
      <c r="F434" s="59">
        <f>D434*1.6+E434</f>
        <v>1782.9489599999997</v>
      </c>
      <c r="G434" s="68"/>
      <c r="H434" s="68"/>
    </row>
    <row r="435" spans="1:9" s="2" customFormat="1" ht="15.75" customHeight="1" x14ac:dyDescent="0.25">
      <c r="A435" s="69" t="s">
        <v>282</v>
      </c>
      <c r="B435" s="69"/>
      <c r="C435" s="69"/>
      <c r="D435" s="69"/>
      <c r="E435" s="69"/>
      <c r="F435" s="69"/>
      <c r="G435" s="69"/>
      <c r="H435" s="69"/>
    </row>
    <row r="436" spans="1:9" s="2" customFormat="1" x14ac:dyDescent="0.25">
      <c r="A436" s="68">
        <v>1</v>
      </c>
      <c r="B436" s="68"/>
      <c r="C436" s="68" t="s">
        <v>179</v>
      </c>
      <c r="D436" s="68"/>
      <c r="E436" s="68"/>
      <c r="F436" s="68"/>
      <c r="G436" s="68" t="str">
        <f>A435</f>
        <v>36th Floor (Part Refuge Floor)</v>
      </c>
      <c r="H436" s="68"/>
      <c r="I436" s="59">
        <f>5.475*3.05+3.275*0.6+3.5*2.125+3.5*3.05+3.95*3.05+1.35*2.275+1.05*2.1+1.05*2.875+2.125*1.3+2.125*0.8</f>
        <v>61.581249999999997</v>
      </c>
    </row>
    <row r="437" spans="1:9" s="2" customFormat="1" ht="15.75" customHeight="1" x14ac:dyDescent="0.25">
      <c r="A437" s="68">
        <v>2</v>
      </c>
      <c r="B437" s="68"/>
      <c r="C437" s="68"/>
      <c r="D437" s="68"/>
      <c r="E437" s="68"/>
      <c r="F437" s="68"/>
      <c r="G437" s="68"/>
      <c r="H437" s="68"/>
      <c r="I437" s="59">
        <v>0</v>
      </c>
    </row>
    <row r="438" spans="1:9" s="2" customFormat="1" ht="15.75" customHeight="1" x14ac:dyDescent="0.25">
      <c r="A438" s="68">
        <v>3</v>
      </c>
      <c r="B438" s="68"/>
      <c r="C438" s="64" t="s">
        <v>153</v>
      </c>
      <c r="D438" s="64">
        <f>(6.675*3.2+1.5*1.425+1.2*1.025+3.225*0.65+3.5*2.125+4.85*2.9+3.05*3.841+3.15*4.275+1.5*2.125+2.2*1.525+2.275*1.25+2.075*1.375+1.225*1.2+0.99*1.625+1.05*0.425+1.8*0.9+1.05*5.75+1.4*0.8+1.5*3.2)*10.764</f>
        <v>1107.0712106999999</v>
      </c>
      <c r="E438" s="64">
        <v>0</v>
      </c>
      <c r="F438" s="64">
        <f>D438*1.6+E438</f>
        <v>1771.31393712</v>
      </c>
      <c r="G438" s="68"/>
      <c r="H438" s="68"/>
      <c r="I438" s="59">
        <f>6.675*3.2+1.5*1.425+1.2*1.025+3.225*0.65+3.5*2.125+3.65*2.9+3.05*3.841+3.15*4.275+1.5*2.125+2.2*1.525+2.275*1.25+2.075*1.375+1.225*1.2+0.99*1.625+1.05*0.425+1.8*0.9+1.05*5.75+1.4*0.8</f>
        <v>94.569425000000024</v>
      </c>
    </row>
    <row r="439" spans="1:9" s="2" customFormat="1" ht="15.75" customHeight="1" x14ac:dyDescent="0.25">
      <c r="A439" s="68">
        <v>4</v>
      </c>
      <c r="B439" s="68"/>
      <c r="C439" s="64" t="s">
        <v>251</v>
      </c>
      <c r="D439" s="64">
        <f>(133.14+3.05+3.2+1.5*3.65)*10.764</f>
        <v>1559.3268599999997</v>
      </c>
      <c r="E439" s="64">
        <v>0</v>
      </c>
      <c r="F439" s="64">
        <f>D439*1.6+E439</f>
        <v>2494.9229759999998</v>
      </c>
      <c r="G439" s="68"/>
      <c r="H439" s="68"/>
    </row>
    <row r="440" spans="1:9" s="2" customFormat="1" ht="15.75" customHeight="1" x14ac:dyDescent="0.25">
      <c r="A440" s="68">
        <v>5</v>
      </c>
      <c r="B440" s="68"/>
      <c r="C440" s="64" t="s">
        <v>153</v>
      </c>
      <c r="D440" s="64">
        <f>(92.1+3.05+3.35+1.5*3.35)*10.764</f>
        <v>1114.3430999999998</v>
      </c>
      <c r="E440" s="64">
        <v>0</v>
      </c>
      <c r="F440" s="64">
        <f>D440*1.6+E440</f>
        <v>1782.9489599999997</v>
      </c>
      <c r="G440" s="68"/>
      <c r="H440" s="68"/>
    </row>
    <row r="441" spans="1:9" s="2" customFormat="1" ht="15.75" customHeight="1" x14ac:dyDescent="0.25">
      <c r="A441" s="69" t="s">
        <v>283</v>
      </c>
      <c r="B441" s="69"/>
      <c r="C441" s="69"/>
      <c r="D441" s="69"/>
      <c r="E441" s="69"/>
      <c r="F441" s="69"/>
      <c r="G441" s="69"/>
      <c r="H441" s="69"/>
    </row>
    <row r="442" spans="1:9" s="2" customFormat="1" x14ac:dyDescent="0.25">
      <c r="A442" s="68">
        <v>1</v>
      </c>
      <c r="B442" s="68"/>
      <c r="C442" s="64" t="s">
        <v>178</v>
      </c>
      <c r="D442" s="64">
        <f>(62.03+1.2*3.05)*10.764</f>
        <v>707.08715999999993</v>
      </c>
      <c r="E442" s="64">
        <v>0</v>
      </c>
      <c r="F442" s="64">
        <f>D442*1.6+E442</f>
        <v>1131.3394559999999</v>
      </c>
      <c r="G442" s="68" t="str">
        <f>A441</f>
        <v>37th Floor</v>
      </c>
      <c r="H442" s="68"/>
      <c r="I442" s="59">
        <f>5.475*3.05+3.275*0.6+3.5*2.125+3.5*3.05+3.95*3.05+1.35*2.275+1.05*2.1+1.05*2.875+2.125*1.3+2.125*0.8</f>
        <v>61.581249999999997</v>
      </c>
    </row>
    <row r="443" spans="1:9" s="2" customFormat="1" ht="15.75" customHeight="1" x14ac:dyDescent="0.25">
      <c r="A443" s="68">
        <v>2</v>
      </c>
      <c r="B443" s="68"/>
      <c r="C443" s="64" t="s">
        <v>178</v>
      </c>
      <c r="D443" s="64">
        <f>(61.75+1.2*3.05)*10.764</f>
        <v>704.07323999999994</v>
      </c>
      <c r="E443" s="64">
        <v>0</v>
      </c>
      <c r="F443" s="64">
        <f>D443*1.6+E443</f>
        <v>1126.517184</v>
      </c>
      <c r="G443" s="68"/>
      <c r="H443" s="68"/>
      <c r="I443" s="59">
        <v>0</v>
      </c>
    </row>
    <row r="444" spans="1:9" s="2" customFormat="1" ht="15.75" customHeight="1" x14ac:dyDescent="0.25">
      <c r="A444" s="68">
        <v>3</v>
      </c>
      <c r="B444" s="68"/>
      <c r="C444" s="64" t="s">
        <v>153</v>
      </c>
      <c r="D444" s="64">
        <f>(6.675*3.2+1.5*1.425+1.2*1.025+3.225*0.65+3.5*2.125+4.85*2.9+3.05*3.841+3.15*4.275+1.5*2.125+2.2*1.525+2.275*1.25+2.075*1.375+1.225*1.2+0.99*1.625+1.05*0.425+1.8*0.9+1.05*5.75+1.4*0.8+1.5*3.2)*10.764</f>
        <v>1107.0712106999999</v>
      </c>
      <c r="E444" s="64">
        <v>0</v>
      </c>
      <c r="F444" s="64">
        <f>D444*1.6+E444</f>
        <v>1771.31393712</v>
      </c>
      <c r="G444" s="68"/>
      <c r="H444" s="68"/>
      <c r="I444" s="59">
        <f>6.675*3.2+1.5*1.425+1.2*1.025+3.225*0.65+3.5*2.125+3.65*2.9+3.05*3.841+3.15*4.275+1.5*2.125+2.2*1.525+2.275*1.25+2.075*1.375+1.225*1.2+0.99*1.625+1.05*0.425+1.8*0.9+1.05*5.75+1.4*0.8</f>
        <v>94.569425000000024</v>
      </c>
    </row>
    <row r="445" spans="1:9" s="2" customFormat="1" ht="15.75" customHeight="1" x14ac:dyDescent="0.25">
      <c r="A445" s="68">
        <v>4</v>
      </c>
      <c r="B445" s="68"/>
      <c r="C445" s="64" t="s">
        <v>251</v>
      </c>
      <c r="D445" s="64">
        <f>(133.14+3.05+3.2+1.5*3.65)*10.764</f>
        <v>1559.3268599999997</v>
      </c>
      <c r="E445" s="64">
        <v>0</v>
      </c>
      <c r="F445" s="64">
        <f>D445*1.6+E445</f>
        <v>2494.9229759999998</v>
      </c>
      <c r="G445" s="68"/>
      <c r="H445" s="68"/>
    </row>
    <row r="446" spans="1:9" s="2" customFormat="1" ht="15.75" customHeight="1" x14ac:dyDescent="0.25">
      <c r="A446" s="68">
        <v>5</v>
      </c>
      <c r="B446" s="68"/>
      <c r="C446" s="64" t="s">
        <v>153</v>
      </c>
      <c r="D446" s="64">
        <f>(92.1+3.05+3.35+1.5*3.35)*10.764</f>
        <v>1114.3430999999998</v>
      </c>
      <c r="E446" s="64">
        <v>0</v>
      </c>
      <c r="F446" s="64">
        <f>D446*1.6+E446</f>
        <v>1782.9489599999997</v>
      </c>
      <c r="G446" s="68"/>
      <c r="H446" s="68"/>
    </row>
    <row r="447" spans="1:9" s="2" customFormat="1" ht="15.75" customHeight="1" x14ac:dyDescent="0.25">
      <c r="A447" s="69" t="s">
        <v>284</v>
      </c>
      <c r="B447" s="69"/>
      <c r="C447" s="69"/>
      <c r="D447" s="69"/>
      <c r="E447" s="69"/>
      <c r="F447" s="69"/>
      <c r="G447" s="69"/>
      <c r="H447" s="69"/>
    </row>
    <row r="448" spans="1:9" s="2" customFormat="1" x14ac:dyDescent="0.25">
      <c r="A448" s="68">
        <v>1</v>
      </c>
      <c r="B448" s="68"/>
      <c r="C448" s="59" t="s">
        <v>178</v>
      </c>
      <c r="D448" s="59">
        <f>(62.03+1.2*3.05)*10.764</f>
        <v>707.08715999999993</v>
      </c>
      <c r="E448" s="59">
        <v>0</v>
      </c>
      <c r="F448" s="59">
        <f>D448*1.6+E448</f>
        <v>1131.3394559999999</v>
      </c>
      <c r="G448" s="68" t="str">
        <f>A447</f>
        <v>38th Floor</v>
      </c>
      <c r="H448" s="68"/>
      <c r="I448" s="59">
        <f>5.475*3.05+3.275*0.6+3.5*2.125+3.5*3.05+3.95*3.05+1.35*2.275+1.05*2.1+1.05*2.875+2.125*1.3+2.125*0.8</f>
        <v>61.581249999999997</v>
      </c>
    </row>
    <row r="449" spans="1:9" s="2" customFormat="1" ht="15.75" customHeight="1" x14ac:dyDescent="0.25">
      <c r="A449" s="68">
        <v>2</v>
      </c>
      <c r="B449" s="68"/>
      <c r="C449" s="59" t="s">
        <v>178</v>
      </c>
      <c r="D449" s="59">
        <f>(61.75+1.2*3.05)*10.764</f>
        <v>704.07323999999994</v>
      </c>
      <c r="E449" s="59">
        <v>0</v>
      </c>
      <c r="F449" s="59">
        <f>D449*1.6+E449</f>
        <v>1126.517184</v>
      </c>
      <c r="G449" s="68"/>
      <c r="H449" s="68"/>
      <c r="I449" s="59">
        <v>0</v>
      </c>
    </row>
    <row r="450" spans="1:9" s="2" customFormat="1" ht="15.75" customHeight="1" x14ac:dyDescent="0.25">
      <c r="A450" s="68">
        <v>3</v>
      </c>
      <c r="B450" s="68"/>
      <c r="C450" s="59" t="s">
        <v>153</v>
      </c>
      <c r="D450" s="59">
        <f>(6.675*3.2+1.5*1.425+1.2*1.025+3.225*0.65+3.5*2.125+4.85*2.9+3.05*3.841+3.15*4.275+1.5*2.125+2.2*1.525+2.275*1.25+2.075*1.375+1.225*1.2+0.99*1.625+1.05*0.425+1.8*0.9+1.05*5.75+1.4*0.8+1.5*3.2)*10.764</f>
        <v>1107.0712106999999</v>
      </c>
      <c r="E450" s="59">
        <v>0</v>
      </c>
      <c r="F450" s="59">
        <f>D450*1.6+E450</f>
        <v>1771.31393712</v>
      </c>
      <c r="G450" s="68"/>
      <c r="H450" s="68"/>
      <c r="I450" s="59">
        <f>6.675*3.2+1.5*1.425+1.2*1.025+3.225*0.65+3.5*2.125+3.65*2.9+3.05*3.841+3.15*4.275+1.5*2.125+2.2*1.525+2.275*1.25+2.075*1.375+1.225*1.2+0.99*1.625+1.05*0.425+1.8*0.9+1.05*5.75+1.4*0.8</f>
        <v>94.569425000000024</v>
      </c>
    </row>
    <row r="451" spans="1:9" s="2" customFormat="1" ht="15.75" customHeight="1" x14ac:dyDescent="0.25">
      <c r="A451" s="68">
        <v>4</v>
      </c>
      <c r="B451" s="68"/>
      <c r="C451" s="59" t="s">
        <v>251</v>
      </c>
      <c r="D451" s="59">
        <f>(133.14+3.05+3.2+1.5*3.65)*10.764</f>
        <v>1559.3268599999997</v>
      </c>
      <c r="E451" s="59">
        <v>0</v>
      </c>
      <c r="F451" s="59">
        <f>D451*1.6+E451</f>
        <v>2494.9229759999998</v>
      </c>
      <c r="G451" s="68"/>
      <c r="H451" s="68"/>
    </row>
    <row r="452" spans="1:9" s="2" customFormat="1" ht="15.75" customHeight="1" x14ac:dyDescent="0.25">
      <c r="A452" s="68">
        <v>5</v>
      </c>
      <c r="B452" s="68"/>
      <c r="C452" s="59" t="s">
        <v>153</v>
      </c>
      <c r="D452" s="59">
        <f>(92.1+3.05+3.35+1.5*3.35)*10.764</f>
        <v>1114.3430999999998</v>
      </c>
      <c r="E452" s="59">
        <v>0</v>
      </c>
      <c r="F452" s="59">
        <f>D452*1.6+E452</f>
        <v>1782.9489599999997</v>
      </c>
      <c r="G452" s="68"/>
      <c r="H452" s="68"/>
    </row>
    <row r="453" spans="1:9" s="2" customFormat="1" ht="15.75" customHeight="1" x14ac:dyDescent="0.25">
      <c r="A453" s="69" t="s">
        <v>285</v>
      </c>
      <c r="B453" s="69"/>
      <c r="C453" s="69"/>
      <c r="D453" s="69"/>
      <c r="E453" s="69"/>
      <c r="F453" s="69"/>
      <c r="G453" s="69"/>
      <c r="H453" s="69"/>
    </row>
    <row r="454" spans="1:9" s="2" customFormat="1" x14ac:dyDescent="0.25">
      <c r="A454" s="68">
        <v>1</v>
      </c>
      <c r="B454" s="68"/>
      <c r="C454" s="59" t="s">
        <v>178</v>
      </c>
      <c r="D454" s="59">
        <f>(62.03+1.2*3.05)*10.764</f>
        <v>707.08715999999993</v>
      </c>
      <c r="E454" s="59">
        <v>0</v>
      </c>
      <c r="F454" s="59">
        <f>D454*1.6+E454</f>
        <v>1131.3394559999999</v>
      </c>
      <c r="G454" s="68" t="str">
        <f>A453</f>
        <v>39th Floor</v>
      </c>
      <c r="H454" s="68"/>
      <c r="I454" s="59">
        <f>5.475*3.05+3.275*0.6+3.5*2.125+3.5*3.05+3.95*3.05+1.35*2.275+1.05*2.1+1.05*2.875+2.125*1.3+2.125*0.8</f>
        <v>61.581249999999997</v>
      </c>
    </row>
    <row r="455" spans="1:9" s="2" customFormat="1" ht="15.75" customHeight="1" x14ac:dyDescent="0.25">
      <c r="A455" s="68">
        <v>2</v>
      </c>
      <c r="B455" s="68"/>
      <c r="C455" s="59" t="s">
        <v>178</v>
      </c>
      <c r="D455" s="59">
        <f>(61.75+1.2*3.05)*10.764</f>
        <v>704.07323999999994</v>
      </c>
      <c r="E455" s="59">
        <v>0</v>
      </c>
      <c r="F455" s="59">
        <f>D455*1.6+E455</f>
        <v>1126.517184</v>
      </c>
      <c r="G455" s="68"/>
      <c r="H455" s="68"/>
      <c r="I455" s="59">
        <v>0</v>
      </c>
    </row>
    <row r="456" spans="1:9" s="2" customFormat="1" ht="15.75" customHeight="1" x14ac:dyDescent="0.25">
      <c r="A456" s="68">
        <v>3</v>
      </c>
      <c r="B456" s="68"/>
      <c r="C456" s="59" t="s">
        <v>153</v>
      </c>
      <c r="D456" s="59">
        <f>(6.675*3.2+1.5*1.425+1.2*1.025+3.225*0.65+3.5*2.125+4.85*2.9+3.05*3.841+3.15*4.275+1.5*2.125+2.2*1.525+2.275*1.25+2.075*1.375+1.225*1.2+0.99*1.625+1.05*0.425+1.8*0.9+1.05*5.75+1.4*0.8+1.5*3.2)*10.764</f>
        <v>1107.0712106999999</v>
      </c>
      <c r="E456" s="59">
        <v>0</v>
      </c>
      <c r="F456" s="59">
        <f>D456*1.6+E456</f>
        <v>1771.31393712</v>
      </c>
      <c r="G456" s="68"/>
      <c r="H456" s="68"/>
      <c r="I456" s="59">
        <f>6.675*3.2+1.5*1.425+1.2*1.025+3.225*0.65+3.5*2.125+3.65*2.9+3.05*3.841+3.15*4.275+1.5*2.125+2.2*1.525+2.275*1.25+2.075*1.375+1.225*1.2+0.99*1.625+1.05*0.425+1.8*0.9+1.05*5.75+1.4*0.8</f>
        <v>94.569425000000024</v>
      </c>
    </row>
    <row r="457" spans="1:9" s="2" customFormat="1" ht="15.75" customHeight="1" x14ac:dyDescent="0.25">
      <c r="A457" s="68">
        <v>4</v>
      </c>
      <c r="B457" s="68"/>
      <c r="C457" s="59" t="s">
        <v>251</v>
      </c>
      <c r="D457" s="59">
        <f>(133.14+3.05+3.2+1.5*3.65)*10.764</f>
        <v>1559.3268599999997</v>
      </c>
      <c r="E457" s="59">
        <v>0</v>
      </c>
      <c r="F457" s="59">
        <f>D457*1.6+E457</f>
        <v>2494.9229759999998</v>
      </c>
      <c r="G457" s="68"/>
      <c r="H457" s="68"/>
    </row>
    <row r="458" spans="1:9" s="2" customFormat="1" ht="15.75" customHeight="1" x14ac:dyDescent="0.25">
      <c r="A458" s="68">
        <v>5</v>
      </c>
      <c r="B458" s="68"/>
      <c r="C458" s="59" t="s">
        <v>153</v>
      </c>
      <c r="D458" s="59">
        <f>(92.1+3.05+3.35+1.5*3.35)*10.764</f>
        <v>1114.3430999999998</v>
      </c>
      <c r="E458" s="59">
        <v>0</v>
      </c>
      <c r="F458" s="59">
        <f>D458*1.6+E458</f>
        <v>1782.9489599999997</v>
      </c>
      <c r="G458" s="68"/>
      <c r="H458" s="68"/>
    </row>
    <row r="459" spans="1:9" s="2" customFormat="1" ht="15.75" customHeight="1" x14ac:dyDescent="0.25">
      <c r="A459" s="69" t="s">
        <v>286</v>
      </c>
      <c r="B459" s="69"/>
      <c r="C459" s="69"/>
      <c r="D459" s="69"/>
      <c r="E459" s="69"/>
      <c r="F459" s="69"/>
      <c r="G459" s="69"/>
      <c r="H459" s="69"/>
    </row>
    <row r="460" spans="1:9" s="2" customFormat="1" x14ac:dyDescent="0.25">
      <c r="A460" s="68">
        <v>1</v>
      </c>
      <c r="B460" s="68"/>
      <c r="C460" s="59" t="s">
        <v>178</v>
      </c>
      <c r="D460" s="59">
        <f>(62.03+1.2*3.05)*10.764</f>
        <v>707.08715999999993</v>
      </c>
      <c r="E460" s="59">
        <v>0</v>
      </c>
      <c r="F460" s="59">
        <f>D460*1.6+E460</f>
        <v>1131.3394559999999</v>
      </c>
      <c r="G460" s="68" t="str">
        <f>A459</f>
        <v>40th Floor</v>
      </c>
      <c r="H460" s="68"/>
      <c r="I460" s="59">
        <f>5.475*3.05+3.275*0.6+3.5*2.125+3.5*3.05+3.95*3.05+1.35*2.275+1.05*2.1+1.05*2.875+2.125*1.3+2.125*0.8</f>
        <v>61.581249999999997</v>
      </c>
    </row>
    <row r="461" spans="1:9" s="2" customFormat="1" ht="15.75" customHeight="1" x14ac:dyDescent="0.25">
      <c r="A461" s="68">
        <v>2</v>
      </c>
      <c r="B461" s="68"/>
      <c r="C461" s="59" t="s">
        <v>178</v>
      </c>
      <c r="D461" s="59">
        <f>(61.75+1.2*3.05)*10.764</f>
        <v>704.07323999999994</v>
      </c>
      <c r="E461" s="59">
        <v>0</v>
      </c>
      <c r="F461" s="59">
        <f>D461*1.6+E461</f>
        <v>1126.517184</v>
      </c>
      <c r="G461" s="68"/>
      <c r="H461" s="68"/>
      <c r="I461" s="59">
        <v>0</v>
      </c>
    </row>
    <row r="462" spans="1:9" s="2" customFormat="1" ht="15.75" customHeight="1" x14ac:dyDescent="0.25">
      <c r="A462" s="68">
        <v>3</v>
      </c>
      <c r="B462" s="68"/>
      <c r="C462" s="59" t="s">
        <v>153</v>
      </c>
      <c r="D462" s="59">
        <f>(6.675*3.2+1.5*1.425+1.2*1.025+3.225*0.65+3.5*2.125+4.85*2.9+3.05*3.841+3.15*4.275+1.5*2.125+2.2*1.525+2.275*1.25+2.075*1.375+1.225*1.2+0.99*1.625+1.05*0.425+1.8*0.9+1.05*5.75+1.4*0.8+1.5*3.2)*10.764</f>
        <v>1107.0712106999999</v>
      </c>
      <c r="E462" s="59">
        <v>0</v>
      </c>
      <c r="F462" s="59">
        <f>D462*1.6+E462</f>
        <v>1771.31393712</v>
      </c>
      <c r="G462" s="68"/>
      <c r="H462" s="68"/>
      <c r="I462" s="59">
        <f>6.675*3.2+1.5*1.425+1.2*1.025+3.225*0.65+3.5*2.125+3.65*2.9+3.05*3.841+3.15*4.275+1.5*2.125+2.2*1.525+2.275*1.25+2.075*1.375+1.225*1.2+0.99*1.625+1.05*0.425+1.8*0.9+1.05*5.75+1.4*0.8</f>
        <v>94.569425000000024</v>
      </c>
    </row>
    <row r="463" spans="1:9" s="2" customFormat="1" ht="15.75" customHeight="1" x14ac:dyDescent="0.25">
      <c r="A463" s="68">
        <v>4</v>
      </c>
      <c r="B463" s="68"/>
      <c r="C463" s="59" t="s">
        <v>251</v>
      </c>
      <c r="D463" s="59">
        <f>(133.14+3.05+3.2+1.5*3.65)*10.764</f>
        <v>1559.3268599999997</v>
      </c>
      <c r="E463" s="59">
        <v>0</v>
      </c>
      <c r="F463" s="59">
        <f>D463*1.6+E463</f>
        <v>2494.9229759999998</v>
      </c>
      <c r="G463" s="68"/>
      <c r="H463" s="68"/>
    </row>
    <row r="464" spans="1:9" s="2" customFormat="1" ht="15.75" customHeight="1" x14ac:dyDescent="0.25">
      <c r="A464" s="68">
        <v>5</v>
      </c>
      <c r="B464" s="68"/>
      <c r="C464" s="59" t="s">
        <v>153</v>
      </c>
      <c r="D464" s="59">
        <f>(92.1+3.05+3.35+1.5*3.35)*10.764</f>
        <v>1114.3430999999998</v>
      </c>
      <c r="E464" s="59">
        <v>0</v>
      </c>
      <c r="F464" s="59">
        <f>D464*1.6+E464</f>
        <v>1782.9489599999997</v>
      </c>
      <c r="G464" s="68"/>
      <c r="H464" s="68"/>
    </row>
    <row r="465" spans="1:9" s="2" customFormat="1" ht="15.75" customHeight="1" x14ac:dyDescent="0.25">
      <c r="A465" s="69" t="s">
        <v>287</v>
      </c>
      <c r="B465" s="69"/>
      <c r="C465" s="69"/>
      <c r="D465" s="69"/>
      <c r="E465" s="69"/>
      <c r="F465" s="69"/>
      <c r="G465" s="69"/>
      <c r="H465" s="69"/>
    </row>
    <row r="466" spans="1:9" s="2" customFormat="1" x14ac:dyDescent="0.25">
      <c r="A466" s="68">
        <v>1</v>
      </c>
      <c r="B466" s="68"/>
      <c r="C466" s="59" t="s">
        <v>178</v>
      </c>
      <c r="D466" s="59">
        <f>(62.03+1.2*3.05)*10.764</f>
        <v>707.08715999999993</v>
      </c>
      <c r="E466" s="59">
        <v>0</v>
      </c>
      <c r="F466" s="59">
        <f>D466*1.6+E466</f>
        <v>1131.3394559999999</v>
      </c>
      <c r="G466" s="68" t="str">
        <f>A465</f>
        <v>41st Floor</v>
      </c>
      <c r="H466" s="68"/>
      <c r="I466" s="59">
        <f>5.475*3.05+3.275*0.6+3.5*2.125+3.5*3.05+3.95*3.05+1.35*2.275+1.05*2.1+1.05*2.875+2.125*1.3+2.125*0.8</f>
        <v>61.581249999999997</v>
      </c>
    </row>
    <row r="467" spans="1:9" s="2" customFormat="1" ht="15.75" customHeight="1" x14ac:dyDescent="0.25">
      <c r="A467" s="68">
        <v>2</v>
      </c>
      <c r="B467" s="68"/>
      <c r="C467" s="59" t="s">
        <v>178</v>
      </c>
      <c r="D467" s="59">
        <f>(61.75+1.2*3.05)*10.764</f>
        <v>704.07323999999994</v>
      </c>
      <c r="E467" s="59">
        <v>0</v>
      </c>
      <c r="F467" s="59">
        <f>D467*1.6+E467</f>
        <v>1126.517184</v>
      </c>
      <c r="G467" s="68"/>
      <c r="H467" s="68"/>
      <c r="I467" s="59">
        <v>0</v>
      </c>
    </row>
    <row r="468" spans="1:9" s="2" customFormat="1" ht="15.75" customHeight="1" x14ac:dyDescent="0.25">
      <c r="A468" s="68">
        <v>3</v>
      </c>
      <c r="B468" s="68"/>
      <c r="C468" s="59" t="s">
        <v>153</v>
      </c>
      <c r="D468" s="59">
        <f>(6.675*3.2+1.5*1.425+1.2*1.025+3.225*0.65+3.5*2.125+4.85*2.9+3.05*3.841+3.15*4.275+1.5*2.125+2.2*1.525+2.275*1.25+2.075*1.375+1.225*1.2+0.99*1.625+1.05*0.425+1.8*0.9+1.05*5.75+1.4*0.8+1.5*3.2)*10.764</f>
        <v>1107.0712106999999</v>
      </c>
      <c r="E468" s="59">
        <v>0</v>
      </c>
      <c r="F468" s="59">
        <f>D468*1.6+E468</f>
        <v>1771.31393712</v>
      </c>
      <c r="G468" s="68"/>
      <c r="H468" s="68"/>
      <c r="I468" s="59">
        <f>6.675*3.2+1.5*1.425+1.2*1.025+3.225*0.65+3.5*2.125+3.65*2.9+3.05*3.841+3.15*4.275+1.5*2.125+2.2*1.525+2.275*1.25+2.075*1.375+1.225*1.2+0.99*1.625+1.05*0.425+1.8*0.9+1.05*5.75+1.4*0.8</f>
        <v>94.569425000000024</v>
      </c>
    </row>
    <row r="469" spans="1:9" s="2" customFormat="1" ht="15.75" customHeight="1" x14ac:dyDescent="0.25">
      <c r="A469" s="68">
        <v>4</v>
      </c>
      <c r="B469" s="68"/>
      <c r="C469" s="59" t="s">
        <v>251</v>
      </c>
      <c r="D469" s="59">
        <f>(133.14+3.05+3.2+1.5*3.65)*10.764</f>
        <v>1559.3268599999997</v>
      </c>
      <c r="E469" s="59">
        <v>0</v>
      </c>
      <c r="F469" s="59">
        <f>D469*1.6+E469</f>
        <v>2494.9229759999998</v>
      </c>
      <c r="G469" s="68"/>
      <c r="H469" s="68"/>
    </row>
    <row r="470" spans="1:9" s="2" customFormat="1" ht="15.75" customHeight="1" x14ac:dyDescent="0.25">
      <c r="A470" s="68">
        <v>5</v>
      </c>
      <c r="B470" s="68"/>
      <c r="C470" s="59" t="s">
        <v>153</v>
      </c>
      <c r="D470" s="59">
        <f>(92.1+3.05+3.35+1.5*3.35)*10.764</f>
        <v>1114.3430999999998</v>
      </c>
      <c r="E470" s="59">
        <v>0</v>
      </c>
      <c r="F470" s="59">
        <f>D470*1.6+E470</f>
        <v>1782.9489599999997</v>
      </c>
      <c r="G470" s="68"/>
      <c r="H470" s="68"/>
    </row>
    <row r="471" spans="1:9" s="2" customFormat="1" ht="15.75" customHeight="1" x14ac:dyDescent="0.25">
      <c r="A471" s="69" t="s">
        <v>288</v>
      </c>
      <c r="B471" s="69"/>
      <c r="C471" s="69"/>
      <c r="D471" s="69"/>
      <c r="E471" s="69"/>
      <c r="F471" s="69"/>
      <c r="G471" s="69"/>
      <c r="H471" s="69"/>
    </row>
    <row r="472" spans="1:9" s="2" customFormat="1" x14ac:dyDescent="0.25">
      <c r="A472" s="68">
        <v>1</v>
      </c>
      <c r="B472" s="68"/>
      <c r="C472" s="59" t="s">
        <v>178</v>
      </c>
      <c r="D472" s="59">
        <f>(62.03+1.2*3.05)*10.764</f>
        <v>707.08715999999993</v>
      </c>
      <c r="E472" s="59">
        <v>0</v>
      </c>
      <c r="F472" s="59">
        <f>D472*1.6+E472</f>
        <v>1131.3394559999999</v>
      </c>
      <c r="G472" s="68" t="str">
        <f>A471</f>
        <v>42nd Floor</v>
      </c>
      <c r="H472" s="68"/>
      <c r="I472" s="59">
        <f>5.475*3.05+3.275*0.6+3.5*2.125+3.5*3.05+3.95*3.05+1.35*2.275+1.05*2.1+1.05*2.875+2.125*1.3+2.125*0.8</f>
        <v>61.581249999999997</v>
      </c>
    </row>
    <row r="473" spans="1:9" s="2" customFormat="1" ht="15.75" customHeight="1" x14ac:dyDescent="0.25">
      <c r="A473" s="68">
        <v>2</v>
      </c>
      <c r="B473" s="68"/>
      <c r="C473" s="59" t="s">
        <v>178</v>
      </c>
      <c r="D473" s="59">
        <f>(61.75+1.2*3.05)*10.764</f>
        <v>704.07323999999994</v>
      </c>
      <c r="E473" s="59">
        <v>0</v>
      </c>
      <c r="F473" s="59">
        <f>D473*1.6+E473</f>
        <v>1126.517184</v>
      </c>
      <c r="G473" s="68"/>
      <c r="H473" s="68"/>
      <c r="I473" s="59">
        <v>0</v>
      </c>
    </row>
    <row r="474" spans="1:9" s="2" customFormat="1" ht="15.75" customHeight="1" x14ac:dyDescent="0.25">
      <c r="A474" s="68">
        <v>3</v>
      </c>
      <c r="B474" s="68"/>
      <c r="C474" s="59" t="s">
        <v>153</v>
      </c>
      <c r="D474" s="59">
        <f>(6.675*3.2+1.5*1.425+1.2*1.025+3.225*0.65+3.5*2.125+4.85*2.9+3.05*3.841+3.15*4.275+1.5*2.125+2.2*1.525+2.275*1.25+2.075*1.375+1.225*1.2+0.99*1.625+1.05*0.425+1.8*0.9+1.05*5.75+1.4*0.8+1.5*3.2)*10.764</f>
        <v>1107.0712106999999</v>
      </c>
      <c r="E474" s="59">
        <v>0</v>
      </c>
      <c r="F474" s="59">
        <f>D474*1.6+E474</f>
        <v>1771.31393712</v>
      </c>
      <c r="G474" s="68"/>
      <c r="H474" s="68"/>
      <c r="I474" s="59">
        <f>6.675*3.2+1.5*1.425+1.2*1.025+3.225*0.65+3.5*2.125+3.65*2.9+3.05*3.841+3.15*4.275+1.5*2.125+2.2*1.525+2.275*1.25+2.075*1.375+1.225*1.2+0.99*1.625+1.05*0.425+1.8*0.9+1.05*5.75+1.4*0.8</f>
        <v>94.569425000000024</v>
      </c>
    </row>
    <row r="475" spans="1:9" s="2" customFormat="1" ht="15.75" customHeight="1" x14ac:dyDescent="0.25">
      <c r="A475" s="68">
        <v>4</v>
      </c>
      <c r="B475" s="68"/>
      <c r="C475" s="59" t="s">
        <v>251</v>
      </c>
      <c r="D475" s="59">
        <f>(133.14+3.05+3.2+1.5*3.65)*10.764</f>
        <v>1559.3268599999997</v>
      </c>
      <c r="E475" s="59">
        <v>0</v>
      </c>
      <c r="F475" s="59">
        <f>D475*1.6+E475</f>
        <v>2494.9229759999998</v>
      </c>
      <c r="G475" s="68"/>
      <c r="H475" s="68"/>
    </row>
    <row r="476" spans="1:9" s="2" customFormat="1" ht="15.75" customHeight="1" x14ac:dyDescent="0.25">
      <c r="A476" s="68">
        <v>5</v>
      </c>
      <c r="B476" s="68"/>
      <c r="C476" s="59" t="s">
        <v>153</v>
      </c>
      <c r="D476" s="59">
        <f>(92.1+3.05+3.35+1.5*3.35)*10.764</f>
        <v>1114.3430999999998</v>
      </c>
      <c r="E476" s="59">
        <v>0</v>
      </c>
      <c r="F476" s="59">
        <f>D476*1.6+E476</f>
        <v>1782.9489599999997</v>
      </c>
      <c r="G476" s="68"/>
      <c r="H476" s="68"/>
    </row>
    <row r="477" spans="1:9" s="2" customFormat="1" ht="15.75" customHeight="1" x14ac:dyDescent="0.25">
      <c r="A477" s="69" t="s">
        <v>277</v>
      </c>
      <c r="B477" s="69"/>
      <c r="C477" s="69"/>
      <c r="D477" s="69"/>
      <c r="E477" s="69"/>
      <c r="F477" s="69"/>
      <c r="G477" s="69"/>
      <c r="H477" s="69"/>
    </row>
    <row r="478" spans="1:9" s="2" customFormat="1" x14ac:dyDescent="0.25">
      <c r="A478" s="68">
        <v>1</v>
      </c>
      <c r="B478" s="68"/>
      <c r="C478" s="68" t="s">
        <v>179</v>
      </c>
      <c r="D478" s="68"/>
      <c r="E478" s="68"/>
      <c r="F478" s="68"/>
      <c r="G478" s="68" t="str">
        <f>A477</f>
        <v>43rd Floor (Part Refuge Floor)</v>
      </c>
      <c r="H478" s="68"/>
      <c r="I478" s="59">
        <f>5.475*3.05+3.275*0.6+3.5*2.125+3.5*3.05+3.95*3.05+1.35*2.275+1.05*2.1+1.05*2.875+2.125*1.3+2.125*0.8</f>
        <v>61.581249999999997</v>
      </c>
    </row>
    <row r="479" spans="1:9" s="2" customFormat="1" ht="15.75" customHeight="1" x14ac:dyDescent="0.25">
      <c r="A479" s="68">
        <v>2</v>
      </c>
      <c r="B479" s="68"/>
      <c r="C479" s="64" t="s">
        <v>289</v>
      </c>
      <c r="D479" s="64">
        <f>(61.75+5.525*2+4.125*3.2+1.2*3.2+1.2*3.05)*10.764</f>
        <v>1006.434</v>
      </c>
      <c r="E479" s="64">
        <v>0</v>
      </c>
      <c r="F479" s="64">
        <f>D479*1.6+E479</f>
        <v>1610.2944</v>
      </c>
      <c r="G479" s="68"/>
      <c r="H479" s="68"/>
      <c r="I479" s="59">
        <v>0</v>
      </c>
    </row>
    <row r="480" spans="1:9" s="2" customFormat="1" ht="15.75" customHeight="1" x14ac:dyDescent="0.25">
      <c r="A480" s="68">
        <v>3</v>
      </c>
      <c r="B480" s="68"/>
      <c r="C480" s="64" t="s">
        <v>153</v>
      </c>
      <c r="D480" s="64">
        <f>(6.675*3.2+1.5*1.425+1.2*1.025+3.225*0.65+3.5*2.125+4.85*2.9+3.05*3.841+3.15*4.275+1.5*2.125+2.2*1.525+2.275*1.25+2.075*1.375+1.225*1.2+0.99*1.625+1.05*0.425+1.8*0.9+1.05*5.75+1.4*0.8+1.5*3.2)*10.764</f>
        <v>1107.0712106999999</v>
      </c>
      <c r="E480" s="64">
        <v>0</v>
      </c>
      <c r="F480" s="64">
        <f>D480*1.6+E480</f>
        <v>1771.31393712</v>
      </c>
      <c r="G480" s="68"/>
      <c r="H480" s="68"/>
      <c r="I480" s="59">
        <f>6.675*3.2+1.5*1.425+1.2*1.025+3.225*0.65+3.5*2.125+3.65*2.9+3.05*3.841+3.15*4.275+1.5*2.125+2.2*1.525+2.275*1.25+2.075*1.375+1.225*1.2+0.99*1.625+1.05*0.425+1.8*0.9+1.05*5.75+1.4*0.8</f>
        <v>94.569425000000024</v>
      </c>
    </row>
    <row r="481" spans="1:9" s="2" customFormat="1" ht="15.75" customHeight="1" x14ac:dyDescent="0.25">
      <c r="A481" s="68">
        <v>4</v>
      </c>
      <c r="B481" s="68"/>
      <c r="C481" s="64" t="s">
        <v>251</v>
      </c>
      <c r="D481" s="64">
        <f>(133.14+3.05+3.2+1.5*3.65)*10.764</f>
        <v>1559.3268599999997</v>
      </c>
      <c r="E481" s="64">
        <v>0</v>
      </c>
      <c r="F481" s="64">
        <f>D481*1.6+E481</f>
        <v>2494.9229759999998</v>
      </c>
      <c r="G481" s="68"/>
      <c r="H481" s="68"/>
    </row>
    <row r="482" spans="1:9" s="2" customFormat="1" ht="15.75" customHeight="1" x14ac:dyDescent="0.25">
      <c r="A482" s="68">
        <v>5</v>
      </c>
      <c r="B482" s="68"/>
      <c r="C482" s="64" t="s">
        <v>153</v>
      </c>
      <c r="D482" s="64">
        <f>(92.1+3.05+3.35+1.5*3.35)*10.764</f>
        <v>1114.3430999999998</v>
      </c>
      <c r="E482" s="64">
        <v>0</v>
      </c>
      <c r="F482" s="64">
        <f>D482*1.6+E482</f>
        <v>1782.9489599999997</v>
      </c>
      <c r="G482" s="68"/>
      <c r="H482" s="68"/>
    </row>
    <row r="483" spans="1:9" s="2" customFormat="1" ht="15.75" customHeight="1" x14ac:dyDescent="0.25">
      <c r="A483" s="69" t="s">
        <v>276</v>
      </c>
      <c r="B483" s="69"/>
      <c r="C483" s="69"/>
      <c r="D483" s="69"/>
      <c r="E483" s="69"/>
      <c r="F483" s="69"/>
      <c r="G483" s="69"/>
      <c r="H483" s="69"/>
    </row>
    <row r="484" spans="1:9" s="2" customFormat="1" x14ac:dyDescent="0.25">
      <c r="A484" s="68">
        <v>1</v>
      </c>
      <c r="B484" s="68"/>
      <c r="C484" s="59" t="s">
        <v>178</v>
      </c>
      <c r="D484" s="59">
        <f>(62.03+1.2*3.05)*10.764</f>
        <v>707.08715999999993</v>
      </c>
      <c r="E484" s="59">
        <v>0</v>
      </c>
      <c r="F484" s="59">
        <f>D484*1.6+E484</f>
        <v>1131.3394559999999</v>
      </c>
      <c r="G484" s="68" t="str">
        <f>A483</f>
        <v>44th Floor</v>
      </c>
      <c r="H484" s="68"/>
      <c r="I484" s="59">
        <f>5.475*3.05+3.275*0.6+3.5*2.125+3.5*3.05+3.95*3.05+1.35*2.275+1.05*2.1+1.05*2.875+2.125*1.3+2.125*0.8</f>
        <v>61.581249999999997</v>
      </c>
    </row>
    <row r="485" spans="1:9" s="2" customFormat="1" ht="15.75" customHeight="1" x14ac:dyDescent="0.25">
      <c r="A485" s="68">
        <v>2</v>
      </c>
      <c r="B485" s="68"/>
      <c r="C485" s="59" t="s">
        <v>178</v>
      </c>
      <c r="D485" s="59">
        <f>(61.75+1.2*3.05)*10.764</f>
        <v>704.07323999999994</v>
      </c>
      <c r="E485" s="59">
        <v>0</v>
      </c>
      <c r="F485" s="59">
        <f>D485*1.6+E485</f>
        <v>1126.517184</v>
      </c>
      <c r="G485" s="68"/>
      <c r="H485" s="68"/>
      <c r="I485" s="59">
        <v>0</v>
      </c>
    </row>
    <row r="486" spans="1:9" s="2" customFormat="1" ht="15.75" customHeight="1" x14ac:dyDescent="0.25">
      <c r="A486" s="68">
        <v>3</v>
      </c>
      <c r="B486" s="68"/>
      <c r="C486" s="59" t="s">
        <v>153</v>
      </c>
      <c r="D486" s="59">
        <f>(6.675*3.2+1.5*1.425+1.2*1.025+3.225*0.65+3.5*2.125+4.85*2.9+3.05*3.841+3.15*4.275+1.5*2.125+2.2*1.525+2.275*1.25+2.075*1.375+1.225*1.2+0.99*1.625+1.05*0.425+1.8*0.9+1.05*5.75+1.4*0.8+1.5*3.2)*10.764</f>
        <v>1107.0712106999999</v>
      </c>
      <c r="E486" s="59">
        <v>0</v>
      </c>
      <c r="F486" s="59">
        <f>D486*1.6+E486</f>
        <v>1771.31393712</v>
      </c>
      <c r="G486" s="68"/>
      <c r="H486" s="68"/>
      <c r="I486" s="59">
        <f>6.675*3.2+1.5*1.425+1.2*1.025+3.225*0.65+3.5*2.125+3.65*2.9+3.05*3.841+3.15*4.275+1.5*2.125+2.2*1.525+2.275*1.25+2.075*1.375+1.225*1.2+0.99*1.625+1.05*0.425+1.8*0.9+1.05*5.75+1.4*0.8</f>
        <v>94.569425000000024</v>
      </c>
    </row>
    <row r="487" spans="1:9" s="2" customFormat="1" ht="15.75" customHeight="1" x14ac:dyDescent="0.25">
      <c r="A487" s="68">
        <v>4</v>
      </c>
      <c r="B487" s="68"/>
      <c r="C487" s="59" t="s">
        <v>251</v>
      </c>
      <c r="D487" s="59">
        <f>(133.14+3.05+3.2+1.5*3.65)*10.764</f>
        <v>1559.3268599999997</v>
      </c>
      <c r="E487" s="59">
        <v>0</v>
      </c>
      <c r="F487" s="59">
        <f>D487*1.6+E487</f>
        <v>2494.9229759999998</v>
      </c>
      <c r="G487" s="68"/>
      <c r="H487" s="68"/>
    </row>
    <row r="488" spans="1:9" s="2" customFormat="1" ht="15.75" customHeight="1" x14ac:dyDescent="0.25">
      <c r="A488" s="68">
        <v>5</v>
      </c>
      <c r="B488" s="68"/>
      <c r="C488" s="59" t="s">
        <v>153</v>
      </c>
      <c r="D488" s="59">
        <f>(92.1+3.05+3.35+1.5*3.35)*10.764</f>
        <v>1114.3430999999998</v>
      </c>
      <c r="E488" s="59">
        <v>0</v>
      </c>
      <c r="F488" s="59">
        <f>D488*1.6+E488</f>
        <v>1782.9489599999997</v>
      </c>
      <c r="G488" s="68"/>
      <c r="H488" s="68"/>
    </row>
    <row r="489" spans="1:9" s="1" customFormat="1" x14ac:dyDescent="0.25">
      <c r="A489" s="156" t="s">
        <v>80</v>
      </c>
      <c r="B489" s="157"/>
      <c r="C489" s="157"/>
      <c r="D489" s="157"/>
      <c r="E489" s="157"/>
      <c r="F489" s="157"/>
      <c r="G489" s="157"/>
      <c r="H489" s="158"/>
    </row>
    <row r="490" spans="1:9" s="10" customFormat="1" ht="193.5" customHeight="1" x14ac:dyDescent="0.25">
      <c r="A490" s="159" t="s">
        <v>308</v>
      </c>
      <c r="B490" s="160"/>
      <c r="C490" s="160"/>
      <c r="D490" s="160"/>
      <c r="E490" s="160"/>
      <c r="F490" s="160"/>
      <c r="G490" s="160"/>
      <c r="H490" s="161"/>
    </row>
    <row r="491" spans="1:9" x14ac:dyDescent="0.25">
      <c r="A491" s="80" t="s">
        <v>71</v>
      </c>
      <c r="B491" s="81"/>
      <c r="C491" s="81"/>
      <c r="D491" s="81"/>
      <c r="E491" s="81"/>
      <c r="F491" s="81"/>
      <c r="G491" s="81"/>
      <c r="H491" s="82"/>
    </row>
    <row r="492" spans="1:9" x14ac:dyDescent="0.25">
      <c r="A492" s="77" t="s">
        <v>72</v>
      </c>
      <c r="B492" s="78"/>
      <c r="C492" s="78"/>
      <c r="D492" s="78"/>
      <c r="E492" s="78"/>
      <c r="F492" s="78"/>
      <c r="G492" s="78"/>
      <c r="H492" s="79"/>
    </row>
    <row r="493" spans="1:9" ht="15.75" customHeight="1" x14ac:dyDescent="0.25">
      <c r="A493" s="80" t="s">
        <v>73</v>
      </c>
      <c r="B493" s="81"/>
      <c r="C493" s="81"/>
      <c r="D493" s="81"/>
      <c r="E493" s="81"/>
      <c r="F493" s="81"/>
      <c r="G493" s="81"/>
      <c r="H493" s="82"/>
    </row>
    <row r="494" spans="1:9" x14ac:dyDescent="0.25">
      <c r="A494" s="77" t="s">
        <v>74</v>
      </c>
      <c r="B494" s="78"/>
      <c r="C494" s="78"/>
      <c r="D494" s="78"/>
      <c r="E494" s="78"/>
      <c r="F494" s="78"/>
      <c r="G494" s="78"/>
      <c r="H494" s="79"/>
    </row>
    <row r="495" spans="1:9" x14ac:dyDescent="0.25">
      <c r="A495" s="77" t="s">
        <v>75</v>
      </c>
      <c r="B495" s="78"/>
      <c r="C495" s="78"/>
      <c r="D495" s="78"/>
      <c r="E495" s="78"/>
      <c r="F495" s="78"/>
      <c r="G495" s="78"/>
      <c r="H495" s="79"/>
    </row>
    <row r="496" spans="1:9" hidden="1" x14ac:dyDescent="0.25">
      <c r="A496" s="77" t="s">
        <v>76</v>
      </c>
      <c r="B496" s="78"/>
      <c r="C496" s="78"/>
      <c r="D496" s="78"/>
      <c r="E496" s="78"/>
      <c r="F496" s="78"/>
      <c r="G496" s="78"/>
      <c r="H496" s="79"/>
    </row>
    <row r="497" spans="1:8" ht="35.25" hidden="1" customHeight="1" x14ac:dyDescent="0.25">
      <c r="A497" s="153" t="s">
        <v>77</v>
      </c>
      <c r="B497" s="154"/>
      <c r="C497" s="154"/>
      <c r="D497" s="154"/>
      <c r="E497" s="154"/>
      <c r="F497" s="154"/>
      <c r="G497" s="154"/>
      <c r="H497" s="155"/>
    </row>
    <row r="498" spans="1:8" x14ac:dyDescent="0.25">
      <c r="A498" s="115" t="s">
        <v>114</v>
      </c>
      <c r="B498" s="115"/>
      <c r="C498" s="115" t="s">
        <v>307</v>
      </c>
      <c r="D498" s="115"/>
      <c r="E498" s="115" t="s">
        <v>146</v>
      </c>
      <c r="F498" s="115"/>
      <c r="G498" s="115" t="s">
        <v>309</v>
      </c>
      <c r="H498" s="115"/>
    </row>
    <row r="499" spans="1:8" ht="15.75" customHeight="1" x14ac:dyDescent="0.25">
      <c r="A499" s="106" t="s">
        <v>116</v>
      </c>
      <c r="B499" s="107"/>
      <c r="C499" s="107"/>
      <c r="D499" s="107"/>
      <c r="E499" s="107"/>
      <c r="F499" s="107"/>
      <c r="G499" s="107"/>
      <c r="H499" s="108"/>
    </row>
    <row r="500" spans="1:8" x14ac:dyDescent="0.25">
      <c r="A500" s="109"/>
      <c r="B500" s="110"/>
      <c r="C500" s="110"/>
      <c r="D500" s="110"/>
      <c r="E500" s="110"/>
      <c r="F500" s="110"/>
      <c r="G500" s="110"/>
      <c r="H500" s="111"/>
    </row>
    <row r="501" spans="1:8" x14ac:dyDescent="0.25">
      <c r="A501" s="109"/>
      <c r="B501" s="110"/>
      <c r="C501" s="110"/>
      <c r="D501" s="110"/>
      <c r="E501" s="110"/>
      <c r="F501" s="110"/>
      <c r="G501" s="110"/>
      <c r="H501" s="111"/>
    </row>
    <row r="502" spans="1:8" x14ac:dyDescent="0.25">
      <c r="A502" s="112"/>
      <c r="B502" s="113"/>
      <c r="C502" s="113"/>
      <c r="D502" s="113"/>
      <c r="E502" s="113"/>
      <c r="F502" s="113"/>
      <c r="G502" s="113"/>
      <c r="H502" s="114"/>
    </row>
    <row r="503" spans="1:8" x14ac:dyDescent="0.25">
      <c r="A503" s="19" t="s">
        <v>78</v>
      </c>
      <c r="B503" s="20"/>
      <c r="C503" s="20"/>
      <c r="D503" s="19" t="str">
        <f>E8</f>
        <v>Dosti Eastern Bay Phase 3</v>
      </c>
      <c r="F503" s="20"/>
      <c r="G503" s="20"/>
      <c r="H503" s="20"/>
    </row>
    <row r="504" spans="1:8" x14ac:dyDescent="0.25">
      <c r="A504" s="20"/>
      <c r="B504" s="20"/>
      <c r="C504" s="20"/>
      <c r="D504" s="20"/>
      <c r="E504" s="20"/>
      <c r="F504" s="20"/>
      <c r="G504" s="20"/>
      <c r="H504" s="20"/>
    </row>
    <row r="505" spans="1:8" x14ac:dyDescent="0.25">
      <c r="A505" s="20"/>
      <c r="B505" s="20"/>
      <c r="C505" s="20"/>
      <c r="D505" s="20"/>
      <c r="E505" s="20"/>
      <c r="F505" s="20"/>
      <c r="G505" s="20"/>
      <c r="H505" s="20"/>
    </row>
    <row r="506" spans="1:8" ht="15" customHeight="1" x14ac:dyDescent="0.25"/>
    <row r="546" spans="1:1" x14ac:dyDescent="0.25">
      <c r="A546" s="22" t="s">
        <v>79</v>
      </c>
    </row>
  </sheetData>
  <mergeCells count="681">
    <mergeCell ref="C50:E50"/>
    <mergeCell ref="G50:H50"/>
    <mergeCell ref="C51:E51"/>
    <mergeCell ref="G51:H51"/>
    <mergeCell ref="C478:F478"/>
    <mergeCell ref="A473:B473"/>
    <mergeCell ref="A474:B474"/>
    <mergeCell ref="A475:B475"/>
    <mergeCell ref="A476:B476"/>
    <mergeCell ref="A465:H465"/>
    <mergeCell ref="A466:B466"/>
    <mergeCell ref="G466:H470"/>
    <mergeCell ref="A467:B467"/>
    <mergeCell ref="A468:B468"/>
    <mergeCell ref="A469:B469"/>
    <mergeCell ref="A470:B470"/>
    <mergeCell ref="A459:H459"/>
    <mergeCell ref="A460:B460"/>
    <mergeCell ref="G460:H464"/>
    <mergeCell ref="A461:B461"/>
    <mergeCell ref="A462:B462"/>
    <mergeCell ref="A463:B463"/>
    <mergeCell ref="A464:B464"/>
    <mergeCell ref="A471:H471"/>
    <mergeCell ref="A483:H483"/>
    <mergeCell ref="A484:B484"/>
    <mergeCell ref="G484:H488"/>
    <mergeCell ref="A485:B485"/>
    <mergeCell ref="A486:B486"/>
    <mergeCell ref="A487:B487"/>
    <mergeCell ref="A488:B488"/>
    <mergeCell ref="A477:H477"/>
    <mergeCell ref="A478:B478"/>
    <mergeCell ref="G478:H482"/>
    <mergeCell ref="A479:B479"/>
    <mergeCell ref="A480:B480"/>
    <mergeCell ref="A481:B481"/>
    <mergeCell ref="A482:B482"/>
    <mergeCell ref="A472:B472"/>
    <mergeCell ref="G472:H476"/>
    <mergeCell ref="A454:B454"/>
    <mergeCell ref="G454:H458"/>
    <mergeCell ref="A455:B455"/>
    <mergeCell ref="A456:B456"/>
    <mergeCell ref="A457:B457"/>
    <mergeCell ref="A458:B458"/>
    <mergeCell ref="A447:H447"/>
    <mergeCell ref="A448:B448"/>
    <mergeCell ref="G448:H452"/>
    <mergeCell ref="A449:B449"/>
    <mergeCell ref="A450:B450"/>
    <mergeCell ref="A451:B451"/>
    <mergeCell ref="A452:B452"/>
    <mergeCell ref="A435:H435"/>
    <mergeCell ref="A436:B436"/>
    <mergeCell ref="G436:H440"/>
    <mergeCell ref="A437:B437"/>
    <mergeCell ref="A438:B438"/>
    <mergeCell ref="A439:B439"/>
    <mergeCell ref="A440:B440"/>
    <mergeCell ref="C436:F437"/>
    <mergeCell ref="A453:H453"/>
    <mergeCell ref="A441:H441"/>
    <mergeCell ref="A442:B442"/>
    <mergeCell ref="G442:H446"/>
    <mergeCell ref="A443:B443"/>
    <mergeCell ref="A444:B444"/>
    <mergeCell ref="A445:B445"/>
    <mergeCell ref="A446:B446"/>
    <mergeCell ref="A423:H423"/>
    <mergeCell ref="A424:B424"/>
    <mergeCell ref="G424:H428"/>
    <mergeCell ref="A425:B425"/>
    <mergeCell ref="A426:B426"/>
    <mergeCell ref="A427:B427"/>
    <mergeCell ref="A428:B428"/>
    <mergeCell ref="A429:H429"/>
    <mergeCell ref="A430:B430"/>
    <mergeCell ref="G430:H434"/>
    <mergeCell ref="A431:B431"/>
    <mergeCell ref="A432:B432"/>
    <mergeCell ref="A433:B433"/>
    <mergeCell ref="A434:B434"/>
    <mergeCell ref="A243:H243"/>
    <mergeCell ref="A244:B244"/>
    <mergeCell ref="G244:H248"/>
    <mergeCell ref="A246:B246"/>
    <mergeCell ref="A247:B247"/>
    <mergeCell ref="A248:B248"/>
    <mergeCell ref="A249:H249"/>
    <mergeCell ref="A250:B250"/>
    <mergeCell ref="G250:H253"/>
    <mergeCell ref="A251:B251"/>
    <mergeCell ref="A252:B252"/>
    <mergeCell ref="A253:B253"/>
    <mergeCell ref="A245:B245"/>
    <mergeCell ref="C245:F245"/>
    <mergeCell ref="A414:B414"/>
    <mergeCell ref="A415:B415"/>
    <mergeCell ref="F95:H95"/>
    <mergeCell ref="A92:B92"/>
    <mergeCell ref="A81:E81"/>
    <mergeCell ref="F81:H81"/>
    <mergeCell ref="A82:E82"/>
    <mergeCell ref="F82:H82"/>
    <mergeCell ref="A86:E86"/>
    <mergeCell ref="G406:H410"/>
    <mergeCell ref="G412:H416"/>
    <mergeCell ref="A416:B416"/>
    <mergeCell ref="A402:B402"/>
    <mergeCell ref="A403:B403"/>
    <mergeCell ref="A404:B404"/>
    <mergeCell ref="A407:B407"/>
    <mergeCell ref="A408:B408"/>
    <mergeCell ref="A409:B409"/>
    <mergeCell ref="A410:B410"/>
    <mergeCell ref="A406:B406"/>
    <mergeCell ref="A260:H260"/>
    <mergeCell ref="A261:H261"/>
    <mergeCell ref="A262:B262"/>
    <mergeCell ref="A263:B263"/>
    <mergeCell ref="A496:H496"/>
    <mergeCell ref="A303:H303"/>
    <mergeCell ref="A271:B271"/>
    <mergeCell ref="A272:B272"/>
    <mergeCell ref="A285:H285"/>
    <mergeCell ref="A293:B293"/>
    <mergeCell ref="A279:H279"/>
    <mergeCell ref="A273:H273"/>
    <mergeCell ref="A278:B278"/>
    <mergeCell ref="A280:B280"/>
    <mergeCell ref="A291:H291"/>
    <mergeCell ref="A292:B292"/>
    <mergeCell ref="A327:H327"/>
    <mergeCell ref="A341:B341"/>
    <mergeCell ref="A343:B343"/>
    <mergeCell ref="A344:B344"/>
    <mergeCell ref="A418:B418"/>
    <mergeCell ref="A419:B419"/>
    <mergeCell ref="A420:B420"/>
    <mergeCell ref="A422:B422"/>
    <mergeCell ref="A417:H417"/>
    <mergeCell ref="G418:H422"/>
    <mergeCell ref="A421:B421"/>
    <mergeCell ref="A413:B413"/>
    <mergeCell ref="A497:H497"/>
    <mergeCell ref="A60:C60"/>
    <mergeCell ref="D60:H60"/>
    <mergeCell ref="A489:H489"/>
    <mergeCell ref="A490:H490"/>
    <mergeCell ref="A491:H491"/>
    <mergeCell ref="A492:H492"/>
    <mergeCell ref="A100:H100"/>
    <mergeCell ref="A281:B281"/>
    <mergeCell ref="A282:B282"/>
    <mergeCell ref="A283:B283"/>
    <mergeCell ref="A284:B284"/>
    <mergeCell ref="A286:B286"/>
    <mergeCell ref="A287:B287"/>
    <mergeCell ref="A288:B288"/>
    <mergeCell ref="A289:B289"/>
    <mergeCell ref="A290:B290"/>
    <mergeCell ref="D95:E95"/>
    <mergeCell ref="G101:H101"/>
    <mergeCell ref="A390:B390"/>
    <mergeCell ref="A267:H267"/>
    <mergeCell ref="A268:B268"/>
    <mergeCell ref="A269:B269"/>
    <mergeCell ref="A88:E88"/>
    <mergeCell ref="F88:H88"/>
    <mergeCell ref="A61:C61"/>
    <mergeCell ref="D61:H61"/>
    <mergeCell ref="A62:B62"/>
    <mergeCell ref="C62:H62"/>
    <mergeCell ref="D92:E92"/>
    <mergeCell ref="F92:H92"/>
    <mergeCell ref="A93:B93"/>
    <mergeCell ref="D93:E93"/>
    <mergeCell ref="F93:H93"/>
    <mergeCell ref="E66:F75"/>
    <mergeCell ref="G66:H75"/>
    <mergeCell ref="A67:B67"/>
    <mergeCell ref="A68:B68"/>
    <mergeCell ref="A69:B69"/>
    <mergeCell ref="A70:B70"/>
    <mergeCell ref="A71:B71"/>
    <mergeCell ref="A72:B72"/>
    <mergeCell ref="A73:B73"/>
    <mergeCell ref="A74:B74"/>
    <mergeCell ref="A75:B75"/>
    <mergeCell ref="A80:E80"/>
    <mergeCell ref="F80:H80"/>
    <mergeCell ref="A77:H77"/>
    <mergeCell ref="A78:B78"/>
    <mergeCell ref="C78:H78"/>
    <mergeCell ref="A46:B46"/>
    <mergeCell ref="C46:E46"/>
    <mergeCell ref="G46:H46"/>
    <mergeCell ref="G47:H47"/>
    <mergeCell ref="A47:B47"/>
    <mergeCell ref="C47:E47"/>
    <mergeCell ref="C48:E48"/>
    <mergeCell ref="G52:H52"/>
    <mergeCell ref="A52:B52"/>
    <mergeCell ref="C52:E52"/>
    <mergeCell ref="A58:C58"/>
    <mergeCell ref="A59:C59"/>
    <mergeCell ref="D58:H58"/>
    <mergeCell ref="D59:H59"/>
    <mergeCell ref="D56:H56"/>
    <mergeCell ref="A56:C56"/>
    <mergeCell ref="D54:H54"/>
    <mergeCell ref="A57:C57"/>
    <mergeCell ref="A53:H53"/>
    <mergeCell ref="A54:C54"/>
    <mergeCell ref="A76:H76"/>
    <mergeCell ref="A50:B51"/>
    <mergeCell ref="A41:D41"/>
    <mergeCell ref="E41:H41"/>
    <mergeCell ref="E42:H42"/>
    <mergeCell ref="E43:H43"/>
    <mergeCell ref="E44:H44"/>
    <mergeCell ref="A42:D42"/>
    <mergeCell ref="A43:D43"/>
    <mergeCell ref="A44:D44"/>
    <mergeCell ref="A45:H45"/>
    <mergeCell ref="A16:B16"/>
    <mergeCell ref="C16:D16"/>
    <mergeCell ref="E16:F16"/>
    <mergeCell ref="G16:H16"/>
    <mergeCell ref="A24:D24"/>
    <mergeCell ref="A25:D25"/>
    <mergeCell ref="E25:H25"/>
    <mergeCell ref="E24:H24"/>
    <mergeCell ref="A26:D26"/>
    <mergeCell ref="E26:H26"/>
    <mergeCell ref="A23:D23"/>
    <mergeCell ref="E23:H23"/>
    <mergeCell ref="A18:B18"/>
    <mergeCell ref="C18:D18"/>
    <mergeCell ref="E18:F18"/>
    <mergeCell ref="G18:H18"/>
    <mergeCell ref="A19:B19"/>
    <mergeCell ref="C19:D19"/>
    <mergeCell ref="E19:F19"/>
    <mergeCell ref="G19:H19"/>
    <mergeCell ref="A20:D21"/>
    <mergeCell ref="E20:H21"/>
    <mergeCell ref="A22:D22"/>
    <mergeCell ref="E22:H22"/>
    <mergeCell ref="A11:D11"/>
    <mergeCell ref="E11:H11"/>
    <mergeCell ref="A5:D5"/>
    <mergeCell ref="E5:H5"/>
    <mergeCell ref="A6:D6"/>
    <mergeCell ref="E6:H6"/>
    <mergeCell ref="A7:D7"/>
    <mergeCell ref="E7:H7"/>
    <mergeCell ref="A15:B15"/>
    <mergeCell ref="A12:D12"/>
    <mergeCell ref="E12:H12"/>
    <mergeCell ref="A13:D13"/>
    <mergeCell ref="E13:H13"/>
    <mergeCell ref="A14:B14"/>
    <mergeCell ref="C14:H14"/>
    <mergeCell ref="C15:H15"/>
    <mergeCell ref="A10:D10"/>
    <mergeCell ref="E10:H10"/>
    <mergeCell ref="A1:H1"/>
    <mergeCell ref="A2:H2"/>
    <mergeCell ref="A3:D3"/>
    <mergeCell ref="E3:H3"/>
    <mergeCell ref="A4:D4"/>
    <mergeCell ref="A8:D8"/>
    <mergeCell ref="E8:H8"/>
    <mergeCell ref="A9:D9"/>
    <mergeCell ref="E9:H9"/>
    <mergeCell ref="E4:H4"/>
    <mergeCell ref="A17:B17"/>
    <mergeCell ref="C17:D17"/>
    <mergeCell ref="E17:F17"/>
    <mergeCell ref="G17:H17"/>
    <mergeCell ref="A27:D27"/>
    <mergeCell ref="E27:H27"/>
    <mergeCell ref="A40:D40"/>
    <mergeCell ref="E40:H40"/>
    <mergeCell ref="A28:D28"/>
    <mergeCell ref="E28:H28"/>
    <mergeCell ref="A35:H35"/>
    <mergeCell ref="A34:B34"/>
    <mergeCell ref="A29:D29"/>
    <mergeCell ref="E29:H29"/>
    <mergeCell ref="A38:H38"/>
    <mergeCell ref="A39:D39"/>
    <mergeCell ref="E39:H39"/>
    <mergeCell ref="F31:H31"/>
    <mergeCell ref="F32:H32"/>
    <mergeCell ref="C30:E30"/>
    <mergeCell ref="F33:H33"/>
    <mergeCell ref="F34:H34"/>
    <mergeCell ref="F30:H30"/>
    <mergeCell ref="A31:B31"/>
    <mergeCell ref="A499:H502"/>
    <mergeCell ref="A498:B498"/>
    <mergeCell ref="E498:F498"/>
    <mergeCell ref="C498:D498"/>
    <mergeCell ref="G498:H498"/>
    <mergeCell ref="A91:H91"/>
    <mergeCell ref="A89:E89"/>
    <mergeCell ref="F89:H89"/>
    <mergeCell ref="A90:E90"/>
    <mergeCell ref="F90:H90"/>
    <mergeCell ref="D96:E96"/>
    <mergeCell ref="F96:H96"/>
    <mergeCell ref="A101:B101"/>
    <mergeCell ref="A102:H102"/>
    <mergeCell ref="A96:B96"/>
    <mergeCell ref="A99:H99"/>
    <mergeCell ref="A95:B95"/>
    <mergeCell ref="A94:H94"/>
    <mergeCell ref="A132:B132"/>
    <mergeCell ref="A107:H107"/>
    <mergeCell ref="A206:B206"/>
    <mergeCell ref="A207:B207"/>
    <mergeCell ref="A208:H208"/>
    <mergeCell ref="A209:B209"/>
    <mergeCell ref="A79:H79"/>
    <mergeCell ref="A103:H103"/>
    <mergeCell ref="A104:H104"/>
    <mergeCell ref="A105:H105"/>
    <mergeCell ref="A106:H106"/>
    <mergeCell ref="A294:B294"/>
    <mergeCell ref="A295:B295"/>
    <mergeCell ref="A296:B296"/>
    <mergeCell ref="C31:E31"/>
    <mergeCell ref="A32:B32"/>
    <mergeCell ref="C32:E32"/>
    <mergeCell ref="A33:B33"/>
    <mergeCell ref="C33:E33"/>
    <mergeCell ref="C34:E34"/>
    <mergeCell ref="A133:H133"/>
    <mergeCell ref="A134:B134"/>
    <mergeCell ref="A125:B125"/>
    <mergeCell ref="A126:B126"/>
    <mergeCell ref="A127:B127"/>
    <mergeCell ref="A128:H128"/>
    <mergeCell ref="A129:B129"/>
    <mergeCell ref="G129:H132"/>
    <mergeCell ref="A130:B130"/>
    <mergeCell ref="A131:B131"/>
    <mergeCell ref="A30:B30"/>
    <mergeCell ref="F86:H86"/>
    <mergeCell ref="A87:E87"/>
    <mergeCell ref="F87:H87"/>
    <mergeCell ref="A83:E83"/>
    <mergeCell ref="F83:H83"/>
    <mergeCell ref="A84:E84"/>
    <mergeCell ref="F84:H84"/>
    <mergeCell ref="A85:E85"/>
    <mergeCell ref="F85:H85"/>
    <mergeCell ref="A36:B36"/>
    <mergeCell ref="A48:B49"/>
    <mergeCell ref="C49:E49"/>
    <mergeCell ref="G49:H49"/>
    <mergeCell ref="G48:H48"/>
    <mergeCell ref="A64:B64"/>
    <mergeCell ref="C64:H64"/>
    <mergeCell ref="A65:B65"/>
    <mergeCell ref="E65:F65"/>
    <mergeCell ref="G65:H65"/>
    <mergeCell ref="A66:B66"/>
    <mergeCell ref="D57:H57"/>
    <mergeCell ref="A55:C55"/>
    <mergeCell ref="D55:H55"/>
    <mergeCell ref="A108:H108"/>
    <mergeCell ref="A113:H113"/>
    <mergeCell ref="A198:H198"/>
    <mergeCell ref="A199:B199"/>
    <mergeCell ref="A200:B200"/>
    <mergeCell ref="A201:B201"/>
    <mergeCell ref="A202:B202"/>
    <mergeCell ref="A203:H203"/>
    <mergeCell ref="A204:B204"/>
    <mergeCell ref="A109:B109"/>
    <mergeCell ref="A110:B110"/>
    <mergeCell ref="A111:B111"/>
    <mergeCell ref="A114:B114"/>
    <mergeCell ref="A115:B115"/>
    <mergeCell ref="A124:B124"/>
    <mergeCell ref="G124:H127"/>
    <mergeCell ref="A112:B112"/>
    <mergeCell ref="C109:F109"/>
    <mergeCell ref="A118:H118"/>
    <mergeCell ref="A119:B119"/>
    <mergeCell ref="G119:H122"/>
    <mergeCell ref="A120:B120"/>
    <mergeCell ref="A121:B121"/>
    <mergeCell ref="A122:B122"/>
    <mergeCell ref="A236:B236"/>
    <mergeCell ref="A237:B237"/>
    <mergeCell ref="G234:H237"/>
    <mergeCell ref="A360:B360"/>
    <mergeCell ref="A361:B361"/>
    <mergeCell ref="A233:H233"/>
    <mergeCell ref="A234:B234"/>
    <mergeCell ref="A235:B235"/>
    <mergeCell ref="A241:B241"/>
    <mergeCell ref="A242:B242"/>
    <mergeCell ref="G358:H362"/>
    <mergeCell ref="A357:H357"/>
    <mergeCell ref="A358:B358"/>
    <mergeCell ref="A359:B359"/>
    <mergeCell ref="A238:H238"/>
    <mergeCell ref="A239:B239"/>
    <mergeCell ref="A240:B240"/>
    <mergeCell ref="A270:B270"/>
    <mergeCell ref="A254:H254"/>
    <mergeCell ref="A255:H255"/>
    <mergeCell ref="A256:H256"/>
    <mergeCell ref="A257:H257"/>
    <mergeCell ref="A258:H258"/>
    <mergeCell ref="A259:H259"/>
    <mergeCell ref="A308:B308"/>
    <mergeCell ref="A310:B310"/>
    <mergeCell ref="A311:B311"/>
    <mergeCell ref="A312:B312"/>
    <mergeCell ref="G304:H308"/>
    <mergeCell ref="A306:B306"/>
    <mergeCell ref="C304:F305"/>
    <mergeCell ref="A309:H309"/>
    <mergeCell ref="A305:B305"/>
    <mergeCell ref="A307:B307"/>
    <mergeCell ref="A304:B304"/>
    <mergeCell ref="A323:B323"/>
    <mergeCell ref="A324:B324"/>
    <mergeCell ref="A325:B325"/>
    <mergeCell ref="A326:B326"/>
    <mergeCell ref="A318:B318"/>
    <mergeCell ref="A319:B319"/>
    <mergeCell ref="A322:B322"/>
    <mergeCell ref="G310:H314"/>
    <mergeCell ref="A313:B313"/>
    <mergeCell ref="A315:H315"/>
    <mergeCell ref="G316:H320"/>
    <mergeCell ref="A320:B320"/>
    <mergeCell ref="A321:H321"/>
    <mergeCell ref="G322:H326"/>
    <mergeCell ref="A314:B314"/>
    <mergeCell ref="A316:B316"/>
    <mergeCell ref="A317:B317"/>
    <mergeCell ref="A495:H495"/>
    <mergeCell ref="A338:B338"/>
    <mergeCell ref="A340:B340"/>
    <mergeCell ref="A342:B342"/>
    <mergeCell ref="A335:B335"/>
    <mergeCell ref="A336:B336"/>
    <mergeCell ref="A337:B337"/>
    <mergeCell ref="A328:B328"/>
    <mergeCell ref="A329:B329"/>
    <mergeCell ref="A330:B330"/>
    <mergeCell ref="A331:B331"/>
    <mergeCell ref="A332:B332"/>
    <mergeCell ref="G328:H332"/>
    <mergeCell ref="A333:H333"/>
    <mergeCell ref="A334:B334"/>
    <mergeCell ref="G334:H338"/>
    <mergeCell ref="A339:H339"/>
    <mergeCell ref="G340:H344"/>
    <mergeCell ref="G364:H368"/>
    <mergeCell ref="A493:H493"/>
    <mergeCell ref="A494:H494"/>
    <mergeCell ref="A400:B400"/>
    <mergeCell ref="A411:H411"/>
    <mergeCell ref="A412:B412"/>
    <mergeCell ref="G239:H242"/>
    <mergeCell ref="A97:B97"/>
    <mergeCell ref="D97:E97"/>
    <mergeCell ref="F97:H97"/>
    <mergeCell ref="A98:B98"/>
    <mergeCell ref="D98:E98"/>
    <mergeCell ref="F98:H98"/>
    <mergeCell ref="A373:B373"/>
    <mergeCell ref="A374:B374"/>
    <mergeCell ref="A367:B367"/>
    <mergeCell ref="A370:B370"/>
    <mergeCell ref="A371:B371"/>
    <mergeCell ref="A362:B362"/>
    <mergeCell ref="A364:B364"/>
    <mergeCell ref="A365:B365"/>
    <mergeCell ref="A366:B366"/>
    <mergeCell ref="A363:H363"/>
    <mergeCell ref="A368:B368"/>
    <mergeCell ref="A352:B352"/>
    <mergeCell ref="A353:B353"/>
    <mergeCell ref="A354:B354"/>
    <mergeCell ref="A355:B355"/>
    <mergeCell ref="A347:B347"/>
    <mergeCell ref="A348:B348"/>
    <mergeCell ref="A123:H123"/>
    <mergeCell ref="G109:H112"/>
    <mergeCell ref="G114:H117"/>
    <mergeCell ref="A117:B117"/>
    <mergeCell ref="A116:B116"/>
    <mergeCell ref="G134:H137"/>
    <mergeCell ref="A135:B135"/>
    <mergeCell ref="A136:B136"/>
    <mergeCell ref="A137:B137"/>
    <mergeCell ref="A138:H138"/>
    <mergeCell ref="A139:B139"/>
    <mergeCell ref="G139:H142"/>
    <mergeCell ref="A140:B140"/>
    <mergeCell ref="A141:B141"/>
    <mergeCell ref="A142:B142"/>
    <mergeCell ref="A148:H148"/>
    <mergeCell ref="A149:B149"/>
    <mergeCell ref="G149:H152"/>
    <mergeCell ref="A150:B150"/>
    <mergeCell ref="A151:B151"/>
    <mergeCell ref="A152:B152"/>
    <mergeCell ref="A143:H143"/>
    <mergeCell ref="A144:B144"/>
    <mergeCell ref="C144:F144"/>
    <mergeCell ref="A145:B145"/>
    <mergeCell ref="A146:B146"/>
    <mergeCell ref="A147:B147"/>
    <mergeCell ref="G144:H147"/>
    <mergeCell ref="A153:H153"/>
    <mergeCell ref="A154:B154"/>
    <mergeCell ref="G154:H157"/>
    <mergeCell ref="A155:B155"/>
    <mergeCell ref="A156:B156"/>
    <mergeCell ref="A157:B157"/>
    <mergeCell ref="A158:H158"/>
    <mergeCell ref="A159:B159"/>
    <mergeCell ref="G159:H162"/>
    <mergeCell ref="A160:B160"/>
    <mergeCell ref="A161:B161"/>
    <mergeCell ref="A162:B162"/>
    <mergeCell ref="A163:H163"/>
    <mergeCell ref="A164:B164"/>
    <mergeCell ref="G164:H167"/>
    <mergeCell ref="A165:B165"/>
    <mergeCell ref="A166:B166"/>
    <mergeCell ref="A167:B167"/>
    <mergeCell ref="A168:H168"/>
    <mergeCell ref="A169:B169"/>
    <mergeCell ref="G169:H172"/>
    <mergeCell ref="A170:B170"/>
    <mergeCell ref="A171:B171"/>
    <mergeCell ref="A172:B172"/>
    <mergeCell ref="A173:H173"/>
    <mergeCell ref="A174:B174"/>
    <mergeCell ref="G174:H177"/>
    <mergeCell ref="A175:B175"/>
    <mergeCell ref="A176:B176"/>
    <mergeCell ref="A177:B177"/>
    <mergeCell ref="A178:H178"/>
    <mergeCell ref="A179:B179"/>
    <mergeCell ref="G179:H182"/>
    <mergeCell ref="A180:B180"/>
    <mergeCell ref="A181:B181"/>
    <mergeCell ref="A182:B182"/>
    <mergeCell ref="C179:F179"/>
    <mergeCell ref="A183:H183"/>
    <mergeCell ref="A184:B184"/>
    <mergeCell ref="G184:H187"/>
    <mergeCell ref="A185:B185"/>
    <mergeCell ref="A186:B186"/>
    <mergeCell ref="A187:B187"/>
    <mergeCell ref="A188:H188"/>
    <mergeCell ref="A189:B189"/>
    <mergeCell ref="G189:H192"/>
    <mergeCell ref="A190:B190"/>
    <mergeCell ref="A191:B191"/>
    <mergeCell ref="A192:B192"/>
    <mergeCell ref="A193:H193"/>
    <mergeCell ref="A194:B194"/>
    <mergeCell ref="G194:H197"/>
    <mergeCell ref="A195:B195"/>
    <mergeCell ref="A196:B196"/>
    <mergeCell ref="A197:B197"/>
    <mergeCell ref="A211:B211"/>
    <mergeCell ref="A212:B212"/>
    <mergeCell ref="A213:H213"/>
    <mergeCell ref="G199:H202"/>
    <mergeCell ref="G209:H212"/>
    <mergeCell ref="G204:H207"/>
    <mergeCell ref="A210:B210"/>
    <mergeCell ref="A205:B205"/>
    <mergeCell ref="A228:H228"/>
    <mergeCell ref="A229:B229"/>
    <mergeCell ref="G229:H232"/>
    <mergeCell ref="A230:B230"/>
    <mergeCell ref="A231:B231"/>
    <mergeCell ref="A232:B232"/>
    <mergeCell ref="A218:H218"/>
    <mergeCell ref="A219:B219"/>
    <mergeCell ref="A220:B220"/>
    <mergeCell ref="G219:H222"/>
    <mergeCell ref="A221:B221"/>
    <mergeCell ref="A222:B222"/>
    <mergeCell ref="A214:B214"/>
    <mergeCell ref="A215:B215"/>
    <mergeCell ref="A216:B216"/>
    <mergeCell ref="A217:B217"/>
    <mergeCell ref="A223:H223"/>
    <mergeCell ref="A224:B224"/>
    <mergeCell ref="G224:H227"/>
    <mergeCell ref="A225:B225"/>
    <mergeCell ref="A226:B226"/>
    <mergeCell ref="A227:B227"/>
    <mergeCell ref="C214:F214"/>
    <mergeCell ref="G214:H217"/>
    <mergeCell ref="A297:H297"/>
    <mergeCell ref="A299:B299"/>
    <mergeCell ref="G274:H278"/>
    <mergeCell ref="G280:H284"/>
    <mergeCell ref="G286:H290"/>
    <mergeCell ref="G292:H296"/>
    <mergeCell ref="G298:H302"/>
    <mergeCell ref="G262:H266"/>
    <mergeCell ref="A274:B274"/>
    <mergeCell ref="A275:B275"/>
    <mergeCell ref="A276:B276"/>
    <mergeCell ref="A277:B277"/>
    <mergeCell ref="G268:H272"/>
    <mergeCell ref="A300:B300"/>
    <mergeCell ref="A301:B301"/>
    <mergeCell ref="A302:B302"/>
    <mergeCell ref="A266:B266"/>
    <mergeCell ref="C263:F264"/>
    <mergeCell ref="A264:B264"/>
    <mergeCell ref="A265:B265"/>
    <mergeCell ref="A298:B298"/>
    <mergeCell ref="A345:H345"/>
    <mergeCell ref="A346:B346"/>
    <mergeCell ref="C346:F347"/>
    <mergeCell ref="G346:H350"/>
    <mergeCell ref="A349:B349"/>
    <mergeCell ref="A350:B350"/>
    <mergeCell ref="A351:H351"/>
    <mergeCell ref="G352:H356"/>
    <mergeCell ref="A356:B356"/>
    <mergeCell ref="G382:H386"/>
    <mergeCell ref="A379:B379"/>
    <mergeCell ref="A380:B380"/>
    <mergeCell ref="A381:H381"/>
    <mergeCell ref="A382:B382"/>
    <mergeCell ref="A383:B383"/>
    <mergeCell ref="G376:H380"/>
    <mergeCell ref="A369:H369"/>
    <mergeCell ref="G370:H374"/>
    <mergeCell ref="A372:B372"/>
    <mergeCell ref="A375:H375"/>
    <mergeCell ref="A376:B376"/>
    <mergeCell ref="A377:B377"/>
    <mergeCell ref="A378:B378"/>
    <mergeCell ref="A37:B37"/>
    <mergeCell ref="C36:H36"/>
    <mergeCell ref="C37:H37"/>
    <mergeCell ref="C394:F395"/>
    <mergeCell ref="A399:H399"/>
    <mergeCell ref="G400:H404"/>
    <mergeCell ref="A401:B401"/>
    <mergeCell ref="A405:H405"/>
    <mergeCell ref="G394:H398"/>
    <mergeCell ref="A391:B391"/>
    <mergeCell ref="A393:H393"/>
    <mergeCell ref="A396:B396"/>
    <mergeCell ref="G388:H392"/>
    <mergeCell ref="A397:B397"/>
    <mergeCell ref="A398:B398"/>
    <mergeCell ref="A392:B392"/>
    <mergeCell ref="A394:B394"/>
    <mergeCell ref="A395:B395"/>
    <mergeCell ref="A388:B388"/>
    <mergeCell ref="A389:B389"/>
    <mergeCell ref="A384:B384"/>
    <mergeCell ref="A385:B385"/>
    <mergeCell ref="A386:B386"/>
    <mergeCell ref="A387:H387"/>
  </mergeCells>
  <hyperlinks>
    <hyperlink ref="C37" r:id="rId1" xr:uid="{00000000-0004-0000-0000-000000000000}"/>
    <hyperlink ref="J1" r:id="rId2" xr:uid="{72226A64-0AFD-4A5B-8A65-29EA17581B88}"/>
  </hyperlinks>
  <printOptions horizontalCentered="1"/>
  <pageMargins left="0.39370078740157483" right="0.39370078740157483" top="0.78740157480314965" bottom="0.78740157480314965" header="0.19685039370078741" footer="0.19685039370078741"/>
  <pageSetup paperSize="2" fitToHeight="0" orientation="portrait" r:id="rId3"/>
  <headerFooter>
    <oddHeader>&amp;C&amp;G</oddHeader>
    <oddFooter>&amp;L&amp;"Times New Roman,Bold"&amp;12Ref No: &amp;F&amp;C&amp;G&amp;R&amp;"Times New Roman,Bold"&amp;12&amp;P</oddFooter>
  </headerFooter>
  <rowBreaks count="5" manualBreakCount="5">
    <brk id="37" max="16383" man="1"/>
    <brk id="52" max="7" man="1"/>
    <brk id="90" max="7" man="1"/>
    <brk id="502" max="16383" man="1"/>
    <brk id="545" max="16383"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6"/>
  <sheetViews>
    <sheetView topLeftCell="A16" workbookViewId="0">
      <selection activeCell="F31" sqref="F31"/>
    </sheetView>
  </sheetViews>
  <sheetFormatPr defaultRowHeight="15" x14ac:dyDescent="0.25"/>
  <cols>
    <col min="2" max="2" width="12.42578125" customWidth="1"/>
  </cols>
  <sheetData>
    <row r="2" spans="1:12" x14ac:dyDescent="0.25">
      <c r="B2" s="3" t="s">
        <v>81</v>
      </c>
      <c r="C2" s="167"/>
      <c r="D2" s="167"/>
    </row>
    <row r="3" spans="1:12" x14ac:dyDescent="0.25">
      <c r="D3" s="4"/>
      <c r="E3" s="4"/>
      <c r="F3" s="4"/>
      <c r="G3" s="4"/>
      <c r="H3" s="4"/>
      <c r="I3" s="4"/>
    </row>
    <row r="4" spans="1:12" x14ac:dyDescent="0.25">
      <c r="A4" s="3" t="s">
        <v>82</v>
      </c>
      <c r="B4" s="5" t="s">
        <v>83</v>
      </c>
      <c r="C4" s="168" t="s">
        <v>84</v>
      </c>
      <c r="D4" s="168"/>
      <c r="E4" s="168"/>
      <c r="F4" s="6"/>
      <c r="G4" s="168" t="s">
        <v>85</v>
      </c>
      <c r="H4" s="168"/>
      <c r="I4" s="168"/>
      <c r="J4" s="168" t="s">
        <v>86</v>
      </c>
      <c r="K4" s="168"/>
      <c r="L4" s="168"/>
    </row>
    <row r="5" spans="1:12" x14ac:dyDescent="0.25">
      <c r="A5" s="3">
        <v>202</v>
      </c>
      <c r="B5" s="5"/>
      <c r="C5" s="5" t="s">
        <v>87</v>
      </c>
      <c r="D5" s="5" t="s">
        <v>88</v>
      </c>
      <c r="E5" s="5" t="s">
        <v>62</v>
      </c>
      <c r="F5" s="5"/>
      <c r="G5" s="5" t="s">
        <v>87</v>
      </c>
      <c r="H5" s="5" t="s">
        <v>88</v>
      </c>
      <c r="I5" s="5" t="s">
        <v>62</v>
      </c>
      <c r="J5" s="5" t="s">
        <v>87</v>
      </c>
      <c r="K5" s="5" t="s">
        <v>88</v>
      </c>
      <c r="L5" s="5" t="s">
        <v>62</v>
      </c>
    </row>
    <row r="6" spans="1:12" x14ac:dyDescent="0.25">
      <c r="B6" s="7" t="s">
        <v>89</v>
      </c>
      <c r="C6" s="7">
        <v>3.35</v>
      </c>
      <c r="D6" s="7">
        <v>6.35</v>
      </c>
      <c r="E6" s="7">
        <f>C6*D6</f>
        <v>21.272500000000001</v>
      </c>
      <c r="F6" s="7" t="s">
        <v>90</v>
      </c>
      <c r="G6" s="7"/>
      <c r="H6" s="7"/>
      <c r="I6" s="7">
        <f>G6*H6</f>
        <v>0</v>
      </c>
      <c r="J6" s="7"/>
      <c r="K6" s="7"/>
      <c r="L6" s="7">
        <f>J6*K6</f>
        <v>0</v>
      </c>
    </row>
    <row r="7" spans="1:12" x14ac:dyDescent="0.25">
      <c r="B7" s="7"/>
      <c r="C7" s="7"/>
      <c r="D7" s="7"/>
      <c r="E7" s="7">
        <f t="shared" ref="E7:E33" si="0">C7*D7</f>
        <v>0</v>
      </c>
      <c r="F7" s="7" t="s">
        <v>91</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92</v>
      </c>
      <c r="C9" s="7">
        <v>2.4500000000000002</v>
      </c>
      <c r="D9" s="7">
        <v>3</v>
      </c>
      <c r="E9" s="7">
        <f t="shared" si="0"/>
        <v>7.3500000000000005</v>
      </c>
      <c r="F9" s="7" t="s">
        <v>90</v>
      </c>
      <c r="G9" s="7"/>
      <c r="H9" s="7"/>
      <c r="I9" s="7">
        <f t="shared" si="1"/>
        <v>0</v>
      </c>
      <c r="J9" s="7"/>
      <c r="K9" s="7"/>
      <c r="L9" s="7">
        <f t="shared" si="2"/>
        <v>0</v>
      </c>
    </row>
    <row r="10" spans="1:12" x14ac:dyDescent="0.25">
      <c r="B10" s="7"/>
      <c r="C10" s="7">
        <v>0.9</v>
      </c>
      <c r="D10" s="7">
        <v>2.7</v>
      </c>
      <c r="E10" s="7">
        <f t="shared" si="0"/>
        <v>2.4300000000000002</v>
      </c>
      <c r="F10" s="7" t="s">
        <v>91</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93</v>
      </c>
      <c r="C13" s="7">
        <v>3.05</v>
      </c>
      <c r="D13" s="7">
        <v>3.35</v>
      </c>
      <c r="E13" s="7">
        <f t="shared" si="0"/>
        <v>10.217499999999999</v>
      </c>
      <c r="F13" s="7" t="s">
        <v>90</v>
      </c>
      <c r="G13" s="7"/>
      <c r="H13" s="7"/>
      <c r="I13" s="7">
        <f t="shared" si="1"/>
        <v>0</v>
      </c>
      <c r="J13" s="7"/>
      <c r="K13" s="7"/>
      <c r="L13" s="7">
        <f t="shared" si="2"/>
        <v>0</v>
      </c>
    </row>
    <row r="14" spans="1:12" x14ac:dyDescent="0.25">
      <c r="B14" s="7"/>
      <c r="C14" s="7"/>
      <c r="D14" s="7"/>
      <c r="E14" s="7">
        <f t="shared" si="0"/>
        <v>0</v>
      </c>
      <c r="F14" s="7" t="s">
        <v>91</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94</v>
      </c>
      <c r="C17" s="7">
        <v>3.35</v>
      </c>
      <c r="D17" s="7">
        <v>3.85</v>
      </c>
      <c r="E17" s="7">
        <f t="shared" si="0"/>
        <v>12.897500000000001</v>
      </c>
      <c r="F17" s="7" t="s">
        <v>90</v>
      </c>
      <c r="G17" s="7"/>
      <c r="H17" s="7"/>
      <c r="I17" s="7">
        <f t="shared" si="1"/>
        <v>0</v>
      </c>
      <c r="J17" s="7"/>
      <c r="K17" s="7"/>
      <c r="L17" s="7">
        <f t="shared" si="2"/>
        <v>0</v>
      </c>
    </row>
    <row r="18" spans="2:12" x14ac:dyDescent="0.25">
      <c r="B18" s="7"/>
      <c r="C18" s="7"/>
      <c r="D18" s="7"/>
      <c r="E18" s="7">
        <f t="shared" si="0"/>
        <v>0</v>
      </c>
      <c r="F18" s="7" t="s">
        <v>91</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94</v>
      </c>
      <c r="C20" s="7">
        <v>3.65</v>
      </c>
      <c r="D20" s="7">
        <v>3.05</v>
      </c>
      <c r="E20" s="7">
        <f t="shared" si="0"/>
        <v>11.132499999999999</v>
      </c>
      <c r="F20" s="7" t="s">
        <v>90</v>
      </c>
      <c r="G20" s="7"/>
      <c r="H20" s="7"/>
      <c r="I20" s="7">
        <f t="shared" si="1"/>
        <v>0</v>
      </c>
      <c r="J20" s="7"/>
      <c r="K20" s="7"/>
      <c r="L20" s="7">
        <f t="shared" si="2"/>
        <v>0</v>
      </c>
    </row>
    <row r="21" spans="2:12" x14ac:dyDescent="0.25">
      <c r="B21" s="7"/>
      <c r="C21" s="7"/>
      <c r="D21" s="7"/>
      <c r="E21" s="7">
        <f t="shared" si="0"/>
        <v>0</v>
      </c>
      <c r="F21" s="7" t="s">
        <v>91</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95</v>
      </c>
      <c r="C23" s="7">
        <v>1.375</v>
      </c>
      <c r="D23" s="7">
        <v>2.2749999999999999</v>
      </c>
      <c r="E23" s="7">
        <f t="shared" si="0"/>
        <v>3.1281249999999998</v>
      </c>
      <c r="F23" s="7" t="s">
        <v>96</v>
      </c>
      <c r="G23" s="7"/>
      <c r="H23" s="7"/>
      <c r="I23" s="7">
        <f t="shared" si="1"/>
        <v>0</v>
      </c>
      <c r="J23" s="7"/>
      <c r="K23" s="7"/>
      <c r="L23" s="7">
        <f t="shared" si="2"/>
        <v>0</v>
      </c>
    </row>
    <row r="24" spans="2:12" x14ac:dyDescent="0.25">
      <c r="B24" s="7" t="s">
        <v>97</v>
      </c>
      <c r="C24" s="7">
        <v>1.375</v>
      </c>
      <c r="D24" s="7">
        <v>2.2749999999999999</v>
      </c>
      <c r="E24" s="7">
        <f t="shared" si="0"/>
        <v>3.1281249999999998</v>
      </c>
      <c r="F24" s="7" t="s">
        <v>96</v>
      </c>
      <c r="G24" s="7"/>
      <c r="H24" s="7"/>
      <c r="I24" s="7">
        <f t="shared" si="1"/>
        <v>0</v>
      </c>
      <c r="J24" s="7"/>
      <c r="K24" s="7"/>
      <c r="L24" s="7">
        <f t="shared" si="2"/>
        <v>0</v>
      </c>
    </row>
    <row r="25" spans="2:12" x14ac:dyDescent="0.25">
      <c r="B25" s="7" t="s">
        <v>98</v>
      </c>
      <c r="C25" s="7">
        <v>1.5249999999999999</v>
      </c>
      <c r="D25" s="7">
        <v>2.452</v>
      </c>
      <c r="E25" s="7">
        <f t="shared" si="0"/>
        <v>3.7392999999999996</v>
      </c>
      <c r="F25" s="7" t="s">
        <v>96</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99</v>
      </c>
      <c r="C27" s="7">
        <v>1.05</v>
      </c>
      <c r="D27" s="7">
        <v>3.05</v>
      </c>
      <c r="E27" s="7">
        <f t="shared" si="0"/>
        <v>3.2025000000000001</v>
      </c>
      <c r="F27" s="7"/>
      <c r="G27" s="7"/>
      <c r="H27" s="7"/>
      <c r="I27" s="7">
        <f t="shared" si="1"/>
        <v>0</v>
      </c>
      <c r="J27" s="7"/>
      <c r="K27" s="7"/>
      <c r="L27" s="7">
        <f t="shared" si="2"/>
        <v>0</v>
      </c>
    </row>
    <row r="28" spans="2:12" x14ac:dyDescent="0.25">
      <c r="B28" s="7" t="s">
        <v>100</v>
      </c>
      <c r="C28" s="7">
        <v>1.05</v>
      </c>
      <c r="D28" s="7">
        <v>1.5249999999999999</v>
      </c>
      <c r="E28" s="7">
        <f t="shared" si="0"/>
        <v>1.6012500000000001</v>
      </c>
      <c r="F28" s="7"/>
      <c r="G28" s="7"/>
      <c r="H28" s="7"/>
      <c r="I28" s="7">
        <f t="shared" si="1"/>
        <v>0</v>
      </c>
      <c r="J28" s="7"/>
      <c r="K28" s="7"/>
      <c r="L28" s="7">
        <f t="shared" si="2"/>
        <v>0</v>
      </c>
    </row>
    <row r="29" spans="2:12" x14ac:dyDescent="0.25">
      <c r="B29" s="7" t="s">
        <v>101</v>
      </c>
      <c r="C29" s="7"/>
      <c r="D29" s="7"/>
      <c r="E29" s="7">
        <f t="shared" si="0"/>
        <v>0</v>
      </c>
      <c r="F29" s="7"/>
      <c r="G29" s="7"/>
      <c r="H29" s="7"/>
      <c r="I29" s="7">
        <f t="shared" si="1"/>
        <v>0</v>
      </c>
      <c r="J29" s="7"/>
      <c r="K29" s="7"/>
      <c r="L29" s="7">
        <f t="shared" si="2"/>
        <v>0</v>
      </c>
    </row>
    <row r="30" spans="2:12" x14ac:dyDescent="0.25">
      <c r="B30" s="7" t="s">
        <v>102</v>
      </c>
      <c r="C30" s="7">
        <v>0.45</v>
      </c>
      <c r="D30" s="7">
        <v>2.9</v>
      </c>
      <c r="E30" s="7">
        <f t="shared" si="0"/>
        <v>1.3049999999999999</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63</v>
      </c>
      <c r="C34" s="7"/>
      <c r="D34" s="7">
        <f>E34*10.764</f>
        <v>876.23588519999987</v>
      </c>
      <c r="E34" s="7">
        <f>SUM(E6:E33)</f>
        <v>81.404299999999992</v>
      </c>
      <c r="F34" s="7"/>
      <c r="G34" s="7"/>
      <c r="H34" s="7">
        <f>I34*10.764</f>
        <v>0</v>
      </c>
      <c r="I34" s="7">
        <f>SUM(I6:I33)</f>
        <v>0</v>
      </c>
      <c r="J34" s="7"/>
      <c r="K34" s="7">
        <f>L34*10.764</f>
        <v>0</v>
      </c>
      <c r="L34" s="7">
        <f>SUM(L6:L33)</f>
        <v>0</v>
      </c>
    </row>
    <row r="36" spans="2:12" x14ac:dyDescent="0.25">
      <c r="D36">
        <f>D34+H34</f>
        <v>876.23588519999987</v>
      </c>
      <c r="E36">
        <f>E34+I34</f>
        <v>81.404299999999992</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
  <sheetViews>
    <sheetView workbookViewId="0">
      <selection activeCell="F1" sqref="F1:G4"/>
    </sheetView>
  </sheetViews>
  <sheetFormatPr defaultRowHeight="15" x14ac:dyDescent="0.25"/>
  <sheetData>
    <row r="1" spans="1:7" x14ac:dyDescent="0.25">
      <c r="A1">
        <v>1</v>
      </c>
      <c r="C1" s="169" t="str">
        <f>(1600+A1)&amp;" &amp; "&amp;(3700+A1)</f>
        <v>1601 &amp; 3701</v>
      </c>
      <c r="D1" s="169"/>
      <c r="F1" s="169" t="s">
        <v>185</v>
      </c>
      <c r="G1" s="169"/>
    </row>
    <row r="2" spans="1:7" x14ac:dyDescent="0.25">
      <c r="A2">
        <v>2</v>
      </c>
      <c r="C2" s="169" t="str">
        <f>(1600+A2)&amp;" &amp; "&amp;(3700+A2)</f>
        <v>1602 &amp; 3702</v>
      </c>
      <c r="D2" s="169"/>
      <c r="F2" s="169" t="s">
        <v>186</v>
      </c>
      <c r="G2" s="169"/>
    </row>
    <row r="3" spans="1:7" x14ac:dyDescent="0.25">
      <c r="A3">
        <v>3</v>
      </c>
      <c r="C3" s="169" t="str">
        <f>(1600+A3)&amp;" &amp; "&amp;(3700+A3)</f>
        <v>1603 &amp; 3703</v>
      </c>
      <c r="D3" s="169"/>
      <c r="F3" s="169" t="s">
        <v>187</v>
      </c>
      <c r="G3" s="169"/>
    </row>
    <row r="4" spans="1:7" x14ac:dyDescent="0.25">
      <c r="A4">
        <v>4</v>
      </c>
      <c r="C4" s="169" t="str">
        <f>(1600+A4)&amp;" &amp; "&amp;(3700+A4)</f>
        <v>1604 &amp; 3704</v>
      </c>
      <c r="D4" s="169"/>
      <c r="F4" s="169" t="s">
        <v>188</v>
      </c>
      <c r="G4" s="169"/>
    </row>
    <row r="7" spans="1:7" x14ac:dyDescent="0.25">
      <c r="A7">
        <v>1</v>
      </c>
      <c r="C7" s="169" t="str">
        <f>(1600+A1)&amp;",...,"&amp;(4400+A1)</f>
        <v>1601,...,4401</v>
      </c>
      <c r="D7" s="169"/>
      <c r="F7" s="169" t="s">
        <v>181</v>
      </c>
      <c r="G7" s="169"/>
    </row>
    <row r="8" spans="1:7" x14ac:dyDescent="0.25">
      <c r="A8">
        <v>2</v>
      </c>
      <c r="C8" s="169" t="str">
        <f>(1600+A2)&amp;",...,"&amp;(4400+A2)</f>
        <v>1602,...,4402</v>
      </c>
      <c r="D8" s="169"/>
      <c r="F8" s="169" t="s">
        <v>182</v>
      </c>
      <c r="G8" s="169"/>
    </row>
    <row r="9" spans="1:7" x14ac:dyDescent="0.25">
      <c r="A9">
        <v>3</v>
      </c>
      <c r="C9" s="169" t="str">
        <f>(1600+A3)&amp;",...,"&amp;(4400+A3)</f>
        <v>1603,...,4403</v>
      </c>
      <c r="D9" s="169"/>
      <c r="F9" s="169" t="s">
        <v>183</v>
      </c>
      <c r="G9" s="169"/>
    </row>
    <row r="10" spans="1:7" x14ac:dyDescent="0.25">
      <c r="A10">
        <v>4</v>
      </c>
      <c r="C10" s="169" t="str">
        <f>(1600+A4)&amp;",...,"&amp;(4400+A4)</f>
        <v>1604,...,4404</v>
      </c>
      <c r="D10" s="169"/>
      <c r="F10" s="169" t="s">
        <v>184</v>
      </c>
      <c r="G10" s="169"/>
    </row>
  </sheetData>
  <mergeCells count="16">
    <mergeCell ref="C1:D1"/>
    <mergeCell ref="F1:G1"/>
    <mergeCell ref="C2:D2"/>
    <mergeCell ref="C3:D3"/>
    <mergeCell ref="C4:D4"/>
    <mergeCell ref="F2:G2"/>
    <mergeCell ref="F3:G3"/>
    <mergeCell ref="F4:G4"/>
    <mergeCell ref="C7:D7"/>
    <mergeCell ref="C8:D8"/>
    <mergeCell ref="C9:D9"/>
    <mergeCell ref="C10:D10"/>
    <mergeCell ref="F7:G7"/>
    <mergeCell ref="F8:G8"/>
    <mergeCell ref="F9:G9"/>
    <mergeCell ref="F10:G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6"/>
  <sheetViews>
    <sheetView topLeftCell="A16" zoomScale="115" zoomScaleNormal="115" workbookViewId="0">
      <selection activeCell="H5" sqref="H5"/>
    </sheetView>
  </sheetViews>
  <sheetFormatPr defaultColWidth="8.5703125" defaultRowHeight="15" x14ac:dyDescent="0.25"/>
  <cols>
    <col min="1" max="1" width="8.5703125" style="28"/>
    <col min="2" max="2" width="22.42578125" style="28" customWidth="1"/>
    <col min="3" max="3" width="37" style="28" customWidth="1"/>
    <col min="4" max="5" width="11.42578125" style="28" customWidth="1"/>
    <col min="6" max="6" width="14" style="28" customWidth="1"/>
    <col min="7" max="7" width="20" style="28" customWidth="1"/>
    <col min="8" max="8" width="16.42578125" style="28" customWidth="1"/>
    <col min="9" max="16384" width="8.5703125" style="28"/>
  </cols>
  <sheetData>
    <row r="1" spans="1:9" ht="15" customHeight="1" x14ac:dyDescent="0.25"/>
    <row r="2" spans="1:9" ht="15" customHeight="1" x14ac:dyDescent="0.25">
      <c r="A2" s="29"/>
      <c r="B2" s="29"/>
      <c r="C2" s="29"/>
      <c r="D2" s="29"/>
      <c r="E2" s="29"/>
      <c r="F2" s="29"/>
      <c r="G2" s="29"/>
      <c r="H2" s="29"/>
    </row>
    <row r="3" spans="1:9" ht="15.75" customHeight="1" x14ac:dyDescent="0.25">
      <c r="A3" s="29"/>
      <c r="B3" s="170" t="s">
        <v>147</v>
      </c>
      <c r="C3" s="170"/>
      <c r="D3" s="170"/>
      <c r="E3" s="170"/>
      <c r="F3" s="170"/>
      <c r="G3" s="170"/>
      <c r="H3" s="170"/>
    </row>
    <row r="4" spans="1:9" x14ac:dyDescent="0.25">
      <c r="A4" s="29"/>
      <c r="B4" s="30" t="s">
        <v>148</v>
      </c>
      <c r="C4" s="30" t="s">
        <v>149</v>
      </c>
      <c r="D4" s="30" t="s">
        <v>82</v>
      </c>
      <c r="E4" s="30" t="s">
        <v>150</v>
      </c>
      <c r="F4" s="30" t="s">
        <v>157</v>
      </c>
      <c r="G4" s="30" t="s">
        <v>158</v>
      </c>
      <c r="H4" s="30" t="s">
        <v>151</v>
      </c>
    </row>
    <row r="5" spans="1:9" ht="15" customHeight="1" x14ac:dyDescent="0.25">
      <c r="A5" s="29"/>
      <c r="B5" s="32" t="s">
        <v>154</v>
      </c>
      <c r="C5" s="40" t="s">
        <v>193</v>
      </c>
      <c r="D5" s="41" t="s">
        <v>153</v>
      </c>
      <c r="E5" s="32">
        <v>965</v>
      </c>
      <c r="F5" s="33">
        <f>E5*1.6</f>
        <v>1544</v>
      </c>
      <c r="G5" s="33">
        <f>H5/F5</f>
        <v>15867.875647668394</v>
      </c>
      <c r="H5" s="34">
        <v>24500000</v>
      </c>
    </row>
    <row r="6" spans="1:9" x14ac:dyDescent="0.25">
      <c r="A6" s="29"/>
      <c r="B6" s="32" t="s">
        <v>154</v>
      </c>
      <c r="C6" s="40" t="s">
        <v>193</v>
      </c>
      <c r="D6" s="41" t="s">
        <v>178</v>
      </c>
      <c r="E6" s="32">
        <v>673</v>
      </c>
      <c r="F6" s="33">
        <f t="shared" ref="F6:F11" si="0">E6*1.6</f>
        <v>1076.8</v>
      </c>
      <c r="G6" s="33">
        <f t="shared" ref="G6:G11" si="1">H6/F6</f>
        <v>15601.783060921249</v>
      </c>
      <c r="H6" s="34">
        <v>16800000</v>
      </c>
    </row>
    <row r="7" spans="1:9" ht="15" customHeight="1" x14ac:dyDescent="0.25">
      <c r="A7" s="29"/>
      <c r="B7" s="32" t="s">
        <v>154</v>
      </c>
      <c r="C7" s="40" t="s">
        <v>193</v>
      </c>
      <c r="D7" s="41" t="s">
        <v>178</v>
      </c>
      <c r="E7" s="32">
        <v>559</v>
      </c>
      <c r="F7" s="33">
        <f t="shared" si="0"/>
        <v>894.40000000000009</v>
      </c>
      <c r="G7" s="33">
        <f t="shared" si="1"/>
        <v>15429.338103756707</v>
      </c>
      <c r="H7" s="34">
        <v>13800000</v>
      </c>
    </row>
    <row r="8" spans="1:9" x14ac:dyDescent="0.25">
      <c r="A8" s="29"/>
      <c r="B8" s="32" t="s">
        <v>154</v>
      </c>
      <c r="C8" s="40" t="s">
        <v>193</v>
      </c>
      <c r="D8" s="41" t="s">
        <v>178</v>
      </c>
      <c r="E8" s="32">
        <v>673</v>
      </c>
      <c r="F8" s="33">
        <f t="shared" si="0"/>
        <v>1076.8</v>
      </c>
      <c r="G8" s="33">
        <f t="shared" si="1"/>
        <v>15601.783060921249</v>
      </c>
      <c r="H8" s="34">
        <v>16800000</v>
      </c>
    </row>
    <row r="9" spans="1:9" ht="15" customHeight="1" x14ac:dyDescent="0.25">
      <c r="A9" s="29"/>
      <c r="B9" s="32" t="s">
        <v>152</v>
      </c>
      <c r="C9" s="40" t="s">
        <v>193</v>
      </c>
      <c r="D9" s="41" t="s">
        <v>178</v>
      </c>
      <c r="E9" s="32">
        <v>559</v>
      </c>
      <c r="F9" s="33">
        <f t="shared" si="0"/>
        <v>894.40000000000009</v>
      </c>
      <c r="G9" s="33">
        <f t="shared" si="1"/>
        <v>14758.497316636851</v>
      </c>
      <c r="H9" s="42">
        <v>13200000</v>
      </c>
    </row>
    <row r="10" spans="1:9" ht="15" customHeight="1" x14ac:dyDescent="0.25">
      <c r="A10" s="29"/>
      <c r="B10" s="32" t="s">
        <v>152</v>
      </c>
      <c r="C10" s="40" t="s">
        <v>193</v>
      </c>
      <c r="D10" s="41" t="s">
        <v>153</v>
      </c>
      <c r="E10" s="32">
        <v>1015</v>
      </c>
      <c r="F10" s="33">
        <f t="shared" si="0"/>
        <v>1624</v>
      </c>
      <c r="G10" s="33">
        <f t="shared" si="1"/>
        <v>17857.142857142859</v>
      </c>
      <c r="H10" s="34">
        <v>29000000</v>
      </c>
    </row>
    <row r="11" spans="1:9" ht="15" customHeight="1" x14ac:dyDescent="0.25">
      <c r="A11" s="29"/>
      <c r="B11" s="32" t="s">
        <v>152</v>
      </c>
      <c r="C11" s="40" t="s">
        <v>193</v>
      </c>
      <c r="D11" s="41" t="s">
        <v>178</v>
      </c>
      <c r="E11" s="32">
        <v>665</v>
      </c>
      <c r="F11" s="33">
        <f t="shared" si="0"/>
        <v>1064</v>
      </c>
      <c r="G11" s="33">
        <f t="shared" si="1"/>
        <v>18515.037593984962</v>
      </c>
      <c r="H11" s="34">
        <v>19700000</v>
      </c>
    </row>
    <row r="12" spans="1:9" ht="15" customHeight="1" x14ac:dyDescent="0.25">
      <c r="A12" s="29"/>
      <c r="B12" s="35" t="s">
        <v>155</v>
      </c>
      <c r="C12" s="32"/>
      <c r="D12" s="32"/>
      <c r="E12" s="32"/>
      <c r="F12" s="32"/>
      <c r="G12" s="36">
        <f>AVERAGE(G5:G11)</f>
        <v>16233.065377290322</v>
      </c>
      <c r="H12" s="32"/>
    </row>
    <row r="13" spans="1:9" ht="15" customHeight="1" x14ac:dyDescent="0.25">
      <c r="B13" s="35" t="s">
        <v>156</v>
      </c>
      <c r="C13" s="32"/>
      <c r="D13" s="32"/>
      <c r="E13" s="32"/>
      <c r="F13" s="37"/>
      <c r="G13" s="35">
        <v>16300</v>
      </c>
      <c r="H13" s="35"/>
      <c r="I13" s="31"/>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2025-09-10T10:31:15Z</cp:lastPrinted>
  <dcterms:created xsi:type="dcterms:W3CDTF">2019-07-16T09:29:46Z</dcterms:created>
  <dcterms:modified xsi:type="dcterms:W3CDTF">2025-09-10T10:36:28Z</dcterms:modified>
</cp:coreProperties>
</file>