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D:\Gaurav\Sep 25\DUMP\"/>
    </mc:Choice>
  </mc:AlternateContent>
  <xr:revisionPtr revIDLastSave="0" documentId="13_ncr:1_{501D57FD-B71A-49B2-ACC7-6CAD2C0F5174}" xr6:coauthVersionLast="36" xr6:coauthVersionMax="47" xr10:uidLastSave="{00000000-0000-0000-0000-000000000000}"/>
  <bookViews>
    <workbookView xWindow="0" yWindow="0" windowWidth="20490" windowHeight="6825" tabRatio="725" xr2:uid="{00000000-000D-0000-FFFF-FFFF00000000}"/>
  </bookViews>
  <sheets>
    <sheet name="Report" sheetId="1" r:id="rId1"/>
    <sheet name="Flat detail" sheetId="3" r:id="rId2"/>
    <sheet name="valuation" sheetId="5" r:id="rId3"/>
    <sheet name="Note" sheetId="4" r:id="rId4"/>
  </sheets>
  <definedNames>
    <definedName name="_xlnm.Print_Area" localSheetId="0">Report!$A$1:$H$532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9" i="1" l="1"/>
  <c r="G209" i="1"/>
  <c r="C209" i="1"/>
  <c r="E194" i="1"/>
  <c r="G194" i="1"/>
  <c r="C194" i="1"/>
  <c r="C78" i="1" l="1"/>
  <c r="C93" i="1" l="1"/>
  <c r="C108" i="1" l="1"/>
  <c r="E3" i="1" l="1"/>
  <c r="D59" i="1" s="1"/>
  <c r="D68" i="1"/>
  <c r="K68" i="1"/>
  <c r="D69" i="1"/>
  <c r="K69" i="1"/>
  <c r="C66" i="1" s="1"/>
  <c r="D70" i="1"/>
  <c r="D71" i="1"/>
  <c r="K71" i="1"/>
  <c r="D72" i="1"/>
  <c r="K72" i="1"/>
  <c r="D73" i="1"/>
  <c r="K73" i="1"/>
  <c r="D74" i="1"/>
  <c r="K74" i="1"/>
  <c r="C67" i="1" s="1"/>
  <c r="D67" i="1" s="1"/>
  <c r="D75" i="1"/>
  <c r="D83" i="1"/>
  <c r="K83" i="1"/>
  <c r="D84" i="1"/>
  <c r="K84" i="1"/>
  <c r="C81" i="1" s="1"/>
  <c r="D85" i="1"/>
  <c r="D86" i="1"/>
  <c r="K86" i="1"/>
  <c r="D87" i="1"/>
  <c r="K87" i="1"/>
  <c r="D88" i="1"/>
  <c r="K88" i="1"/>
  <c r="D89" i="1"/>
  <c r="K89" i="1"/>
  <c r="C82" i="1" s="1"/>
  <c r="D82" i="1" s="1"/>
  <c r="D90" i="1"/>
  <c r="D98" i="1"/>
  <c r="K98" i="1"/>
  <c r="D99" i="1"/>
  <c r="K99" i="1"/>
  <c r="C96" i="1" s="1"/>
  <c r="D100" i="1"/>
  <c r="D101" i="1"/>
  <c r="K101" i="1"/>
  <c r="D102" i="1"/>
  <c r="K102" i="1"/>
  <c r="D103" i="1"/>
  <c r="K103" i="1"/>
  <c r="D104" i="1"/>
  <c r="K104" i="1"/>
  <c r="C97" i="1" s="1"/>
  <c r="D97" i="1" s="1"/>
  <c r="D105" i="1"/>
  <c r="D112" i="1"/>
  <c r="K112" i="1"/>
  <c r="D113" i="1"/>
  <c r="K113" i="1"/>
  <c r="C110" i="1" s="1"/>
  <c r="D114" i="1"/>
  <c r="D115" i="1"/>
  <c r="K115" i="1"/>
  <c r="D116" i="1"/>
  <c r="K116" i="1"/>
  <c r="D117" i="1"/>
  <c r="K117" i="1"/>
  <c r="D118" i="1"/>
  <c r="K118" i="1"/>
  <c r="C111" i="1" s="1"/>
  <c r="D111" i="1" s="1"/>
  <c r="D119" i="1"/>
  <c r="D126" i="1"/>
  <c r="K126" i="1"/>
  <c r="D127" i="1"/>
  <c r="K127" i="1"/>
  <c r="C124" i="1" s="1"/>
  <c r="D128" i="1"/>
  <c r="D129" i="1"/>
  <c r="K129" i="1"/>
  <c r="D130" i="1"/>
  <c r="K130" i="1"/>
  <c r="D131" i="1"/>
  <c r="K131" i="1"/>
  <c r="D132" i="1"/>
  <c r="K132" i="1"/>
  <c r="C125" i="1" s="1"/>
  <c r="D125" i="1" s="1"/>
  <c r="D133" i="1"/>
  <c r="D140" i="1"/>
  <c r="K140" i="1"/>
  <c r="D141" i="1"/>
  <c r="K141" i="1"/>
  <c r="C138" i="1" s="1"/>
  <c r="D142" i="1"/>
  <c r="D143" i="1"/>
  <c r="K143" i="1"/>
  <c r="D144" i="1"/>
  <c r="K144" i="1"/>
  <c r="D145" i="1"/>
  <c r="K145" i="1"/>
  <c r="D146" i="1"/>
  <c r="K146" i="1"/>
  <c r="C139" i="1" s="1"/>
  <c r="D139" i="1" s="1"/>
  <c r="D147" i="1"/>
  <c r="D154" i="1"/>
  <c r="K154" i="1"/>
  <c r="D155" i="1"/>
  <c r="K155" i="1"/>
  <c r="C152" i="1" s="1"/>
  <c r="D156" i="1"/>
  <c r="D157" i="1"/>
  <c r="K157" i="1"/>
  <c r="D158" i="1"/>
  <c r="K158" i="1"/>
  <c r="D159" i="1"/>
  <c r="K159" i="1"/>
  <c r="D160" i="1"/>
  <c r="K160" i="1"/>
  <c r="C153" i="1" s="1"/>
  <c r="D153" i="1" s="1"/>
  <c r="D161" i="1"/>
  <c r="I162" i="1"/>
  <c r="C164" i="1" s="1"/>
  <c r="E166" i="1" s="1"/>
  <c r="D166" i="1"/>
  <c r="G166" i="1"/>
  <c r="D167" i="1"/>
  <c r="D168" i="1"/>
  <c r="K168" i="1"/>
  <c r="D169" i="1"/>
  <c r="K169" i="1"/>
  <c r="D170" i="1"/>
  <c r="D171" i="1"/>
  <c r="K171" i="1"/>
  <c r="D172" i="1"/>
  <c r="K172" i="1"/>
  <c r="D173" i="1"/>
  <c r="K173" i="1"/>
  <c r="D174" i="1"/>
  <c r="K174" i="1"/>
  <c r="D175" i="1"/>
  <c r="E421" i="1"/>
  <c r="D421" i="1"/>
  <c r="F421" i="1" s="1"/>
  <c r="E420" i="1"/>
  <c r="D420" i="1"/>
  <c r="E419" i="1"/>
  <c r="D419" i="1"/>
  <c r="E418" i="1"/>
  <c r="D418" i="1"/>
  <c r="E417" i="1"/>
  <c r="D417" i="1"/>
  <c r="E416" i="1"/>
  <c r="D416" i="1"/>
  <c r="E414" i="1"/>
  <c r="D414" i="1"/>
  <c r="F414" i="1" s="1"/>
  <c r="E413" i="1"/>
  <c r="D413" i="1"/>
  <c r="E412" i="1"/>
  <c r="D412" i="1"/>
  <c r="E411" i="1"/>
  <c r="D411" i="1"/>
  <c r="E410" i="1"/>
  <c r="D410" i="1"/>
  <c r="F410" i="1" s="1"/>
  <c r="E409" i="1"/>
  <c r="D409" i="1"/>
  <c r="G416" i="1"/>
  <c r="G417" i="1" s="1"/>
  <c r="G418" i="1" s="1"/>
  <c r="G419" i="1" s="1"/>
  <c r="G420" i="1" s="1"/>
  <c r="G421" i="1" s="1"/>
  <c r="G409" i="1"/>
  <c r="G410" i="1" s="1"/>
  <c r="G411" i="1" s="1"/>
  <c r="G412" i="1" s="1"/>
  <c r="G413" i="1" s="1"/>
  <c r="G414" i="1" s="1"/>
  <c r="E406" i="1"/>
  <c r="D406" i="1"/>
  <c r="E405" i="1"/>
  <c r="D405" i="1"/>
  <c r="E404" i="1"/>
  <c r="D404" i="1"/>
  <c r="E403" i="1"/>
  <c r="D403" i="1"/>
  <c r="E402" i="1"/>
  <c r="D402" i="1"/>
  <c r="E401" i="1"/>
  <c r="D401" i="1"/>
  <c r="E399" i="1"/>
  <c r="D399" i="1"/>
  <c r="E398" i="1"/>
  <c r="D398" i="1"/>
  <c r="E397" i="1"/>
  <c r="D397" i="1"/>
  <c r="E396" i="1"/>
  <c r="D396" i="1"/>
  <c r="E395" i="1"/>
  <c r="D395" i="1"/>
  <c r="E394" i="1"/>
  <c r="D394" i="1"/>
  <c r="G401" i="1"/>
  <c r="G402" i="1" s="1"/>
  <c r="G403" i="1" s="1"/>
  <c r="G404" i="1" s="1"/>
  <c r="G405" i="1" s="1"/>
  <c r="G406" i="1" s="1"/>
  <c r="G394" i="1"/>
  <c r="G395" i="1" s="1"/>
  <c r="G396" i="1" s="1"/>
  <c r="G397" i="1" s="1"/>
  <c r="G398" i="1" s="1"/>
  <c r="G399" i="1" s="1"/>
  <c r="E391" i="1"/>
  <c r="D391" i="1"/>
  <c r="E390" i="1"/>
  <c r="D390" i="1"/>
  <c r="E389" i="1"/>
  <c r="D389" i="1"/>
  <c r="E388" i="1"/>
  <c r="D388" i="1"/>
  <c r="E387" i="1"/>
  <c r="D387" i="1"/>
  <c r="E386" i="1"/>
  <c r="D386" i="1"/>
  <c r="E384" i="1"/>
  <c r="D384" i="1"/>
  <c r="E383" i="1"/>
  <c r="D383" i="1"/>
  <c r="E382" i="1"/>
  <c r="D382" i="1"/>
  <c r="E381" i="1"/>
  <c r="D381" i="1"/>
  <c r="E380" i="1"/>
  <c r="D380" i="1"/>
  <c r="E379" i="1"/>
  <c r="D379" i="1"/>
  <c r="G386" i="1"/>
  <c r="G387" i="1" s="1"/>
  <c r="G388" i="1" s="1"/>
  <c r="G389" i="1" s="1"/>
  <c r="G390" i="1" s="1"/>
  <c r="G391" i="1" s="1"/>
  <c r="G379" i="1"/>
  <c r="G380" i="1" s="1"/>
  <c r="G381" i="1" s="1"/>
  <c r="G382" i="1" s="1"/>
  <c r="G383" i="1" s="1"/>
  <c r="G384" i="1" s="1"/>
  <c r="E376" i="1"/>
  <c r="D376" i="1"/>
  <c r="E375" i="1"/>
  <c r="D375" i="1"/>
  <c r="E374" i="1"/>
  <c r="D374" i="1"/>
  <c r="E373" i="1"/>
  <c r="D373" i="1"/>
  <c r="E372" i="1"/>
  <c r="D372" i="1"/>
  <c r="E371" i="1"/>
  <c r="D371" i="1"/>
  <c r="E369" i="1"/>
  <c r="D369" i="1"/>
  <c r="E368" i="1"/>
  <c r="D368" i="1"/>
  <c r="E367" i="1"/>
  <c r="D367" i="1"/>
  <c r="E366" i="1"/>
  <c r="D366" i="1"/>
  <c r="E365" i="1"/>
  <c r="D365" i="1"/>
  <c r="E364" i="1"/>
  <c r="D364" i="1"/>
  <c r="G371" i="1"/>
  <c r="G372" i="1" s="1"/>
  <c r="G373" i="1" s="1"/>
  <c r="G374" i="1" s="1"/>
  <c r="G375" i="1" s="1"/>
  <c r="G376" i="1" s="1"/>
  <c r="G364" i="1"/>
  <c r="G365" i="1" s="1"/>
  <c r="G366" i="1" s="1"/>
  <c r="G367" i="1" s="1"/>
  <c r="G368" i="1" s="1"/>
  <c r="G369" i="1" s="1"/>
  <c r="E361" i="1"/>
  <c r="D361" i="1"/>
  <c r="E360" i="1"/>
  <c r="D360" i="1"/>
  <c r="E359" i="1"/>
  <c r="D359" i="1"/>
  <c r="E358" i="1"/>
  <c r="D358" i="1"/>
  <c r="D357" i="1"/>
  <c r="E356" i="1"/>
  <c r="E357" i="1" s="1"/>
  <c r="D356" i="1"/>
  <c r="E354" i="1"/>
  <c r="D354" i="1"/>
  <c r="E353" i="1"/>
  <c r="D353" i="1"/>
  <c r="E352" i="1"/>
  <c r="D352" i="1"/>
  <c r="E351" i="1"/>
  <c r="D351" i="1"/>
  <c r="D350" i="1"/>
  <c r="E349" i="1"/>
  <c r="E350" i="1" s="1"/>
  <c r="D349" i="1"/>
  <c r="G356" i="1"/>
  <c r="G357" i="1" s="1"/>
  <c r="G358" i="1" s="1"/>
  <c r="G359" i="1" s="1"/>
  <c r="G360" i="1" s="1"/>
  <c r="G361" i="1" s="1"/>
  <c r="G349" i="1"/>
  <c r="G350" i="1" s="1"/>
  <c r="G351" i="1" s="1"/>
  <c r="G352" i="1" s="1"/>
  <c r="G353" i="1" s="1"/>
  <c r="G354" i="1" s="1"/>
  <c r="E346" i="1"/>
  <c r="D346" i="1" s="1"/>
  <c r="F346" i="1" s="1"/>
  <c r="E345" i="1"/>
  <c r="D345" i="1" s="1"/>
  <c r="F345" i="1" s="1"/>
  <c r="E343" i="1"/>
  <c r="D343" i="1" s="1"/>
  <c r="F343" i="1" s="1"/>
  <c r="E344" i="1"/>
  <c r="D344" i="1" s="1"/>
  <c r="E339" i="1"/>
  <c r="D339" i="1" s="1"/>
  <c r="E338" i="1"/>
  <c r="D338" i="1" s="1"/>
  <c r="F338" i="1" s="1"/>
  <c r="E337" i="1"/>
  <c r="D337" i="1" s="1"/>
  <c r="F337" i="1" s="1"/>
  <c r="E335" i="1"/>
  <c r="D335" i="1" s="1"/>
  <c r="E336" i="1"/>
  <c r="D336" i="1" s="1"/>
  <c r="E334" i="1"/>
  <c r="D334" i="1" s="1"/>
  <c r="F334" i="1" s="1"/>
  <c r="E342" i="1"/>
  <c r="D342" i="1" s="1"/>
  <c r="F342" i="1" s="1"/>
  <c r="G341" i="1"/>
  <c r="G342" i="1" s="1"/>
  <c r="G343" i="1" s="1"/>
  <c r="G344" i="1" s="1"/>
  <c r="G345" i="1" s="1"/>
  <c r="G346" i="1" s="1"/>
  <c r="E341" i="1"/>
  <c r="D341" i="1" s="1"/>
  <c r="G334" i="1"/>
  <c r="G335" i="1" s="1"/>
  <c r="G336" i="1" s="1"/>
  <c r="G337" i="1" s="1"/>
  <c r="G338" i="1" s="1"/>
  <c r="G339" i="1" s="1"/>
  <c r="E324" i="1"/>
  <c r="D324" i="1" s="1"/>
  <c r="F324" i="1" s="1"/>
  <c r="E323" i="1"/>
  <c r="D323" i="1" s="1"/>
  <c r="F323" i="1" s="1"/>
  <c r="E322" i="1"/>
  <c r="D322" i="1" s="1"/>
  <c r="F322" i="1" s="1"/>
  <c r="E321" i="1"/>
  <c r="D321" i="1" s="1"/>
  <c r="F321" i="1" s="1"/>
  <c r="E320" i="1"/>
  <c r="D320" i="1" s="1"/>
  <c r="F320" i="1" s="1"/>
  <c r="E319" i="1"/>
  <c r="D319" i="1" s="1"/>
  <c r="E331" i="1"/>
  <c r="D331" i="1" s="1"/>
  <c r="F331" i="1" s="1"/>
  <c r="E330" i="1"/>
  <c r="D330" i="1" s="1"/>
  <c r="F330" i="1" s="1"/>
  <c r="E329" i="1"/>
  <c r="D329" i="1" s="1"/>
  <c r="F329" i="1" s="1"/>
  <c r="E328" i="1"/>
  <c r="D328" i="1" s="1"/>
  <c r="F328" i="1" s="1"/>
  <c r="E327" i="1"/>
  <c r="D327" i="1" s="1"/>
  <c r="F327" i="1" s="1"/>
  <c r="E326" i="1"/>
  <c r="D326" i="1" s="1"/>
  <c r="F326" i="1" s="1"/>
  <c r="E317" i="1"/>
  <c r="D317" i="1" s="1"/>
  <c r="F317" i="1" s="1"/>
  <c r="E316" i="1"/>
  <c r="D316" i="1" s="1"/>
  <c r="F316" i="1" s="1"/>
  <c r="E315" i="1"/>
  <c r="D315" i="1" s="1"/>
  <c r="F315" i="1" s="1"/>
  <c r="E314" i="1"/>
  <c r="D314" i="1" s="1"/>
  <c r="F314" i="1" s="1"/>
  <c r="G326" i="1"/>
  <c r="G327" i="1" s="1"/>
  <c r="G328" i="1" s="1"/>
  <c r="G329" i="1" s="1"/>
  <c r="G330" i="1" s="1"/>
  <c r="G331" i="1" s="1"/>
  <c r="G319" i="1"/>
  <c r="G320" i="1" s="1"/>
  <c r="G321" i="1" s="1"/>
  <c r="G322" i="1" s="1"/>
  <c r="G323" i="1" s="1"/>
  <c r="G324" i="1" s="1"/>
  <c r="G314" i="1"/>
  <c r="E311" i="1"/>
  <c r="D311" i="1" s="1"/>
  <c r="E310" i="1"/>
  <c r="D310" i="1" s="1"/>
  <c r="E309" i="1"/>
  <c r="D309" i="1" s="1"/>
  <c r="E308" i="1"/>
  <c r="D308" i="1" s="1"/>
  <c r="E304" i="1"/>
  <c r="D304" i="1" s="1"/>
  <c r="F304" i="1" s="1"/>
  <c r="E303" i="1"/>
  <c r="D303" i="1" s="1"/>
  <c r="E302" i="1"/>
  <c r="D302" i="1" s="1"/>
  <c r="E300" i="1"/>
  <c r="D300" i="1" s="1"/>
  <c r="F300" i="1" s="1"/>
  <c r="E301" i="1"/>
  <c r="D301" i="1" s="1"/>
  <c r="E297" i="1"/>
  <c r="D297" i="1" s="1"/>
  <c r="F297" i="1" s="1"/>
  <c r="E296" i="1"/>
  <c r="D296" i="1" s="1"/>
  <c r="F296" i="1" s="1"/>
  <c r="G296" i="1"/>
  <c r="G297" i="1" s="1"/>
  <c r="E307" i="1"/>
  <c r="D307" i="1" s="1"/>
  <c r="G306" i="1"/>
  <c r="E306" i="1"/>
  <c r="D306" i="1" s="1"/>
  <c r="G299" i="1"/>
  <c r="E299" i="1"/>
  <c r="D299" i="1" s="1"/>
  <c r="F299" i="1" s="1"/>
  <c r="D291" i="1"/>
  <c r="E293" i="1"/>
  <c r="D293" i="1"/>
  <c r="E292" i="1"/>
  <c r="D292" i="1"/>
  <c r="E291" i="1"/>
  <c r="E290" i="1"/>
  <c r="D290" i="1"/>
  <c r="E289" i="1"/>
  <c r="D289" i="1"/>
  <c r="E288" i="1"/>
  <c r="D288" i="1"/>
  <c r="E286" i="1"/>
  <c r="D286" i="1"/>
  <c r="E285" i="1"/>
  <c r="D285" i="1"/>
  <c r="E284" i="1"/>
  <c r="D284" i="1"/>
  <c r="E283" i="1"/>
  <c r="D283" i="1"/>
  <c r="E282" i="1"/>
  <c r="D282" i="1"/>
  <c r="E281" i="1"/>
  <c r="D281" i="1"/>
  <c r="G288" i="1"/>
  <c r="G281" i="1"/>
  <c r="E276" i="1"/>
  <c r="D276" i="1" s="1"/>
  <c r="F276" i="1" s="1"/>
  <c r="E277" i="1"/>
  <c r="D277" i="1" s="1"/>
  <c r="E278" i="1"/>
  <c r="D278" i="1" s="1"/>
  <c r="F278" i="1" s="1"/>
  <c r="E275" i="1"/>
  <c r="D275" i="1" s="1"/>
  <c r="F275" i="1" s="1"/>
  <c r="E274" i="1"/>
  <c r="D274" i="1" s="1"/>
  <c r="E273" i="1"/>
  <c r="D273" i="1" s="1"/>
  <c r="E271" i="1"/>
  <c r="D271" i="1" s="1"/>
  <c r="F271" i="1" s="1"/>
  <c r="E270" i="1"/>
  <c r="D270" i="1" s="1"/>
  <c r="F270" i="1" s="1"/>
  <c r="E269" i="1"/>
  <c r="D269" i="1" s="1"/>
  <c r="E268" i="1"/>
  <c r="D268" i="1" s="1"/>
  <c r="E267" i="1"/>
  <c r="D267" i="1" s="1"/>
  <c r="F267" i="1" s="1"/>
  <c r="E266" i="1"/>
  <c r="D266" i="1" s="1"/>
  <c r="G273" i="1"/>
  <c r="G266" i="1"/>
  <c r="E263" i="1"/>
  <c r="D263" i="1" s="1"/>
  <c r="F263" i="1" s="1"/>
  <c r="E262" i="1"/>
  <c r="D262" i="1" s="1"/>
  <c r="F262" i="1" s="1"/>
  <c r="E261" i="1"/>
  <c r="D261" i="1" s="1"/>
  <c r="E260" i="1"/>
  <c r="D260" i="1" s="1"/>
  <c r="E258" i="1"/>
  <c r="D258" i="1" s="1"/>
  <c r="E257" i="1"/>
  <c r="D257" i="1" s="1"/>
  <c r="E256" i="1"/>
  <c r="D256" i="1" s="1"/>
  <c r="E255" i="1"/>
  <c r="D255" i="1" s="1"/>
  <c r="G260" i="1"/>
  <c r="G261" i="1" s="1"/>
  <c r="G262" i="1" s="1"/>
  <c r="G263" i="1" s="1"/>
  <c r="D249" i="1"/>
  <c r="F249" i="1" s="1"/>
  <c r="D248" i="1"/>
  <c r="F248" i="1" s="1"/>
  <c r="D247" i="1"/>
  <c r="F247" i="1" s="1"/>
  <c r="D245" i="1"/>
  <c r="F245" i="1" s="1"/>
  <c r="D246" i="1"/>
  <c r="F246" i="1" s="1"/>
  <c r="D244" i="1"/>
  <c r="F244" i="1" s="1"/>
  <c r="D243" i="1"/>
  <c r="F243" i="1" s="1"/>
  <c r="D242" i="1"/>
  <c r="F242" i="1" s="1"/>
  <c r="D236" i="1"/>
  <c r="F236" i="1" s="1"/>
  <c r="D237" i="1"/>
  <c r="F237" i="1" s="1"/>
  <c r="D238" i="1"/>
  <c r="F238" i="1" s="1"/>
  <c r="D239" i="1"/>
  <c r="F239" i="1" s="1"/>
  <c r="D240" i="1"/>
  <c r="F240" i="1" s="1"/>
  <c r="D241" i="1"/>
  <c r="F241" i="1" s="1"/>
  <c r="D235" i="1"/>
  <c r="F235" i="1" s="1"/>
  <c r="D234" i="1"/>
  <c r="F234" i="1" s="1"/>
  <c r="D233" i="1"/>
  <c r="F233" i="1" s="1"/>
  <c r="D232" i="1"/>
  <c r="F232" i="1" s="1"/>
  <c r="A233" i="1"/>
  <c r="A234" i="1" s="1"/>
  <c r="A235" i="1" s="1"/>
  <c r="A236" i="1" s="1"/>
  <c r="A237" i="1" s="1"/>
  <c r="A238" i="1" s="1"/>
  <c r="A239" i="1" s="1"/>
  <c r="A240" i="1" s="1"/>
  <c r="A241" i="1" s="1"/>
  <c r="A242" i="1" s="1"/>
  <c r="A243" i="1" s="1"/>
  <c r="A244" i="1" s="1"/>
  <c r="A245" i="1" s="1"/>
  <c r="A246" i="1" s="1"/>
  <c r="A247" i="1" s="1"/>
  <c r="A248" i="1" s="1"/>
  <c r="A249" i="1" s="1"/>
  <c r="G232" i="1"/>
  <c r="G233" i="1" s="1"/>
  <c r="G234" i="1" s="1"/>
  <c r="G235" i="1" s="1"/>
  <c r="G236" i="1" s="1"/>
  <c r="G237" i="1" s="1"/>
  <c r="G238" i="1" s="1"/>
  <c r="G239" i="1" s="1"/>
  <c r="G240" i="1" s="1"/>
  <c r="G241" i="1" s="1"/>
  <c r="G242" i="1" s="1"/>
  <c r="G243" i="1" s="1"/>
  <c r="G244" i="1" s="1"/>
  <c r="G245" i="1" s="1"/>
  <c r="G246" i="1" s="1"/>
  <c r="G247" i="1" s="1"/>
  <c r="G248" i="1" s="1"/>
  <c r="G249" i="1" s="1"/>
  <c r="D230" i="1"/>
  <c r="F230" i="1" s="1"/>
  <c r="D220" i="1"/>
  <c r="D221" i="1"/>
  <c r="D222" i="1"/>
  <c r="F222" i="1" s="1"/>
  <c r="D223" i="1"/>
  <c r="F223" i="1" s="1"/>
  <c r="D224" i="1"/>
  <c r="F224" i="1" s="1"/>
  <c r="D225" i="1"/>
  <c r="F225" i="1" s="1"/>
  <c r="D226" i="1"/>
  <c r="F226" i="1" s="1"/>
  <c r="D227" i="1"/>
  <c r="F227" i="1" s="1"/>
  <c r="D228" i="1"/>
  <c r="F228" i="1" s="1"/>
  <c r="D229" i="1"/>
  <c r="F229" i="1" s="1"/>
  <c r="D219" i="1"/>
  <c r="D217" i="1"/>
  <c r="D218" i="1"/>
  <c r="D216" i="1"/>
  <c r="D215" i="1"/>
  <c r="P401" i="1"/>
  <c r="P306" i="1"/>
  <c r="O299" i="1"/>
  <c r="O349" i="1"/>
  <c r="P288" i="1"/>
  <c r="O288" i="1"/>
  <c r="P371" i="1"/>
  <c r="P334" i="1"/>
  <c r="O356" i="1"/>
  <c r="P341" i="1"/>
  <c r="O260" i="1"/>
  <c r="P326" i="1"/>
  <c r="P299" i="1"/>
  <c r="O273" i="1"/>
  <c r="P394" i="1"/>
  <c r="P379" i="1"/>
  <c r="P273" i="1"/>
  <c r="P386" i="1"/>
  <c r="O379" i="1"/>
  <c r="O386" i="1"/>
  <c r="P281" i="1"/>
  <c r="O281" i="1"/>
  <c r="O401" i="1"/>
  <c r="P349" i="1"/>
  <c r="O341" i="1"/>
  <c r="O306" i="1"/>
  <c r="P364" i="1"/>
  <c r="O409" i="1"/>
  <c r="P409" i="1"/>
  <c r="O319" i="1"/>
  <c r="O326" i="1"/>
  <c r="P266" i="1"/>
  <c r="P319" i="1"/>
  <c r="O371" i="1"/>
  <c r="O364" i="1"/>
  <c r="O334" i="1"/>
  <c r="O266" i="1"/>
  <c r="O416" i="1"/>
  <c r="P416" i="1"/>
  <c r="O394" i="1"/>
  <c r="P260" i="1"/>
  <c r="P356" i="1"/>
  <c r="F419" i="1" l="1"/>
  <c r="E193" i="1"/>
  <c r="C197" i="1"/>
  <c r="C199" i="1"/>
  <c r="F290" i="1"/>
  <c r="F360" i="1"/>
  <c r="F379" i="1"/>
  <c r="F383" i="1"/>
  <c r="F397" i="1"/>
  <c r="F402" i="1"/>
  <c r="F406" i="1"/>
  <c r="C206" i="1"/>
  <c r="C193" i="1"/>
  <c r="C198" i="1"/>
  <c r="C207" i="1"/>
  <c r="G66" i="1"/>
  <c r="E203" i="1"/>
  <c r="C204" i="1"/>
  <c r="E205" i="1"/>
  <c r="C200" i="1"/>
  <c r="E204" i="1"/>
  <c r="C202" i="1"/>
  <c r="E198" i="1"/>
  <c r="E206" i="1"/>
  <c r="C203" i="1"/>
  <c r="E199" i="1"/>
  <c r="E207" i="1"/>
  <c r="C201" i="1"/>
  <c r="E200" i="1"/>
  <c r="C205" i="1"/>
  <c r="E201" i="1"/>
  <c r="E197" i="1"/>
  <c r="E202" i="1"/>
  <c r="F417" i="1"/>
  <c r="G96" i="1"/>
  <c r="F358" i="1"/>
  <c r="F381" i="1"/>
  <c r="F395" i="1"/>
  <c r="F399" i="1"/>
  <c r="F404" i="1"/>
  <c r="F412" i="1"/>
  <c r="F401" i="1"/>
  <c r="F405" i="1"/>
  <c r="F409" i="1"/>
  <c r="F413" i="1"/>
  <c r="F418" i="1"/>
  <c r="G152" i="1"/>
  <c r="D61" i="1" s="1"/>
  <c r="F389" i="1"/>
  <c r="F398" i="1"/>
  <c r="F403" i="1"/>
  <c r="F416" i="1"/>
  <c r="F420" i="1"/>
  <c r="F292" i="1"/>
  <c r="F373" i="1"/>
  <c r="F352" i="1"/>
  <c r="F371" i="1"/>
  <c r="F349" i="1"/>
  <c r="F353" i="1"/>
  <c r="D124" i="1"/>
  <c r="I120" i="1" s="1"/>
  <c r="C122" i="1" s="1"/>
  <c r="E124" i="1" s="1"/>
  <c r="G124" i="1"/>
  <c r="D110" i="1"/>
  <c r="I106" i="1" s="1"/>
  <c r="E110" i="1" s="1"/>
  <c r="G110" i="1"/>
  <c r="D81" i="1"/>
  <c r="I76" i="1" s="1"/>
  <c r="E81" i="1" s="1"/>
  <c r="G81" i="1"/>
  <c r="D66" i="1"/>
  <c r="I62" i="1" s="1"/>
  <c r="D138" i="1"/>
  <c r="I134" i="1" s="1"/>
  <c r="C136" i="1" s="1"/>
  <c r="E138" i="1" s="1"/>
  <c r="G138" i="1"/>
  <c r="F366" i="1"/>
  <c r="F375" i="1"/>
  <c r="D152" i="1"/>
  <c r="I148" i="1" s="1"/>
  <c r="C150" i="1" s="1"/>
  <c r="E152" i="1" s="1"/>
  <c r="D96" i="1"/>
  <c r="I91" i="1" s="1"/>
  <c r="E96" i="1" s="1"/>
  <c r="F367" i="1"/>
  <c r="F376" i="1"/>
  <c r="F384" i="1"/>
  <c r="F291" i="1"/>
  <c r="F369" i="1"/>
  <c r="F374" i="1"/>
  <c r="F382" i="1"/>
  <c r="F411" i="1"/>
  <c r="F394" i="1"/>
  <c r="F388" i="1"/>
  <c r="F282" i="1"/>
  <c r="F286" i="1"/>
  <c r="F361" i="1"/>
  <c r="F364" i="1"/>
  <c r="F368" i="1"/>
  <c r="F380" i="1"/>
  <c r="F396" i="1"/>
  <c r="F283" i="1"/>
  <c r="F386" i="1"/>
  <c r="F390" i="1"/>
  <c r="F289" i="1"/>
  <c r="F350" i="1"/>
  <c r="F354" i="1"/>
  <c r="F359" i="1"/>
  <c r="F387" i="1"/>
  <c r="F391" i="1"/>
  <c r="O417" i="1"/>
  <c r="N416" i="1"/>
  <c r="A416" i="1" s="1"/>
  <c r="N409" i="1"/>
  <c r="A409" i="1" s="1"/>
  <c r="O410" i="1"/>
  <c r="P410" i="1"/>
  <c r="P411" i="1" s="1"/>
  <c r="P412" i="1" s="1"/>
  <c r="P413" i="1" s="1"/>
  <c r="P414" i="1" s="1"/>
  <c r="P417" i="1"/>
  <c r="P418" i="1" s="1"/>
  <c r="P419" i="1" s="1"/>
  <c r="P420" i="1" s="1"/>
  <c r="P421" i="1" s="1"/>
  <c r="P395" i="1"/>
  <c r="P396" i="1" s="1"/>
  <c r="P397" i="1" s="1"/>
  <c r="P398" i="1" s="1"/>
  <c r="P399" i="1" s="1"/>
  <c r="P402" i="1"/>
  <c r="P403" i="1" s="1"/>
  <c r="P404" i="1" s="1"/>
  <c r="P405" i="1" s="1"/>
  <c r="P406" i="1" s="1"/>
  <c r="O395" i="1"/>
  <c r="N394" i="1"/>
  <c r="A394" i="1" s="1"/>
  <c r="O402" i="1"/>
  <c r="N401" i="1"/>
  <c r="A401" i="1" s="1"/>
  <c r="O387" i="1"/>
  <c r="N386" i="1"/>
  <c r="A386" i="1" s="1"/>
  <c r="O380" i="1"/>
  <c r="N379" i="1"/>
  <c r="A379" i="1" s="1"/>
  <c r="P380" i="1"/>
  <c r="P381" i="1" s="1"/>
  <c r="P382" i="1" s="1"/>
  <c r="P383" i="1" s="1"/>
  <c r="P384" i="1" s="1"/>
  <c r="P387" i="1"/>
  <c r="P388" i="1" s="1"/>
  <c r="P389" i="1" s="1"/>
  <c r="P390" i="1" s="1"/>
  <c r="P391" i="1" s="1"/>
  <c r="O372" i="1"/>
  <c r="N371" i="1"/>
  <c r="A371" i="1" s="1"/>
  <c r="N364" i="1"/>
  <c r="A364" i="1" s="1"/>
  <c r="O365" i="1"/>
  <c r="P365" i="1"/>
  <c r="P366" i="1" s="1"/>
  <c r="P367" i="1" s="1"/>
  <c r="P368" i="1" s="1"/>
  <c r="P369" i="1" s="1"/>
  <c r="P372" i="1"/>
  <c r="P373" i="1" s="1"/>
  <c r="P374" i="1" s="1"/>
  <c r="P375" i="1" s="1"/>
  <c r="P376" i="1" s="1"/>
  <c r="F365" i="1"/>
  <c r="F372" i="1"/>
  <c r="F357" i="1"/>
  <c r="F356" i="1"/>
  <c r="F351" i="1"/>
  <c r="P357" i="1"/>
  <c r="P358" i="1" s="1"/>
  <c r="P359" i="1" s="1"/>
  <c r="P360" i="1" s="1"/>
  <c r="P361" i="1" s="1"/>
  <c r="N349" i="1"/>
  <c r="A349" i="1" s="1"/>
  <c r="O350" i="1"/>
  <c r="P350" i="1"/>
  <c r="P351" i="1" s="1"/>
  <c r="P352" i="1" s="1"/>
  <c r="P353" i="1" s="1"/>
  <c r="P354" i="1" s="1"/>
  <c r="O357" i="1"/>
  <c r="N356" i="1"/>
  <c r="A356" i="1" s="1"/>
  <c r="F344" i="1"/>
  <c r="F341" i="1"/>
  <c r="F339" i="1"/>
  <c r="F336" i="1"/>
  <c r="F335" i="1"/>
  <c r="F288" i="1"/>
  <c r="F307" i="1"/>
  <c r="F284" i="1"/>
  <c r="F285" i="1"/>
  <c r="O342" i="1"/>
  <c r="N341" i="1"/>
  <c r="A341" i="1" s="1"/>
  <c r="O335" i="1"/>
  <c r="N334" i="1"/>
  <c r="A334" i="1" s="1"/>
  <c r="P335" i="1"/>
  <c r="P336" i="1" s="1"/>
  <c r="P337" i="1" s="1"/>
  <c r="P338" i="1" s="1"/>
  <c r="P339" i="1" s="1"/>
  <c r="P342" i="1"/>
  <c r="P343" i="1" s="1"/>
  <c r="P344" i="1" s="1"/>
  <c r="P345" i="1" s="1"/>
  <c r="P346" i="1" s="1"/>
  <c r="F319" i="1"/>
  <c r="G201" i="1" s="1"/>
  <c r="N319" i="1"/>
  <c r="A319" i="1" s="1"/>
  <c r="O320" i="1"/>
  <c r="O327" i="1"/>
  <c r="N326" i="1"/>
  <c r="A326" i="1" s="1"/>
  <c r="P320" i="1"/>
  <c r="P321" i="1" s="1"/>
  <c r="P322" i="1" s="1"/>
  <c r="P323" i="1" s="1"/>
  <c r="P324" i="1" s="1"/>
  <c r="P327" i="1"/>
  <c r="P328" i="1" s="1"/>
  <c r="P329" i="1" s="1"/>
  <c r="P330" i="1" s="1"/>
  <c r="P331" i="1" s="1"/>
  <c r="F311" i="1"/>
  <c r="F310" i="1"/>
  <c r="F309" i="1"/>
  <c r="F308" i="1"/>
  <c r="F306" i="1"/>
  <c r="F303" i="1"/>
  <c r="F302" i="1"/>
  <c r="F301" i="1"/>
  <c r="P300" i="1"/>
  <c r="P301" i="1" s="1"/>
  <c r="P302" i="1" s="1"/>
  <c r="P303" i="1" s="1"/>
  <c r="P304" i="1" s="1"/>
  <c r="N299" i="1"/>
  <c r="A299" i="1" s="1"/>
  <c r="O300" i="1"/>
  <c r="P307" i="1"/>
  <c r="P308" i="1" s="1"/>
  <c r="P309" i="1" s="1"/>
  <c r="P310" i="1" s="1"/>
  <c r="P311" i="1" s="1"/>
  <c r="O307" i="1"/>
  <c r="N306" i="1"/>
  <c r="A306" i="1" s="1"/>
  <c r="F281" i="1"/>
  <c r="F293" i="1"/>
  <c r="P282" i="1"/>
  <c r="P283" i="1" s="1"/>
  <c r="P284" i="1" s="1"/>
  <c r="P285" i="1" s="1"/>
  <c r="P286" i="1" s="1"/>
  <c r="O289" i="1"/>
  <c r="N288" i="1"/>
  <c r="A288" i="1" s="1"/>
  <c r="N281" i="1"/>
  <c r="A281" i="1" s="1"/>
  <c r="O282" i="1"/>
  <c r="P289" i="1"/>
  <c r="P290" i="1" s="1"/>
  <c r="P291" i="1" s="1"/>
  <c r="P292" i="1" s="1"/>
  <c r="P293" i="1" s="1"/>
  <c r="F277" i="1"/>
  <c r="F274" i="1"/>
  <c r="F273" i="1"/>
  <c r="F269" i="1"/>
  <c r="F268" i="1"/>
  <c r="F266" i="1"/>
  <c r="P267" i="1"/>
  <c r="P268" i="1" s="1"/>
  <c r="P269" i="1" s="1"/>
  <c r="P270" i="1" s="1"/>
  <c r="P271" i="1" s="1"/>
  <c r="N266" i="1"/>
  <c r="A266" i="1" s="1"/>
  <c r="O267" i="1"/>
  <c r="O274" i="1"/>
  <c r="N273" i="1"/>
  <c r="A273" i="1" s="1"/>
  <c r="P274" i="1"/>
  <c r="P275" i="1" s="1"/>
  <c r="P276" i="1" s="1"/>
  <c r="P277" i="1" s="1"/>
  <c r="P278" i="1" s="1"/>
  <c r="F261" i="1"/>
  <c r="F260" i="1"/>
  <c r="P261" i="1"/>
  <c r="P262" i="1" s="1"/>
  <c r="P263" i="1" s="1"/>
  <c r="N260" i="1"/>
  <c r="A260" i="1" s="1"/>
  <c r="O261" i="1"/>
  <c r="F11" i="5"/>
  <c r="G11" i="5" s="1"/>
  <c r="F10" i="5"/>
  <c r="G10" i="5" s="1"/>
  <c r="F9" i="5"/>
  <c r="G9" i="5" s="1"/>
  <c r="F8" i="5"/>
  <c r="G8" i="5" s="1"/>
  <c r="F7" i="5"/>
  <c r="G7" i="5" s="1"/>
  <c r="F6" i="5"/>
  <c r="G6" i="5" s="1"/>
  <c r="F5" i="5"/>
  <c r="G5" i="5" s="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447" i="1"/>
  <c r="F258" i="1"/>
  <c r="F257" i="1"/>
  <c r="F256" i="1"/>
  <c r="G255" i="1"/>
  <c r="G256" i="1" s="1"/>
  <c r="G257" i="1" s="1"/>
  <c r="G258" i="1" s="1"/>
  <c r="F255" i="1"/>
  <c r="F221" i="1"/>
  <c r="F220" i="1"/>
  <c r="F219" i="1"/>
  <c r="F218" i="1"/>
  <c r="F217" i="1"/>
  <c r="F216" i="1"/>
  <c r="A217" i="1"/>
  <c r="A218" i="1" s="1"/>
  <c r="A219" i="1" s="1"/>
  <c r="A220" i="1" s="1"/>
  <c r="A221" i="1" s="1"/>
  <c r="A222" i="1" s="1"/>
  <c r="A223" i="1" s="1"/>
  <c r="A224" i="1" s="1"/>
  <c r="A225" i="1" s="1"/>
  <c r="A226" i="1" s="1"/>
  <c r="A227" i="1" s="1"/>
  <c r="A228" i="1" s="1"/>
  <c r="A229" i="1" s="1"/>
  <c r="A230" i="1" s="1"/>
  <c r="G215" i="1"/>
  <c r="G216" i="1" s="1"/>
  <c r="G217" i="1" s="1"/>
  <c r="G218" i="1" s="1"/>
  <c r="G219" i="1" s="1"/>
  <c r="G220" i="1" s="1"/>
  <c r="G221" i="1" s="1"/>
  <c r="G222" i="1" s="1"/>
  <c r="G223" i="1" s="1"/>
  <c r="G224" i="1" s="1"/>
  <c r="G225" i="1" s="1"/>
  <c r="G226" i="1" s="1"/>
  <c r="G227" i="1" s="1"/>
  <c r="G228" i="1" s="1"/>
  <c r="G229" i="1" s="1"/>
  <c r="G230" i="1" s="1"/>
  <c r="F215" i="1"/>
  <c r="F190" i="1"/>
  <c r="D54" i="1"/>
  <c r="G47" i="1"/>
  <c r="G48" i="1" s="1"/>
  <c r="C47" i="1"/>
  <c r="C48" i="1" s="1"/>
  <c r="E41" i="1"/>
  <c r="E42" i="1" s="1"/>
  <c r="E25" i="1"/>
  <c r="E23" i="1"/>
  <c r="C14" i="1"/>
  <c r="E7" i="1"/>
  <c r="P255" i="1"/>
  <c r="O255" i="1"/>
  <c r="G193" i="1" l="1"/>
  <c r="G200" i="1"/>
  <c r="I34" i="3"/>
  <c r="H34" i="3" s="1"/>
  <c r="G202" i="1"/>
  <c r="G12" i="5"/>
  <c r="E34" i="3"/>
  <c r="D34" i="3" s="1"/>
  <c r="G205" i="1"/>
  <c r="L34" i="3"/>
  <c r="K34" i="3" s="1"/>
  <c r="G198" i="1"/>
  <c r="C208" i="1"/>
  <c r="G204" i="1"/>
  <c r="G207" i="1"/>
  <c r="G199" i="1"/>
  <c r="G206" i="1"/>
  <c r="G203" i="1"/>
  <c r="G197" i="1"/>
  <c r="E208" i="1"/>
  <c r="I258" i="1"/>
  <c r="J258" i="1"/>
  <c r="K258" i="1" s="1"/>
  <c r="N410" i="1"/>
  <c r="A410" i="1" s="1"/>
  <c r="O411" i="1"/>
  <c r="O418" i="1"/>
  <c r="N417" i="1"/>
  <c r="A417" i="1" s="1"/>
  <c r="O403" i="1"/>
  <c r="N402" i="1"/>
  <c r="A402" i="1" s="1"/>
  <c r="O396" i="1"/>
  <c r="N395" i="1"/>
  <c r="A395" i="1" s="1"/>
  <c r="O381" i="1"/>
  <c r="N380" i="1"/>
  <c r="A380" i="1" s="1"/>
  <c r="O388" i="1"/>
  <c r="N387" i="1"/>
  <c r="A387" i="1" s="1"/>
  <c r="O366" i="1"/>
  <c r="N365" i="1"/>
  <c r="A365" i="1" s="1"/>
  <c r="O373" i="1"/>
  <c r="N372" i="1"/>
  <c r="A372" i="1" s="1"/>
  <c r="O358" i="1"/>
  <c r="N357" i="1"/>
  <c r="A357" i="1" s="1"/>
  <c r="N350" i="1"/>
  <c r="A350" i="1" s="1"/>
  <c r="O351" i="1"/>
  <c r="O336" i="1"/>
  <c r="N335" i="1"/>
  <c r="A335" i="1" s="1"/>
  <c r="O343" i="1"/>
  <c r="N342" i="1"/>
  <c r="A342" i="1" s="1"/>
  <c r="O328" i="1"/>
  <c r="N327" i="1"/>
  <c r="A327" i="1" s="1"/>
  <c r="N320" i="1"/>
  <c r="A320" i="1" s="1"/>
  <c r="O321" i="1"/>
  <c r="O308" i="1"/>
  <c r="N307" i="1"/>
  <c r="A307" i="1" s="1"/>
  <c r="N300" i="1"/>
  <c r="A300" i="1" s="1"/>
  <c r="O301" i="1"/>
  <c r="N282" i="1"/>
  <c r="A282" i="1" s="1"/>
  <c r="O283" i="1"/>
  <c r="O290" i="1"/>
  <c r="N289" i="1"/>
  <c r="A289" i="1" s="1"/>
  <c r="O275" i="1"/>
  <c r="N274" i="1"/>
  <c r="A274" i="1" s="1"/>
  <c r="N267" i="1"/>
  <c r="A267" i="1" s="1"/>
  <c r="O268" i="1"/>
  <c r="N261" i="1"/>
  <c r="A261" i="1" s="1"/>
  <c r="O262" i="1"/>
  <c r="N255" i="1"/>
  <c r="A255" i="1" s="1"/>
  <c r="O256" i="1"/>
  <c r="P256" i="1"/>
  <c r="P257" i="1" s="1"/>
  <c r="P258" i="1" s="1"/>
  <c r="E36" i="3" l="1"/>
  <c r="D36" i="3"/>
  <c r="G208" i="1"/>
  <c r="O419" i="1"/>
  <c r="N418" i="1"/>
  <c r="A418" i="1" s="1"/>
  <c r="N411" i="1"/>
  <c r="A411" i="1" s="1"/>
  <c r="O412" i="1"/>
  <c r="O404" i="1"/>
  <c r="N403" i="1"/>
  <c r="A403" i="1" s="1"/>
  <c r="O397" i="1"/>
  <c r="N396" i="1"/>
  <c r="A396" i="1" s="1"/>
  <c r="O389" i="1"/>
  <c r="N388" i="1"/>
  <c r="A388" i="1" s="1"/>
  <c r="O382" i="1"/>
  <c r="N381" i="1"/>
  <c r="A381" i="1" s="1"/>
  <c r="O374" i="1"/>
  <c r="N373" i="1"/>
  <c r="A373" i="1" s="1"/>
  <c r="N366" i="1"/>
  <c r="A366" i="1" s="1"/>
  <c r="O367" i="1"/>
  <c r="N351" i="1"/>
  <c r="A351" i="1" s="1"/>
  <c r="O352" i="1"/>
  <c r="O359" i="1"/>
  <c r="N358" i="1"/>
  <c r="A358" i="1" s="1"/>
  <c r="O344" i="1"/>
  <c r="N343" i="1"/>
  <c r="A343" i="1" s="1"/>
  <c r="O337" i="1"/>
  <c r="N336" i="1"/>
  <c r="A336" i="1" s="1"/>
  <c r="N321" i="1"/>
  <c r="A321" i="1" s="1"/>
  <c r="O322" i="1"/>
  <c r="O329" i="1"/>
  <c r="N328" i="1"/>
  <c r="A328" i="1" s="1"/>
  <c r="O309" i="1"/>
  <c r="N308" i="1"/>
  <c r="A308" i="1" s="1"/>
  <c r="N301" i="1"/>
  <c r="A301" i="1" s="1"/>
  <c r="O302" i="1"/>
  <c r="O291" i="1"/>
  <c r="N290" i="1"/>
  <c r="A290" i="1" s="1"/>
  <c r="O284" i="1"/>
  <c r="N283" i="1"/>
  <c r="A283" i="1" s="1"/>
  <c r="N268" i="1"/>
  <c r="A268" i="1" s="1"/>
  <c r="O269" i="1"/>
  <c r="O276" i="1"/>
  <c r="N275" i="1"/>
  <c r="A275" i="1" s="1"/>
  <c r="N262" i="1"/>
  <c r="A262" i="1" s="1"/>
  <c r="O263" i="1"/>
  <c r="N256" i="1"/>
  <c r="A256" i="1" s="1"/>
  <c r="O257" i="1"/>
  <c r="F176" i="1"/>
  <c r="O413" i="1" l="1"/>
  <c r="N412" i="1"/>
  <c r="A412" i="1" s="1"/>
  <c r="O420" i="1"/>
  <c r="N419" i="1"/>
  <c r="A419" i="1" s="1"/>
  <c r="O398" i="1"/>
  <c r="N397" i="1"/>
  <c r="A397" i="1" s="1"/>
  <c r="O405" i="1"/>
  <c r="N404" i="1"/>
  <c r="A404" i="1" s="1"/>
  <c r="O383" i="1"/>
  <c r="N382" i="1"/>
  <c r="A382" i="1" s="1"/>
  <c r="O390" i="1"/>
  <c r="N389" i="1"/>
  <c r="A389" i="1" s="1"/>
  <c r="O368" i="1"/>
  <c r="N367" i="1"/>
  <c r="A367" i="1" s="1"/>
  <c r="O375" i="1"/>
  <c r="N374" i="1"/>
  <c r="A374" i="1" s="1"/>
  <c r="O360" i="1"/>
  <c r="N359" i="1"/>
  <c r="A359" i="1" s="1"/>
  <c r="N352" i="1"/>
  <c r="A352" i="1" s="1"/>
  <c r="O353" i="1"/>
  <c r="O338" i="1"/>
  <c r="N337" i="1"/>
  <c r="A337" i="1" s="1"/>
  <c r="O345" i="1"/>
  <c r="N344" i="1"/>
  <c r="A344" i="1" s="1"/>
  <c r="O330" i="1"/>
  <c r="N329" i="1"/>
  <c r="A329" i="1" s="1"/>
  <c r="N322" i="1"/>
  <c r="A322" i="1" s="1"/>
  <c r="O323" i="1"/>
  <c r="O303" i="1"/>
  <c r="N302" i="1"/>
  <c r="A302" i="1" s="1"/>
  <c r="O310" i="1"/>
  <c r="N309" i="1"/>
  <c r="A309" i="1" s="1"/>
  <c r="O292" i="1"/>
  <c r="N291" i="1"/>
  <c r="A291" i="1" s="1"/>
  <c r="N284" i="1"/>
  <c r="A284" i="1" s="1"/>
  <c r="O285" i="1"/>
  <c r="N276" i="1"/>
  <c r="A276" i="1" s="1"/>
  <c r="O277" i="1"/>
  <c r="N269" i="1"/>
  <c r="A269" i="1" s="1"/>
  <c r="O270" i="1"/>
  <c r="N263" i="1"/>
  <c r="A263" i="1" s="1"/>
  <c r="N257" i="1"/>
  <c r="A257" i="1" s="1"/>
  <c r="O258" i="1"/>
  <c r="O421" i="1" l="1"/>
  <c r="N421" i="1" s="1"/>
  <c r="A421" i="1" s="1"/>
  <c r="N420" i="1"/>
  <c r="A420" i="1" s="1"/>
  <c r="N413" i="1"/>
  <c r="A413" i="1" s="1"/>
  <c r="O414" i="1"/>
  <c r="N414" i="1" s="1"/>
  <c r="A414" i="1" s="1"/>
  <c r="O406" i="1"/>
  <c r="N406" i="1" s="1"/>
  <c r="A406" i="1" s="1"/>
  <c r="N405" i="1"/>
  <c r="A405" i="1" s="1"/>
  <c r="O399" i="1"/>
  <c r="N399" i="1" s="1"/>
  <c r="A399" i="1" s="1"/>
  <c r="N398" i="1"/>
  <c r="A398" i="1" s="1"/>
  <c r="O391" i="1"/>
  <c r="N391" i="1" s="1"/>
  <c r="A391" i="1" s="1"/>
  <c r="N390" i="1"/>
  <c r="A390" i="1" s="1"/>
  <c r="O384" i="1"/>
  <c r="N384" i="1" s="1"/>
  <c r="A384" i="1" s="1"/>
  <c r="N383" i="1"/>
  <c r="A383" i="1" s="1"/>
  <c r="O376" i="1"/>
  <c r="N376" i="1" s="1"/>
  <c r="A376" i="1" s="1"/>
  <c r="N375" i="1"/>
  <c r="A375" i="1" s="1"/>
  <c r="N368" i="1"/>
  <c r="A368" i="1" s="1"/>
  <c r="O369" i="1"/>
  <c r="N369" i="1" s="1"/>
  <c r="A369" i="1" s="1"/>
  <c r="N353" i="1"/>
  <c r="A353" i="1" s="1"/>
  <c r="O354" i="1"/>
  <c r="N354" i="1" s="1"/>
  <c r="A354" i="1" s="1"/>
  <c r="O361" i="1"/>
  <c r="N361" i="1" s="1"/>
  <c r="A361" i="1" s="1"/>
  <c r="N360" i="1"/>
  <c r="A360" i="1" s="1"/>
  <c r="O346" i="1"/>
  <c r="N346" i="1" s="1"/>
  <c r="A346" i="1" s="1"/>
  <c r="N345" i="1"/>
  <c r="A345" i="1" s="1"/>
  <c r="O339" i="1"/>
  <c r="N339" i="1" s="1"/>
  <c r="A339" i="1" s="1"/>
  <c r="N338" i="1"/>
  <c r="A338" i="1" s="1"/>
  <c r="N323" i="1"/>
  <c r="A323" i="1" s="1"/>
  <c r="O324" i="1"/>
  <c r="N324" i="1" s="1"/>
  <c r="A324" i="1" s="1"/>
  <c r="O331" i="1"/>
  <c r="N331" i="1" s="1"/>
  <c r="A331" i="1" s="1"/>
  <c r="N330" i="1"/>
  <c r="A330" i="1" s="1"/>
  <c r="N303" i="1"/>
  <c r="A303" i="1" s="1"/>
  <c r="O304" i="1"/>
  <c r="N304" i="1" s="1"/>
  <c r="A304" i="1" s="1"/>
  <c r="O311" i="1"/>
  <c r="N311" i="1" s="1"/>
  <c r="A311" i="1" s="1"/>
  <c r="N310" i="1"/>
  <c r="A310" i="1" s="1"/>
  <c r="O293" i="1"/>
  <c r="N293" i="1" s="1"/>
  <c r="A293" i="1" s="1"/>
  <c r="N292" i="1"/>
  <c r="A292" i="1" s="1"/>
  <c r="N285" i="1"/>
  <c r="A285" i="1" s="1"/>
  <c r="O286" i="1"/>
  <c r="N286" i="1" s="1"/>
  <c r="A286" i="1" s="1"/>
  <c r="N277" i="1"/>
  <c r="A277" i="1" s="1"/>
  <c r="O278" i="1"/>
  <c r="N278" i="1" s="1"/>
  <c r="A278" i="1" s="1"/>
  <c r="N270" i="1"/>
  <c r="A270" i="1" s="1"/>
  <c r="O271" i="1"/>
  <c r="N258" i="1"/>
  <c r="A258" i="1" s="1"/>
  <c r="N271" i="1" l="1"/>
  <c r="A271" i="1" s="1"/>
  <c r="E66" i="1" l="1"/>
</calcChain>
</file>

<file path=xl/sharedStrings.xml><?xml version="1.0" encoding="utf-8"?>
<sst xmlns="http://schemas.openxmlformats.org/spreadsheetml/2006/main" count="758" uniqueCount="277">
  <si>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</si>
  <si>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</si>
  <si>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</si>
  <si>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</si>
  <si>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</si>
  <si>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</si>
  <si>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</si>
  <si>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</si>
  <si>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</si>
  <si>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</si>
  <si>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</si>
  <si>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</si>
  <si>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</si>
  <si>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</si>
  <si>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</si>
  <si>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</si>
  <si>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</si>
  <si>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</si>
  <si>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</si>
  <si>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</si>
  <si>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</si>
  <si>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</si>
  <si>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</si>
  <si>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</si>
  <si>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</si>
  <si>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</si>
  <si>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</si>
  <si>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</si>
  <si>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</si>
  <si>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</si>
  <si>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</si>
  <si>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</si>
  <si>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</si>
  <si>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</si>
  <si>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</si>
  <si>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</si>
  <si>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</si>
  <si>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</si>
  <si>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</si>
  <si>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</si>
  <si>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</si>
  <si>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</si>
  <si>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</si>
  <si>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</si>
  <si>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</si>
  <si>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</si>
  <si>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</si>
  <si>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</si>
  <si>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</si>
  <si>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</si>
  <si>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</si>
  <si>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</si>
  <si>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</si>
  <si>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</si>
  <si>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</si>
  <si>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</si>
  <si>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</si>
  <si>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</si>
  <si>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</si>
  <si>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</si>
  <si>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</si>
  <si>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</si>
  <si>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</si>
  <si>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</si>
  <si>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</si>
  <si>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</si>
  <si>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</si>
  <si>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</si>
  <si>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</si>
  <si>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</si>
  <si>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</si>
  <si>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</si>
  <si>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</si>
  <si>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</si>
  <si>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</si>
  <si>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</si>
  <si>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</si>
  <si>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</si>
  <si>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</si>
  <si>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</si>
  <si>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</si>
  <si>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</si>
  <si>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</si>
  <si>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</si>
  <si>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</si>
  <si>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</si>
  <si>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</si>
  <si>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</si>
  <si>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</si>
  <si>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</si>
  <si>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</si>
  <si>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</si>
  <si>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</si>
  <si>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</si>
  <si>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</si>
  <si>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</si>
  <si>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</si>
  <si>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</si>
  <si>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</si>
  <si>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</si>
  <si>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</si>
  <si>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</si>
  <si>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</si>
  <si>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</si>
  <si>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</si>
  <si>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</si>
  <si>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</si>
  <si>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</si>
  <si>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</si>
  <si>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</si>
  <si>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</si>
  <si>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</si>
  <si>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</si>
  <si>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Residential + Commercial</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</si>
  <si>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</si>
  <si>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</si>
  <si>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</si>
  <si>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</si>
  <si>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</si>
  <si>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</si>
  <si>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</si>
  <si>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</si>
  <si>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</si>
  <si>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</si>
  <si>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</si>
  <si>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</si>
  <si>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</si>
  <si>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</si>
  <si>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</si>
  <si>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</si>
  <si>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Excavation in process</t>
  </si>
  <si>
    <t>Excavation Completed</t>
  </si>
  <si>
    <t>Footing in Process</t>
  </si>
  <si>
    <t>Footing Completed</t>
  </si>
  <si>
    <t>Plinth completed</t>
  </si>
  <si>
    <t>All work Completed. OC Received.</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</si>
  <si>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</si>
  <si>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</si>
  <si>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</si>
  <si>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</si>
  <si>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</si>
  <si>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</si>
  <si>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</si>
  <si>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</si>
  <si>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</si>
  <si>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</si>
  <si>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</si>
  <si>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</si>
  <si>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</si>
  <si>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 xml:space="preserve">Wheather the construction is as per approved Building plan : </t>
  </si>
  <si>
    <t>Saleable area
Loading :</t>
  </si>
  <si>
    <t>Ground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</si>
  <si>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</si>
  <si>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</si>
  <si>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</si>
  <si>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</si>
  <si>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</si>
  <si>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Nearby Landmark</t>
  </si>
  <si>
    <t>We considered Carpet area as per Approved Plan.</t>
  </si>
  <si>
    <t>We considered Gross carpet area = Net carpet + Enclose balcony + D.B Area + F.B Area.</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</si>
  <si>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</si>
  <si>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</si>
  <si>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</si>
  <si>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</si>
  <si>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</si>
  <si>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</si>
  <si>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</si>
  <si>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</si>
  <si>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</si>
  <si>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</si>
  <si>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</si>
  <si>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</si>
  <si>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</si>
  <si>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</si>
  <si>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</si>
  <si>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Plinth in process</t>
  </si>
  <si>
    <t>Axis Sanpada</t>
  </si>
  <si>
    <t>M/s. Lakhani Construction LLP</t>
  </si>
  <si>
    <t>Lakhanis Orchid Woods</t>
  </si>
  <si>
    <t xml:space="preserve">P52000002927
</t>
  </si>
  <si>
    <t>A to K Wings</t>
  </si>
  <si>
    <t>CTS No</t>
  </si>
  <si>
    <t>Mulgaon</t>
  </si>
  <si>
    <t>Mumbai -Pune Express</t>
  </si>
  <si>
    <t>Khalapur</t>
  </si>
  <si>
    <t>Raigad</t>
  </si>
  <si>
    <t>Khopoli</t>
  </si>
  <si>
    <t>2.3Km from Khopoli Railway Station</t>
  </si>
  <si>
    <t>Golden Hill Complex</t>
  </si>
  <si>
    <t>Open Plot</t>
  </si>
  <si>
    <t>Building</t>
  </si>
  <si>
    <t>Approved Plans, CC, Cost Sheet</t>
  </si>
  <si>
    <t>11 Buildings</t>
  </si>
  <si>
    <t>KMC/BV/BP/1520</t>
  </si>
  <si>
    <t>Valid Up to: A to K = Lower Gr. + Ground + 1s to 12th Floor</t>
  </si>
  <si>
    <t>A to K = Lower Gr. + Ground + 1s to 12th Floor</t>
  </si>
  <si>
    <t>Commercial Shopline</t>
  </si>
  <si>
    <t>Lower Ground Floor</t>
  </si>
  <si>
    <t>Shop</t>
  </si>
  <si>
    <t>1A</t>
  </si>
  <si>
    <t>A Wing</t>
  </si>
  <si>
    <t>1st, 3rd, 5th, 7th, 9th, 11th Floor</t>
  </si>
  <si>
    <t>2nd, 4th, 6th, 8th, 10th Floor</t>
  </si>
  <si>
    <t>1BHK</t>
  </si>
  <si>
    <t>B Wing</t>
  </si>
  <si>
    <t>2BHK</t>
  </si>
  <si>
    <t>2nd, 4th, 6th, 8th, 10th, 12th Floor</t>
  </si>
  <si>
    <t>C Wing</t>
  </si>
  <si>
    <t>D Wing</t>
  </si>
  <si>
    <t>1st Floor</t>
  </si>
  <si>
    <t>3rd, 5th, 7th, 9th, 11th Floor</t>
  </si>
  <si>
    <t>E Wing</t>
  </si>
  <si>
    <t>F Wing</t>
  </si>
  <si>
    <t>G Wing</t>
  </si>
  <si>
    <t>1st, 3rd, 5th, 7th Floor</t>
  </si>
  <si>
    <t>2nd, 4th, 6th Floor</t>
  </si>
  <si>
    <t>H Wing</t>
  </si>
  <si>
    <t>I Wing</t>
  </si>
  <si>
    <t>J Wing</t>
  </si>
  <si>
    <t>K Wing</t>
  </si>
  <si>
    <t>We considered  Saleable area  as per our calculation.</t>
  </si>
  <si>
    <t>We update all buildigs revised plans (on 20/09/2021)</t>
  </si>
  <si>
    <t>A Wing = Lower Gr. + Ground + 1s to 11th Floor
B to E Wing = Lower Gr. + Ground + 1s to 12th Floor
F Wing = Lower Gr. + Ground + 1s to 11th Floor
G to K Wing = Lower Gr. + Ground + 1s to 7th Floor</t>
  </si>
  <si>
    <t>All work Completed. Wait For OC.</t>
  </si>
  <si>
    <t>All work Completed. Provide OC.</t>
  </si>
  <si>
    <t>RCC</t>
  </si>
  <si>
    <t>Construction details:Tower C = Gr. + 1st to 12th floor</t>
  </si>
  <si>
    <t>Construction details:Tower D = Gr. + 1st to 12th floor</t>
  </si>
  <si>
    <t>Construction details:Tower E = Gr. + 1st to 12th floor</t>
  </si>
  <si>
    <t>Construction details:Tower F = Gr. + 1st to 12th floor</t>
  </si>
  <si>
    <t>Construction details:Tower G = Gr. + 1st to 12th floor</t>
  </si>
  <si>
    <t>Construction details:Tower H, I, J &amp; K = Gr. + 1st to 12th floor</t>
  </si>
  <si>
    <t>Recommended rate of the Lower Ground Shops Per Sq. Ft. ( on Saleable area)</t>
  </si>
  <si>
    <t>Recommended rate of the Ground Shops Per Sq. Ft.(on Saleable area)</t>
  </si>
  <si>
    <t>20/- from 2nd Floor</t>
  </si>
  <si>
    <t>1,00,000/-</t>
  </si>
  <si>
    <t>Security Grills Charges</t>
  </si>
  <si>
    <t>Legal Charges</t>
  </si>
  <si>
    <t>15,000/-</t>
  </si>
  <si>
    <t>Shops</t>
  </si>
  <si>
    <t>Flats - 602, Shops - 34</t>
  </si>
  <si>
    <t>2,00,000/-</t>
  </si>
  <si>
    <t>MSEB, Water recources Development Charges</t>
  </si>
  <si>
    <t>1.5BHK</t>
  </si>
  <si>
    <t>1,50,000/-</t>
  </si>
  <si>
    <t>Maintenance Charges for 1 Year</t>
  </si>
  <si>
    <t>25000/-</t>
  </si>
  <si>
    <t>Smith</t>
  </si>
  <si>
    <t>Cost sheet</t>
  </si>
  <si>
    <t>4300 to 4700</t>
  </si>
  <si>
    <t>50,000/-</t>
  </si>
  <si>
    <t>Club House</t>
  </si>
  <si>
    <t>Location Link</t>
  </si>
  <si>
    <t>https://goo.gl/maps/azKkLzMrCXGrQu2F6</t>
  </si>
  <si>
    <t>Internal visit was not allowed, so we were not able to identify stage of other buildings of project.</t>
  </si>
  <si>
    <t>On site we met Mr. Alwyn - 7498177028</t>
  </si>
  <si>
    <t>Office No. 1031, Wing J, Akshar Business Park, Plot No. 03 Sector 25, Near APMC Market,
Vashi, Navi Mumbai, Maharashtra 400703 TEL: 022-46090378/79/80                                                                       
E mail : vsjcapf@gmail.com. Web site : www.vsjadon.com</t>
  </si>
  <si>
    <t>Site Meet Person Contact Details ( Name &amp; Contact No.)</t>
  </si>
  <si>
    <t>Mr. Harish 9323469430</t>
  </si>
  <si>
    <t>2472, Survey No.16B</t>
  </si>
  <si>
    <t>CBRKC/FO/2023/APL/00149
Approved upto : B Wing = LG + Gr/Stilt + 1st to 12th Floor</t>
  </si>
  <si>
    <t xml:space="preserve">Part O. Certificate No.: </t>
  </si>
  <si>
    <t>KMC/Nagar Rachana/V.P.172
Approved upto : Gr/Stilt + 1st to 11th Floor (Flats = 44 Nos.)</t>
  </si>
  <si>
    <t>CBRKC/PO/2022/APL/00017
Approved upto : D Wing = Gr/Stilt + 1st to 12th Floor (Total Built Up Area = 3218.503 Sq.M)</t>
  </si>
  <si>
    <t>Construction details: Tower A &amp; D = LG + Gr. + 1st to 12th floor</t>
  </si>
  <si>
    <t>All work Completed. Part OC Received.</t>
  </si>
  <si>
    <t>Construction details: Tower B = LG + Gr. + 1st to 12th floor</t>
  </si>
  <si>
    <t>We have updated Part OC for Wing A &amp; D &amp; Full OC for Wing B (On 31/08/2024).</t>
  </si>
  <si>
    <t>As per RERA, completion period of project Lakhanis Orchid Woods is expired on 31/07/2024 but still project is under construction.</t>
  </si>
  <si>
    <t>The project has received first CC on 25/07/2018, But Wig E, F &amp; G construction work is not yet Completed and Wing H, I, J &amp; K work not started yet.</t>
  </si>
  <si>
    <t>As per RERA - 30/07/2027</t>
  </si>
  <si>
    <t>Ms Sweta Gaikwad 9324723303</t>
  </si>
  <si>
    <t>Grand Total</t>
  </si>
  <si>
    <t>Gaurav Panchal</t>
  </si>
  <si>
    <t>Nitesh Patil</t>
  </si>
  <si>
    <t>Wing F = Construction work same as last visit. 06/12/2023.</t>
  </si>
  <si>
    <t xml:space="preserve">Wing A &amp; D = All work Completed. Part OC Received. Please provide Full OC.
Wing B = All work Completed. OC Received.
Wing C = All work Completed. Please provide OC.
Wing E = Construction work is in process at the time of visit. (Slow Speed)
Wing  F = Construction work is in process at the time of visit.
Wing G  = Work same as visit.(07/06/2022).
Wing H, I, J &amp; K = Work not started Yet.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</si>
</sst>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_(* \(#,##0.00\);_(* &quot;-&quot;??_);_(@_)"/>
    <numFmt numFmtId="166" formatCode="_(* #,##0_);_(* \(#,##0\);_(* &quot;-&quot;??_);_(@_)"/>
    <numFmt numFmtId="167" formatCode="dd\/mm\/yyyy"/>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0" fontId="23" fillId="0" borderId="0" applyNumberFormat="0" applyFill="0" applyBorder="0" applyAlignment="0" applyProtection="0"/>
  </cellStyleXfs>
  <cellXfs count="224">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1" xfId="0" applyFill="1" applyBorder="1"/>
    <xf numFmtId="0" fontId="0" fillId="0" borderId="2" xfId="0" applyBorder="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6" fillId="0" borderId="0" xfId="2" applyFont="1"/>
    <xf numFmtId="0" fontId="12" fillId="0" borderId="0" xfId="1" applyFont="1"/>
    <xf numFmtId="0" fontId="15" fillId="0" borderId="0" xfId="1" applyFont="1"/>
    <xf numFmtId="0" fontId="16" fillId="0" borderId="0" xfId="1" applyFont="1"/>
    <xf numFmtId="0" fontId="12" fillId="2" borderId="1" xfId="1" applyFont="1" applyFill="1" applyBorder="1" applyAlignment="1" applyProtection="1">
      <alignment vertical="top"/>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1" fontId="6" fillId="0" borderId="1" xfId="1" applyNumberFormat="1" applyFont="1" applyBorder="1" applyAlignment="1" applyProtection="1">
      <alignment horizontal="center" vertical="center" wrapText="1"/>
      <protection locked="0"/>
    </xf>
    <xf numFmtId="0" fontId="7" fillId="0" borderId="12" xfId="1" applyFont="1" applyBorder="1" applyProtection="1">
      <protection hidden="1"/>
    </xf>
    <xf numFmtId="0" fontId="7" fillId="0" borderId="13" xfId="1" applyFont="1" applyBorder="1" applyProtection="1">
      <protection hidden="1"/>
    </xf>
    <xf numFmtId="0" fontId="7" fillId="0" borderId="13" xfId="1" applyFont="1" applyBorder="1"/>
    <xf numFmtId="9" fontId="17" fillId="0" borderId="0" xfId="0" applyNumberFormat="1" applyFont="1" applyProtection="1">
      <protection hidden="1"/>
    </xf>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1" fontId="8" fillId="0" borderId="3" xfId="1" applyNumberFormat="1" applyFont="1" applyBorder="1" applyAlignment="1" applyProtection="1">
      <alignment horizontal="center" vertical="top" wrapText="1"/>
      <protection locked="0"/>
    </xf>
    <xf numFmtId="9" fontId="8" fillId="0" borderId="19" xfId="8" applyFont="1" applyFill="1" applyBorder="1" applyAlignment="1" applyProtection="1">
      <alignment horizontal="center" vertical="top" wrapText="1"/>
      <protection locked="0"/>
    </xf>
    <xf numFmtId="1" fontId="7" fillId="0" borderId="0" xfId="1" applyNumberFormat="1" applyFont="1" applyAlignment="1">
      <alignment horizontal="center" vertical="center"/>
    </xf>
    <xf numFmtId="0" fontId="17" fillId="0" borderId="0" xfId="0" applyFont="1" applyProtection="1">
      <protection hidden="1"/>
    </xf>
    <xf numFmtId="14" fontId="7" fillId="0" borderId="0" xfId="1" applyNumberFormat="1" applyFont="1"/>
    <xf numFmtId="1" fontId="7" fillId="0" borderId="0" xfId="1" applyNumberFormat="1" applyFont="1"/>
    <xf numFmtId="1" fontId="8" fillId="0" borderId="1" xfId="0" applyNumberFormat="1" applyFont="1" applyBorder="1" applyAlignment="1" applyProtection="1">
      <alignment horizontal="center" vertical="center" wrapText="1"/>
      <protection locked="0"/>
    </xf>
    <xf numFmtId="0" fontId="17" fillId="0" borderId="13" xfId="0" applyFont="1" applyBorder="1" applyProtection="1">
      <protection hidden="1"/>
    </xf>
    <xf numFmtId="0" fontId="7" fillId="0" borderId="11" xfId="1" applyFont="1" applyBorder="1" applyProtection="1">
      <protection hidden="1"/>
    </xf>
    <xf numFmtId="0" fontId="12" fillId="0" borderId="5" xfId="1" applyFont="1" applyBorder="1" applyAlignment="1" applyProtection="1">
      <alignment horizontal="center" vertical="top"/>
      <protection locked="0"/>
    </xf>
    <xf numFmtId="0" fontId="12" fillId="2" borderId="1" xfId="1" applyFont="1" applyFill="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3" fillId="2" borderId="1" xfId="1" applyFont="1" applyFill="1" applyBorder="1" applyAlignment="1" applyProtection="1">
      <alignment horizontal="left" vertical="top"/>
      <protection locked="0"/>
    </xf>
    <xf numFmtId="0" fontId="6" fillId="0" borderId="1" xfId="0" applyFont="1" applyBorder="1" applyAlignment="1">
      <alignment horizontal="center" vertical="top"/>
    </xf>
    <xf numFmtId="1" fontId="6" fillId="0" borderId="1" xfId="0" applyNumberFormat="1" applyFont="1" applyBorder="1" applyAlignment="1">
      <alignment horizontal="center" vertical="top"/>
    </xf>
    <xf numFmtId="1" fontId="7" fillId="0" borderId="1" xfId="0" applyNumberFormat="1" applyFont="1" applyBorder="1" applyAlignment="1">
      <alignment horizontal="center" vertical="top"/>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wrapText="1"/>
      <protection locked="0"/>
    </xf>
    <xf numFmtId="1" fontId="12" fillId="0" borderId="1" xfId="1" applyNumberFormat="1" applyFont="1" applyBorder="1" applyAlignment="1" applyProtection="1">
      <alignment horizontal="center" wrapText="1"/>
      <protection locked="0"/>
    </xf>
    <xf numFmtId="0" fontId="12" fillId="0" borderId="7" xfId="1" applyFont="1" applyBorder="1" applyAlignment="1" applyProtection="1">
      <alignment horizontal="center" wrapText="1"/>
      <protection locked="0"/>
    </xf>
    <xf numFmtId="0" fontId="0" fillId="0" borderId="14" xfId="0" applyBorder="1"/>
    <xf numFmtId="0" fontId="0" fillId="0" borderId="15" xfId="0" applyBorder="1"/>
    <xf numFmtId="9" fontId="12" fillId="2" borderId="1" xfId="1" applyNumberFormat="1" applyFont="1" applyFill="1" applyBorder="1" applyAlignment="1" applyProtection="1">
      <alignment horizontal="center" vertical="center" wrapText="1"/>
      <protection hidden="1"/>
    </xf>
    <xf numFmtId="9" fontId="12" fillId="2" borderId="7" xfId="1" applyNumberFormat="1" applyFont="1" applyFill="1" applyBorder="1" applyAlignment="1" applyProtection="1">
      <alignment horizontal="center" vertical="center" wrapText="1"/>
      <protection hidden="1"/>
    </xf>
    <xf numFmtId="0" fontId="7" fillId="3" borderId="0" xfId="1" applyFont="1" applyFill="1"/>
    <xf numFmtId="14" fontId="7" fillId="3" borderId="0" xfId="1" applyNumberFormat="1" applyFont="1" applyFill="1"/>
    <xf numFmtId="1" fontId="7" fillId="0" borderId="0" xfId="0" applyNumberFormat="1" applyFont="1" applyAlignment="1">
      <alignment horizontal="center" vertical="center"/>
    </xf>
    <xf numFmtId="0" fontId="12" fillId="0" borderId="19"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0" fontId="12" fillId="0" borderId="19" xfId="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13" fillId="0" borderId="41" xfId="1" applyFont="1" applyBorder="1" applyAlignment="1" applyProtection="1">
      <alignment horizontal="center" vertical="center"/>
      <protection locked="0"/>
    </xf>
    <xf numFmtId="0" fontId="13" fillId="0" borderId="42" xfId="1" applyFont="1" applyBorder="1" applyAlignment="1" applyProtection="1">
      <alignment horizontal="center" vertical="center"/>
      <protection locked="0"/>
    </xf>
    <xf numFmtId="9" fontId="13" fillId="0" borderId="7" xfId="1" applyNumberFormat="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9" fontId="13" fillId="0" borderId="42" xfId="1" applyNumberFormat="1" applyFont="1" applyBorder="1" applyAlignment="1" applyProtection="1">
      <alignment horizontal="center" vertical="center"/>
      <protection locked="0"/>
    </xf>
    <xf numFmtId="0" fontId="13" fillId="0" borderId="43" xfId="1" applyFont="1" applyBorder="1" applyAlignment="1" applyProtection="1">
      <alignment horizontal="center" vertical="center"/>
      <protection locked="0"/>
    </xf>
    <xf numFmtId="1" fontId="8" fillId="0" borderId="38" xfId="0" applyNumberFormat="1" applyFont="1" applyBorder="1" applyAlignment="1" applyProtection="1">
      <alignment horizontal="center" vertical="center" wrapText="1"/>
      <protection locked="0"/>
    </xf>
    <xf numFmtId="1" fontId="8" fillId="0" borderId="39" xfId="0" applyNumberFormat="1" applyFont="1" applyBorder="1" applyAlignment="1" applyProtection="1">
      <alignment horizontal="center" vertical="center" wrapText="1"/>
      <protection locked="0"/>
    </xf>
    <xf numFmtId="0" fontId="10" fillId="0" borderId="39" xfId="0" applyFont="1" applyBorder="1" applyAlignment="1" applyProtection="1">
      <alignment horizontal="center" vertical="center"/>
      <protection locked="0"/>
    </xf>
    <xf numFmtId="1" fontId="10" fillId="0" borderId="39" xfId="0" applyNumberFormat="1" applyFont="1" applyBorder="1" applyAlignment="1" applyProtection="1">
      <alignment horizontal="center" vertical="center"/>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center"/>
      <protection locked="0"/>
    </xf>
    <xf numFmtId="1" fontId="10" fillId="0" borderId="3" xfId="0" applyNumberFormat="1" applyFont="1" applyBorder="1" applyAlignment="1" applyProtection="1">
      <alignment horizontal="center" vertical="center"/>
      <protection locked="0"/>
    </xf>
    <xf numFmtId="1" fontId="24" fillId="0" borderId="9" xfId="0" applyNumberFormat="1" applyFont="1" applyBorder="1" applyAlignment="1" applyProtection="1">
      <alignment vertical="top" wrapText="1"/>
      <protection locked="0"/>
    </xf>
    <xf numFmtId="1" fontId="24" fillId="0" borderId="24" xfId="0" applyNumberFormat="1" applyFont="1" applyBorder="1" applyAlignment="1" applyProtection="1">
      <alignment vertical="top" wrapText="1"/>
      <protection locked="0"/>
    </xf>
    <xf numFmtId="1" fontId="24" fillId="0" borderId="10" xfId="0" applyNumberFormat="1" applyFont="1" applyBorder="1" applyAlignment="1" applyProtection="1">
      <alignment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13" fillId="0" borderId="9" xfId="0" applyNumberFormat="1" applyFont="1" applyBorder="1" applyAlignment="1" applyProtection="1">
      <alignment vertical="top" wrapText="1"/>
      <protection locked="0"/>
    </xf>
    <xf numFmtId="1" fontId="13" fillId="0" borderId="24" xfId="0" applyNumberFormat="1" applyFont="1" applyBorder="1" applyAlignment="1" applyProtection="1">
      <alignment vertical="top" wrapText="1"/>
      <protection locked="0"/>
    </xf>
    <xf numFmtId="1" fontId="13" fillId="0" borderId="10" xfId="0" applyNumberFormat="1" applyFont="1" applyBorder="1" applyAlignment="1" applyProtection="1">
      <alignment vertical="top" wrapText="1"/>
      <protection locked="0"/>
    </xf>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9"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1" fontId="8" fillId="0" borderId="22" xfId="1" applyNumberFormat="1" applyFont="1" applyBorder="1" applyAlignment="1" applyProtection="1">
      <alignment horizontal="center" vertical="top" wrapText="1"/>
      <protection locked="0"/>
    </xf>
    <xf numFmtId="1" fontId="8" fillId="0" borderId="23"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3" fillId="2" borderId="1" xfId="1" applyFont="1" applyFill="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12" fillId="0" borderId="9"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0" xfId="1" applyFont="1" applyBorder="1" applyAlignment="1" applyProtection="1">
      <alignment horizontal="left" vertical="top"/>
      <protection locked="0"/>
    </xf>
    <xf numFmtId="0" fontId="12" fillId="2" borderId="1" xfId="1" applyFont="1" applyFill="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20"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4"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2" borderId="1" xfId="1" applyNumberFormat="1" applyFont="1" applyFill="1" applyBorder="1" applyAlignment="1" applyProtection="1">
      <alignment horizontal="center" vertical="center" wrapText="1"/>
      <protection hidden="1"/>
    </xf>
    <xf numFmtId="9" fontId="12" fillId="2" borderId="7" xfId="1" applyNumberFormat="1" applyFont="1" applyFill="1" applyBorder="1" applyAlignment="1" applyProtection="1">
      <alignment horizontal="center" vertical="center" wrapText="1"/>
      <protection hidden="1"/>
    </xf>
    <xf numFmtId="9" fontId="12" fillId="2" borderId="5" xfId="1" applyNumberFormat="1" applyFont="1" applyFill="1" applyBorder="1" applyAlignment="1" applyProtection="1">
      <alignment horizontal="center" vertical="center" wrapText="1"/>
      <protection hidden="1"/>
    </xf>
    <xf numFmtId="9" fontId="12" fillId="2" borderId="8" xfId="1" applyNumberFormat="1" applyFont="1" applyFill="1" applyBorder="1" applyAlignment="1" applyProtection="1">
      <alignment horizontal="center" vertical="center" wrapText="1"/>
      <protection hidden="1"/>
    </xf>
    <xf numFmtId="0" fontId="13" fillId="0" borderId="4" xfId="1" applyFont="1" applyBorder="1" applyAlignment="1" applyProtection="1">
      <alignment horizontal="left" vertical="top"/>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12" fillId="2" borderId="1" xfId="1" applyFont="1" applyFill="1" applyBorder="1" applyAlignment="1" applyProtection="1">
      <alignment horizontal="left" vertical="top"/>
      <protection locked="0"/>
    </xf>
    <xf numFmtId="0" fontId="12" fillId="0" borderId="16" xfId="1" applyFont="1" applyBorder="1" applyAlignment="1" applyProtection="1">
      <alignment horizontal="left" vertical="top"/>
      <protection locked="0"/>
    </xf>
    <xf numFmtId="0" fontId="12" fillId="0" borderId="17"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8" fillId="0" borderId="27" xfId="1" applyFont="1" applyBorder="1" applyAlignment="1" applyProtection="1">
      <alignment horizontal="left" vertical="top" wrapText="1"/>
      <protection locked="0"/>
    </xf>
    <xf numFmtId="0" fontId="8" fillId="0" borderId="28" xfId="1" applyFont="1" applyBorder="1" applyAlignment="1" applyProtection="1">
      <alignment horizontal="left" vertical="top" wrapText="1"/>
      <protection locked="0"/>
    </xf>
    <xf numFmtId="0" fontId="8" fillId="0" borderId="29" xfId="1" applyFont="1" applyBorder="1" applyAlignment="1" applyProtection="1">
      <alignment horizontal="left" vertical="top" wrapText="1"/>
      <protection locked="0"/>
    </xf>
    <xf numFmtId="0" fontId="6" fillId="0" borderId="4"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8" fillId="0" borderId="1" xfId="1" applyFont="1" applyBorder="1" applyAlignment="1" applyProtection="1">
      <alignment vertical="top"/>
      <protection locked="0"/>
    </xf>
    <xf numFmtId="0" fontId="8" fillId="0" borderId="19" xfId="1" applyFont="1" applyBorder="1" applyAlignment="1" applyProtection="1">
      <alignment horizontal="center" vertical="top"/>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3" fillId="0" borderId="9" xfId="1" applyFont="1" applyBorder="1" applyAlignment="1" applyProtection="1">
      <alignment horizontal="left" vertical="top" wrapText="1"/>
      <protection locked="0"/>
    </xf>
    <xf numFmtId="0" fontId="13" fillId="0" borderId="24" xfId="1" applyFont="1" applyBorder="1" applyAlignment="1" applyProtection="1">
      <alignment horizontal="left" vertical="top" wrapText="1"/>
      <protection locked="0"/>
    </xf>
    <xf numFmtId="0" fontId="13" fillId="0" borderId="26"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1" fontId="6" fillId="0" borderId="9" xfId="1" applyNumberFormat="1" applyFont="1" applyBorder="1" applyAlignment="1" applyProtection="1">
      <alignment horizontal="center" vertical="center" wrapText="1"/>
      <protection locked="0"/>
    </xf>
    <xf numFmtId="1" fontId="6" fillId="0" borderId="10"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6" fillId="0" borderId="3" xfId="1" applyFont="1" applyBorder="1" applyAlignment="1" applyProtection="1">
      <alignment horizontal="left" vertical="top"/>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7" fillId="0" borderId="4"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wrapText="1"/>
      <protection locked="0"/>
    </xf>
    <xf numFmtId="167" fontId="12"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67" fontId="13" fillId="0" borderId="1" xfId="1" applyNumberFormat="1" applyFont="1" applyBorder="1" applyAlignment="1" applyProtection="1">
      <alignment horizontal="left" vertical="top" wrapText="1"/>
      <protection locked="0"/>
    </xf>
    <xf numFmtId="0" fontId="12" fillId="2" borderId="9" xfId="1" applyFont="1" applyFill="1" applyBorder="1" applyAlignment="1" applyProtection="1">
      <alignment horizontal="left" vertical="top" wrapText="1"/>
      <protection locked="0"/>
    </xf>
    <xf numFmtId="0" fontId="12" fillId="2" borderId="24" xfId="1" applyFont="1" applyFill="1" applyBorder="1" applyAlignment="1" applyProtection="1">
      <alignment horizontal="left" vertical="top" wrapText="1"/>
      <protection locked="0"/>
    </xf>
    <xf numFmtId="0" fontId="12" fillId="2" borderId="10"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67"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center" wrapText="1"/>
      <protection locked="0"/>
    </xf>
    <xf numFmtId="0" fontId="12" fillId="0" borderId="1" xfId="1" applyFont="1" applyBorder="1" applyAlignment="1" applyProtection="1">
      <alignment horizontal="left"/>
      <protection locked="0"/>
    </xf>
    <xf numFmtId="0" fontId="6" fillId="2" borderId="1" xfId="1" applyFont="1" applyFill="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7"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23" fillId="0" borderId="9" xfId="9" applyBorder="1" applyAlignment="1" applyProtection="1">
      <alignment horizontal="left" vertical="top"/>
      <protection locked="0"/>
    </xf>
    <xf numFmtId="0" fontId="7" fillId="0" borderId="24" xfId="1" applyFont="1" applyBorder="1" applyAlignment="1" applyProtection="1">
      <alignment horizontal="left" vertical="top"/>
      <protection locked="0"/>
    </xf>
    <xf numFmtId="0" fontId="7" fillId="0" borderId="10" xfId="1" applyFont="1" applyBorder="1" applyAlignment="1" applyProtection="1">
      <alignment horizontal="left" vertical="top"/>
      <protection locked="0"/>
    </xf>
    <xf numFmtId="0" fontId="7" fillId="0" borderId="0" xfId="1" applyFont="1" applyAlignment="1">
      <alignment horizontal="center" vertical="center"/>
    </xf>
    <xf numFmtId="1" fontId="8" fillId="0" borderId="9" xfId="1" applyNumberFormat="1" applyFont="1" applyBorder="1" applyAlignment="1" applyProtection="1">
      <alignment horizontal="center" vertical="center" wrapText="1"/>
      <protection locked="0"/>
    </xf>
    <xf numFmtId="1" fontId="8" fillId="0" borderId="24" xfId="1" applyNumberFormat="1" applyFont="1" applyBorder="1" applyAlignment="1" applyProtection="1">
      <alignment horizontal="center" vertical="center" wrapText="1"/>
      <protection locked="0"/>
    </xf>
    <xf numFmtId="1" fontId="8" fillId="0" borderId="10"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30" xfId="1" applyNumberFormat="1" applyFont="1" applyBorder="1" applyAlignment="1" applyProtection="1">
      <alignment horizontal="center" vertical="center" wrapText="1"/>
      <protection locked="0"/>
    </xf>
    <xf numFmtId="1" fontId="6" fillId="0" borderId="31" xfId="1" applyNumberFormat="1" applyFont="1" applyBorder="1" applyAlignment="1" applyProtection="1">
      <alignment horizontal="center" vertical="center" wrapText="1"/>
      <protection locked="0"/>
    </xf>
    <xf numFmtId="1" fontId="6" fillId="0" borderId="22"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13" fillId="0" borderId="27" xfId="1" applyFont="1" applyBorder="1" applyAlignment="1" applyProtection="1">
      <alignment horizontal="left" vertical="top" wrapText="1"/>
      <protection locked="0"/>
    </xf>
    <xf numFmtId="0" fontId="13" fillId="0" borderId="28" xfId="1" applyFont="1" applyBorder="1" applyAlignment="1" applyProtection="1">
      <alignment horizontal="left" vertical="top" wrapText="1"/>
      <protection locked="0"/>
    </xf>
    <xf numFmtId="0" fontId="13" fillId="0" borderId="29" xfId="1" applyFont="1" applyBorder="1" applyAlignment="1" applyProtection="1">
      <alignment horizontal="left" vertical="top" wrapText="1"/>
      <protection locked="0"/>
    </xf>
    <xf numFmtId="0" fontId="13" fillId="0" borderId="34" xfId="1" applyFont="1" applyBorder="1" applyAlignment="1" applyProtection="1">
      <alignment horizontal="left" vertical="top"/>
      <protection locked="0"/>
    </xf>
    <xf numFmtId="0" fontId="13" fillId="0" borderId="3" xfId="1" applyFont="1" applyBorder="1" applyAlignment="1" applyProtection="1">
      <alignment horizontal="left" vertical="top"/>
      <protection locked="0"/>
    </xf>
    <xf numFmtId="0" fontId="13" fillId="0" borderId="20" xfId="1" applyFont="1" applyBorder="1" applyAlignment="1" applyProtection="1">
      <alignment horizontal="left" vertical="top" wrapText="1"/>
      <protection locked="0"/>
    </xf>
    <xf numFmtId="0" fontId="13" fillId="0" borderId="25" xfId="1" applyFont="1" applyBorder="1" applyAlignment="1" applyProtection="1">
      <alignment horizontal="left" vertical="top" wrapText="1"/>
      <protection locked="0"/>
    </xf>
    <xf numFmtId="0" fontId="13" fillId="0" borderId="35" xfId="1" applyFont="1" applyBorder="1" applyAlignment="1" applyProtection="1">
      <alignment horizontal="left" vertical="top" wrapText="1"/>
      <protection locked="0"/>
    </xf>
    <xf numFmtId="0" fontId="12" fillId="0" borderId="36" xfId="1" applyFont="1" applyBorder="1" applyAlignment="1" applyProtection="1">
      <alignment horizontal="center" vertical="top" wrapText="1"/>
      <protection locked="0"/>
    </xf>
    <xf numFmtId="0" fontId="12" fillId="0" borderId="19" xfId="1" applyFont="1" applyBorder="1" applyAlignment="1" applyProtection="1">
      <alignment horizontal="center" vertical="top" wrapText="1"/>
      <protection locked="0"/>
    </xf>
    <xf numFmtId="0" fontId="12" fillId="0" borderId="37" xfId="1" applyFont="1" applyBorder="1" applyAlignment="1" applyProtection="1">
      <alignment horizontal="center" vertical="top" wrapText="1"/>
      <protection locked="0"/>
    </xf>
    <xf numFmtId="0" fontId="13" fillId="0" borderId="38" xfId="1" applyFont="1" applyBorder="1" applyAlignment="1" applyProtection="1">
      <alignment horizontal="center" vertical="center"/>
      <protection locked="0"/>
    </xf>
    <xf numFmtId="0" fontId="13" fillId="0" borderId="39" xfId="1" applyFont="1" applyBorder="1" applyAlignment="1" applyProtection="1">
      <alignment horizontal="center" vertical="center"/>
      <protection locked="0"/>
    </xf>
    <xf numFmtId="9" fontId="13" fillId="0" borderId="39" xfId="1" applyNumberFormat="1" applyFont="1" applyBorder="1" applyAlignment="1" applyProtection="1">
      <alignment horizontal="center" vertical="center" wrapText="1"/>
      <protection locked="0"/>
    </xf>
    <xf numFmtId="0" fontId="13" fillId="0" borderId="39" xfId="1" applyFont="1" applyBorder="1" applyAlignment="1" applyProtection="1">
      <alignment horizontal="center" vertical="center" wrapText="1"/>
      <protection locked="0"/>
    </xf>
    <xf numFmtId="0" fontId="13" fillId="0" borderId="40" xfId="1" applyFont="1" applyBorder="1" applyAlignment="1" applyProtection="1">
      <alignment horizontal="center" vertical="center" wrapText="1"/>
      <protection locked="0"/>
    </xf>
    <xf numFmtId="9" fontId="12" fillId="2" borderId="21" xfId="1" applyNumberFormat="1" applyFont="1" applyFill="1" applyBorder="1" applyAlignment="1" applyProtection="1">
      <alignment horizontal="center" vertical="center" wrapText="1"/>
      <protection hidden="1"/>
    </xf>
    <xf numFmtId="9" fontId="12" fillId="2" borderId="30" xfId="1" applyNumberFormat="1" applyFont="1" applyFill="1" applyBorder="1" applyAlignment="1" applyProtection="1">
      <alignment horizontal="center" vertical="center" wrapText="1"/>
      <protection hidden="1"/>
    </xf>
    <xf numFmtId="9" fontId="12" fillId="2" borderId="31" xfId="1" applyNumberFormat="1" applyFont="1" applyFill="1" applyBorder="1" applyAlignment="1" applyProtection="1">
      <alignment horizontal="center" vertical="center" wrapText="1"/>
      <protection hidden="1"/>
    </xf>
    <xf numFmtId="9" fontId="12" fillId="2" borderId="32" xfId="1" applyNumberFormat="1" applyFont="1" applyFill="1" applyBorder="1" applyAlignment="1" applyProtection="1">
      <alignment horizontal="center" vertical="center" wrapText="1"/>
      <protection hidden="1"/>
    </xf>
    <xf numFmtId="9" fontId="12" fillId="2" borderId="33" xfId="1" applyNumberFormat="1" applyFont="1" applyFill="1" applyBorder="1" applyAlignment="1" applyProtection="1">
      <alignment horizontal="center" vertical="center" wrapText="1"/>
      <protection hidden="1"/>
    </xf>
    <xf numFmtId="0" fontId="0" fillId="3" borderId="1" xfId="0" applyFill="1" applyBorder="1" applyAlignment="1">
      <alignment horizontal="center" wrapText="1"/>
    </xf>
    <xf numFmtId="0" fontId="9" fillId="0" borderId="1" xfId="0" applyFont="1" applyBorder="1" applyAlignment="1">
      <alignment horizontal="center"/>
    </xf>
    <xf numFmtId="0" fontId="9" fillId="0" borderId="1" xfId="5" applyFont="1" applyBorder="1" applyAlignment="1">
      <alignment horizontal="left"/>
    </xf>
  </cellXfs>
  <cellStyles count="10">
    <cellStyle name="Comma 2" xfId="6" xr:uid="{00000000-0005-0000-0000-000000000000}"/>
    <cellStyle name="Excel Built-in Normal" xfId="2" xr:uid="{00000000-0005-0000-0000-000001000000}"/>
    <cellStyle name="Excel Built-in Normal 2" xfId="4" xr:uid="{00000000-0005-0000-0000-000002000000}"/>
    <cellStyle name="Hyperlink" xfId="9"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0</xdr:col>
      <xdr:colOff>616400</xdr:colOff>
      <xdr:row>490</xdr:row>
      <xdr:rowOff>190500</xdr:rowOff>
    </xdr:from>
    <xdr:to>
      <xdr:col>6</xdr:col>
      <xdr:colOff>763748</xdr:colOff>
      <xdr:row>507</xdr:row>
      <xdr:rowOff>1500</xdr:rowOff>
    </xdr:to>
    <xdr:pic>
      <xdr:nvPicPr>
        <xdr:cNvPr id="2" name="Picture 17">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616400" y="92649675"/>
          <a:ext cx="5062248" cy="3211424"/>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619202</xdr:colOff>
      <xdr:row>507</xdr:row>
      <xdr:rowOff>156565</xdr:rowOff>
    </xdr:from>
    <xdr:to>
      <xdr:col>6</xdr:col>
      <xdr:colOff>769284</xdr:colOff>
      <xdr:row>523</xdr:row>
      <xdr:rowOff>169272</xdr:rowOff>
    </xdr:to>
    <xdr:pic>
      <xdr:nvPicPr>
        <xdr:cNvPr id="3" name="Picture 18">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619202" y="96016165"/>
          <a:ext cx="5064982" cy="3213107"/>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oneCellAnchor>
    <xdr:from>
      <xdr:col>17</xdr:col>
      <xdr:colOff>460790</xdr:colOff>
      <xdr:row>448</xdr:row>
      <xdr:rowOff>27885</xdr:rowOff>
    </xdr:from>
    <xdr:ext cx="647700" cy="280205"/>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2102825" y="89539694"/>
          <a:ext cx="647700" cy="28020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Wing G</a:t>
          </a:r>
        </a:p>
      </xdr:txBody>
    </xdr:sp>
    <xdr:clientData/>
  </xdr:oneCellAnchor>
  <xdr:twoCellAnchor>
    <xdr:from>
      <xdr:col>8</xdr:col>
      <xdr:colOff>1082040</xdr:colOff>
      <xdr:row>446</xdr:row>
      <xdr:rowOff>160020</xdr:rowOff>
    </xdr:from>
    <xdr:to>
      <xdr:col>20</xdr:col>
      <xdr:colOff>230846</xdr:colOff>
      <xdr:row>486</xdr:row>
      <xdr:rowOff>150004</xdr:rowOff>
    </xdr:to>
    <xdr:grpSp>
      <xdr:nvGrpSpPr>
        <xdr:cNvPr id="5" name="Group 4">
          <a:extLst>
            <a:ext uri="{FF2B5EF4-FFF2-40B4-BE49-F238E27FC236}">
              <a16:creationId xmlns:a16="http://schemas.microsoft.com/office/drawing/2014/main" id="{BE3D1A84-B22C-8827-0531-BAF29B298B74}"/>
            </a:ext>
          </a:extLst>
        </xdr:cNvPr>
        <xdr:cNvGrpSpPr/>
      </xdr:nvGrpSpPr>
      <xdr:grpSpPr>
        <a:xfrm>
          <a:off x="7616190" y="88466295"/>
          <a:ext cx="5787731" cy="7981459"/>
          <a:chOff x="340666" y="286410"/>
          <a:chExt cx="5991566" cy="7907164"/>
        </a:xfrm>
      </xdr:grpSpPr>
      <xdr:pic>
        <xdr:nvPicPr>
          <xdr:cNvPr id="6" name="Picture 5">
            <a:extLst>
              <a:ext uri="{FF2B5EF4-FFF2-40B4-BE49-F238E27FC236}">
                <a16:creationId xmlns:a16="http://schemas.microsoft.com/office/drawing/2014/main" id="{0A9FDC92-0AA3-348B-D6C6-ECA4ECA40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4435313" y="5673574"/>
            <a:ext cx="1887375" cy="2520000"/>
          </a:xfrm>
          <a:prstGeom prst="rect">
            <a:avLst/>
          </a:prstGeom>
          <a:ln>
            <a:solidFill>
              <a:schemeClr val="tx1"/>
            </a:solidFill>
          </a:ln>
        </xdr:spPr>
      </xdr:pic>
      <xdr:pic>
        <xdr:nvPicPr>
          <xdr:cNvPr id="7" name="Picture 6">
            <a:extLst>
              <a:ext uri="{FF2B5EF4-FFF2-40B4-BE49-F238E27FC236}">
                <a16:creationId xmlns:a16="http://schemas.microsoft.com/office/drawing/2014/main" id="{A0E0AA76-5E3F-DCA0-EDD5-4DCE4B9558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4435314" y="2969022"/>
            <a:ext cx="1887375" cy="2520000"/>
          </a:xfrm>
          <a:prstGeom prst="rect">
            <a:avLst/>
          </a:prstGeom>
          <a:ln>
            <a:solidFill>
              <a:schemeClr val="tx1"/>
            </a:solidFill>
          </a:ln>
        </xdr:spPr>
      </xdr:pic>
      <xdr:pic>
        <xdr:nvPicPr>
          <xdr:cNvPr id="17" name="Picture 16">
            <a:extLst>
              <a:ext uri="{FF2B5EF4-FFF2-40B4-BE49-F238E27FC236}">
                <a16:creationId xmlns:a16="http://schemas.microsoft.com/office/drawing/2014/main" id="{89D4B909-74F9-25D2-50E0-15AB4B7329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392935" y="5673574"/>
            <a:ext cx="1887375" cy="2520000"/>
          </a:xfrm>
          <a:prstGeom prst="rect">
            <a:avLst/>
          </a:prstGeom>
          <a:ln>
            <a:solidFill>
              <a:schemeClr val="tx1"/>
            </a:solidFill>
          </a:ln>
        </xdr:spPr>
      </xdr:pic>
      <xdr:pic>
        <xdr:nvPicPr>
          <xdr:cNvPr id="18" name="Picture 17">
            <a:extLst>
              <a:ext uri="{FF2B5EF4-FFF2-40B4-BE49-F238E27FC236}">
                <a16:creationId xmlns:a16="http://schemas.microsoft.com/office/drawing/2014/main" id="{1377C1DB-FDE0-6A56-7612-76EFC5EC0AB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41015" y="286410"/>
            <a:ext cx="1887375" cy="2520000"/>
          </a:xfrm>
          <a:prstGeom prst="rect">
            <a:avLst/>
          </a:prstGeom>
          <a:ln>
            <a:solidFill>
              <a:schemeClr val="tx1"/>
            </a:solidFill>
          </a:ln>
        </xdr:spPr>
      </xdr:pic>
      <xdr:pic>
        <xdr:nvPicPr>
          <xdr:cNvPr id="19" name="Picture 18">
            <a:extLst>
              <a:ext uri="{FF2B5EF4-FFF2-40B4-BE49-F238E27FC236}">
                <a16:creationId xmlns:a16="http://schemas.microsoft.com/office/drawing/2014/main" id="{06F9AEF0-DAF6-BA62-5D5E-EF60D01BBBB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392936" y="286410"/>
            <a:ext cx="1887375" cy="2520000"/>
          </a:xfrm>
          <a:prstGeom prst="rect">
            <a:avLst/>
          </a:prstGeom>
          <a:ln>
            <a:solidFill>
              <a:schemeClr val="tx1"/>
            </a:solidFill>
          </a:ln>
        </xdr:spPr>
      </xdr:pic>
      <xdr:pic>
        <xdr:nvPicPr>
          <xdr:cNvPr id="20" name="Picture 19">
            <a:extLst>
              <a:ext uri="{FF2B5EF4-FFF2-40B4-BE49-F238E27FC236}">
                <a16:creationId xmlns:a16="http://schemas.microsoft.com/office/drawing/2014/main" id="{F5B1A4EA-B8E1-9B99-BB43-AAF9E7C0D59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392936" y="2979992"/>
            <a:ext cx="1887375" cy="2520000"/>
          </a:xfrm>
          <a:prstGeom prst="rect">
            <a:avLst/>
          </a:prstGeom>
          <a:ln>
            <a:solidFill>
              <a:schemeClr val="tx1"/>
            </a:solidFill>
          </a:ln>
        </xdr:spPr>
      </xdr:pic>
      <xdr:pic>
        <xdr:nvPicPr>
          <xdr:cNvPr id="21" name="Picture 20">
            <a:extLst>
              <a:ext uri="{FF2B5EF4-FFF2-40B4-BE49-F238E27FC236}">
                <a16:creationId xmlns:a16="http://schemas.microsoft.com/office/drawing/2014/main" id="{22D36689-5AE3-FFB9-82F2-CE2C0957C2F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40666" y="5673574"/>
            <a:ext cx="1887375" cy="2520000"/>
          </a:xfrm>
          <a:prstGeom prst="rect">
            <a:avLst/>
          </a:prstGeom>
          <a:ln>
            <a:solidFill>
              <a:schemeClr val="tx1"/>
            </a:solidFill>
          </a:ln>
        </xdr:spPr>
      </xdr:pic>
      <xdr:pic>
        <xdr:nvPicPr>
          <xdr:cNvPr id="22" name="Picture 21">
            <a:extLst>
              <a:ext uri="{FF2B5EF4-FFF2-40B4-BE49-F238E27FC236}">
                <a16:creationId xmlns:a16="http://schemas.microsoft.com/office/drawing/2014/main" id="{62536A06-29FF-F14F-5E69-AE859A08C4D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444857" y="286410"/>
            <a:ext cx="1887375" cy="2520000"/>
          </a:xfrm>
          <a:prstGeom prst="rect">
            <a:avLst/>
          </a:prstGeom>
          <a:ln>
            <a:solidFill>
              <a:schemeClr val="tx1"/>
            </a:solidFill>
          </a:ln>
        </xdr:spPr>
      </xdr:pic>
      <xdr:pic>
        <xdr:nvPicPr>
          <xdr:cNvPr id="23" name="Picture 22">
            <a:extLst>
              <a:ext uri="{FF2B5EF4-FFF2-40B4-BE49-F238E27FC236}">
                <a16:creationId xmlns:a16="http://schemas.microsoft.com/office/drawing/2014/main" id="{62CB0001-B0DF-98C9-5A86-47B62704705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40667" y="2979992"/>
            <a:ext cx="1887375" cy="2520000"/>
          </a:xfrm>
          <a:prstGeom prst="rect">
            <a:avLst/>
          </a:prstGeom>
          <a:ln>
            <a:solidFill>
              <a:schemeClr val="tx1"/>
            </a:solidFill>
          </a:ln>
        </xdr:spPr>
      </xdr:pic>
    </xdr:grpSp>
    <xdr:clientData/>
  </xdr:twoCellAnchor>
  <xdr:twoCellAnchor editAs="oneCell">
    <xdr:from>
      <xdr:col>10</xdr:col>
      <xdr:colOff>502920</xdr:colOff>
      <xdr:row>51</xdr:row>
      <xdr:rowOff>91441</xdr:rowOff>
    </xdr:from>
    <xdr:to>
      <xdr:col>18</xdr:col>
      <xdr:colOff>521520</xdr:colOff>
      <xdr:row>58</xdr:row>
      <xdr:rowOff>27594</xdr:rowOff>
    </xdr:to>
    <xdr:pic>
      <xdr:nvPicPr>
        <xdr:cNvPr id="8" name="Picture 7">
          <a:extLst>
            <a:ext uri="{FF2B5EF4-FFF2-40B4-BE49-F238E27FC236}">
              <a16:creationId xmlns:a16="http://schemas.microsoft.com/office/drawing/2014/main" id="{9635CE2C-53F2-819F-3C81-C657EB6B455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9197340" y="12085321"/>
          <a:ext cx="3600000" cy="2374553"/>
        </a:xfrm>
        <a:prstGeom prst="rect">
          <a:avLst/>
        </a:prstGeom>
      </xdr:spPr>
    </xdr:pic>
    <xdr:clientData/>
  </xdr:twoCellAnchor>
  <xdr:twoCellAnchor>
    <xdr:from>
      <xdr:col>8</xdr:col>
      <xdr:colOff>392430</xdr:colOff>
      <xdr:row>448</xdr:row>
      <xdr:rowOff>93345</xdr:rowOff>
    </xdr:from>
    <xdr:to>
      <xdr:col>19</xdr:col>
      <xdr:colOff>143208</xdr:colOff>
      <xdr:row>488</xdr:row>
      <xdr:rowOff>104917</xdr:rowOff>
    </xdr:to>
    <xdr:grpSp>
      <xdr:nvGrpSpPr>
        <xdr:cNvPr id="9" name="Group 8">
          <a:extLst>
            <a:ext uri="{FF2B5EF4-FFF2-40B4-BE49-F238E27FC236}">
              <a16:creationId xmlns:a16="http://schemas.microsoft.com/office/drawing/2014/main" id="{DC4D199E-F1E5-4882-AF58-B62951E3DA01}"/>
            </a:ext>
          </a:extLst>
        </xdr:cNvPr>
        <xdr:cNvGrpSpPr/>
      </xdr:nvGrpSpPr>
      <xdr:grpSpPr>
        <a:xfrm>
          <a:off x="6926580" y="88799670"/>
          <a:ext cx="5770578" cy="8003047"/>
          <a:chOff x="487680" y="88504395"/>
          <a:chExt cx="5770578" cy="8003047"/>
        </a:xfrm>
      </xdr:grpSpPr>
      <xdr:grpSp>
        <xdr:nvGrpSpPr>
          <xdr:cNvPr id="30" name="Group 29">
            <a:extLst>
              <a:ext uri="{FF2B5EF4-FFF2-40B4-BE49-F238E27FC236}">
                <a16:creationId xmlns:a16="http://schemas.microsoft.com/office/drawing/2014/main" id="{7761DC93-EA17-3079-A258-2B4BBE6654A7}"/>
              </a:ext>
            </a:extLst>
          </xdr:cNvPr>
          <xdr:cNvGrpSpPr/>
        </xdr:nvGrpSpPr>
        <xdr:grpSpPr>
          <a:xfrm>
            <a:off x="487680" y="88544400"/>
            <a:ext cx="5770578" cy="7963042"/>
            <a:chOff x="148189" y="185195"/>
            <a:chExt cx="5924883" cy="7890652"/>
          </a:xfrm>
        </xdr:grpSpPr>
        <xdr:pic>
          <xdr:nvPicPr>
            <xdr:cNvPr id="33" name="Picture 32">
              <a:extLst>
                <a:ext uri="{FF2B5EF4-FFF2-40B4-BE49-F238E27FC236}">
                  <a16:creationId xmlns:a16="http://schemas.microsoft.com/office/drawing/2014/main" id="{598BF1B6-47A8-41A4-8362-FDF926D0C28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185696" y="5555847"/>
              <a:ext cx="1887375" cy="2520000"/>
            </a:xfrm>
            <a:prstGeom prst="rect">
              <a:avLst/>
            </a:prstGeom>
            <a:ln>
              <a:solidFill>
                <a:schemeClr val="tx1"/>
              </a:solidFill>
            </a:ln>
          </xdr:spPr>
        </xdr:pic>
        <xdr:pic>
          <xdr:nvPicPr>
            <xdr:cNvPr id="34" name="Picture 33">
              <a:extLst>
                <a:ext uri="{FF2B5EF4-FFF2-40B4-BE49-F238E27FC236}">
                  <a16:creationId xmlns:a16="http://schemas.microsoft.com/office/drawing/2014/main" id="{33134720-1B3F-B9A9-D155-EA70D2D8BFE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166943" y="2870521"/>
              <a:ext cx="1887375" cy="2520000"/>
            </a:xfrm>
            <a:prstGeom prst="rect">
              <a:avLst/>
            </a:prstGeom>
            <a:ln>
              <a:solidFill>
                <a:schemeClr val="tx1"/>
              </a:solidFill>
            </a:ln>
          </xdr:spPr>
        </xdr:pic>
        <xdr:pic>
          <xdr:nvPicPr>
            <xdr:cNvPr id="35" name="Picture 34">
              <a:extLst>
                <a:ext uri="{FF2B5EF4-FFF2-40B4-BE49-F238E27FC236}">
                  <a16:creationId xmlns:a16="http://schemas.microsoft.com/office/drawing/2014/main" id="{B93BE215-ACA9-C442-CFB1-41ABCE2D4BC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185697" y="2870521"/>
              <a:ext cx="1887375" cy="2520000"/>
            </a:xfrm>
            <a:prstGeom prst="rect">
              <a:avLst/>
            </a:prstGeom>
            <a:ln>
              <a:solidFill>
                <a:schemeClr val="tx1"/>
              </a:solidFill>
            </a:ln>
          </xdr:spPr>
        </xdr:pic>
        <xdr:pic>
          <xdr:nvPicPr>
            <xdr:cNvPr id="36" name="Picture 35">
              <a:extLst>
                <a:ext uri="{FF2B5EF4-FFF2-40B4-BE49-F238E27FC236}">
                  <a16:creationId xmlns:a16="http://schemas.microsoft.com/office/drawing/2014/main" id="{36267850-F729-807B-2855-0243871E8CA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48189" y="5555847"/>
              <a:ext cx="1887375" cy="2520000"/>
            </a:xfrm>
            <a:prstGeom prst="rect">
              <a:avLst/>
            </a:prstGeom>
            <a:ln>
              <a:solidFill>
                <a:schemeClr val="tx1"/>
              </a:solidFill>
            </a:ln>
          </xdr:spPr>
        </xdr:pic>
        <xdr:pic>
          <xdr:nvPicPr>
            <xdr:cNvPr id="37" name="Picture 36">
              <a:extLst>
                <a:ext uri="{FF2B5EF4-FFF2-40B4-BE49-F238E27FC236}">
                  <a16:creationId xmlns:a16="http://schemas.microsoft.com/office/drawing/2014/main" id="{0079DD96-A8B6-E2A3-0B36-B8351684068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148191" y="185195"/>
              <a:ext cx="1887375" cy="2520000"/>
            </a:xfrm>
            <a:prstGeom prst="rect">
              <a:avLst/>
            </a:prstGeom>
            <a:ln>
              <a:solidFill>
                <a:schemeClr val="tx1"/>
              </a:solidFill>
            </a:ln>
          </xdr:spPr>
        </xdr:pic>
        <xdr:pic>
          <xdr:nvPicPr>
            <xdr:cNvPr id="39" name="Picture 38">
              <a:extLst>
                <a:ext uri="{FF2B5EF4-FFF2-40B4-BE49-F238E27FC236}">
                  <a16:creationId xmlns:a16="http://schemas.microsoft.com/office/drawing/2014/main" id="{2FF438A9-E4E9-C6B5-EDAD-A0A652B8742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166944" y="185195"/>
              <a:ext cx="1887375" cy="2520000"/>
            </a:xfrm>
            <a:prstGeom prst="rect">
              <a:avLst/>
            </a:prstGeom>
            <a:ln>
              <a:solidFill>
                <a:schemeClr val="tx1"/>
              </a:solidFill>
            </a:ln>
          </xdr:spPr>
        </xdr:pic>
        <xdr:pic>
          <xdr:nvPicPr>
            <xdr:cNvPr id="40" name="Picture 39">
              <a:extLst>
                <a:ext uri="{FF2B5EF4-FFF2-40B4-BE49-F238E27FC236}">
                  <a16:creationId xmlns:a16="http://schemas.microsoft.com/office/drawing/2014/main" id="{F632316C-E970-E91C-EC7B-D8D6D56BC18F}"/>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4185697" y="185195"/>
              <a:ext cx="1887375" cy="2520000"/>
            </a:xfrm>
            <a:prstGeom prst="rect">
              <a:avLst/>
            </a:prstGeom>
            <a:ln>
              <a:solidFill>
                <a:schemeClr val="tx1"/>
              </a:solidFill>
            </a:ln>
          </xdr:spPr>
        </xdr:pic>
        <xdr:pic>
          <xdr:nvPicPr>
            <xdr:cNvPr id="41" name="Picture 40">
              <a:extLst>
                <a:ext uri="{FF2B5EF4-FFF2-40B4-BE49-F238E27FC236}">
                  <a16:creationId xmlns:a16="http://schemas.microsoft.com/office/drawing/2014/main" id="{896B9504-5F2E-954F-B4B1-6D97D02D3C7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148190" y="2870521"/>
              <a:ext cx="1887375" cy="2520000"/>
            </a:xfrm>
            <a:prstGeom prst="rect">
              <a:avLst/>
            </a:prstGeom>
            <a:ln>
              <a:solidFill>
                <a:schemeClr val="tx1"/>
              </a:solidFill>
            </a:ln>
          </xdr:spPr>
        </xdr:pic>
        <xdr:pic>
          <xdr:nvPicPr>
            <xdr:cNvPr id="42" name="Picture 41">
              <a:extLst>
                <a:ext uri="{FF2B5EF4-FFF2-40B4-BE49-F238E27FC236}">
                  <a16:creationId xmlns:a16="http://schemas.microsoft.com/office/drawing/2014/main" id="{889B5745-B0D6-37F7-6EE1-22A3B49C89CE}"/>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2166942" y="5555847"/>
              <a:ext cx="1887375" cy="2520000"/>
            </a:xfrm>
            <a:prstGeom prst="rect">
              <a:avLst/>
            </a:prstGeom>
            <a:ln>
              <a:solidFill>
                <a:schemeClr val="tx1"/>
              </a:solidFill>
            </a:ln>
          </xdr:spPr>
        </xdr:pic>
      </xdr:grpSp>
      <xdr:sp macro="" textlink="">
        <xdr:nvSpPr>
          <xdr:cNvPr id="24" name="TextBox 23">
            <a:extLst>
              <a:ext uri="{FF2B5EF4-FFF2-40B4-BE49-F238E27FC236}">
                <a16:creationId xmlns:a16="http://schemas.microsoft.com/office/drawing/2014/main" id="{C1A710C2-16B6-72F8-1148-B2AC1BFD8A00}"/>
              </a:ext>
            </a:extLst>
          </xdr:cNvPr>
          <xdr:cNvSpPr txBox="1"/>
        </xdr:nvSpPr>
        <xdr:spPr>
          <a:xfrm>
            <a:off x="800100" y="88559640"/>
            <a:ext cx="6070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A</a:t>
            </a:r>
          </a:p>
        </xdr:txBody>
      </xdr:sp>
      <xdr:sp macro="" textlink="">
        <xdr:nvSpPr>
          <xdr:cNvPr id="25" name="TextBox 24">
            <a:extLst>
              <a:ext uri="{FF2B5EF4-FFF2-40B4-BE49-F238E27FC236}">
                <a16:creationId xmlns:a16="http://schemas.microsoft.com/office/drawing/2014/main" id="{506F5A00-307B-4E66-B448-B12C23DD57B2}"/>
              </a:ext>
            </a:extLst>
          </xdr:cNvPr>
          <xdr:cNvSpPr txBox="1"/>
        </xdr:nvSpPr>
        <xdr:spPr>
          <a:xfrm>
            <a:off x="3598545" y="88504395"/>
            <a:ext cx="60067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B</a:t>
            </a:r>
          </a:p>
        </xdr:txBody>
      </xdr:sp>
      <xdr:sp macro="" textlink="">
        <xdr:nvSpPr>
          <xdr:cNvPr id="26" name="TextBox 25">
            <a:extLst>
              <a:ext uri="{FF2B5EF4-FFF2-40B4-BE49-F238E27FC236}">
                <a16:creationId xmlns:a16="http://schemas.microsoft.com/office/drawing/2014/main" id="{227F9305-1B76-4991-9874-F13D7C6D5883}"/>
              </a:ext>
            </a:extLst>
          </xdr:cNvPr>
          <xdr:cNvSpPr txBox="1"/>
        </xdr:nvSpPr>
        <xdr:spPr>
          <a:xfrm>
            <a:off x="5076825" y="88689180"/>
            <a:ext cx="60067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C</a:t>
            </a:r>
          </a:p>
        </xdr:txBody>
      </xdr:sp>
      <xdr:sp macro="" textlink="">
        <xdr:nvSpPr>
          <xdr:cNvPr id="27" name="TextBox 26">
            <a:extLst>
              <a:ext uri="{FF2B5EF4-FFF2-40B4-BE49-F238E27FC236}">
                <a16:creationId xmlns:a16="http://schemas.microsoft.com/office/drawing/2014/main" id="{006A4FEC-8A9D-46E5-8494-7DEEDC668805}"/>
              </a:ext>
            </a:extLst>
          </xdr:cNvPr>
          <xdr:cNvSpPr txBox="1"/>
        </xdr:nvSpPr>
        <xdr:spPr>
          <a:xfrm>
            <a:off x="1638300" y="91295220"/>
            <a:ext cx="61055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D</a:t>
            </a:r>
          </a:p>
        </xdr:txBody>
      </xdr:sp>
      <xdr:sp macro="" textlink="">
        <xdr:nvSpPr>
          <xdr:cNvPr id="31" name="TextBox 30">
            <a:extLst>
              <a:ext uri="{FF2B5EF4-FFF2-40B4-BE49-F238E27FC236}">
                <a16:creationId xmlns:a16="http://schemas.microsoft.com/office/drawing/2014/main" id="{141EDE75-09FF-4EC0-8D4F-A26B28E0F7C9}"/>
              </a:ext>
            </a:extLst>
          </xdr:cNvPr>
          <xdr:cNvSpPr txBox="1"/>
        </xdr:nvSpPr>
        <xdr:spPr>
          <a:xfrm>
            <a:off x="3423285" y="91358085"/>
            <a:ext cx="60067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E</a:t>
            </a:r>
          </a:p>
        </xdr:txBody>
      </xdr:sp>
      <xdr:sp macro="" textlink="">
        <xdr:nvSpPr>
          <xdr:cNvPr id="32" name="TextBox 31">
            <a:extLst>
              <a:ext uri="{FF2B5EF4-FFF2-40B4-BE49-F238E27FC236}">
                <a16:creationId xmlns:a16="http://schemas.microsoft.com/office/drawing/2014/main" id="{7B1D5AF2-BF0A-4E70-96FF-BF38B63041F5}"/>
              </a:ext>
            </a:extLst>
          </xdr:cNvPr>
          <xdr:cNvSpPr txBox="1"/>
        </xdr:nvSpPr>
        <xdr:spPr>
          <a:xfrm>
            <a:off x="5175885" y="91219020"/>
            <a:ext cx="60067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F</a:t>
            </a:r>
          </a:p>
        </xdr:txBody>
      </xdr:sp>
      <xdr:sp macro="" textlink="">
        <xdr:nvSpPr>
          <xdr:cNvPr id="38" name="TextBox 37">
            <a:extLst>
              <a:ext uri="{FF2B5EF4-FFF2-40B4-BE49-F238E27FC236}">
                <a16:creationId xmlns:a16="http://schemas.microsoft.com/office/drawing/2014/main" id="{7F6C380F-D9AA-4B4D-BFEA-FB13781DBDD9}"/>
              </a:ext>
            </a:extLst>
          </xdr:cNvPr>
          <xdr:cNvSpPr txBox="1"/>
        </xdr:nvSpPr>
        <xdr:spPr>
          <a:xfrm>
            <a:off x="1562100" y="94110810"/>
            <a:ext cx="611514"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G</a:t>
            </a:r>
          </a:p>
          <a:p>
            <a:endParaRPr lang="en-IN" sz="1100" b="1"/>
          </a:p>
        </xdr:txBody>
      </xdr:sp>
    </xdr:grpSp>
    <xdr:clientData/>
  </xdr:twoCellAnchor>
  <xdr:twoCellAnchor>
    <xdr:from>
      <xdr:col>0</xdr:col>
      <xdr:colOff>190500</xdr:colOff>
      <xdr:row>447</xdr:row>
      <xdr:rowOff>66675</xdr:rowOff>
    </xdr:from>
    <xdr:to>
      <xdr:col>7</xdr:col>
      <xdr:colOff>587103</xdr:colOff>
      <xdr:row>487</xdr:row>
      <xdr:rowOff>188122</xdr:rowOff>
    </xdr:to>
    <xdr:grpSp>
      <xdr:nvGrpSpPr>
        <xdr:cNvPr id="66" name="Group 65">
          <a:extLst>
            <a:ext uri="{FF2B5EF4-FFF2-40B4-BE49-F238E27FC236}">
              <a16:creationId xmlns:a16="http://schemas.microsoft.com/office/drawing/2014/main" id="{4EACD782-2F8A-435C-B272-F6B2512504C3}"/>
            </a:ext>
          </a:extLst>
        </xdr:cNvPr>
        <xdr:cNvGrpSpPr/>
      </xdr:nvGrpSpPr>
      <xdr:grpSpPr>
        <a:xfrm>
          <a:off x="190500" y="88572975"/>
          <a:ext cx="6102078" cy="8112922"/>
          <a:chOff x="-723876" y="515539"/>
          <a:chExt cx="6102078" cy="8112922"/>
        </a:xfrm>
      </xdr:grpSpPr>
      <xdr:pic>
        <xdr:nvPicPr>
          <xdr:cNvPr id="67" name="Picture 66">
            <a:extLst>
              <a:ext uri="{FF2B5EF4-FFF2-40B4-BE49-F238E27FC236}">
                <a16:creationId xmlns:a16="http://schemas.microsoft.com/office/drawing/2014/main" id="{10C73B1A-2D9F-47E2-978B-751D1AB1F1F7}"/>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723876" y="515539"/>
            <a:ext cx="1887376" cy="2520000"/>
          </a:xfrm>
          <a:prstGeom prst="rect">
            <a:avLst/>
          </a:prstGeom>
          <a:ln>
            <a:solidFill>
              <a:schemeClr val="tx1"/>
            </a:solidFill>
          </a:ln>
        </xdr:spPr>
      </xdr:pic>
      <xdr:pic>
        <xdr:nvPicPr>
          <xdr:cNvPr id="68" name="Picture 67">
            <a:extLst>
              <a:ext uri="{FF2B5EF4-FFF2-40B4-BE49-F238E27FC236}">
                <a16:creationId xmlns:a16="http://schemas.microsoft.com/office/drawing/2014/main" id="{B4753BFD-C309-461C-ADDF-1A36F7EDF7BD}"/>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1383476" y="515539"/>
            <a:ext cx="1887374" cy="2520000"/>
          </a:xfrm>
          <a:prstGeom prst="rect">
            <a:avLst/>
          </a:prstGeom>
          <a:ln>
            <a:solidFill>
              <a:schemeClr val="tx1"/>
            </a:solidFill>
          </a:ln>
        </xdr:spPr>
      </xdr:pic>
      <xdr:pic>
        <xdr:nvPicPr>
          <xdr:cNvPr id="69" name="Picture 68">
            <a:extLst>
              <a:ext uri="{FF2B5EF4-FFF2-40B4-BE49-F238E27FC236}">
                <a16:creationId xmlns:a16="http://schemas.microsoft.com/office/drawing/2014/main" id="{2A4C4324-B85B-4F3A-8900-F324B8B52FB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3490826" y="515539"/>
            <a:ext cx="1887374" cy="2520000"/>
          </a:xfrm>
          <a:prstGeom prst="rect">
            <a:avLst/>
          </a:prstGeom>
          <a:ln>
            <a:solidFill>
              <a:schemeClr val="tx1"/>
            </a:solidFill>
          </a:ln>
        </xdr:spPr>
      </xdr:pic>
      <xdr:pic>
        <xdr:nvPicPr>
          <xdr:cNvPr id="70" name="Picture 69">
            <a:extLst>
              <a:ext uri="{FF2B5EF4-FFF2-40B4-BE49-F238E27FC236}">
                <a16:creationId xmlns:a16="http://schemas.microsoft.com/office/drawing/2014/main" id="{63887897-FED7-4FA5-80CC-F670BCAADBF1}"/>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699543" y="3312000"/>
            <a:ext cx="1887375" cy="2520000"/>
          </a:xfrm>
          <a:prstGeom prst="rect">
            <a:avLst/>
          </a:prstGeom>
          <a:ln>
            <a:solidFill>
              <a:schemeClr val="tx1"/>
            </a:solidFill>
          </a:ln>
        </xdr:spPr>
      </xdr:pic>
      <xdr:pic>
        <xdr:nvPicPr>
          <xdr:cNvPr id="71" name="Picture 70">
            <a:extLst>
              <a:ext uri="{FF2B5EF4-FFF2-40B4-BE49-F238E27FC236}">
                <a16:creationId xmlns:a16="http://schemas.microsoft.com/office/drawing/2014/main" id="{8C9E69FC-562A-427A-888E-3A6266AFAAA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1383476" y="3312000"/>
            <a:ext cx="1887375" cy="2520000"/>
          </a:xfrm>
          <a:prstGeom prst="rect">
            <a:avLst/>
          </a:prstGeom>
          <a:ln>
            <a:solidFill>
              <a:schemeClr val="tx1"/>
            </a:solidFill>
          </a:ln>
        </xdr:spPr>
      </xdr:pic>
      <xdr:pic>
        <xdr:nvPicPr>
          <xdr:cNvPr id="72" name="Picture 71">
            <a:extLst>
              <a:ext uri="{FF2B5EF4-FFF2-40B4-BE49-F238E27FC236}">
                <a16:creationId xmlns:a16="http://schemas.microsoft.com/office/drawing/2014/main" id="{FF060C0E-6030-4B1C-84C8-E00077716998}"/>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3490827" y="3312000"/>
            <a:ext cx="1887375" cy="2520000"/>
          </a:xfrm>
          <a:prstGeom prst="rect">
            <a:avLst/>
          </a:prstGeom>
          <a:ln>
            <a:solidFill>
              <a:schemeClr val="tx1"/>
            </a:solidFill>
          </a:ln>
        </xdr:spPr>
      </xdr:pic>
      <xdr:pic>
        <xdr:nvPicPr>
          <xdr:cNvPr id="73" name="Picture 72">
            <a:extLst>
              <a:ext uri="{FF2B5EF4-FFF2-40B4-BE49-F238E27FC236}">
                <a16:creationId xmlns:a16="http://schemas.microsoft.com/office/drawing/2014/main" id="{76D467ED-E0C9-46F5-8BCF-17E275B8A0C3}"/>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706597" y="6108461"/>
            <a:ext cx="1887375" cy="2520000"/>
          </a:xfrm>
          <a:prstGeom prst="rect">
            <a:avLst/>
          </a:prstGeom>
          <a:ln>
            <a:solidFill>
              <a:schemeClr val="tx1"/>
            </a:solidFill>
          </a:ln>
        </xdr:spPr>
      </xdr:pic>
      <xdr:pic>
        <xdr:nvPicPr>
          <xdr:cNvPr id="74" name="Picture 73">
            <a:extLst>
              <a:ext uri="{FF2B5EF4-FFF2-40B4-BE49-F238E27FC236}">
                <a16:creationId xmlns:a16="http://schemas.microsoft.com/office/drawing/2014/main" id="{3EFCEBCB-4A4F-4B44-ABA2-04C2C791D06E}"/>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a:ext>
            </a:extLst>
          </a:blip>
          <a:stretch>
            <a:fillRect/>
          </a:stretch>
        </xdr:blipFill>
        <xdr:spPr>
          <a:xfrm>
            <a:off x="1384628" y="6108461"/>
            <a:ext cx="1887376" cy="2520000"/>
          </a:xfrm>
          <a:prstGeom prst="rect">
            <a:avLst/>
          </a:prstGeom>
          <a:ln>
            <a:solidFill>
              <a:schemeClr val="tx1"/>
            </a:solidFill>
          </a:ln>
        </xdr:spPr>
      </xdr:pic>
      <xdr:pic>
        <xdr:nvPicPr>
          <xdr:cNvPr id="75" name="Picture 74">
            <a:extLst>
              <a:ext uri="{FF2B5EF4-FFF2-40B4-BE49-F238E27FC236}">
                <a16:creationId xmlns:a16="http://schemas.microsoft.com/office/drawing/2014/main" id="{D747C1F3-4CCA-46DD-A74E-472CE8A9BAB7}"/>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a:ext>
            </a:extLst>
          </a:blip>
          <a:stretch>
            <a:fillRect/>
          </a:stretch>
        </xdr:blipFill>
        <xdr:spPr>
          <a:xfrm>
            <a:off x="3490826" y="6108461"/>
            <a:ext cx="1887376" cy="2520000"/>
          </a:xfrm>
          <a:prstGeom prst="rect">
            <a:avLst/>
          </a:prstGeom>
          <a:ln>
            <a:solidFill>
              <a:schemeClr val="tx1"/>
            </a:solidFill>
          </a:ln>
        </xdr:spPr>
      </xdr:pic>
    </xdr:grpSp>
    <xdr:clientData/>
  </xdr:twoCellAnchor>
  <xdr:twoCellAnchor>
    <xdr:from>
      <xdr:col>0</xdr:col>
      <xdr:colOff>649605</xdr:colOff>
      <xdr:row>447</xdr:row>
      <xdr:rowOff>72390</xdr:rowOff>
    </xdr:from>
    <xdr:to>
      <xdr:col>1</xdr:col>
      <xdr:colOff>494694</xdr:colOff>
      <xdr:row>448</xdr:row>
      <xdr:rowOff>136925</xdr:rowOff>
    </xdr:to>
    <xdr:sp macro="" textlink="">
      <xdr:nvSpPr>
        <xdr:cNvPr id="76" name="TextBox 75">
          <a:extLst>
            <a:ext uri="{FF2B5EF4-FFF2-40B4-BE49-F238E27FC236}">
              <a16:creationId xmlns:a16="http://schemas.microsoft.com/office/drawing/2014/main" id="{A14456C0-7D45-4795-AAAE-F44F463E7D9E}"/>
            </a:ext>
          </a:extLst>
        </xdr:cNvPr>
        <xdr:cNvSpPr txBox="1"/>
      </xdr:nvSpPr>
      <xdr:spPr>
        <a:xfrm>
          <a:off x="649605" y="88416765"/>
          <a:ext cx="6070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Wing A</a:t>
          </a:r>
        </a:p>
      </xdr:txBody>
    </xdr:sp>
    <xdr:clientData/>
  </xdr:twoCellAnchor>
  <xdr:twoCellAnchor>
    <xdr:from>
      <xdr:col>2</xdr:col>
      <xdr:colOff>838200</xdr:colOff>
      <xdr:row>447</xdr:row>
      <xdr:rowOff>36195</xdr:rowOff>
    </xdr:from>
    <xdr:to>
      <xdr:col>3</xdr:col>
      <xdr:colOff>591152</xdr:colOff>
      <xdr:row>448</xdr:row>
      <xdr:rowOff>100730</xdr:rowOff>
    </xdr:to>
    <xdr:sp macro="" textlink="">
      <xdr:nvSpPr>
        <xdr:cNvPr id="77" name="TextBox 76">
          <a:extLst>
            <a:ext uri="{FF2B5EF4-FFF2-40B4-BE49-F238E27FC236}">
              <a16:creationId xmlns:a16="http://schemas.microsoft.com/office/drawing/2014/main" id="{F8CEDA56-D767-4194-9F91-979C8C85FE32}"/>
            </a:ext>
          </a:extLst>
        </xdr:cNvPr>
        <xdr:cNvSpPr txBox="1"/>
      </xdr:nvSpPr>
      <xdr:spPr>
        <a:xfrm>
          <a:off x="2400300" y="88380570"/>
          <a:ext cx="60067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Wing B</a:t>
          </a:r>
        </a:p>
      </xdr:txBody>
    </xdr:sp>
    <xdr:clientData/>
  </xdr:twoCellAnchor>
  <xdr:twoCellAnchor>
    <xdr:from>
      <xdr:col>5</xdr:col>
      <xdr:colOff>706755</xdr:colOff>
      <xdr:row>447</xdr:row>
      <xdr:rowOff>182880</xdr:rowOff>
    </xdr:from>
    <xdr:to>
      <xdr:col>6</xdr:col>
      <xdr:colOff>526382</xdr:colOff>
      <xdr:row>449</xdr:row>
      <xdr:rowOff>47390</xdr:rowOff>
    </xdr:to>
    <xdr:sp macro="" textlink="">
      <xdr:nvSpPr>
        <xdr:cNvPr id="78" name="TextBox 77">
          <a:extLst>
            <a:ext uri="{FF2B5EF4-FFF2-40B4-BE49-F238E27FC236}">
              <a16:creationId xmlns:a16="http://schemas.microsoft.com/office/drawing/2014/main" id="{D1DF854E-3583-4FB7-B83C-15893242EA8A}"/>
            </a:ext>
          </a:extLst>
        </xdr:cNvPr>
        <xdr:cNvSpPr txBox="1"/>
      </xdr:nvSpPr>
      <xdr:spPr>
        <a:xfrm>
          <a:off x="4850130" y="88527255"/>
          <a:ext cx="60067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Wing C</a:t>
          </a:r>
        </a:p>
      </xdr:txBody>
    </xdr:sp>
    <xdr:clientData/>
  </xdr:twoCellAnchor>
  <xdr:twoCellAnchor>
    <xdr:from>
      <xdr:col>1</xdr:col>
      <xdr:colOff>649605</xdr:colOff>
      <xdr:row>461</xdr:row>
      <xdr:rowOff>140970</xdr:rowOff>
    </xdr:from>
    <xdr:to>
      <xdr:col>2</xdr:col>
      <xdr:colOff>460057</xdr:colOff>
      <xdr:row>463</xdr:row>
      <xdr:rowOff>5480</xdr:rowOff>
    </xdr:to>
    <xdr:sp macro="" textlink="">
      <xdr:nvSpPr>
        <xdr:cNvPr id="79" name="TextBox 78">
          <a:extLst>
            <a:ext uri="{FF2B5EF4-FFF2-40B4-BE49-F238E27FC236}">
              <a16:creationId xmlns:a16="http://schemas.microsoft.com/office/drawing/2014/main" id="{2DF1731D-55D8-4783-9DF2-65C0E337BF57}"/>
            </a:ext>
          </a:extLst>
        </xdr:cNvPr>
        <xdr:cNvSpPr txBox="1"/>
      </xdr:nvSpPr>
      <xdr:spPr>
        <a:xfrm>
          <a:off x="1411605" y="91276170"/>
          <a:ext cx="61055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Wing D</a:t>
          </a:r>
        </a:p>
      </xdr:txBody>
    </xdr:sp>
    <xdr:clientData/>
  </xdr:twoCellAnchor>
  <xdr:twoCellAnchor>
    <xdr:from>
      <xdr:col>3</xdr:col>
      <xdr:colOff>786765</xdr:colOff>
      <xdr:row>462</xdr:row>
      <xdr:rowOff>3810</xdr:rowOff>
    </xdr:from>
    <xdr:to>
      <xdr:col>4</xdr:col>
      <xdr:colOff>434942</xdr:colOff>
      <xdr:row>463</xdr:row>
      <xdr:rowOff>68345</xdr:rowOff>
    </xdr:to>
    <xdr:sp macro="" textlink="">
      <xdr:nvSpPr>
        <xdr:cNvPr id="80" name="TextBox 79">
          <a:extLst>
            <a:ext uri="{FF2B5EF4-FFF2-40B4-BE49-F238E27FC236}">
              <a16:creationId xmlns:a16="http://schemas.microsoft.com/office/drawing/2014/main" id="{82FE1149-5CDA-4A71-A180-47B417BF7038}"/>
            </a:ext>
          </a:extLst>
        </xdr:cNvPr>
        <xdr:cNvSpPr txBox="1"/>
      </xdr:nvSpPr>
      <xdr:spPr>
        <a:xfrm>
          <a:off x="3196590" y="91339035"/>
          <a:ext cx="60067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Wing E</a:t>
          </a:r>
        </a:p>
      </xdr:txBody>
    </xdr:sp>
    <xdr:clientData/>
  </xdr:twoCellAnchor>
  <xdr:twoCellAnchor>
    <xdr:from>
      <xdr:col>6</xdr:col>
      <xdr:colOff>24765</xdr:colOff>
      <xdr:row>461</xdr:row>
      <xdr:rowOff>64770</xdr:rowOff>
    </xdr:from>
    <xdr:to>
      <xdr:col>6</xdr:col>
      <xdr:colOff>625442</xdr:colOff>
      <xdr:row>462</xdr:row>
      <xdr:rowOff>129305</xdr:rowOff>
    </xdr:to>
    <xdr:sp macro="" textlink="">
      <xdr:nvSpPr>
        <xdr:cNvPr id="81" name="TextBox 80">
          <a:extLst>
            <a:ext uri="{FF2B5EF4-FFF2-40B4-BE49-F238E27FC236}">
              <a16:creationId xmlns:a16="http://schemas.microsoft.com/office/drawing/2014/main" id="{4DAE4063-E0ED-475B-A58D-AEA7C37A3E01}"/>
            </a:ext>
          </a:extLst>
        </xdr:cNvPr>
        <xdr:cNvSpPr txBox="1"/>
      </xdr:nvSpPr>
      <xdr:spPr>
        <a:xfrm>
          <a:off x="4949190" y="91199970"/>
          <a:ext cx="60067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Wing F</a:t>
          </a:r>
        </a:p>
      </xdr:txBody>
    </xdr:sp>
    <xdr:clientData/>
  </xdr:twoCellAnchor>
  <xdr:twoCellAnchor>
    <xdr:from>
      <xdr:col>1</xdr:col>
      <xdr:colOff>573405</xdr:colOff>
      <xdr:row>475</xdr:row>
      <xdr:rowOff>156210</xdr:rowOff>
    </xdr:from>
    <xdr:to>
      <xdr:col>2</xdr:col>
      <xdr:colOff>384819</xdr:colOff>
      <xdr:row>477</xdr:row>
      <xdr:rowOff>192946</xdr:rowOff>
    </xdr:to>
    <xdr:sp macro="" textlink="">
      <xdr:nvSpPr>
        <xdr:cNvPr id="82" name="TextBox 81">
          <a:extLst>
            <a:ext uri="{FF2B5EF4-FFF2-40B4-BE49-F238E27FC236}">
              <a16:creationId xmlns:a16="http://schemas.microsoft.com/office/drawing/2014/main" id="{28C76FBB-CBEE-4CAB-8BC6-084573A698FB}"/>
            </a:ext>
          </a:extLst>
        </xdr:cNvPr>
        <xdr:cNvSpPr txBox="1"/>
      </xdr:nvSpPr>
      <xdr:spPr>
        <a:xfrm>
          <a:off x="1335405" y="94091760"/>
          <a:ext cx="611514"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Wing G</a:t>
          </a:r>
        </a:p>
        <a:p>
          <a:endParaRPr lang="en-IN"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azKkLzMrCXGrQu2F6"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490"/>
  <sheetViews>
    <sheetView tabSelected="1" view="pageBreakPreview" topLeftCell="A444" zoomScaleNormal="100" zoomScaleSheetLayoutView="100" workbookViewId="0">
      <selection activeCell="I445" sqref="I445"/>
    </sheetView>
  </sheetViews>
  <sheetFormatPr defaultColWidth="9.28515625" defaultRowHeight="15.75" x14ac:dyDescent="0.25"/>
  <cols>
    <col min="1" max="1" width="11.42578125" style="16" customWidth="1"/>
    <col min="2" max="2" width="12" style="16" customWidth="1"/>
    <col min="3" max="3" width="12.7109375" style="16" customWidth="1"/>
    <col min="4" max="4" width="14.28515625" style="16" customWidth="1"/>
    <col min="5" max="7" width="11.7109375" style="16" customWidth="1"/>
    <col min="8" max="8" width="12.42578125" style="16" customWidth="1"/>
    <col min="9" max="9" width="17.42578125" style="8" customWidth="1"/>
    <col min="10" max="10" width="11.42578125" style="8" customWidth="1"/>
    <col min="11" max="11" width="11.28515625" style="8" bestFit="1" customWidth="1"/>
    <col min="12" max="12" width="10.5703125" style="8" customWidth="1"/>
    <col min="13" max="13" width="11.7109375" style="8" customWidth="1"/>
    <col min="14" max="14" width="12.5703125" style="8" hidden="1" customWidth="1"/>
    <col min="15" max="15" width="9.7109375" style="8" hidden="1" customWidth="1"/>
    <col min="16" max="16" width="10.42578125" style="8" hidden="1" customWidth="1"/>
    <col min="17" max="247" width="9.28515625" style="8"/>
    <col min="248" max="248" width="8.7109375" style="8" customWidth="1"/>
    <col min="249" max="249" width="9.7109375" style="8" customWidth="1"/>
    <col min="250" max="250" width="14.42578125" style="8" customWidth="1"/>
    <col min="251" max="251" width="7.28515625" style="8" customWidth="1"/>
    <col min="252" max="252" width="5.5703125" style="8" customWidth="1"/>
    <col min="253" max="253" width="9" style="8" customWidth="1"/>
    <col min="254" max="255" width="9.7109375" style="8" customWidth="1"/>
    <col min="256" max="256" width="11.28515625" style="8" customWidth="1"/>
    <col min="257" max="257" width="2.7109375" style="8" customWidth="1"/>
    <col min="258" max="258" width="3.5703125" style="8" customWidth="1"/>
    <col min="259" max="503" width="9.28515625" style="8"/>
    <col min="504" max="504" width="8.7109375" style="8" customWidth="1"/>
    <col min="505" max="505" width="9.7109375" style="8" customWidth="1"/>
    <col min="506" max="506" width="14.42578125" style="8" customWidth="1"/>
    <col min="507" max="507" width="7.28515625" style="8" customWidth="1"/>
    <col min="508" max="508" width="5.5703125" style="8" customWidth="1"/>
    <col min="509" max="509" width="9" style="8" customWidth="1"/>
    <col min="510" max="511" width="9.7109375" style="8" customWidth="1"/>
    <col min="512" max="512" width="11.28515625" style="8" customWidth="1"/>
    <col min="513" max="513" width="2.7109375" style="8" customWidth="1"/>
    <col min="514" max="514" width="3.5703125" style="8" customWidth="1"/>
    <col min="515" max="759" width="9.28515625" style="8"/>
    <col min="760" max="760" width="8.7109375" style="8" customWidth="1"/>
    <col min="761" max="761" width="9.7109375" style="8" customWidth="1"/>
    <col min="762" max="762" width="14.42578125" style="8" customWidth="1"/>
    <col min="763" max="763" width="7.28515625" style="8" customWidth="1"/>
    <col min="764" max="764" width="5.5703125" style="8" customWidth="1"/>
    <col min="765" max="765" width="9" style="8" customWidth="1"/>
    <col min="766" max="767" width="9.7109375" style="8" customWidth="1"/>
    <col min="768" max="768" width="11.28515625" style="8" customWidth="1"/>
    <col min="769" max="769" width="2.7109375" style="8" customWidth="1"/>
    <col min="770" max="770" width="3.5703125" style="8" customWidth="1"/>
    <col min="771" max="1015" width="9.28515625" style="8"/>
    <col min="1016" max="1016" width="8.7109375" style="8" customWidth="1"/>
    <col min="1017" max="1017" width="9.7109375" style="8" customWidth="1"/>
    <col min="1018" max="1018" width="14.42578125" style="8" customWidth="1"/>
    <col min="1019" max="1019" width="7.28515625" style="8" customWidth="1"/>
    <col min="1020" max="1020" width="5.5703125" style="8" customWidth="1"/>
    <col min="1021" max="1021" width="9" style="8" customWidth="1"/>
    <col min="1022" max="1023" width="9.7109375" style="8" customWidth="1"/>
    <col min="1024" max="1024" width="11.28515625" style="8" customWidth="1"/>
    <col min="1025" max="1025" width="2.7109375" style="8" customWidth="1"/>
    <col min="1026" max="1026" width="3.5703125" style="8" customWidth="1"/>
    <col min="1027" max="1271" width="9.28515625" style="8"/>
    <col min="1272" max="1272" width="8.7109375" style="8" customWidth="1"/>
    <col min="1273" max="1273" width="9.7109375" style="8" customWidth="1"/>
    <col min="1274" max="1274" width="14.42578125" style="8" customWidth="1"/>
    <col min="1275" max="1275" width="7.28515625" style="8" customWidth="1"/>
    <col min="1276" max="1276" width="5.5703125" style="8" customWidth="1"/>
    <col min="1277" max="1277" width="9" style="8" customWidth="1"/>
    <col min="1278" max="1279" width="9.7109375" style="8" customWidth="1"/>
    <col min="1280" max="1280" width="11.28515625" style="8" customWidth="1"/>
    <col min="1281" max="1281" width="2.7109375" style="8" customWidth="1"/>
    <col min="1282" max="1282" width="3.5703125" style="8" customWidth="1"/>
    <col min="1283" max="1527" width="9.28515625" style="8"/>
    <col min="1528" max="1528" width="8.7109375" style="8" customWidth="1"/>
    <col min="1529" max="1529" width="9.7109375" style="8" customWidth="1"/>
    <col min="1530" max="1530" width="14.42578125" style="8" customWidth="1"/>
    <col min="1531" max="1531" width="7.28515625" style="8" customWidth="1"/>
    <col min="1532" max="1532" width="5.5703125" style="8" customWidth="1"/>
    <col min="1533" max="1533" width="9" style="8" customWidth="1"/>
    <col min="1534" max="1535" width="9.7109375" style="8" customWidth="1"/>
    <col min="1536" max="1536" width="11.28515625" style="8" customWidth="1"/>
    <col min="1537" max="1537" width="2.7109375" style="8" customWidth="1"/>
    <col min="1538" max="1538" width="3.5703125" style="8" customWidth="1"/>
    <col min="1539" max="1783" width="9.28515625" style="8"/>
    <col min="1784" max="1784" width="8.7109375" style="8" customWidth="1"/>
    <col min="1785" max="1785" width="9.7109375" style="8" customWidth="1"/>
    <col min="1786" max="1786" width="14.42578125" style="8" customWidth="1"/>
    <col min="1787" max="1787" width="7.28515625" style="8" customWidth="1"/>
    <col min="1788" max="1788" width="5.5703125" style="8" customWidth="1"/>
    <col min="1789" max="1789" width="9" style="8" customWidth="1"/>
    <col min="1790" max="1791" width="9.7109375" style="8" customWidth="1"/>
    <col min="1792" max="1792" width="11.28515625" style="8" customWidth="1"/>
    <col min="1793" max="1793" width="2.7109375" style="8" customWidth="1"/>
    <col min="1794" max="1794" width="3.5703125" style="8" customWidth="1"/>
    <col min="1795" max="2039" width="9.28515625" style="8"/>
    <col min="2040" max="2040" width="8.7109375" style="8" customWidth="1"/>
    <col min="2041" max="2041" width="9.7109375" style="8" customWidth="1"/>
    <col min="2042" max="2042" width="14.42578125" style="8" customWidth="1"/>
    <col min="2043" max="2043" width="7.28515625" style="8" customWidth="1"/>
    <col min="2044" max="2044" width="5.5703125" style="8" customWidth="1"/>
    <col min="2045" max="2045" width="9" style="8" customWidth="1"/>
    <col min="2046" max="2047" width="9.7109375" style="8" customWidth="1"/>
    <col min="2048" max="2048" width="11.28515625" style="8" customWidth="1"/>
    <col min="2049" max="2049" width="2.7109375" style="8" customWidth="1"/>
    <col min="2050" max="2050" width="3.5703125" style="8" customWidth="1"/>
    <col min="2051" max="2295" width="9.28515625" style="8"/>
    <col min="2296" max="2296" width="8.7109375" style="8" customWidth="1"/>
    <col min="2297" max="2297" width="9.7109375" style="8" customWidth="1"/>
    <col min="2298" max="2298" width="14.42578125" style="8" customWidth="1"/>
    <col min="2299" max="2299" width="7.28515625" style="8" customWidth="1"/>
    <col min="2300" max="2300" width="5.5703125" style="8" customWidth="1"/>
    <col min="2301" max="2301" width="9" style="8" customWidth="1"/>
    <col min="2302" max="2303" width="9.7109375" style="8" customWidth="1"/>
    <col min="2304" max="2304" width="11.28515625" style="8" customWidth="1"/>
    <col min="2305" max="2305" width="2.7109375" style="8" customWidth="1"/>
    <col min="2306" max="2306" width="3.5703125" style="8" customWidth="1"/>
    <col min="2307" max="2551" width="9.28515625" style="8"/>
    <col min="2552" max="2552" width="8.7109375" style="8" customWidth="1"/>
    <col min="2553" max="2553" width="9.7109375" style="8" customWidth="1"/>
    <col min="2554" max="2554" width="14.42578125" style="8" customWidth="1"/>
    <col min="2555" max="2555" width="7.28515625" style="8" customWidth="1"/>
    <col min="2556" max="2556" width="5.5703125" style="8" customWidth="1"/>
    <col min="2557" max="2557" width="9" style="8" customWidth="1"/>
    <col min="2558" max="2559" width="9.7109375" style="8" customWidth="1"/>
    <col min="2560" max="2560" width="11.28515625" style="8" customWidth="1"/>
    <col min="2561" max="2561" width="2.7109375" style="8" customWidth="1"/>
    <col min="2562" max="2562" width="3.5703125" style="8" customWidth="1"/>
    <col min="2563" max="2807" width="9.28515625" style="8"/>
    <col min="2808" max="2808" width="8.7109375" style="8" customWidth="1"/>
    <col min="2809" max="2809" width="9.7109375" style="8" customWidth="1"/>
    <col min="2810" max="2810" width="14.42578125" style="8" customWidth="1"/>
    <col min="2811" max="2811" width="7.28515625" style="8" customWidth="1"/>
    <col min="2812" max="2812" width="5.5703125" style="8" customWidth="1"/>
    <col min="2813" max="2813" width="9" style="8" customWidth="1"/>
    <col min="2814" max="2815" width="9.7109375" style="8" customWidth="1"/>
    <col min="2816" max="2816" width="11.28515625" style="8" customWidth="1"/>
    <col min="2817" max="2817" width="2.7109375" style="8" customWidth="1"/>
    <col min="2818" max="2818" width="3.5703125" style="8" customWidth="1"/>
    <col min="2819" max="3063" width="9.28515625" style="8"/>
    <col min="3064" max="3064" width="8.7109375" style="8" customWidth="1"/>
    <col min="3065" max="3065" width="9.7109375" style="8" customWidth="1"/>
    <col min="3066" max="3066" width="14.42578125" style="8" customWidth="1"/>
    <col min="3067" max="3067" width="7.28515625" style="8" customWidth="1"/>
    <col min="3068" max="3068" width="5.5703125" style="8" customWidth="1"/>
    <col min="3069" max="3069" width="9" style="8" customWidth="1"/>
    <col min="3070" max="3071" width="9.7109375" style="8" customWidth="1"/>
    <col min="3072" max="3072" width="11.28515625" style="8" customWidth="1"/>
    <col min="3073" max="3073" width="2.7109375" style="8" customWidth="1"/>
    <col min="3074" max="3074" width="3.5703125" style="8" customWidth="1"/>
    <col min="3075" max="3319" width="9.28515625" style="8"/>
    <col min="3320" max="3320" width="8.7109375" style="8" customWidth="1"/>
    <col min="3321" max="3321" width="9.7109375" style="8" customWidth="1"/>
    <col min="3322" max="3322" width="14.42578125" style="8" customWidth="1"/>
    <col min="3323" max="3323" width="7.28515625" style="8" customWidth="1"/>
    <col min="3324" max="3324" width="5.5703125" style="8" customWidth="1"/>
    <col min="3325" max="3325" width="9" style="8" customWidth="1"/>
    <col min="3326" max="3327" width="9.7109375" style="8" customWidth="1"/>
    <col min="3328" max="3328" width="11.28515625" style="8" customWidth="1"/>
    <col min="3329" max="3329" width="2.7109375" style="8" customWidth="1"/>
    <col min="3330" max="3330" width="3.5703125" style="8" customWidth="1"/>
    <col min="3331" max="3575" width="9.28515625" style="8"/>
    <col min="3576" max="3576" width="8.7109375" style="8" customWidth="1"/>
    <col min="3577" max="3577" width="9.7109375" style="8" customWidth="1"/>
    <col min="3578" max="3578" width="14.42578125" style="8" customWidth="1"/>
    <col min="3579" max="3579" width="7.28515625" style="8" customWidth="1"/>
    <col min="3580" max="3580" width="5.5703125" style="8" customWidth="1"/>
    <col min="3581" max="3581" width="9" style="8" customWidth="1"/>
    <col min="3582" max="3583" width="9.7109375" style="8" customWidth="1"/>
    <col min="3584" max="3584" width="11.28515625" style="8" customWidth="1"/>
    <col min="3585" max="3585" width="2.7109375" style="8" customWidth="1"/>
    <col min="3586" max="3586" width="3.5703125" style="8" customWidth="1"/>
    <col min="3587" max="3831" width="9.28515625" style="8"/>
    <col min="3832" max="3832" width="8.7109375" style="8" customWidth="1"/>
    <col min="3833" max="3833" width="9.7109375" style="8" customWidth="1"/>
    <col min="3834" max="3834" width="14.42578125" style="8" customWidth="1"/>
    <col min="3835" max="3835" width="7.28515625" style="8" customWidth="1"/>
    <col min="3836" max="3836" width="5.5703125" style="8" customWidth="1"/>
    <col min="3837" max="3837" width="9" style="8" customWidth="1"/>
    <col min="3838" max="3839" width="9.7109375" style="8" customWidth="1"/>
    <col min="3840" max="3840" width="11.28515625" style="8" customWidth="1"/>
    <col min="3841" max="3841" width="2.7109375" style="8" customWidth="1"/>
    <col min="3842" max="3842" width="3.5703125" style="8" customWidth="1"/>
    <col min="3843" max="4087" width="9.28515625" style="8"/>
    <col min="4088" max="4088" width="8.7109375" style="8" customWidth="1"/>
    <col min="4089" max="4089" width="9.7109375" style="8" customWidth="1"/>
    <col min="4090" max="4090" width="14.42578125" style="8" customWidth="1"/>
    <col min="4091" max="4091" width="7.28515625" style="8" customWidth="1"/>
    <col min="4092" max="4092" width="5.5703125" style="8" customWidth="1"/>
    <col min="4093" max="4093" width="9" style="8" customWidth="1"/>
    <col min="4094" max="4095" width="9.7109375" style="8" customWidth="1"/>
    <col min="4096" max="4096" width="11.28515625" style="8" customWidth="1"/>
    <col min="4097" max="4097" width="2.7109375" style="8" customWidth="1"/>
    <col min="4098" max="4098" width="3.5703125" style="8" customWidth="1"/>
    <col min="4099" max="4343" width="9.28515625" style="8"/>
    <col min="4344" max="4344" width="8.7109375" style="8" customWidth="1"/>
    <col min="4345" max="4345" width="9.7109375" style="8" customWidth="1"/>
    <col min="4346" max="4346" width="14.42578125" style="8" customWidth="1"/>
    <col min="4347" max="4347" width="7.28515625" style="8" customWidth="1"/>
    <col min="4348" max="4348" width="5.5703125" style="8" customWidth="1"/>
    <col min="4349" max="4349" width="9" style="8" customWidth="1"/>
    <col min="4350" max="4351" width="9.7109375" style="8" customWidth="1"/>
    <col min="4352" max="4352" width="11.28515625" style="8" customWidth="1"/>
    <col min="4353" max="4353" width="2.7109375" style="8" customWidth="1"/>
    <col min="4354" max="4354" width="3.5703125" style="8" customWidth="1"/>
    <col min="4355" max="4599" width="9.28515625" style="8"/>
    <col min="4600" max="4600" width="8.7109375" style="8" customWidth="1"/>
    <col min="4601" max="4601" width="9.7109375" style="8" customWidth="1"/>
    <col min="4602" max="4602" width="14.42578125" style="8" customWidth="1"/>
    <col min="4603" max="4603" width="7.28515625" style="8" customWidth="1"/>
    <col min="4604" max="4604" width="5.5703125" style="8" customWidth="1"/>
    <col min="4605" max="4605" width="9" style="8" customWidth="1"/>
    <col min="4606" max="4607" width="9.7109375" style="8" customWidth="1"/>
    <col min="4608" max="4608" width="11.28515625" style="8" customWidth="1"/>
    <col min="4609" max="4609" width="2.7109375" style="8" customWidth="1"/>
    <col min="4610" max="4610" width="3.5703125" style="8" customWidth="1"/>
    <col min="4611" max="4855" width="9.28515625" style="8"/>
    <col min="4856" max="4856" width="8.7109375" style="8" customWidth="1"/>
    <col min="4857" max="4857" width="9.7109375" style="8" customWidth="1"/>
    <col min="4858" max="4858" width="14.42578125" style="8" customWidth="1"/>
    <col min="4859" max="4859" width="7.28515625" style="8" customWidth="1"/>
    <col min="4860" max="4860" width="5.5703125" style="8" customWidth="1"/>
    <col min="4861" max="4861" width="9" style="8" customWidth="1"/>
    <col min="4862" max="4863" width="9.7109375" style="8" customWidth="1"/>
    <col min="4864" max="4864" width="11.28515625" style="8" customWidth="1"/>
    <col min="4865" max="4865" width="2.7109375" style="8" customWidth="1"/>
    <col min="4866" max="4866" width="3.5703125" style="8" customWidth="1"/>
    <col min="4867" max="5111" width="9.28515625" style="8"/>
    <col min="5112" max="5112" width="8.7109375" style="8" customWidth="1"/>
    <col min="5113" max="5113" width="9.7109375" style="8" customWidth="1"/>
    <col min="5114" max="5114" width="14.42578125" style="8" customWidth="1"/>
    <col min="5115" max="5115" width="7.28515625" style="8" customWidth="1"/>
    <col min="5116" max="5116" width="5.5703125" style="8" customWidth="1"/>
    <col min="5117" max="5117" width="9" style="8" customWidth="1"/>
    <col min="5118" max="5119" width="9.7109375" style="8" customWidth="1"/>
    <col min="5120" max="5120" width="11.28515625" style="8" customWidth="1"/>
    <col min="5121" max="5121" width="2.7109375" style="8" customWidth="1"/>
    <col min="5122" max="5122" width="3.5703125" style="8" customWidth="1"/>
    <col min="5123" max="5367" width="9.28515625" style="8"/>
    <col min="5368" max="5368" width="8.7109375" style="8" customWidth="1"/>
    <col min="5369" max="5369" width="9.7109375" style="8" customWidth="1"/>
    <col min="5370" max="5370" width="14.42578125" style="8" customWidth="1"/>
    <col min="5371" max="5371" width="7.28515625" style="8" customWidth="1"/>
    <col min="5372" max="5372" width="5.5703125" style="8" customWidth="1"/>
    <col min="5373" max="5373" width="9" style="8" customWidth="1"/>
    <col min="5374" max="5375" width="9.7109375" style="8" customWidth="1"/>
    <col min="5376" max="5376" width="11.28515625" style="8" customWidth="1"/>
    <col min="5377" max="5377" width="2.7109375" style="8" customWidth="1"/>
    <col min="5378" max="5378" width="3.5703125" style="8" customWidth="1"/>
    <col min="5379" max="5623" width="9.28515625" style="8"/>
    <col min="5624" max="5624" width="8.7109375" style="8" customWidth="1"/>
    <col min="5625" max="5625" width="9.7109375" style="8" customWidth="1"/>
    <col min="5626" max="5626" width="14.42578125" style="8" customWidth="1"/>
    <col min="5627" max="5627" width="7.28515625" style="8" customWidth="1"/>
    <col min="5628" max="5628" width="5.5703125" style="8" customWidth="1"/>
    <col min="5629" max="5629" width="9" style="8" customWidth="1"/>
    <col min="5630" max="5631" width="9.7109375" style="8" customWidth="1"/>
    <col min="5632" max="5632" width="11.28515625" style="8" customWidth="1"/>
    <col min="5633" max="5633" width="2.7109375" style="8" customWidth="1"/>
    <col min="5634" max="5634" width="3.5703125" style="8" customWidth="1"/>
    <col min="5635" max="5879" width="9.28515625" style="8"/>
    <col min="5880" max="5880" width="8.7109375" style="8" customWidth="1"/>
    <col min="5881" max="5881" width="9.7109375" style="8" customWidth="1"/>
    <col min="5882" max="5882" width="14.42578125" style="8" customWidth="1"/>
    <col min="5883" max="5883" width="7.28515625" style="8" customWidth="1"/>
    <col min="5884" max="5884" width="5.5703125" style="8" customWidth="1"/>
    <col min="5885" max="5885" width="9" style="8" customWidth="1"/>
    <col min="5886" max="5887" width="9.7109375" style="8" customWidth="1"/>
    <col min="5888" max="5888" width="11.28515625" style="8" customWidth="1"/>
    <col min="5889" max="5889" width="2.7109375" style="8" customWidth="1"/>
    <col min="5890" max="5890" width="3.5703125" style="8" customWidth="1"/>
    <col min="5891" max="6135" width="9.28515625" style="8"/>
    <col min="6136" max="6136" width="8.7109375" style="8" customWidth="1"/>
    <col min="6137" max="6137" width="9.7109375" style="8" customWidth="1"/>
    <col min="6138" max="6138" width="14.42578125" style="8" customWidth="1"/>
    <col min="6139" max="6139" width="7.28515625" style="8" customWidth="1"/>
    <col min="6140" max="6140" width="5.5703125" style="8" customWidth="1"/>
    <col min="6141" max="6141" width="9" style="8" customWidth="1"/>
    <col min="6142" max="6143" width="9.7109375" style="8" customWidth="1"/>
    <col min="6144" max="6144" width="11.28515625" style="8" customWidth="1"/>
    <col min="6145" max="6145" width="2.7109375" style="8" customWidth="1"/>
    <col min="6146" max="6146" width="3.5703125" style="8" customWidth="1"/>
    <col min="6147" max="6391" width="9.28515625" style="8"/>
    <col min="6392" max="6392" width="8.7109375" style="8" customWidth="1"/>
    <col min="6393" max="6393" width="9.7109375" style="8" customWidth="1"/>
    <col min="6394" max="6394" width="14.42578125" style="8" customWidth="1"/>
    <col min="6395" max="6395" width="7.28515625" style="8" customWidth="1"/>
    <col min="6396" max="6396" width="5.5703125" style="8" customWidth="1"/>
    <col min="6397" max="6397" width="9" style="8" customWidth="1"/>
    <col min="6398" max="6399" width="9.7109375" style="8" customWidth="1"/>
    <col min="6400" max="6400" width="11.28515625" style="8" customWidth="1"/>
    <col min="6401" max="6401" width="2.7109375" style="8" customWidth="1"/>
    <col min="6402" max="6402" width="3.5703125" style="8" customWidth="1"/>
    <col min="6403" max="6647" width="9.28515625" style="8"/>
    <col min="6648" max="6648" width="8.7109375" style="8" customWidth="1"/>
    <col min="6649" max="6649" width="9.7109375" style="8" customWidth="1"/>
    <col min="6650" max="6650" width="14.42578125" style="8" customWidth="1"/>
    <col min="6651" max="6651" width="7.28515625" style="8" customWidth="1"/>
    <col min="6652" max="6652" width="5.5703125" style="8" customWidth="1"/>
    <col min="6653" max="6653" width="9" style="8" customWidth="1"/>
    <col min="6654" max="6655" width="9.7109375" style="8" customWidth="1"/>
    <col min="6656" max="6656" width="11.28515625" style="8" customWidth="1"/>
    <col min="6657" max="6657" width="2.7109375" style="8" customWidth="1"/>
    <col min="6658" max="6658" width="3.5703125" style="8" customWidth="1"/>
    <col min="6659" max="6903" width="9.28515625" style="8"/>
    <col min="6904" max="6904" width="8.7109375" style="8" customWidth="1"/>
    <col min="6905" max="6905" width="9.7109375" style="8" customWidth="1"/>
    <col min="6906" max="6906" width="14.42578125" style="8" customWidth="1"/>
    <col min="6907" max="6907" width="7.28515625" style="8" customWidth="1"/>
    <col min="6908" max="6908" width="5.5703125" style="8" customWidth="1"/>
    <col min="6909" max="6909" width="9" style="8" customWidth="1"/>
    <col min="6910" max="6911" width="9.7109375" style="8" customWidth="1"/>
    <col min="6912" max="6912" width="11.28515625" style="8" customWidth="1"/>
    <col min="6913" max="6913" width="2.7109375" style="8" customWidth="1"/>
    <col min="6914" max="6914" width="3.5703125" style="8" customWidth="1"/>
    <col min="6915" max="7159" width="9.28515625" style="8"/>
    <col min="7160" max="7160" width="8.7109375" style="8" customWidth="1"/>
    <col min="7161" max="7161" width="9.7109375" style="8" customWidth="1"/>
    <col min="7162" max="7162" width="14.42578125" style="8" customWidth="1"/>
    <col min="7163" max="7163" width="7.28515625" style="8" customWidth="1"/>
    <col min="7164" max="7164" width="5.5703125" style="8" customWidth="1"/>
    <col min="7165" max="7165" width="9" style="8" customWidth="1"/>
    <col min="7166" max="7167" width="9.7109375" style="8" customWidth="1"/>
    <col min="7168" max="7168" width="11.28515625" style="8" customWidth="1"/>
    <col min="7169" max="7169" width="2.7109375" style="8" customWidth="1"/>
    <col min="7170" max="7170" width="3.5703125" style="8" customWidth="1"/>
    <col min="7171" max="7415" width="9.28515625" style="8"/>
    <col min="7416" max="7416" width="8.7109375" style="8" customWidth="1"/>
    <col min="7417" max="7417" width="9.7109375" style="8" customWidth="1"/>
    <col min="7418" max="7418" width="14.42578125" style="8" customWidth="1"/>
    <col min="7419" max="7419" width="7.28515625" style="8" customWidth="1"/>
    <col min="7420" max="7420" width="5.5703125" style="8" customWidth="1"/>
    <col min="7421" max="7421" width="9" style="8" customWidth="1"/>
    <col min="7422" max="7423" width="9.7109375" style="8" customWidth="1"/>
    <col min="7424" max="7424" width="11.28515625" style="8" customWidth="1"/>
    <col min="7425" max="7425" width="2.7109375" style="8" customWidth="1"/>
    <col min="7426" max="7426" width="3.5703125" style="8" customWidth="1"/>
    <col min="7427" max="7671" width="9.28515625" style="8"/>
    <col min="7672" max="7672" width="8.7109375" style="8" customWidth="1"/>
    <col min="7673" max="7673" width="9.7109375" style="8" customWidth="1"/>
    <col min="7674" max="7674" width="14.42578125" style="8" customWidth="1"/>
    <col min="7675" max="7675" width="7.28515625" style="8" customWidth="1"/>
    <col min="7676" max="7676" width="5.5703125" style="8" customWidth="1"/>
    <col min="7677" max="7677" width="9" style="8" customWidth="1"/>
    <col min="7678" max="7679" width="9.7109375" style="8" customWidth="1"/>
    <col min="7680" max="7680" width="11.28515625" style="8" customWidth="1"/>
    <col min="7681" max="7681" width="2.7109375" style="8" customWidth="1"/>
    <col min="7682" max="7682" width="3.5703125" style="8" customWidth="1"/>
    <col min="7683" max="7927" width="9.28515625" style="8"/>
    <col min="7928" max="7928" width="8.7109375" style="8" customWidth="1"/>
    <col min="7929" max="7929" width="9.7109375" style="8" customWidth="1"/>
    <col min="7930" max="7930" width="14.42578125" style="8" customWidth="1"/>
    <col min="7931" max="7931" width="7.28515625" style="8" customWidth="1"/>
    <col min="7932" max="7932" width="5.5703125" style="8" customWidth="1"/>
    <col min="7933" max="7933" width="9" style="8" customWidth="1"/>
    <col min="7934" max="7935" width="9.7109375" style="8" customWidth="1"/>
    <col min="7936" max="7936" width="11.28515625" style="8" customWidth="1"/>
    <col min="7937" max="7937" width="2.7109375" style="8" customWidth="1"/>
    <col min="7938" max="7938" width="3.5703125" style="8" customWidth="1"/>
    <col min="7939" max="8183" width="9.28515625" style="8"/>
    <col min="8184" max="8184" width="8.7109375" style="8" customWidth="1"/>
    <col min="8185" max="8185" width="9.7109375" style="8" customWidth="1"/>
    <col min="8186" max="8186" width="14.42578125" style="8" customWidth="1"/>
    <col min="8187" max="8187" width="7.28515625" style="8" customWidth="1"/>
    <col min="8188" max="8188" width="5.5703125" style="8" customWidth="1"/>
    <col min="8189" max="8189" width="9" style="8" customWidth="1"/>
    <col min="8190" max="8191" width="9.7109375" style="8" customWidth="1"/>
    <col min="8192" max="8192" width="11.28515625" style="8" customWidth="1"/>
    <col min="8193" max="8193" width="2.7109375" style="8" customWidth="1"/>
    <col min="8194" max="8194" width="3.5703125" style="8" customWidth="1"/>
    <col min="8195" max="8439" width="9.28515625" style="8"/>
    <col min="8440" max="8440" width="8.7109375" style="8" customWidth="1"/>
    <col min="8441" max="8441" width="9.7109375" style="8" customWidth="1"/>
    <col min="8442" max="8442" width="14.42578125" style="8" customWidth="1"/>
    <col min="8443" max="8443" width="7.28515625" style="8" customWidth="1"/>
    <col min="8444" max="8444" width="5.5703125" style="8" customWidth="1"/>
    <col min="8445" max="8445" width="9" style="8" customWidth="1"/>
    <col min="8446" max="8447" width="9.7109375" style="8" customWidth="1"/>
    <col min="8448" max="8448" width="11.28515625" style="8" customWidth="1"/>
    <col min="8449" max="8449" width="2.7109375" style="8" customWidth="1"/>
    <col min="8450" max="8450" width="3.5703125" style="8" customWidth="1"/>
    <col min="8451" max="8695" width="9.28515625" style="8"/>
    <col min="8696" max="8696" width="8.7109375" style="8" customWidth="1"/>
    <col min="8697" max="8697" width="9.7109375" style="8" customWidth="1"/>
    <col min="8698" max="8698" width="14.42578125" style="8" customWidth="1"/>
    <col min="8699" max="8699" width="7.28515625" style="8" customWidth="1"/>
    <col min="8700" max="8700" width="5.5703125" style="8" customWidth="1"/>
    <col min="8701" max="8701" width="9" style="8" customWidth="1"/>
    <col min="8702" max="8703" width="9.7109375" style="8" customWidth="1"/>
    <col min="8704" max="8704" width="11.28515625" style="8" customWidth="1"/>
    <col min="8705" max="8705" width="2.7109375" style="8" customWidth="1"/>
    <col min="8706" max="8706" width="3.5703125" style="8" customWidth="1"/>
    <col min="8707" max="8951" width="9.28515625" style="8"/>
    <col min="8952" max="8952" width="8.7109375" style="8" customWidth="1"/>
    <col min="8953" max="8953" width="9.7109375" style="8" customWidth="1"/>
    <col min="8954" max="8954" width="14.42578125" style="8" customWidth="1"/>
    <col min="8955" max="8955" width="7.28515625" style="8" customWidth="1"/>
    <col min="8956" max="8956" width="5.5703125" style="8" customWidth="1"/>
    <col min="8957" max="8957" width="9" style="8" customWidth="1"/>
    <col min="8958" max="8959" width="9.7109375" style="8" customWidth="1"/>
    <col min="8960" max="8960" width="11.28515625" style="8" customWidth="1"/>
    <col min="8961" max="8961" width="2.7109375" style="8" customWidth="1"/>
    <col min="8962" max="8962" width="3.5703125" style="8" customWidth="1"/>
    <col min="8963" max="9207" width="9.28515625" style="8"/>
    <col min="9208" max="9208" width="8.7109375" style="8" customWidth="1"/>
    <col min="9209" max="9209" width="9.7109375" style="8" customWidth="1"/>
    <col min="9210" max="9210" width="14.42578125" style="8" customWidth="1"/>
    <col min="9211" max="9211" width="7.28515625" style="8" customWidth="1"/>
    <col min="9212" max="9212" width="5.5703125" style="8" customWidth="1"/>
    <col min="9213" max="9213" width="9" style="8" customWidth="1"/>
    <col min="9214" max="9215" width="9.7109375" style="8" customWidth="1"/>
    <col min="9216" max="9216" width="11.28515625" style="8" customWidth="1"/>
    <col min="9217" max="9217" width="2.7109375" style="8" customWidth="1"/>
    <col min="9218" max="9218" width="3.5703125" style="8" customWidth="1"/>
    <col min="9219" max="9463" width="9.28515625" style="8"/>
    <col min="9464" max="9464" width="8.7109375" style="8" customWidth="1"/>
    <col min="9465" max="9465" width="9.7109375" style="8" customWidth="1"/>
    <col min="9466" max="9466" width="14.42578125" style="8" customWidth="1"/>
    <col min="9467" max="9467" width="7.28515625" style="8" customWidth="1"/>
    <col min="9468" max="9468" width="5.5703125" style="8" customWidth="1"/>
    <col min="9469" max="9469" width="9" style="8" customWidth="1"/>
    <col min="9470" max="9471" width="9.7109375" style="8" customWidth="1"/>
    <col min="9472" max="9472" width="11.28515625" style="8" customWidth="1"/>
    <col min="9473" max="9473" width="2.7109375" style="8" customWidth="1"/>
    <col min="9474" max="9474" width="3.5703125" style="8" customWidth="1"/>
    <col min="9475" max="9719" width="9.28515625" style="8"/>
    <col min="9720" max="9720" width="8.7109375" style="8" customWidth="1"/>
    <col min="9721" max="9721" width="9.7109375" style="8" customWidth="1"/>
    <col min="9722" max="9722" width="14.42578125" style="8" customWidth="1"/>
    <col min="9723" max="9723" width="7.28515625" style="8" customWidth="1"/>
    <col min="9724" max="9724" width="5.5703125" style="8" customWidth="1"/>
    <col min="9725" max="9725" width="9" style="8" customWidth="1"/>
    <col min="9726" max="9727" width="9.7109375" style="8" customWidth="1"/>
    <col min="9728" max="9728" width="11.28515625" style="8" customWidth="1"/>
    <col min="9729" max="9729" width="2.7109375" style="8" customWidth="1"/>
    <col min="9730" max="9730" width="3.5703125" style="8" customWidth="1"/>
    <col min="9731" max="9975" width="9.28515625" style="8"/>
    <col min="9976" max="9976" width="8.7109375" style="8" customWidth="1"/>
    <col min="9977" max="9977" width="9.7109375" style="8" customWidth="1"/>
    <col min="9978" max="9978" width="14.42578125" style="8" customWidth="1"/>
    <col min="9979" max="9979" width="7.28515625" style="8" customWidth="1"/>
    <col min="9980" max="9980" width="5.5703125" style="8" customWidth="1"/>
    <col min="9981" max="9981" width="9" style="8" customWidth="1"/>
    <col min="9982" max="9983" width="9.7109375" style="8" customWidth="1"/>
    <col min="9984" max="9984" width="11.28515625" style="8" customWidth="1"/>
    <col min="9985" max="9985" width="2.7109375" style="8" customWidth="1"/>
    <col min="9986" max="9986" width="3.5703125" style="8" customWidth="1"/>
    <col min="9987" max="10231" width="9.28515625" style="8"/>
    <col min="10232" max="10232" width="8.7109375" style="8" customWidth="1"/>
    <col min="10233" max="10233" width="9.7109375" style="8" customWidth="1"/>
    <col min="10234" max="10234" width="14.42578125" style="8" customWidth="1"/>
    <col min="10235" max="10235" width="7.28515625" style="8" customWidth="1"/>
    <col min="10236" max="10236" width="5.5703125" style="8" customWidth="1"/>
    <col min="10237" max="10237" width="9" style="8" customWidth="1"/>
    <col min="10238" max="10239" width="9.7109375" style="8" customWidth="1"/>
    <col min="10240" max="10240" width="11.28515625" style="8" customWidth="1"/>
    <col min="10241" max="10241" width="2.7109375" style="8" customWidth="1"/>
    <col min="10242" max="10242" width="3.5703125" style="8" customWidth="1"/>
    <col min="10243" max="10487" width="9.28515625" style="8"/>
    <col min="10488" max="10488" width="8.7109375" style="8" customWidth="1"/>
    <col min="10489" max="10489" width="9.7109375" style="8" customWidth="1"/>
    <col min="10490" max="10490" width="14.42578125" style="8" customWidth="1"/>
    <col min="10491" max="10491" width="7.28515625" style="8" customWidth="1"/>
    <col min="10492" max="10492" width="5.5703125" style="8" customWidth="1"/>
    <col min="10493" max="10493" width="9" style="8" customWidth="1"/>
    <col min="10494" max="10495" width="9.7109375" style="8" customWidth="1"/>
    <col min="10496" max="10496" width="11.28515625" style="8" customWidth="1"/>
    <col min="10497" max="10497" width="2.7109375" style="8" customWidth="1"/>
    <col min="10498" max="10498" width="3.5703125" style="8" customWidth="1"/>
    <col min="10499" max="10743" width="9.28515625" style="8"/>
    <col min="10744" max="10744" width="8.7109375" style="8" customWidth="1"/>
    <col min="10745" max="10745" width="9.7109375" style="8" customWidth="1"/>
    <col min="10746" max="10746" width="14.42578125" style="8" customWidth="1"/>
    <col min="10747" max="10747" width="7.28515625" style="8" customWidth="1"/>
    <col min="10748" max="10748" width="5.5703125" style="8" customWidth="1"/>
    <col min="10749" max="10749" width="9" style="8" customWidth="1"/>
    <col min="10750" max="10751" width="9.7109375" style="8" customWidth="1"/>
    <col min="10752" max="10752" width="11.28515625" style="8" customWidth="1"/>
    <col min="10753" max="10753" width="2.7109375" style="8" customWidth="1"/>
    <col min="10754" max="10754" width="3.5703125" style="8" customWidth="1"/>
    <col min="10755" max="10999" width="9.28515625" style="8"/>
    <col min="11000" max="11000" width="8.7109375" style="8" customWidth="1"/>
    <col min="11001" max="11001" width="9.7109375" style="8" customWidth="1"/>
    <col min="11002" max="11002" width="14.42578125" style="8" customWidth="1"/>
    <col min="11003" max="11003" width="7.28515625" style="8" customWidth="1"/>
    <col min="11004" max="11004" width="5.5703125" style="8" customWidth="1"/>
    <col min="11005" max="11005" width="9" style="8" customWidth="1"/>
    <col min="11006" max="11007" width="9.7109375" style="8" customWidth="1"/>
    <col min="11008" max="11008" width="11.28515625" style="8" customWidth="1"/>
    <col min="11009" max="11009" width="2.7109375" style="8" customWidth="1"/>
    <col min="11010" max="11010" width="3.5703125" style="8" customWidth="1"/>
    <col min="11011" max="11255" width="9.28515625" style="8"/>
    <col min="11256" max="11256" width="8.7109375" style="8" customWidth="1"/>
    <col min="11257" max="11257" width="9.7109375" style="8" customWidth="1"/>
    <col min="11258" max="11258" width="14.42578125" style="8" customWidth="1"/>
    <col min="11259" max="11259" width="7.28515625" style="8" customWidth="1"/>
    <col min="11260" max="11260" width="5.5703125" style="8" customWidth="1"/>
    <col min="11261" max="11261" width="9" style="8" customWidth="1"/>
    <col min="11262" max="11263" width="9.7109375" style="8" customWidth="1"/>
    <col min="11264" max="11264" width="11.28515625" style="8" customWidth="1"/>
    <col min="11265" max="11265" width="2.7109375" style="8" customWidth="1"/>
    <col min="11266" max="11266" width="3.5703125" style="8" customWidth="1"/>
    <col min="11267" max="11511" width="9.28515625" style="8"/>
    <col min="11512" max="11512" width="8.7109375" style="8" customWidth="1"/>
    <col min="11513" max="11513" width="9.7109375" style="8" customWidth="1"/>
    <col min="11514" max="11514" width="14.42578125" style="8" customWidth="1"/>
    <col min="11515" max="11515" width="7.28515625" style="8" customWidth="1"/>
    <col min="11516" max="11516" width="5.5703125" style="8" customWidth="1"/>
    <col min="11517" max="11517" width="9" style="8" customWidth="1"/>
    <col min="11518" max="11519" width="9.7109375" style="8" customWidth="1"/>
    <col min="11520" max="11520" width="11.28515625" style="8" customWidth="1"/>
    <col min="11521" max="11521" width="2.7109375" style="8" customWidth="1"/>
    <col min="11522" max="11522" width="3.5703125" style="8" customWidth="1"/>
    <col min="11523" max="11767" width="9.28515625" style="8"/>
    <col min="11768" max="11768" width="8.7109375" style="8" customWidth="1"/>
    <col min="11769" max="11769" width="9.7109375" style="8" customWidth="1"/>
    <col min="11770" max="11770" width="14.42578125" style="8" customWidth="1"/>
    <col min="11771" max="11771" width="7.28515625" style="8" customWidth="1"/>
    <col min="11772" max="11772" width="5.5703125" style="8" customWidth="1"/>
    <col min="11773" max="11773" width="9" style="8" customWidth="1"/>
    <col min="11774" max="11775" width="9.7109375" style="8" customWidth="1"/>
    <col min="11776" max="11776" width="11.28515625" style="8" customWidth="1"/>
    <col min="11777" max="11777" width="2.7109375" style="8" customWidth="1"/>
    <col min="11778" max="11778" width="3.5703125" style="8" customWidth="1"/>
    <col min="11779" max="12023" width="9.28515625" style="8"/>
    <col min="12024" max="12024" width="8.7109375" style="8" customWidth="1"/>
    <col min="12025" max="12025" width="9.7109375" style="8" customWidth="1"/>
    <col min="12026" max="12026" width="14.42578125" style="8" customWidth="1"/>
    <col min="12027" max="12027" width="7.28515625" style="8" customWidth="1"/>
    <col min="12028" max="12028" width="5.5703125" style="8" customWidth="1"/>
    <col min="12029" max="12029" width="9" style="8" customWidth="1"/>
    <col min="12030" max="12031" width="9.7109375" style="8" customWidth="1"/>
    <col min="12032" max="12032" width="11.28515625" style="8" customWidth="1"/>
    <col min="12033" max="12033" width="2.7109375" style="8" customWidth="1"/>
    <col min="12034" max="12034" width="3.5703125" style="8" customWidth="1"/>
    <col min="12035" max="12279" width="9.28515625" style="8"/>
    <col min="12280" max="12280" width="8.7109375" style="8" customWidth="1"/>
    <col min="12281" max="12281" width="9.7109375" style="8" customWidth="1"/>
    <col min="12282" max="12282" width="14.42578125" style="8" customWidth="1"/>
    <col min="12283" max="12283" width="7.28515625" style="8" customWidth="1"/>
    <col min="12284" max="12284" width="5.5703125" style="8" customWidth="1"/>
    <col min="12285" max="12285" width="9" style="8" customWidth="1"/>
    <col min="12286" max="12287" width="9.7109375" style="8" customWidth="1"/>
    <col min="12288" max="12288" width="11.28515625" style="8" customWidth="1"/>
    <col min="12289" max="12289" width="2.7109375" style="8" customWidth="1"/>
    <col min="12290" max="12290" width="3.5703125" style="8" customWidth="1"/>
    <col min="12291" max="12535" width="9.28515625" style="8"/>
    <col min="12536" max="12536" width="8.7109375" style="8" customWidth="1"/>
    <col min="12537" max="12537" width="9.7109375" style="8" customWidth="1"/>
    <col min="12538" max="12538" width="14.42578125" style="8" customWidth="1"/>
    <col min="12539" max="12539" width="7.28515625" style="8" customWidth="1"/>
    <col min="12540" max="12540" width="5.5703125" style="8" customWidth="1"/>
    <col min="12541" max="12541" width="9" style="8" customWidth="1"/>
    <col min="12542" max="12543" width="9.7109375" style="8" customWidth="1"/>
    <col min="12544" max="12544" width="11.28515625" style="8" customWidth="1"/>
    <col min="12545" max="12545" width="2.7109375" style="8" customWidth="1"/>
    <col min="12546" max="12546" width="3.5703125" style="8" customWidth="1"/>
    <col min="12547" max="12791" width="9.28515625" style="8"/>
    <col min="12792" max="12792" width="8.7109375" style="8" customWidth="1"/>
    <col min="12793" max="12793" width="9.7109375" style="8" customWidth="1"/>
    <col min="12794" max="12794" width="14.42578125" style="8" customWidth="1"/>
    <col min="12795" max="12795" width="7.28515625" style="8" customWidth="1"/>
    <col min="12796" max="12796" width="5.5703125" style="8" customWidth="1"/>
    <col min="12797" max="12797" width="9" style="8" customWidth="1"/>
    <col min="12798" max="12799" width="9.7109375" style="8" customWidth="1"/>
    <col min="12800" max="12800" width="11.28515625" style="8" customWidth="1"/>
    <col min="12801" max="12801" width="2.7109375" style="8" customWidth="1"/>
    <col min="12802" max="12802" width="3.5703125" style="8" customWidth="1"/>
    <col min="12803" max="13047" width="9.28515625" style="8"/>
    <col min="13048" max="13048" width="8.7109375" style="8" customWidth="1"/>
    <col min="13049" max="13049" width="9.7109375" style="8" customWidth="1"/>
    <col min="13050" max="13050" width="14.42578125" style="8" customWidth="1"/>
    <col min="13051" max="13051" width="7.28515625" style="8" customWidth="1"/>
    <col min="13052" max="13052" width="5.5703125" style="8" customWidth="1"/>
    <col min="13053" max="13053" width="9" style="8" customWidth="1"/>
    <col min="13054" max="13055" width="9.7109375" style="8" customWidth="1"/>
    <col min="13056" max="13056" width="11.28515625" style="8" customWidth="1"/>
    <col min="13057" max="13057" width="2.7109375" style="8" customWidth="1"/>
    <col min="13058" max="13058" width="3.5703125" style="8" customWidth="1"/>
    <col min="13059" max="13303" width="9.28515625" style="8"/>
    <col min="13304" max="13304" width="8.7109375" style="8" customWidth="1"/>
    <col min="13305" max="13305" width="9.7109375" style="8" customWidth="1"/>
    <col min="13306" max="13306" width="14.42578125" style="8" customWidth="1"/>
    <col min="13307" max="13307" width="7.28515625" style="8" customWidth="1"/>
    <col min="13308" max="13308" width="5.5703125" style="8" customWidth="1"/>
    <col min="13309" max="13309" width="9" style="8" customWidth="1"/>
    <col min="13310" max="13311" width="9.7109375" style="8" customWidth="1"/>
    <col min="13312" max="13312" width="11.28515625" style="8" customWidth="1"/>
    <col min="13313" max="13313" width="2.7109375" style="8" customWidth="1"/>
    <col min="13314" max="13314" width="3.5703125" style="8" customWidth="1"/>
    <col min="13315" max="13559" width="9.28515625" style="8"/>
    <col min="13560" max="13560" width="8.7109375" style="8" customWidth="1"/>
    <col min="13561" max="13561" width="9.7109375" style="8" customWidth="1"/>
    <col min="13562" max="13562" width="14.42578125" style="8" customWidth="1"/>
    <col min="13563" max="13563" width="7.28515625" style="8" customWidth="1"/>
    <col min="13564" max="13564" width="5.5703125" style="8" customWidth="1"/>
    <col min="13565" max="13565" width="9" style="8" customWidth="1"/>
    <col min="13566" max="13567" width="9.7109375" style="8" customWidth="1"/>
    <col min="13568" max="13568" width="11.28515625" style="8" customWidth="1"/>
    <col min="13569" max="13569" width="2.7109375" style="8" customWidth="1"/>
    <col min="13570" max="13570" width="3.5703125" style="8" customWidth="1"/>
    <col min="13571" max="13815" width="9.28515625" style="8"/>
    <col min="13816" max="13816" width="8.7109375" style="8" customWidth="1"/>
    <col min="13817" max="13817" width="9.7109375" style="8" customWidth="1"/>
    <col min="13818" max="13818" width="14.42578125" style="8" customWidth="1"/>
    <col min="13819" max="13819" width="7.28515625" style="8" customWidth="1"/>
    <col min="13820" max="13820" width="5.5703125" style="8" customWidth="1"/>
    <col min="13821" max="13821" width="9" style="8" customWidth="1"/>
    <col min="13822" max="13823" width="9.7109375" style="8" customWidth="1"/>
    <col min="13824" max="13824" width="11.28515625" style="8" customWidth="1"/>
    <col min="13825" max="13825" width="2.7109375" style="8" customWidth="1"/>
    <col min="13826" max="13826" width="3.5703125" style="8" customWidth="1"/>
    <col min="13827" max="14071" width="9.28515625" style="8"/>
    <col min="14072" max="14072" width="8.7109375" style="8" customWidth="1"/>
    <col min="14073" max="14073" width="9.7109375" style="8" customWidth="1"/>
    <col min="14074" max="14074" width="14.42578125" style="8" customWidth="1"/>
    <col min="14075" max="14075" width="7.28515625" style="8" customWidth="1"/>
    <col min="14076" max="14076" width="5.5703125" style="8" customWidth="1"/>
    <col min="14077" max="14077" width="9" style="8" customWidth="1"/>
    <col min="14078" max="14079" width="9.7109375" style="8" customWidth="1"/>
    <col min="14080" max="14080" width="11.28515625" style="8" customWidth="1"/>
    <col min="14081" max="14081" width="2.7109375" style="8" customWidth="1"/>
    <col min="14082" max="14082" width="3.5703125" style="8" customWidth="1"/>
    <col min="14083" max="14327" width="9.28515625" style="8"/>
    <col min="14328" max="14328" width="8.7109375" style="8" customWidth="1"/>
    <col min="14329" max="14329" width="9.7109375" style="8" customWidth="1"/>
    <col min="14330" max="14330" width="14.42578125" style="8" customWidth="1"/>
    <col min="14331" max="14331" width="7.28515625" style="8" customWidth="1"/>
    <col min="14332" max="14332" width="5.5703125" style="8" customWidth="1"/>
    <col min="14333" max="14333" width="9" style="8" customWidth="1"/>
    <col min="14334" max="14335" width="9.7109375" style="8" customWidth="1"/>
    <col min="14336" max="14336" width="11.28515625" style="8" customWidth="1"/>
    <col min="14337" max="14337" width="2.7109375" style="8" customWidth="1"/>
    <col min="14338" max="14338" width="3.5703125" style="8" customWidth="1"/>
    <col min="14339" max="14583" width="9.28515625" style="8"/>
    <col min="14584" max="14584" width="8.7109375" style="8" customWidth="1"/>
    <col min="14585" max="14585" width="9.7109375" style="8" customWidth="1"/>
    <col min="14586" max="14586" width="14.42578125" style="8" customWidth="1"/>
    <col min="14587" max="14587" width="7.28515625" style="8" customWidth="1"/>
    <col min="14588" max="14588" width="5.5703125" style="8" customWidth="1"/>
    <col min="14589" max="14589" width="9" style="8" customWidth="1"/>
    <col min="14590" max="14591" width="9.7109375" style="8" customWidth="1"/>
    <col min="14592" max="14592" width="11.28515625" style="8" customWidth="1"/>
    <col min="14593" max="14593" width="2.7109375" style="8" customWidth="1"/>
    <col min="14594" max="14594" width="3.5703125" style="8" customWidth="1"/>
    <col min="14595" max="14839" width="9.28515625" style="8"/>
    <col min="14840" max="14840" width="8.7109375" style="8" customWidth="1"/>
    <col min="14841" max="14841" width="9.7109375" style="8" customWidth="1"/>
    <col min="14842" max="14842" width="14.42578125" style="8" customWidth="1"/>
    <col min="14843" max="14843" width="7.28515625" style="8" customWidth="1"/>
    <col min="14844" max="14844" width="5.5703125" style="8" customWidth="1"/>
    <col min="14845" max="14845" width="9" style="8" customWidth="1"/>
    <col min="14846" max="14847" width="9.7109375" style="8" customWidth="1"/>
    <col min="14848" max="14848" width="11.28515625" style="8" customWidth="1"/>
    <col min="14849" max="14849" width="2.7109375" style="8" customWidth="1"/>
    <col min="14850" max="14850" width="3.5703125" style="8" customWidth="1"/>
    <col min="14851" max="15095" width="9.28515625" style="8"/>
    <col min="15096" max="15096" width="8.7109375" style="8" customWidth="1"/>
    <col min="15097" max="15097" width="9.7109375" style="8" customWidth="1"/>
    <col min="15098" max="15098" width="14.42578125" style="8" customWidth="1"/>
    <col min="15099" max="15099" width="7.28515625" style="8" customWidth="1"/>
    <col min="15100" max="15100" width="5.5703125" style="8" customWidth="1"/>
    <col min="15101" max="15101" width="9" style="8" customWidth="1"/>
    <col min="15102" max="15103" width="9.7109375" style="8" customWidth="1"/>
    <col min="15104" max="15104" width="11.28515625" style="8" customWidth="1"/>
    <col min="15105" max="15105" width="2.7109375" style="8" customWidth="1"/>
    <col min="15106" max="15106" width="3.5703125" style="8" customWidth="1"/>
    <col min="15107" max="15351" width="9.28515625" style="8"/>
    <col min="15352" max="15352" width="8.7109375" style="8" customWidth="1"/>
    <col min="15353" max="15353" width="9.7109375" style="8" customWidth="1"/>
    <col min="15354" max="15354" width="14.42578125" style="8" customWidth="1"/>
    <col min="15355" max="15355" width="7.28515625" style="8" customWidth="1"/>
    <col min="15356" max="15356" width="5.5703125" style="8" customWidth="1"/>
    <col min="15357" max="15357" width="9" style="8" customWidth="1"/>
    <col min="15358" max="15359" width="9.7109375" style="8" customWidth="1"/>
    <col min="15360" max="15360" width="11.28515625" style="8" customWidth="1"/>
    <col min="15361" max="15361" width="2.7109375" style="8" customWidth="1"/>
    <col min="15362" max="15362" width="3.5703125" style="8" customWidth="1"/>
    <col min="15363" max="15607" width="9.28515625" style="8"/>
    <col min="15608" max="15608" width="8.7109375" style="8" customWidth="1"/>
    <col min="15609" max="15609" width="9.7109375" style="8" customWidth="1"/>
    <col min="15610" max="15610" width="14.42578125" style="8" customWidth="1"/>
    <col min="15611" max="15611" width="7.28515625" style="8" customWidth="1"/>
    <col min="15612" max="15612" width="5.5703125" style="8" customWidth="1"/>
    <col min="15613" max="15613" width="9" style="8" customWidth="1"/>
    <col min="15614" max="15615" width="9.7109375" style="8" customWidth="1"/>
    <col min="15616" max="15616" width="11.28515625" style="8" customWidth="1"/>
    <col min="15617" max="15617" width="2.7109375" style="8" customWidth="1"/>
    <col min="15618" max="15618" width="3.5703125" style="8" customWidth="1"/>
    <col min="15619" max="15863" width="9.28515625" style="8"/>
    <col min="15864" max="15864" width="8.7109375" style="8" customWidth="1"/>
    <col min="15865" max="15865" width="9.7109375" style="8" customWidth="1"/>
    <col min="15866" max="15866" width="14.42578125" style="8" customWidth="1"/>
    <col min="15867" max="15867" width="7.28515625" style="8" customWidth="1"/>
    <col min="15868" max="15868" width="5.5703125" style="8" customWidth="1"/>
    <col min="15869" max="15869" width="9" style="8" customWidth="1"/>
    <col min="15870" max="15871" width="9.7109375" style="8" customWidth="1"/>
    <col min="15872" max="15872" width="11.28515625" style="8" customWidth="1"/>
    <col min="15873" max="15873" width="2.7109375" style="8" customWidth="1"/>
    <col min="15874" max="15874" width="3.5703125" style="8" customWidth="1"/>
    <col min="15875" max="16119" width="9.28515625" style="8"/>
    <col min="16120" max="16120" width="8.7109375" style="8" customWidth="1"/>
    <col min="16121" max="16121" width="9.7109375" style="8" customWidth="1"/>
    <col min="16122" max="16122" width="14.42578125" style="8" customWidth="1"/>
    <col min="16123" max="16123" width="7.28515625" style="8" customWidth="1"/>
    <col min="16124" max="16124" width="5.5703125" style="8" customWidth="1"/>
    <col min="16125" max="16125" width="9" style="8" customWidth="1"/>
    <col min="16126" max="16127" width="9.7109375" style="8" customWidth="1"/>
    <col min="16128" max="16128" width="11.28515625" style="8" customWidth="1"/>
    <col min="16129" max="16129" width="2.7109375" style="8" customWidth="1"/>
    <col min="16130" max="16130" width="3.5703125" style="8" customWidth="1"/>
    <col min="16131" max="16384" width="9.28515625" style="8"/>
  </cols>
  <sheetData>
    <row r="1" spans="1:12" ht="46.5" customHeight="1" x14ac:dyDescent="0.25">
      <c r="A1" s="173" t="s">
        <v>256</v>
      </c>
      <c r="B1" s="173"/>
      <c r="C1" s="173"/>
      <c r="D1" s="173"/>
      <c r="E1" s="173"/>
      <c r="F1" s="173"/>
      <c r="G1" s="173"/>
      <c r="H1" s="173"/>
    </row>
    <row r="2" spans="1:12" ht="16.5" customHeight="1" x14ac:dyDescent="0.25">
      <c r="A2" s="174" t="s">
        <v>0</v>
      </c>
      <c r="B2" s="174"/>
      <c r="C2" s="174"/>
      <c r="D2" s="174"/>
      <c r="E2" s="174"/>
      <c r="F2" s="174"/>
      <c r="G2" s="174"/>
      <c r="H2" s="174"/>
    </row>
    <row r="3" spans="1:12" x14ac:dyDescent="0.25">
      <c r="A3" s="66" t="s">
        <v>1</v>
      </c>
      <c r="B3" s="66"/>
      <c r="C3" s="66"/>
      <c r="D3" s="66"/>
      <c r="E3" s="175" t="str">
        <f ca="1">TEXT(TODAY(),"DD/MM/YYYY")</f>
        <v>16/09/2025</v>
      </c>
      <c r="F3" s="175"/>
      <c r="G3" s="175"/>
      <c r="H3" s="175"/>
    </row>
    <row r="4" spans="1:12" ht="15" customHeight="1" x14ac:dyDescent="0.25">
      <c r="A4" s="66" t="s">
        <v>2</v>
      </c>
      <c r="B4" s="66"/>
      <c r="C4" s="66"/>
      <c r="D4" s="66"/>
      <c r="E4" s="176" t="s">
        <v>176</v>
      </c>
      <c r="F4" s="176"/>
      <c r="G4" s="176"/>
      <c r="H4" s="176"/>
    </row>
    <row r="5" spans="1:12" x14ac:dyDescent="0.25">
      <c r="A5" s="66" t="s">
        <v>3</v>
      </c>
      <c r="B5" s="66"/>
      <c r="C5" s="66"/>
      <c r="D5" s="66"/>
      <c r="E5" s="175">
        <v>45906</v>
      </c>
      <c r="F5" s="175"/>
      <c r="G5" s="175"/>
      <c r="H5" s="175"/>
    </row>
    <row r="6" spans="1:12" ht="16.5" customHeight="1" x14ac:dyDescent="0.25">
      <c r="A6" s="66" t="s">
        <v>4</v>
      </c>
      <c r="B6" s="66"/>
      <c r="C6" s="66"/>
      <c r="D6" s="66"/>
      <c r="E6" s="127" t="s">
        <v>177</v>
      </c>
      <c r="F6" s="127"/>
      <c r="G6" s="127"/>
      <c r="H6" s="127"/>
    </row>
    <row r="7" spans="1:12" ht="15" customHeight="1" x14ac:dyDescent="0.25">
      <c r="A7" s="66" t="s">
        <v>5</v>
      </c>
      <c r="B7" s="66"/>
      <c r="C7" s="66"/>
      <c r="D7" s="66"/>
      <c r="E7" s="127" t="str">
        <f>E6</f>
        <v>M/s. Lakhani Construction LLP</v>
      </c>
      <c r="F7" s="127"/>
      <c r="G7" s="127"/>
      <c r="H7" s="127"/>
    </row>
    <row r="8" spans="1:12" x14ac:dyDescent="0.25">
      <c r="A8" s="66" t="s">
        <v>6</v>
      </c>
      <c r="B8" s="66"/>
      <c r="C8" s="66"/>
      <c r="D8" s="66"/>
      <c r="E8" s="102" t="s">
        <v>178</v>
      </c>
      <c r="F8" s="102"/>
      <c r="G8" s="102"/>
      <c r="H8" s="102"/>
    </row>
    <row r="9" spans="1:12" x14ac:dyDescent="0.25">
      <c r="A9" s="66" t="s">
        <v>156</v>
      </c>
      <c r="B9" s="66"/>
      <c r="C9" s="66"/>
      <c r="D9" s="66"/>
      <c r="E9" s="66">
        <v>7498177028</v>
      </c>
      <c r="F9" s="66"/>
      <c r="G9" s="66"/>
      <c r="H9" s="66"/>
    </row>
    <row r="10" spans="1:12" x14ac:dyDescent="0.25">
      <c r="A10" s="66" t="s">
        <v>257</v>
      </c>
      <c r="B10" s="66"/>
      <c r="C10" s="66"/>
      <c r="D10" s="66"/>
      <c r="E10" s="66" t="s">
        <v>271</v>
      </c>
      <c r="F10" s="66"/>
      <c r="G10" s="66"/>
      <c r="H10" s="66"/>
      <c r="I10" s="66" t="s">
        <v>258</v>
      </c>
      <c r="J10" s="66"/>
      <c r="K10" s="66"/>
      <c r="L10" s="66"/>
    </row>
    <row r="11" spans="1:12" x14ac:dyDescent="0.25">
      <c r="A11" s="162" t="s">
        <v>7</v>
      </c>
      <c r="B11" s="162"/>
      <c r="C11" s="162"/>
      <c r="D11" s="162"/>
      <c r="E11" s="162" t="s">
        <v>180</v>
      </c>
      <c r="F11" s="162"/>
      <c r="G11" s="162"/>
      <c r="H11" s="162"/>
    </row>
    <row r="12" spans="1:12" x14ac:dyDescent="0.25">
      <c r="A12" s="66" t="s">
        <v>8</v>
      </c>
      <c r="B12" s="66"/>
      <c r="C12" s="66"/>
      <c r="D12" s="66"/>
      <c r="E12" s="161" t="s">
        <v>191</v>
      </c>
      <c r="F12" s="161"/>
      <c r="G12" s="161"/>
      <c r="H12" s="161"/>
    </row>
    <row r="13" spans="1:12" x14ac:dyDescent="0.25">
      <c r="A13" s="66" t="s">
        <v>9</v>
      </c>
      <c r="B13" s="66"/>
      <c r="C13" s="66"/>
      <c r="D13" s="66"/>
      <c r="E13" s="161" t="s">
        <v>179</v>
      </c>
      <c r="F13" s="162"/>
      <c r="G13" s="162"/>
      <c r="H13" s="162"/>
    </row>
    <row r="14" spans="1:12" ht="36" customHeight="1" x14ac:dyDescent="0.25">
      <c r="A14" s="127" t="s">
        <v>10</v>
      </c>
      <c r="B14" s="127"/>
      <c r="C14" s="127" t="str">
        <f>CONCATENATE((IF(OR(E8="",E8="NA"),"",E8)),", ",(IF(OR(A15="",A15="NA"),"",A15)),".",(IF(OR(C15="",C15="NA"),"",C15)),", near ",(IF(OR(C19="",C19="NA"),"",C19)),", ",(IF(OR(C16="",C16="NA"),"",C16)),", ",(IF(OR(G16="",G16="NA"),"",G16)),", ",(IF(OR(C17="",C17="NA"),"",C17)),", ",(IF(OR(C18="",C18="NA"),"",C18)),", ",(IF(OR(G17="",G17="NA"),"",G17)),".")</f>
        <v>Lakhanis Orchid Woods, CTS No.2472, Survey No.16B, near Golden Hill Complex, Mumbai -Pune Express, Mulgaon, Khopoli, Khalapur, Raigad.</v>
      </c>
      <c r="D14" s="127"/>
      <c r="E14" s="127"/>
      <c r="F14" s="127"/>
      <c r="G14" s="127"/>
      <c r="H14" s="127"/>
    </row>
    <row r="15" spans="1:12" x14ac:dyDescent="0.25">
      <c r="A15" s="161" t="s">
        <v>181</v>
      </c>
      <c r="B15" s="161"/>
      <c r="C15" s="161" t="s">
        <v>259</v>
      </c>
      <c r="D15" s="161"/>
      <c r="E15" s="161"/>
      <c r="F15" s="161"/>
      <c r="G15" s="161"/>
      <c r="H15" s="161"/>
    </row>
    <row r="16" spans="1:12" ht="15.75" customHeight="1" x14ac:dyDescent="0.25">
      <c r="A16" s="127" t="s">
        <v>11</v>
      </c>
      <c r="B16" s="127"/>
      <c r="C16" s="162" t="s">
        <v>183</v>
      </c>
      <c r="D16" s="162"/>
      <c r="E16" s="127" t="s">
        <v>103</v>
      </c>
      <c r="F16" s="127"/>
      <c r="G16" s="161" t="s">
        <v>182</v>
      </c>
      <c r="H16" s="161"/>
    </row>
    <row r="17" spans="1:8" x14ac:dyDescent="0.25">
      <c r="A17" s="66" t="s">
        <v>13</v>
      </c>
      <c r="B17" s="66"/>
      <c r="C17" s="161" t="s">
        <v>186</v>
      </c>
      <c r="D17" s="161"/>
      <c r="E17" s="127" t="s">
        <v>12</v>
      </c>
      <c r="F17" s="127"/>
      <c r="G17" s="177" t="s">
        <v>185</v>
      </c>
      <c r="H17" s="177"/>
    </row>
    <row r="18" spans="1:8" x14ac:dyDescent="0.25">
      <c r="A18" s="66" t="s">
        <v>104</v>
      </c>
      <c r="B18" s="66"/>
      <c r="C18" s="161" t="s">
        <v>184</v>
      </c>
      <c r="D18" s="161"/>
      <c r="E18" s="127" t="s">
        <v>14</v>
      </c>
      <c r="F18" s="127"/>
      <c r="G18" s="161">
        <v>410202</v>
      </c>
      <c r="H18" s="161"/>
    </row>
    <row r="19" spans="1:8" ht="32.25" customHeight="1" x14ac:dyDescent="0.25">
      <c r="A19" s="66" t="s">
        <v>157</v>
      </c>
      <c r="B19" s="66"/>
      <c r="C19" s="178" t="s">
        <v>188</v>
      </c>
      <c r="D19" s="178"/>
      <c r="E19" s="127" t="s">
        <v>15</v>
      </c>
      <c r="F19" s="127"/>
      <c r="G19" s="161" t="s">
        <v>187</v>
      </c>
      <c r="H19" s="161"/>
    </row>
    <row r="20" spans="1:8" ht="15" customHeight="1" x14ac:dyDescent="0.25">
      <c r="A20" s="127" t="s">
        <v>109</v>
      </c>
      <c r="B20" s="127"/>
      <c r="C20" s="127"/>
      <c r="D20" s="127"/>
      <c r="E20" s="162" t="s">
        <v>16</v>
      </c>
      <c r="F20" s="162"/>
      <c r="G20" s="162"/>
      <c r="H20" s="162"/>
    </row>
    <row r="21" spans="1:8" ht="18.75" customHeight="1" x14ac:dyDescent="0.25">
      <c r="A21" s="127"/>
      <c r="B21" s="127"/>
      <c r="C21" s="127"/>
      <c r="D21" s="127"/>
      <c r="E21" s="162"/>
      <c r="F21" s="162"/>
      <c r="G21" s="162"/>
      <c r="H21" s="162"/>
    </row>
    <row r="22" spans="1:8" ht="15" customHeight="1" x14ac:dyDescent="0.25">
      <c r="A22" s="127" t="s">
        <v>17</v>
      </c>
      <c r="B22" s="127"/>
      <c r="C22" s="127"/>
      <c r="D22" s="127"/>
      <c r="E22" s="161" t="s">
        <v>18</v>
      </c>
      <c r="F22" s="161"/>
      <c r="G22" s="161"/>
      <c r="H22" s="161"/>
    </row>
    <row r="23" spans="1:8" ht="15" customHeight="1" x14ac:dyDescent="0.25">
      <c r="A23" s="66" t="s">
        <v>19</v>
      </c>
      <c r="B23" s="66"/>
      <c r="C23" s="66"/>
      <c r="D23" s="66"/>
      <c r="E23" s="161" t="str">
        <f>IF(AND(G17="Mumbai"),"Upper Class","Middle Class")</f>
        <v>Middle Class</v>
      </c>
      <c r="F23" s="161"/>
      <c r="G23" s="161"/>
      <c r="H23" s="161"/>
    </row>
    <row r="24" spans="1:8" x14ac:dyDescent="0.25">
      <c r="A24" s="66" t="s">
        <v>20</v>
      </c>
      <c r="B24" s="66"/>
      <c r="C24" s="66"/>
      <c r="D24" s="66"/>
      <c r="E24" s="161" t="s">
        <v>21</v>
      </c>
      <c r="F24" s="161"/>
      <c r="G24" s="161"/>
      <c r="H24" s="161"/>
    </row>
    <row r="25" spans="1:8" ht="15.75" customHeight="1" x14ac:dyDescent="0.25">
      <c r="A25" s="66" t="s">
        <v>22</v>
      </c>
      <c r="B25" s="66"/>
      <c r="C25" s="66"/>
      <c r="D25" s="66"/>
      <c r="E25" s="161" t="str">
        <f>IF(AND(G17="Mumbai"),"Developed","Developing")</f>
        <v>Developing</v>
      </c>
      <c r="F25" s="161"/>
      <c r="G25" s="161"/>
      <c r="H25" s="161"/>
    </row>
    <row r="26" spans="1:8" x14ac:dyDescent="0.25">
      <c r="A26" s="66" t="s">
        <v>23</v>
      </c>
      <c r="B26" s="66"/>
      <c r="C26" s="66"/>
      <c r="D26" s="66"/>
      <c r="E26" s="161" t="s">
        <v>24</v>
      </c>
      <c r="F26" s="161"/>
      <c r="G26" s="161"/>
      <c r="H26" s="161"/>
    </row>
    <row r="27" spans="1:8" x14ac:dyDescent="0.25">
      <c r="A27" s="66" t="s">
        <v>115</v>
      </c>
      <c r="B27" s="66"/>
      <c r="C27" s="66"/>
      <c r="D27" s="66"/>
      <c r="E27" s="161" t="s">
        <v>116</v>
      </c>
      <c r="F27" s="161"/>
      <c r="G27" s="161"/>
      <c r="H27" s="161"/>
    </row>
    <row r="28" spans="1:8" ht="15" customHeight="1" x14ac:dyDescent="0.25">
      <c r="A28" s="127" t="s">
        <v>35</v>
      </c>
      <c r="B28" s="127"/>
      <c r="C28" s="127"/>
      <c r="D28" s="127"/>
      <c r="E28" s="176" t="s">
        <v>113</v>
      </c>
      <c r="F28" s="176"/>
      <c r="G28" s="176"/>
      <c r="H28" s="176"/>
    </row>
    <row r="29" spans="1:8" x14ac:dyDescent="0.25">
      <c r="A29" s="127" t="s">
        <v>127</v>
      </c>
      <c r="B29" s="127"/>
      <c r="C29" s="127"/>
      <c r="D29" s="127"/>
      <c r="E29" s="127" t="s">
        <v>36</v>
      </c>
      <c r="F29" s="127"/>
      <c r="G29" s="127"/>
      <c r="H29" s="127"/>
    </row>
    <row r="30" spans="1:8" s="11" customFormat="1" x14ac:dyDescent="0.25">
      <c r="A30" s="183" t="s">
        <v>128</v>
      </c>
      <c r="B30" s="183"/>
      <c r="C30" s="181" t="s">
        <v>29</v>
      </c>
      <c r="D30" s="181"/>
      <c r="E30" s="181"/>
      <c r="F30" s="181" t="s">
        <v>31</v>
      </c>
      <c r="G30" s="181"/>
      <c r="H30" s="181"/>
    </row>
    <row r="31" spans="1:8" s="11" customFormat="1" x14ac:dyDescent="0.25">
      <c r="A31" s="179" t="s">
        <v>25</v>
      </c>
      <c r="B31" s="179" t="s">
        <v>30</v>
      </c>
      <c r="C31" s="118" t="s">
        <v>30</v>
      </c>
      <c r="D31" s="118"/>
      <c r="E31" s="118"/>
      <c r="F31" s="118" t="s">
        <v>189</v>
      </c>
      <c r="G31" s="118"/>
      <c r="H31" s="118"/>
    </row>
    <row r="32" spans="1:8" x14ac:dyDescent="0.25">
      <c r="A32" s="179" t="s">
        <v>26</v>
      </c>
      <c r="B32" s="179" t="s">
        <v>30</v>
      </c>
      <c r="C32" s="118" t="s">
        <v>30</v>
      </c>
      <c r="D32" s="118"/>
      <c r="E32" s="118"/>
      <c r="F32" s="118" t="s">
        <v>190</v>
      </c>
      <c r="G32" s="118"/>
      <c r="H32" s="118"/>
    </row>
    <row r="33" spans="1:8" s="11" customFormat="1" x14ac:dyDescent="0.25">
      <c r="A33" s="179" t="s">
        <v>28</v>
      </c>
      <c r="B33" s="179" t="s">
        <v>30</v>
      </c>
      <c r="C33" s="118" t="s">
        <v>30</v>
      </c>
      <c r="D33" s="118"/>
      <c r="E33" s="118"/>
      <c r="F33" s="118" t="s">
        <v>11</v>
      </c>
      <c r="G33" s="118"/>
      <c r="H33" s="118"/>
    </row>
    <row r="34" spans="1:8" x14ac:dyDescent="0.25">
      <c r="A34" s="179" t="s">
        <v>27</v>
      </c>
      <c r="B34" s="179" t="s">
        <v>30</v>
      </c>
      <c r="C34" s="118" t="s">
        <v>30</v>
      </c>
      <c r="D34" s="118"/>
      <c r="E34" s="118"/>
      <c r="F34" s="118" t="s">
        <v>189</v>
      </c>
      <c r="G34" s="118"/>
      <c r="H34" s="118"/>
    </row>
    <row r="35" spans="1:8" x14ac:dyDescent="0.25">
      <c r="A35" s="66" t="s">
        <v>32</v>
      </c>
      <c r="B35" s="66"/>
      <c r="C35" s="66"/>
      <c r="D35" s="66"/>
      <c r="E35" s="66"/>
      <c r="F35" s="66"/>
      <c r="G35" s="66"/>
      <c r="H35" s="66"/>
    </row>
    <row r="36" spans="1:8" ht="15.75" customHeight="1" x14ac:dyDescent="0.25">
      <c r="A36" s="174" t="s">
        <v>33</v>
      </c>
      <c r="B36" s="174"/>
      <c r="C36" s="182">
        <v>18.7967841</v>
      </c>
      <c r="D36" s="182"/>
      <c r="E36" s="174" t="s">
        <v>34</v>
      </c>
      <c r="F36" s="174"/>
      <c r="G36" s="136">
        <v>73.326636300000004</v>
      </c>
      <c r="H36" s="136"/>
    </row>
    <row r="37" spans="1:8" ht="15.75" customHeight="1" x14ac:dyDescent="0.25">
      <c r="A37" s="174" t="s">
        <v>252</v>
      </c>
      <c r="B37" s="174"/>
      <c r="C37" s="184" t="s">
        <v>253</v>
      </c>
      <c r="D37" s="185"/>
      <c r="E37" s="185"/>
      <c r="F37" s="185"/>
      <c r="G37" s="185"/>
      <c r="H37" s="186"/>
    </row>
    <row r="38" spans="1:8" x14ac:dyDescent="0.25">
      <c r="A38" s="102" t="s">
        <v>37</v>
      </c>
      <c r="B38" s="102"/>
      <c r="C38" s="102"/>
      <c r="D38" s="102"/>
      <c r="E38" s="102"/>
      <c r="F38" s="102"/>
      <c r="G38" s="102"/>
      <c r="H38" s="102"/>
    </row>
    <row r="39" spans="1:8" x14ac:dyDescent="0.25">
      <c r="A39" s="66" t="s">
        <v>38</v>
      </c>
      <c r="B39" s="66"/>
      <c r="C39" s="66"/>
      <c r="D39" s="66"/>
      <c r="E39" s="180">
        <v>17432.574000000001</v>
      </c>
      <c r="F39" s="180"/>
      <c r="G39" s="180"/>
      <c r="H39" s="180"/>
    </row>
    <row r="40" spans="1:8" x14ac:dyDescent="0.25">
      <c r="A40" s="66" t="s">
        <v>39</v>
      </c>
      <c r="B40" s="66"/>
      <c r="C40" s="66"/>
      <c r="D40" s="66"/>
      <c r="E40" s="88">
        <v>1.2</v>
      </c>
      <c r="F40" s="88"/>
      <c r="G40" s="88"/>
      <c r="H40" s="88"/>
    </row>
    <row r="41" spans="1:8" x14ac:dyDescent="0.25">
      <c r="A41" s="66" t="s">
        <v>40</v>
      </c>
      <c r="B41" s="66"/>
      <c r="C41" s="66"/>
      <c r="D41" s="66"/>
      <c r="E41" s="88">
        <f>E43/E39-E40</f>
        <v>0.60000004589110012</v>
      </c>
      <c r="F41" s="88"/>
      <c r="G41" s="88"/>
      <c r="H41" s="88"/>
    </row>
    <row r="42" spans="1:8" x14ac:dyDescent="0.25">
      <c r="A42" s="66" t="s">
        <v>41</v>
      </c>
      <c r="B42" s="66"/>
      <c r="C42" s="66"/>
      <c r="D42" s="66"/>
      <c r="E42" s="88">
        <f>E40+E41</f>
        <v>1.8000000458911001</v>
      </c>
      <c r="F42" s="88"/>
      <c r="G42" s="88"/>
      <c r="H42" s="88"/>
    </row>
    <row r="43" spans="1:8" x14ac:dyDescent="0.25">
      <c r="A43" s="66" t="s">
        <v>126</v>
      </c>
      <c r="B43" s="66"/>
      <c r="C43" s="66"/>
      <c r="D43" s="66"/>
      <c r="E43" s="172">
        <v>31378.633999999998</v>
      </c>
      <c r="F43" s="172"/>
      <c r="G43" s="172"/>
      <c r="H43" s="172"/>
    </row>
    <row r="44" spans="1:8" x14ac:dyDescent="0.25">
      <c r="A44" s="162" t="s">
        <v>42</v>
      </c>
      <c r="B44" s="162"/>
      <c r="C44" s="162"/>
      <c r="D44" s="162"/>
      <c r="E44" s="162" t="s">
        <v>192</v>
      </c>
      <c r="F44" s="162"/>
      <c r="G44" s="162"/>
      <c r="H44" s="162"/>
    </row>
    <row r="45" spans="1:8" x14ac:dyDescent="0.25">
      <c r="A45" s="102" t="s">
        <v>43</v>
      </c>
      <c r="B45" s="102"/>
      <c r="C45" s="102"/>
      <c r="D45" s="102"/>
      <c r="E45" s="102"/>
      <c r="F45" s="102"/>
      <c r="G45" s="102"/>
      <c r="H45" s="102"/>
    </row>
    <row r="46" spans="1:8" x14ac:dyDescent="0.25">
      <c r="A46" s="127" t="s">
        <v>44</v>
      </c>
      <c r="B46" s="127"/>
      <c r="C46" s="108" t="s">
        <v>193</v>
      </c>
      <c r="D46" s="108"/>
      <c r="E46" s="108"/>
      <c r="F46" s="46" t="s">
        <v>45</v>
      </c>
      <c r="G46" s="160">
        <v>43306</v>
      </c>
      <c r="H46" s="160"/>
    </row>
    <row r="47" spans="1:8" x14ac:dyDescent="0.25">
      <c r="A47" s="66" t="s">
        <v>46</v>
      </c>
      <c r="B47" s="66"/>
      <c r="C47" s="108" t="str">
        <f>C46</f>
        <v>KMC/BV/BP/1520</v>
      </c>
      <c r="D47" s="108"/>
      <c r="E47" s="108"/>
      <c r="F47" s="46" t="s">
        <v>45</v>
      </c>
      <c r="G47" s="160">
        <f>G46</f>
        <v>43306</v>
      </c>
      <c r="H47" s="160"/>
    </row>
    <row r="48" spans="1:8" s="10" customFormat="1" x14ac:dyDescent="0.25">
      <c r="A48" s="161" t="s">
        <v>47</v>
      </c>
      <c r="B48" s="161"/>
      <c r="C48" s="108" t="str">
        <f>C47</f>
        <v>KMC/BV/BP/1520</v>
      </c>
      <c r="D48" s="128"/>
      <c r="E48" s="128"/>
      <c r="F48" s="13" t="s">
        <v>45</v>
      </c>
      <c r="G48" s="160">
        <f>G47</f>
        <v>43306</v>
      </c>
      <c r="H48" s="160"/>
    </row>
    <row r="49" spans="1:14" s="10" customFormat="1" x14ac:dyDescent="0.25">
      <c r="A49" s="161"/>
      <c r="B49" s="161"/>
      <c r="C49" s="164" t="s">
        <v>194</v>
      </c>
      <c r="D49" s="165"/>
      <c r="E49" s="165"/>
      <c r="F49" s="165"/>
      <c r="G49" s="165"/>
      <c r="H49" s="166"/>
    </row>
    <row r="50" spans="1:14" ht="48" customHeight="1" x14ac:dyDescent="0.25">
      <c r="A50" s="168" t="s">
        <v>261</v>
      </c>
      <c r="B50" s="169"/>
      <c r="C50" s="167" t="s">
        <v>262</v>
      </c>
      <c r="D50" s="100"/>
      <c r="E50" s="100" t="s">
        <v>49</v>
      </c>
      <c r="F50" s="48" t="s">
        <v>45</v>
      </c>
      <c r="G50" s="163">
        <v>45033</v>
      </c>
      <c r="H50" s="163"/>
    </row>
    <row r="51" spans="1:14" ht="64.5" customHeight="1" x14ac:dyDescent="0.25">
      <c r="A51" s="170"/>
      <c r="B51" s="171"/>
      <c r="C51" s="167" t="s">
        <v>263</v>
      </c>
      <c r="D51" s="100"/>
      <c r="E51" s="100" t="s">
        <v>49</v>
      </c>
      <c r="F51" s="48" t="s">
        <v>45</v>
      </c>
      <c r="G51" s="163">
        <v>44765</v>
      </c>
      <c r="H51" s="163"/>
    </row>
    <row r="52" spans="1:14" ht="48" customHeight="1" x14ac:dyDescent="0.25">
      <c r="A52" s="109" t="s">
        <v>48</v>
      </c>
      <c r="B52" s="109"/>
      <c r="C52" s="167" t="s">
        <v>260</v>
      </c>
      <c r="D52" s="100"/>
      <c r="E52" s="100" t="s">
        <v>49</v>
      </c>
      <c r="F52" s="48" t="s">
        <v>45</v>
      </c>
      <c r="G52" s="163">
        <v>45215</v>
      </c>
      <c r="H52" s="163"/>
    </row>
    <row r="53" spans="1:14" x14ac:dyDescent="0.25">
      <c r="A53" s="137" t="s">
        <v>51</v>
      </c>
      <c r="B53" s="137"/>
      <c r="C53" s="137"/>
      <c r="D53" s="137"/>
      <c r="E53" s="137"/>
      <c r="F53" s="137"/>
      <c r="G53" s="137"/>
      <c r="H53" s="137"/>
    </row>
    <row r="54" spans="1:14" x14ac:dyDescent="0.25">
      <c r="A54" s="127" t="s">
        <v>125</v>
      </c>
      <c r="B54" s="127"/>
      <c r="C54" s="127"/>
      <c r="D54" s="66">
        <f>E43</f>
        <v>31378.633999999998</v>
      </c>
      <c r="E54" s="66"/>
      <c r="F54" s="66"/>
      <c r="G54" s="66"/>
      <c r="H54" s="66"/>
    </row>
    <row r="55" spans="1:14" x14ac:dyDescent="0.25">
      <c r="A55" s="161" t="s">
        <v>52</v>
      </c>
      <c r="B55" s="162"/>
      <c r="C55" s="162"/>
      <c r="D55" s="162" t="s">
        <v>240</v>
      </c>
      <c r="E55" s="162"/>
      <c r="F55" s="162"/>
      <c r="G55" s="162"/>
      <c r="H55" s="162"/>
      <c r="I55" s="41"/>
    </row>
    <row r="56" spans="1:14" ht="66" customHeight="1" x14ac:dyDescent="0.25">
      <c r="A56" s="114" t="s">
        <v>53</v>
      </c>
      <c r="B56" s="115"/>
      <c r="C56" s="116"/>
      <c r="D56" s="112" t="s">
        <v>222</v>
      </c>
      <c r="E56" s="113"/>
      <c r="F56" s="113"/>
      <c r="G56" s="113"/>
      <c r="H56" s="113"/>
    </row>
    <row r="57" spans="1:14" ht="15.75" customHeight="1" x14ac:dyDescent="0.25">
      <c r="A57" s="114" t="s">
        <v>123</v>
      </c>
      <c r="B57" s="115"/>
      <c r="C57" s="115"/>
      <c r="D57" s="105" t="s">
        <v>195</v>
      </c>
      <c r="E57" s="106"/>
      <c r="F57" s="106"/>
      <c r="G57" s="106"/>
      <c r="H57" s="107"/>
    </row>
    <row r="58" spans="1:14" ht="15.75" customHeight="1" x14ac:dyDescent="0.25">
      <c r="A58" s="66" t="s">
        <v>50</v>
      </c>
      <c r="B58" s="66"/>
      <c r="C58" s="66"/>
      <c r="D58" s="110" t="s">
        <v>270</v>
      </c>
      <c r="E58" s="110"/>
      <c r="F58" s="110"/>
      <c r="G58" s="110"/>
      <c r="H58" s="110"/>
      <c r="I58" s="40">
        <v>45503</v>
      </c>
      <c r="J58" s="40"/>
      <c r="K58" s="41"/>
      <c r="N58" s="41"/>
    </row>
    <row r="59" spans="1:14" ht="15.75" customHeight="1" x14ac:dyDescent="0.25">
      <c r="A59" s="66" t="s">
        <v>121</v>
      </c>
      <c r="B59" s="66"/>
      <c r="C59" s="66"/>
      <c r="D59" s="111" t="str">
        <f ca="1">(IF(G52="NA","60 Years After Completion",IF(G52&lt;&gt;"NA",""&amp;60-ROUNDDOWN((E3-G52)/360,0)&amp;" Years"," ")))</f>
        <v>59 Years</v>
      </c>
      <c r="E59" s="111"/>
      <c r="F59" s="111"/>
      <c r="G59" s="111"/>
      <c r="H59" s="111"/>
      <c r="N59" s="41"/>
    </row>
    <row r="60" spans="1:14" ht="15.75" customHeight="1" x14ac:dyDescent="0.25">
      <c r="A60" s="66" t="s">
        <v>122</v>
      </c>
      <c r="B60" s="66"/>
      <c r="C60" s="66"/>
      <c r="D60" s="127" t="s">
        <v>24</v>
      </c>
      <c r="E60" s="127"/>
      <c r="F60" s="127"/>
      <c r="G60" s="127"/>
      <c r="H60" s="127"/>
      <c r="J60" s="18"/>
      <c r="K60" s="18"/>
    </row>
    <row r="61" spans="1:14" ht="15.75" customHeight="1" thickBot="1" x14ac:dyDescent="0.3">
      <c r="A61" s="154" t="s">
        <v>120</v>
      </c>
      <c r="B61" s="154"/>
      <c r="C61" s="154"/>
      <c r="D61" s="112" t="str">
        <f>(IF(G152&gt;95%,"Nothing",IF(G152&gt;0%,"Cement, Aggregate, Steel, etc",IF(G152=0%,"Work not yet Started"))))</f>
        <v>Cement, Aggregate, Steel, etc</v>
      </c>
      <c r="E61" s="112"/>
      <c r="F61" s="112"/>
      <c r="G61" s="112"/>
      <c r="H61" s="112"/>
      <c r="J61" s="18"/>
    </row>
    <row r="62" spans="1:14" customFormat="1" x14ac:dyDescent="0.25">
      <c r="A62" s="200" t="s">
        <v>264</v>
      </c>
      <c r="B62" s="201"/>
      <c r="C62" s="201"/>
      <c r="D62" s="201"/>
      <c r="E62" s="201"/>
      <c r="F62" s="201"/>
      <c r="G62" s="201"/>
      <c r="H62" s="202"/>
      <c r="I62" s="44" t="str">
        <f>(IF(C66=0,"Work not yet Started.",IF(D66=50%,"Excavation work in process",IF(D66=100%,"Excavation work completed, ","0")))&amp;(IF(C67=0%,"",IF(D67=25%,"Footing work is process",IF(D67=50%,"Footing work Completed",IF(D67=75%,"Plinth work is process",IF(D67=100%,"Plinth work completed","0"))))))&amp;(IF(C68&gt;0,", RCC upto "&amp;C68&amp;" Slab completed",""))&amp;(IF(C69&gt;0,", Brickwork upto "&amp;C69&amp;" Floor completed"," "))&amp;(IF(C70&gt;0,", Internal Plaster upto "&amp;C70&amp;" Floor completed"," "))&amp;(IF(C71&gt;0,", External Plaster upto "&amp;C71&amp;" Floor completed"," "))&amp;(IF(C72&gt;0,", Flooring upto "&amp;C72&amp;" Floor completed"," "))&amp;(IF(C73&gt;0,", Painting upto "&amp;C73&amp;" Floor completed"," "))&amp;(IF(C74&gt;0,", Finishing upto "&amp;C74&amp;" Floor completed"," ")))</f>
        <v>Excavation work completed, Plinth work completed, RCC upto 13 Slab completed, Brickwork upto 12 Floor completed, Internal Plaster upto 12 Floor completed, External Plaster upto 12 Floor completed, Flooring upto 12 Floor completed, Painting upto 12 Floor completed, Finishing upto 12 Floor completed</v>
      </c>
      <c r="J62" s="44"/>
      <c r="K62" s="20"/>
    </row>
    <row r="63" spans="1:14" customFormat="1" ht="15" customHeight="1" x14ac:dyDescent="0.25">
      <c r="A63" s="117" t="s">
        <v>102</v>
      </c>
      <c r="B63" s="118"/>
      <c r="C63" s="47">
        <v>1</v>
      </c>
      <c r="D63" s="47" t="s">
        <v>101</v>
      </c>
      <c r="E63" s="118">
        <v>0</v>
      </c>
      <c r="F63" s="118"/>
      <c r="G63" s="47" t="s">
        <v>114</v>
      </c>
      <c r="H63" s="45">
        <v>12</v>
      </c>
      <c r="I63" s="18" t="s">
        <v>223</v>
      </c>
      <c r="J63" s="18"/>
      <c r="K63" s="21"/>
    </row>
    <row r="64" spans="1:14" customFormat="1" x14ac:dyDescent="0.25">
      <c r="A64" s="125" t="s">
        <v>124</v>
      </c>
      <c r="B64" s="101"/>
      <c r="C64" s="143" t="s">
        <v>265</v>
      </c>
      <c r="D64" s="144"/>
      <c r="E64" s="144"/>
      <c r="F64" s="144"/>
      <c r="G64" s="144"/>
      <c r="H64" s="145"/>
      <c r="I64" s="18" t="s">
        <v>224</v>
      </c>
      <c r="J64" s="18"/>
      <c r="K64" s="21"/>
    </row>
    <row r="65" spans="1:11" customFormat="1" x14ac:dyDescent="0.25">
      <c r="A65" s="83" t="s">
        <v>54</v>
      </c>
      <c r="B65" s="84"/>
      <c r="C65" s="52" t="s">
        <v>174</v>
      </c>
      <c r="D65" s="52" t="s">
        <v>117</v>
      </c>
      <c r="E65" s="84" t="s">
        <v>119</v>
      </c>
      <c r="F65" s="84"/>
      <c r="G65" s="84" t="s">
        <v>118</v>
      </c>
      <c r="H65" s="146"/>
      <c r="I65" s="18" t="s">
        <v>135</v>
      </c>
      <c r="J65" s="8"/>
      <c r="K65" s="22"/>
    </row>
    <row r="66" spans="1:11" customFormat="1" x14ac:dyDescent="0.25">
      <c r="A66" s="83" t="s">
        <v>164</v>
      </c>
      <c r="B66" s="84"/>
      <c r="C66" s="53">
        <f>K69</f>
        <v>12</v>
      </c>
      <c r="D66" s="58">
        <f>((100/H63)*C66)/100</f>
        <v>1</v>
      </c>
      <c r="E66" s="121">
        <f>(IF(C64=I64,"100%",IF(C64=I65,"100%",(((C67/H63*10)+(40/(C63+E63+H63)*C68)+(7.5/(H63)*C69)+(7.5/(H63)*C70)+(10/H63*C71)+(10/H63*C72)+(5/H63*C73)+(5/H63*C74)+(5/H63*C75))/100))))</f>
        <v>1</v>
      </c>
      <c r="F66" s="216"/>
      <c r="G66" s="121">
        <f>((((C66/H63)*20)+((C67/H63)*25)+(30/(H63+E63+C63)*C68)+(5/H63*C69)+(5/H63*C70)+(5/H63*C71)+(5/H63*C72)+(0/H63*C73)+(0/H63*C74)+(5/H63*C75))/100)</f>
        <v>1</v>
      </c>
      <c r="H66" s="123"/>
      <c r="I66" s="18"/>
      <c r="J66" s="8"/>
      <c r="K66" s="22"/>
    </row>
    <row r="67" spans="1:11" customFormat="1" x14ac:dyDescent="0.25">
      <c r="A67" s="83" t="s">
        <v>55</v>
      </c>
      <c r="B67" s="84"/>
      <c r="C67" s="53">
        <f>K74</f>
        <v>12</v>
      </c>
      <c r="D67" s="58">
        <f>((100/H63)*C67)/100</f>
        <v>1</v>
      </c>
      <c r="E67" s="217"/>
      <c r="F67" s="218"/>
      <c r="G67" s="121"/>
      <c r="H67" s="123"/>
      <c r="I67" s="8"/>
      <c r="J67" s="8"/>
      <c r="K67" s="22"/>
    </row>
    <row r="68" spans="1:11" customFormat="1" x14ac:dyDescent="0.25">
      <c r="A68" s="83" t="s">
        <v>225</v>
      </c>
      <c r="B68" s="84"/>
      <c r="C68" s="54">
        <v>13</v>
      </c>
      <c r="D68" s="58">
        <f>((100/(C63+E63+H63))*C68)/100</f>
        <v>1</v>
      </c>
      <c r="E68" s="217"/>
      <c r="F68" s="218"/>
      <c r="G68" s="121"/>
      <c r="H68" s="123"/>
      <c r="I68" s="39" t="s">
        <v>130</v>
      </c>
      <c r="J68" s="23"/>
      <c r="K68" s="43">
        <f>H63*50%</f>
        <v>6</v>
      </c>
    </row>
    <row r="69" spans="1:11" customFormat="1" ht="15" customHeight="1" x14ac:dyDescent="0.25">
      <c r="A69" s="83" t="s">
        <v>171</v>
      </c>
      <c r="B69" s="84" t="s">
        <v>165</v>
      </c>
      <c r="C69" s="53">
        <v>12</v>
      </c>
      <c r="D69" s="58">
        <f>((100/H63)*C69)/100</f>
        <v>1</v>
      </c>
      <c r="E69" s="217"/>
      <c r="F69" s="218"/>
      <c r="G69" s="121"/>
      <c r="H69" s="123"/>
      <c r="I69" s="39" t="s">
        <v>131</v>
      </c>
      <c r="J69" s="23"/>
      <c r="K69" s="43">
        <f>H63</f>
        <v>12</v>
      </c>
    </row>
    <row r="70" spans="1:11" customFormat="1" x14ac:dyDescent="0.25">
      <c r="A70" s="83" t="s">
        <v>172</v>
      </c>
      <c r="B70" s="84" t="s">
        <v>165</v>
      </c>
      <c r="C70" s="53">
        <v>12</v>
      </c>
      <c r="D70" s="58">
        <f>((100/H63)*C70)/100</f>
        <v>1</v>
      </c>
      <c r="E70" s="217"/>
      <c r="F70" s="218"/>
      <c r="G70" s="121"/>
      <c r="H70" s="123"/>
      <c r="I70" s="39"/>
      <c r="J70" s="23"/>
      <c r="K70" s="43"/>
    </row>
    <row r="71" spans="1:11" customFormat="1" x14ac:dyDescent="0.25">
      <c r="A71" s="117" t="s">
        <v>170</v>
      </c>
      <c r="B71" s="118" t="s">
        <v>167</v>
      </c>
      <c r="C71" s="53">
        <v>12</v>
      </c>
      <c r="D71" s="58">
        <f>((100/(H63))*C71)/100</f>
        <v>1</v>
      </c>
      <c r="E71" s="217"/>
      <c r="F71" s="218"/>
      <c r="G71" s="121"/>
      <c r="H71" s="123"/>
      <c r="I71" s="39" t="s">
        <v>132</v>
      </c>
      <c r="J71" s="23"/>
      <c r="K71" s="43">
        <f>H63*25%</f>
        <v>3</v>
      </c>
    </row>
    <row r="72" spans="1:11" customFormat="1" x14ac:dyDescent="0.25">
      <c r="A72" s="83" t="s">
        <v>166</v>
      </c>
      <c r="B72" s="84" t="s">
        <v>166</v>
      </c>
      <c r="C72" s="53">
        <v>12</v>
      </c>
      <c r="D72" s="58">
        <f>((100/H63)*C72)/100</f>
        <v>1</v>
      </c>
      <c r="E72" s="217"/>
      <c r="F72" s="218"/>
      <c r="G72" s="121"/>
      <c r="H72" s="123"/>
      <c r="I72" s="39" t="s">
        <v>133</v>
      </c>
      <c r="J72" s="23"/>
      <c r="K72" s="43">
        <f>H63*50%</f>
        <v>6</v>
      </c>
    </row>
    <row r="73" spans="1:11" customFormat="1" ht="15" customHeight="1" x14ac:dyDescent="0.25">
      <c r="A73" s="83" t="s">
        <v>173</v>
      </c>
      <c r="B73" s="84"/>
      <c r="C73" s="53">
        <v>12</v>
      </c>
      <c r="D73" s="58">
        <f>((100/H63)*C73)/100</f>
        <v>1</v>
      </c>
      <c r="E73" s="217"/>
      <c r="F73" s="218"/>
      <c r="G73" s="121"/>
      <c r="H73" s="123"/>
      <c r="I73" s="39" t="s">
        <v>175</v>
      </c>
      <c r="J73" s="23"/>
      <c r="K73" s="43">
        <f>H63*75%</f>
        <v>9</v>
      </c>
    </row>
    <row r="74" spans="1:11" customFormat="1" x14ac:dyDescent="0.25">
      <c r="A74" s="83" t="s">
        <v>168</v>
      </c>
      <c r="B74" s="84" t="s">
        <v>168</v>
      </c>
      <c r="C74" s="53">
        <v>12</v>
      </c>
      <c r="D74" s="58">
        <f>((100/(H63))*C74)/100</f>
        <v>1</v>
      </c>
      <c r="E74" s="217"/>
      <c r="F74" s="218"/>
      <c r="G74" s="121"/>
      <c r="H74" s="123"/>
      <c r="I74" s="39" t="s">
        <v>134</v>
      </c>
      <c r="J74" s="23"/>
      <c r="K74" s="43">
        <f>H63</f>
        <v>12</v>
      </c>
    </row>
    <row r="75" spans="1:11" customFormat="1" ht="16.5" thickBot="1" x14ac:dyDescent="0.3">
      <c r="A75" s="119" t="s">
        <v>169</v>
      </c>
      <c r="B75" s="120"/>
      <c r="C75" s="55">
        <v>12</v>
      </c>
      <c r="D75" s="59">
        <f>((100/(H63))*C75)/100</f>
        <v>1</v>
      </c>
      <c r="E75" s="219"/>
      <c r="F75" s="220"/>
      <c r="G75" s="122"/>
      <c r="H75" s="124"/>
      <c r="I75" s="56"/>
      <c r="J75" s="56"/>
      <c r="K75" s="57"/>
    </row>
    <row r="76" spans="1:11" customFormat="1" x14ac:dyDescent="0.25">
      <c r="A76" s="200" t="s">
        <v>266</v>
      </c>
      <c r="B76" s="201"/>
      <c r="C76" s="201"/>
      <c r="D76" s="201"/>
      <c r="E76" s="201"/>
      <c r="F76" s="201"/>
      <c r="G76" s="201"/>
      <c r="H76" s="202"/>
      <c r="I76" s="44" t="str">
        <f>(IF(C81=0,"Work not yet Started.",IF(D81=50%,"Excavation work in process",IF(D81=100%,"Excavation work completed, ","0")))&amp;(IF(C82=0%,"",IF(D82=25%,"Footing work is process",IF(D82=50%,"Footing work Completed",IF(D82=75%,"Plinth work is process",IF(D82=100%,"Plinth work completed","0"))))))&amp;(IF(C83&gt;0,", RCC upto "&amp;C83&amp;" Slab completed",""))&amp;(IF(C84&gt;0,", Brickwork upto "&amp;C84&amp;" Floor completed"," "))&amp;(IF(C85&gt;0,", Internal Plaster upto "&amp;C85&amp;" Floor completed"," "))&amp;(IF(C86&gt;0,", External Plaster upto "&amp;C86&amp;" Floor completed"," "))&amp;(IF(C87&gt;0,", Flooring upto "&amp;C87&amp;" Floor completed"," "))&amp;(IF(C88&gt;0,", Painting upto "&amp;C88&amp;" Floor completed"," "))&amp;(IF(C89&gt;0,", Finishing upto "&amp;C89&amp;" Floor completed"," ")))</f>
        <v>Excavation work completed, Plinth work completed, RCC upto 13 Slab completed, Brickwork upto 12 Floor completed, Internal Plaster upto 12 Floor completed, External Plaster upto 12 Floor completed, Flooring upto 12 Floor completed, Painting upto 12 Floor completed, Finishing upto 12 Floor completed</v>
      </c>
      <c r="J76" s="44"/>
      <c r="K76" s="20"/>
    </row>
    <row r="77" spans="1:11" customFormat="1" ht="15" customHeight="1" x14ac:dyDescent="0.25">
      <c r="A77" s="117" t="s">
        <v>102</v>
      </c>
      <c r="B77" s="118"/>
      <c r="C77" s="47">
        <v>1</v>
      </c>
      <c r="D77" s="47" t="s">
        <v>101</v>
      </c>
      <c r="E77" s="118">
        <v>0</v>
      </c>
      <c r="F77" s="118"/>
      <c r="G77" s="47" t="s">
        <v>114</v>
      </c>
      <c r="H77" s="45">
        <v>12</v>
      </c>
      <c r="I77" s="18" t="s">
        <v>223</v>
      </c>
      <c r="J77" s="18"/>
      <c r="K77" s="21"/>
    </row>
    <row r="78" spans="1:11" customFormat="1" ht="16.5" thickBot="1" x14ac:dyDescent="0.3">
      <c r="A78" s="203" t="s">
        <v>124</v>
      </c>
      <c r="B78" s="204"/>
      <c r="C78" s="205" t="str">
        <f>I80</f>
        <v>All work Completed. OC Received.</v>
      </c>
      <c r="D78" s="206"/>
      <c r="E78" s="206"/>
      <c r="F78" s="206"/>
      <c r="G78" s="206"/>
      <c r="H78" s="207"/>
      <c r="I78" s="18" t="s">
        <v>224</v>
      </c>
      <c r="J78" s="18"/>
      <c r="K78" s="21"/>
    </row>
    <row r="79" spans="1:11" customFormat="1" ht="31.9" customHeight="1" thickBot="1" x14ac:dyDescent="0.3">
      <c r="A79" s="211" t="s">
        <v>119</v>
      </c>
      <c r="B79" s="212"/>
      <c r="C79" s="213">
        <v>1</v>
      </c>
      <c r="D79" s="214"/>
      <c r="E79" s="214" t="s">
        <v>118</v>
      </c>
      <c r="F79" s="214"/>
      <c r="G79" s="213">
        <v>1</v>
      </c>
      <c r="H79" s="215"/>
      <c r="I79" s="18"/>
      <c r="J79" s="18"/>
      <c r="K79" s="21"/>
    </row>
    <row r="80" spans="1:11" customFormat="1" hidden="1" x14ac:dyDescent="0.25">
      <c r="A80" s="208" t="s">
        <v>54</v>
      </c>
      <c r="B80" s="209"/>
      <c r="C80" s="63" t="s">
        <v>174</v>
      </c>
      <c r="D80" s="63" t="s">
        <v>117</v>
      </c>
      <c r="E80" s="209" t="s">
        <v>119</v>
      </c>
      <c r="F80" s="209"/>
      <c r="G80" s="209" t="s">
        <v>118</v>
      </c>
      <c r="H80" s="210"/>
      <c r="I80" s="18" t="s">
        <v>135</v>
      </c>
      <c r="J80" s="8"/>
      <c r="K80" s="22"/>
    </row>
    <row r="81" spans="1:11" customFormat="1" hidden="1" x14ac:dyDescent="0.25">
      <c r="A81" s="83" t="s">
        <v>164</v>
      </c>
      <c r="B81" s="84"/>
      <c r="C81" s="53">
        <f>K84</f>
        <v>12</v>
      </c>
      <c r="D81" s="58">
        <f>((100/H77)*C81)/100</f>
        <v>1</v>
      </c>
      <c r="E81" s="121" t="str">
        <f>(IF(C78=I78,"100%",IF(C78=I80,"100%",(((C82/H77*10)+(40/(C77+E77+H77)*C83)+(7.5/(H77)*C84)+(7.5/(H77)*C85)+(10/H77*C86)+(10/H77*C87)+(5/H77*C88)+(5/H77*C89)+(5/H77*C90))/100))))</f>
        <v>100%</v>
      </c>
      <c r="F81" s="121"/>
      <c r="G81" s="121">
        <f>((((C81/H77)*20)+((C82/H77)*25)+(30/(H77+E77+C77)*C83)+(5/H77*C84)+(5/H77*C85)+(5/H77*C86)+(5/H77*C87)+(0/H77*C88)+(0/H77*C89)+(5/H77*C90))/100)</f>
        <v>1</v>
      </c>
      <c r="H81" s="123"/>
      <c r="I81" s="18"/>
      <c r="J81" s="8"/>
      <c r="K81" s="22"/>
    </row>
    <row r="82" spans="1:11" customFormat="1" hidden="1" x14ac:dyDescent="0.25">
      <c r="A82" s="83" t="s">
        <v>55</v>
      </c>
      <c r="B82" s="84"/>
      <c r="C82" s="53">
        <f>K89</f>
        <v>12</v>
      </c>
      <c r="D82" s="58">
        <f>((100/H77)*C82)/100</f>
        <v>1</v>
      </c>
      <c r="E82" s="121"/>
      <c r="F82" s="121"/>
      <c r="G82" s="121"/>
      <c r="H82" s="123"/>
      <c r="I82" s="8"/>
      <c r="J82" s="8"/>
      <c r="K82" s="22"/>
    </row>
    <row r="83" spans="1:11" customFormat="1" hidden="1" x14ac:dyDescent="0.25">
      <c r="A83" s="83" t="s">
        <v>225</v>
      </c>
      <c r="B83" s="84"/>
      <c r="C83" s="54">
        <v>13</v>
      </c>
      <c r="D83" s="58">
        <f>((100/(C77+E77+H77))*C83)/100</f>
        <v>1</v>
      </c>
      <c r="E83" s="121"/>
      <c r="F83" s="121"/>
      <c r="G83" s="121"/>
      <c r="H83" s="123"/>
      <c r="I83" s="39" t="s">
        <v>130</v>
      </c>
      <c r="J83" s="23"/>
      <c r="K83" s="43">
        <f>H77*50%</f>
        <v>6</v>
      </c>
    </row>
    <row r="84" spans="1:11" customFormat="1" ht="15" hidden="1" customHeight="1" x14ac:dyDescent="0.25">
      <c r="A84" s="83" t="s">
        <v>171</v>
      </c>
      <c r="B84" s="84" t="s">
        <v>165</v>
      </c>
      <c r="C84" s="53">
        <v>12</v>
      </c>
      <c r="D84" s="58">
        <f>((100/H77)*C84)/100</f>
        <v>1</v>
      </c>
      <c r="E84" s="121"/>
      <c r="F84" s="121"/>
      <c r="G84" s="121"/>
      <c r="H84" s="123"/>
      <c r="I84" s="39" t="s">
        <v>131</v>
      </c>
      <c r="J84" s="23"/>
      <c r="K84" s="43">
        <f>H77</f>
        <v>12</v>
      </c>
    </row>
    <row r="85" spans="1:11" customFormat="1" hidden="1" x14ac:dyDescent="0.25">
      <c r="A85" s="83" t="s">
        <v>172</v>
      </c>
      <c r="B85" s="84" t="s">
        <v>165</v>
      </c>
      <c r="C85" s="53">
        <v>12</v>
      </c>
      <c r="D85" s="58">
        <f>((100/H77)*C85)/100</f>
        <v>1</v>
      </c>
      <c r="E85" s="121"/>
      <c r="F85" s="121"/>
      <c r="G85" s="121"/>
      <c r="H85" s="123"/>
      <c r="I85" s="39"/>
      <c r="J85" s="23"/>
      <c r="K85" s="43"/>
    </row>
    <row r="86" spans="1:11" customFormat="1" hidden="1" x14ac:dyDescent="0.25">
      <c r="A86" s="117" t="s">
        <v>170</v>
      </c>
      <c r="B86" s="118" t="s">
        <v>167</v>
      </c>
      <c r="C86" s="53">
        <v>12</v>
      </c>
      <c r="D86" s="58">
        <f>((100/(H77))*C86)/100</f>
        <v>1</v>
      </c>
      <c r="E86" s="121"/>
      <c r="F86" s="121"/>
      <c r="G86" s="121"/>
      <c r="H86" s="123"/>
      <c r="I86" s="39" t="s">
        <v>132</v>
      </c>
      <c r="J86" s="23"/>
      <c r="K86" s="43">
        <f>H77*25%</f>
        <v>3</v>
      </c>
    </row>
    <row r="87" spans="1:11" customFormat="1" hidden="1" x14ac:dyDescent="0.25">
      <c r="A87" s="83" t="s">
        <v>166</v>
      </c>
      <c r="B87" s="84" t="s">
        <v>166</v>
      </c>
      <c r="C87" s="53">
        <v>12</v>
      </c>
      <c r="D87" s="58">
        <f>((100/H77)*C87)/100</f>
        <v>1</v>
      </c>
      <c r="E87" s="121"/>
      <c r="F87" s="121"/>
      <c r="G87" s="121"/>
      <c r="H87" s="123"/>
      <c r="I87" s="39" t="s">
        <v>133</v>
      </c>
      <c r="J87" s="23"/>
      <c r="K87" s="43">
        <f>H77*50%</f>
        <v>6</v>
      </c>
    </row>
    <row r="88" spans="1:11" customFormat="1" ht="15" hidden="1" customHeight="1" x14ac:dyDescent="0.25">
      <c r="A88" s="83" t="s">
        <v>173</v>
      </c>
      <c r="B88" s="84"/>
      <c r="C88" s="53">
        <v>12</v>
      </c>
      <c r="D88" s="58">
        <f>((100/H77)*C88)/100</f>
        <v>1</v>
      </c>
      <c r="E88" s="121"/>
      <c r="F88" s="121"/>
      <c r="G88" s="121"/>
      <c r="H88" s="123"/>
      <c r="I88" s="39" t="s">
        <v>175</v>
      </c>
      <c r="J88" s="23"/>
      <c r="K88" s="43">
        <f>H77*75%</f>
        <v>9</v>
      </c>
    </row>
    <row r="89" spans="1:11" customFormat="1" hidden="1" x14ac:dyDescent="0.25">
      <c r="A89" s="83" t="s">
        <v>168</v>
      </c>
      <c r="B89" s="84" t="s">
        <v>168</v>
      </c>
      <c r="C89" s="53">
        <v>12</v>
      </c>
      <c r="D89" s="58">
        <f>((100/(H77))*C89)/100</f>
        <v>1</v>
      </c>
      <c r="E89" s="121"/>
      <c r="F89" s="121"/>
      <c r="G89" s="121"/>
      <c r="H89" s="123"/>
      <c r="I89" s="39" t="s">
        <v>134</v>
      </c>
      <c r="J89" s="23"/>
      <c r="K89" s="43">
        <f>H77</f>
        <v>12</v>
      </c>
    </row>
    <row r="90" spans="1:11" customFormat="1" ht="16.5" hidden="1" thickBot="1" x14ac:dyDescent="0.3">
      <c r="A90" s="119" t="s">
        <v>169</v>
      </c>
      <c r="B90" s="120"/>
      <c r="C90" s="55">
        <v>12</v>
      </c>
      <c r="D90" s="59">
        <f>((100/(H77))*C90)/100</f>
        <v>1</v>
      </c>
      <c r="E90" s="122"/>
      <c r="F90" s="122"/>
      <c r="G90" s="122"/>
      <c r="H90" s="124"/>
      <c r="I90" s="56"/>
      <c r="J90" s="56"/>
      <c r="K90" s="57"/>
    </row>
    <row r="91" spans="1:11" customFormat="1" x14ac:dyDescent="0.25">
      <c r="A91" s="200" t="s">
        <v>226</v>
      </c>
      <c r="B91" s="201"/>
      <c r="C91" s="201"/>
      <c r="D91" s="201"/>
      <c r="E91" s="201"/>
      <c r="F91" s="201"/>
      <c r="G91" s="201"/>
      <c r="H91" s="202"/>
      <c r="I91" s="44" t="str">
        <f>(IF(C96=0,"Work not yet Started.",IF(D96=50%,"Excavation work in process",IF(D96=100%,"Excavation work completed, ","0")))&amp;(IF(C97=0%,"",IF(D97=25%,"Footing work is process",IF(D97=50%,"Footing work Completed",IF(D97=75%,"Plinth work is process",IF(D97=100%,"Plinth work completed","0"))))))&amp;(IF(C98&gt;0,", RCC upto "&amp;C98&amp;" Slab completed",""))&amp;(IF(C99&gt;0,", Brickwork upto "&amp;C99&amp;" Floor completed"," "))&amp;(IF(C100&gt;0,", Internal Plaster upto "&amp;C100&amp;" Floor completed"," "))&amp;(IF(C101&gt;0,", External Plaster upto "&amp;C101&amp;" Floor completed"," "))&amp;(IF(C102&gt;0,", Flooring upto "&amp;C102&amp;" Floor completed"," "))&amp;(IF(C103&gt;0,", Painting upto "&amp;C103&amp;" Floor completed"," "))&amp;(IF(C104&gt;0,", Finishing upto "&amp;C104&amp;" Floor completed"," ")))</f>
        <v>Excavation work completed, Plinth work completed, RCC upto 13 Slab completed, Brickwork upto 12 Floor completed, Internal Plaster upto 12 Floor completed, External Plaster upto 12 Floor completed, Flooring upto 12 Floor completed, Painting upto 12 Floor completed, Finishing upto 12 Floor completed</v>
      </c>
      <c r="J91" s="44"/>
      <c r="K91" s="20"/>
    </row>
    <row r="92" spans="1:11" customFormat="1" ht="15" customHeight="1" x14ac:dyDescent="0.25">
      <c r="A92" s="117" t="s">
        <v>102</v>
      </c>
      <c r="B92" s="118"/>
      <c r="C92" s="64">
        <v>1</v>
      </c>
      <c r="D92" s="64" t="s">
        <v>101</v>
      </c>
      <c r="E92" s="118">
        <v>0</v>
      </c>
      <c r="F92" s="118"/>
      <c r="G92" s="64" t="s">
        <v>114</v>
      </c>
      <c r="H92" s="45">
        <v>12</v>
      </c>
      <c r="I92" s="18" t="s">
        <v>223</v>
      </c>
      <c r="J92" s="18"/>
      <c r="K92" s="21"/>
    </row>
    <row r="93" spans="1:11" customFormat="1" ht="20.25" customHeight="1" x14ac:dyDescent="0.25">
      <c r="A93" s="125" t="s">
        <v>124</v>
      </c>
      <c r="B93" s="101"/>
      <c r="C93" s="143" t="str">
        <f>I93</f>
        <v>All work Completed. Provide OC.</v>
      </c>
      <c r="D93" s="144"/>
      <c r="E93" s="144"/>
      <c r="F93" s="144"/>
      <c r="G93" s="144"/>
      <c r="H93" s="145"/>
      <c r="I93" s="18" t="s">
        <v>224</v>
      </c>
      <c r="J93" s="18"/>
      <c r="K93" s="21"/>
    </row>
    <row r="94" spans="1:11" customFormat="1" ht="33" customHeight="1" thickBot="1" x14ac:dyDescent="0.3">
      <c r="A94" s="67" t="s">
        <v>119</v>
      </c>
      <c r="B94" s="68"/>
      <c r="C94" s="69">
        <v>1</v>
      </c>
      <c r="D94" s="70"/>
      <c r="E94" s="70" t="s">
        <v>118</v>
      </c>
      <c r="F94" s="70"/>
      <c r="G94" s="71">
        <v>1</v>
      </c>
      <c r="H94" s="72"/>
      <c r="I94" s="18"/>
      <c r="J94" s="18"/>
      <c r="K94" s="21"/>
    </row>
    <row r="95" spans="1:11" customFormat="1" hidden="1" x14ac:dyDescent="0.25">
      <c r="A95" s="208" t="s">
        <v>54</v>
      </c>
      <c r="B95" s="209"/>
      <c r="C95" s="65" t="s">
        <v>174</v>
      </c>
      <c r="D95" s="65" t="s">
        <v>117</v>
      </c>
      <c r="E95" s="209" t="s">
        <v>119</v>
      </c>
      <c r="F95" s="209"/>
      <c r="G95" s="209" t="s">
        <v>118</v>
      </c>
      <c r="H95" s="210"/>
      <c r="I95" s="18" t="s">
        <v>135</v>
      </c>
      <c r="J95" s="8"/>
      <c r="K95" s="22"/>
    </row>
    <row r="96" spans="1:11" customFormat="1" hidden="1" x14ac:dyDescent="0.25">
      <c r="A96" s="83" t="s">
        <v>164</v>
      </c>
      <c r="B96" s="84"/>
      <c r="C96" s="53">
        <f>K99</f>
        <v>12</v>
      </c>
      <c r="D96" s="58">
        <f>((100/H92)*C96)/100</f>
        <v>1</v>
      </c>
      <c r="E96" s="121" t="str">
        <f>(IF(C93=I93,"100%",IF(C93=I95,"100%",(((C97/H92*10)+(40/(C92+E92+H92)*C98)+(7.5/(H92)*C99)+(7.5/(H92)*C100)+(10/H92*C101)+(10/H92*C102)+(5/H92*C103)+(5/H92*C104)+(5/H92*C105))/100))))</f>
        <v>100%</v>
      </c>
      <c r="F96" s="121"/>
      <c r="G96" s="121">
        <f>((((C96/H92)*20)+((C97/H92)*25)+(30/(H92+E92+C92)*C98)+(5/H92*C99)+(5/H92*C100)+(5/H92*C101)+(5/H92*C102)+(0/H92*C103)+(0/H92*C104)+(5/H92*C105))/100)</f>
        <v>1</v>
      </c>
      <c r="H96" s="123"/>
      <c r="I96" s="18"/>
      <c r="J96" s="8"/>
      <c r="K96" s="22"/>
    </row>
    <row r="97" spans="1:11" customFormat="1" hidden="1" x14ac:dyDescent="0.25">
      <c r="A97" s="83" t="s">
        <v>55</v>
      </c>
      <c r="B97" s="84"/>
      <c r="C97" s="53">
        <f>K104</f>
        <v>12</v>
      </c>
      <c r="D97" s="58">
        <f>((100/H92)*C97)/100</f>
        <v>1</v>
      </c>
      <c r="E97" s="121"/>
      <c r="F97" s="121"/>
      <c r="G97" s="121"/>
      <c r="H97" s="123"/>
      <c r="I97" s="8"/>
      <c r="J97" s="8"/>
      <c r="K97" s="22"/>
    </row>
    <row r="98" spans="1:11" customFormat="1" hidden="1" x14ac:dyDescent="0.25">
      <c r="A98" s="83" t="s">
        <v>225</v>
      </c>
      <c r="B98" s="84"/>
      <c r="C98" s="54">
        <v>13</v>
      </c>
      <c r="D98" s="58">
        <f>((100/(C92+E92+H92))*C98)/100</f>
        <v>1</v>
      </c>
      <c r="E98" s="121"/>
      <c r="F98" s="121"/>
      <c r="G98" s="121"/>
      <c r="H98" s="123"/>
      <c r="I98" s="39" t="s">
        <v>130</v>
      </c>
      <c r="J98" s="23"/>
      <c r="K98" s="43">
        <f>H92*50%</f>
        <v>6</v>
      </c>
    </row>
    <row r="99" spans="1:11" customFormat="1" ht="15" hidden="1" customHeight="1" x14ac:dyDescent="0.25">
      <c r="A99" s="83" t="s">
        <v>171</v>
      </c>
      <c r="B99" s="84" t="s">
        <v>165</v>
      </c>
      <c r="C99" s="53">
        <v>12</v>
      </c>
      <c r="D99" s="58">
        <f>((100/H92)*C99)/100</f>
        <v>1</v>
      </c>
      <c r="E99" s="121"/>
      <c r="F99" s="121"/>
      <c r="G99" s="121"/>
      <c r="H99" s="123"/>
      <c r="I99" s="39" t="s">
        <v>131</v>
      </c>
      <c r="J99" s="23"/>
      <c r="K99" s="43">
        <f>H92</f>
        <v>12</v>
      </c>
    </row>
    <row r="100" spans="1:11" customFormat="1" hidden="1" x14ac:dyDescent="0.25">
      <c r="A100" s="83" t="s">
        <v>172</v>
      </c>
      <c r="B100" s="84" t="s">
        <v>165</v>
      </c>
      <c r="C100" s="53">
        <v>12</v>
      </c>
      <c r="D100" s="58">
        <f>((100/H92)*C100)/100</f>
        <v>1</v>
      </c>
      <c r="E100" s="121"/>
      <c r="F100" s="121"/>
      <c r="G100" s="121"/>
      <c r="H100" s="123"/>
      <c r="I100" s="39"/>
      <c r="J100" s="23"/>
      <c r="K100" s="43"/>
    </row>
    <row r="101" spans="1:11" customFormat="1" hidden="1" x14ac:dyDescent="0.25">
      <c r="A101" s="117" t="s">
        <v>170</v>
      </c>
      <c r="B101" s="118" t="s">
        <v>167</v>
      </c>
      <c r="C101" s="53">
        <v>12</v>
      </c>
      <c r="D101" s="58">
        <f>((100/(H92))*C101)/100</f>
        <v>1</v>
      </c>
      <c r="E101" s="121"/>
      <c r="F101" s="121"/>
      <c r="G101" s="121"/>
      <c r="H101" s="123"/>
      <c r="I101" s="39" t="s">
        <v>132</v>
      </c>
      <c r="J101" s="23"/>
      <c r="K101" s="43">
        <f>H92*25%</f>
        <v>3</v>
      </c>
    </row>
    <row r="102" spans="1:11" customFormat="1" hidden="1" x14ac:dyDescent="0.25">
      <c r="A102" s="83" t="s">
        <v>166</v>
      </c>
      <c r="B102" s="84" t="s">
        <v>166</v>
      </c>
      <c r="C102" s="53">
        <v>12</v>
      </c>
      <c r="D102" s="58">
        <f>((100/H92)*C102)/100</f>
        <v>1</v>
      </c>
      <c r="E102" s="121"/>
      <c r="F102" s="121"/>
      <c r="G102" s="121"/>
      <c r="H102" s="123"/>
      <c r="I102" s="39" t="s">
        <v>133</v>
      </c>
      <c r="J102" s="23"/>
      <c r="K102" s="43">
        <f>H92*50%</f>
        <v>6</v>
      </c>
    </row>
    <row r="103" spans="1:11" customFormat="1" ht="15" hidden="1" customHeight="1" x14ac:dyDescent="0.25">
      <c r="A103" s="83" t="s">
        <v>173</v>
      </c>
      <c r="B103" s="84"/>
      <c r="C103" s="53">
        <v>12</v>
      </c>
      <c r="D103" s="58">
        <f>((100/H92)*C103)/100</f>
        <v>1</v>
      </c>
      <c r="E103" s="121"/>
      <c r="F103" s="121"/>
      <c r="G103" s="121"/>
      <c r="H103" s="123"/>
      <c r="I103" s="39" t="s">
        <v>175</v>
      </c>
      <c r="J103" s="23"/>
      <c r="K103" s="43">
        <f>H92*75%</f>
        <v>9</v>
      </c>
    </row>
    <row r="104" spans="1:11" customFormat="1" hidden="1" x14ac:dyDescent="0.25">
      <c r="A104" s="83" t="s">
        <v>168</v>
      </c>
      <c r="B104" s="84" t="s">
        <v>168</v>
      </c>
      <c r="C104" s="53">
        <v>12</v>
      </c>
      <c r="D104" s="58">
        <f>((100/(H92))*C104)/100</f>
        <v>1</v>
      </c>
      <c r="E104" s="121"/>
      <c r="F104" s="121"/>
      <c r="G104" s="121"/>
      <c r="H104" s="123"/>
      <c r="I104" s="39" t="s">
        <v>134</v>
      </c>
      <c r="J104" s="23"/>
      <c r="K104" s="43">
        <f>H92</f>
        <v>12</v>
      </c>
    </row>
    <row r="105" spans="1:11" customFormat="1" ht="16.5" hidden="1" thickBot="1" x14ac:dyDescent="0.3">
      <c r="A105" s="119" t="s">
        <v>169</v>
      </c>
      <c r="B105" s="120"/>
      <c r="C105" s="55">
        <v>12</v>
      </c>
      <c r="D105" s="59">
        <f>((100/(H92))*C105)/100</f>
        <v>1</v>
      </c>
      <c r="E105" s="122"/>
      <c r="F105" s="122"/>
      <c r="G105" s="122"/>
      <c r="H105" s="124"/>
      <c r="I105" s="56"/>
      <c r="J105" s="56"/>
      <c r="K105" s="57"/>
    </row>
    <row r="106" spans="1:11" customFormat="1" hidden="1" x14ac:dyDescent="0.25">
      <c r="A106" s="132" t="s">
        <v>227</v>
      </c>
      <c r="B106" s="133"/>
      <c r="C106" s="133"/>
      <c r="D106" s="133"/>
      <c r="E106" s="133"/>
      <c r="F106" s="133"/>
      <c r="G106" s="133"/>
      <c r="H106" s="134"/>
      <c r="I106" s="44" t="str">
        <f>(IF(C110=0,"Work not yet Started.",IF(D110=50%,"Excavation work in process",IF(D110=100%,"Excavation work completed, ","0")))&amp;(IF(C111=0%,"",IF(D111=25%,"Footing work is process",IF(D111=50%,"Footing work Completed",IF(D111=75%,"Plinth work is process",IF(D111=100%,"Plinth work completed","0"))))))&amp;(IF(C112&gt;0,", RCC upto "&amp;C112&amp;" Slab completed",""))&amp;(IF(C113&gt;0,", Brickwork upto "&amp;C113&amp;" Floor completed"," "))&amp;(IF(C114&gt;0,", Internal Plaster upto "&amp;C114&amp;" Floor completed"," "))&amp;(IF(C115&gt;0,", External Plaster upto "&amp;C115&amp;" Floor completed"," "))&amp;(IF(C116&gt;0,", Flooring upto "&amp;C116&amp;" Floor completed"," "))&amp;(IF(C117&gt;0,", Painting upto "&amp;C117&amp;" Floor completed"," "))&amp;(IF(C118&gt;0,", Finishing upto "&amp;C118&amp;" Floor completed"," ")))</f>
        <v>Excavation work completed, Plinth work completed, RCC upto 13 Slab completed, Brickwork upto 12 Floor completed, Internal Plaster upto 12 Floor completed, External Plaster upto 12 Floor completed, Flooring upto 12 Floor completed, Painting upto 12 Floor completed, Finishing upto 12 Floor completed</v>
      </c>
      <c r="J106" s="44"/>
      <c r="K106" s="20"/>
    </row>
    <row r="107" spans="1:11" customFormat="1" ht="15" hidden="1" customHeight="1" x14ac:dyDescent="0.25">
      <c r="A107" s="117" t="s">
        <v>102</v>
      </c>
      <c r="B107" s="118"/>
      <c r="C107" s="47">
        <v>1</v>
      </c>
      <c r="D107" s="47" t="s">
        <v>101</v>
      </c>
      <c r="E107" s="118">
        <v>0</v>
      </c>
      <c r="F107" s="118"/>
      <c r="G107" s="47" t="s">
        <v>114</v>
      </c>
      <c r="H107" s="45">
        <v>12</v>
      </c>
      <c r="I107" s="18" t="s">
        <v>223</v>
      </c>
      <c r="J107" s="18"/>
      <c r="K107" s="21"/>
    </row>
    <row r="108" spans="1:11" customFormat="1" hidden="1" x14ac:dyDescent="0.25">
      <c r="A108" s="125" t="s">
        <v>124</v>
      </c>
      <c r="B108" s="101"/>
      <c r="C108" s="143" t="str">
        <f>I108</f>
        <v>All work Completed. Provide OC.</v>
      </c>
      <c r="D108" s="144"/>
      <c r="E108" s="144"/>
      <c r="F108" s="144"/>
      <c r="G108" s="144"/>
      <c r="H108" s="145"/>
      <c r="I108" s="18" t="s">
        <v>224</v>
      </c>
      <c r="J108" s="18"/>
      <c r="K108" s="21"/>
    </row>
    <row r="109" spans="1:11" customFormat="1" hidden="1" x14ac:dyDescent="0.25">
      <c r="A109" s="83" t="s">
        <v>54</v>
      </c>
      <c r="B109" s="84"/>
      <c r="C109" s="52" t="s">
        <v>174</v>
      </c>
      <c r="D109" s="52" t="s">
        <v>117</v>
      </c>
      <c r="E109" s="84" t="s">
        <v>119</v>
      </c>
      <c r="F109" s="84"/>
      <c r="G109" s="84" t="s">
        <v>118</v>
      </c>
      <c r="H109" s="146"/>
      <c r="I109" s="18" t="s">
        <v>135</v>
      </c>
      <c r="J109" s="8"/>
      <c r="K109" s="22"/>
    </row>
    <row r="110" spans="1:11" customFormat="1" hidden="1" x14ac:dyDescent="0.25">
      <c r="A110" s="83" t="s">
        <v>164</v>
      </c>
      <c r="B110" s="84"/>
      <c r="C110" s="53">
        <f>K113</f>
        <v>12</v>
      </c>
      <c r="D110" s="58">
        <f>((100/H107)*C110)/100</f>
        <v>1</v>
      </c>
      <c r="E110" s="121" t="str">
        <f>(IF(C108=I108,"100%",IF(C108=I109,"100%",(((C111/H107*10)+(40/(C107+E107+H107)*C112)+(7.5/(H107)*C113)+(7.5/(H107)*C114)+(10/H107*C115)+(10/H107*C116)+(5/H107*C117)+(5/H107*C118)+(5/H107*C119))/100))))</f>
        <v>100%</v>
      </c>
      <c r="F110" s="121"/>
      <c r="G110" s="121">
        <f>((((C110/H107)*20)+((C111/H107)*25)+(30/(H107+E107+C107)*C112)+(5/H107*C113)+(5/H107*C114)+(5/H107*C115)+(5/H107*C116)+(0/H107*C117)+(0/H107*C118)+(5/H107*C119))/100)</f>
        <v>1</v>
      </c>
      <c r="H110" s="123"/>
      <c r="I110" s="18"/>
      <c r="J110" s="8"/>
      <c r="K110" s="22"/>
    </row>
    <row r="111" spans="1:11" customFormat="1" hidden="1" x14ac:dyDescent="0.25">
      <c r="A111" s="83" t="s">
        <v>55</v>
      </c>
      <c r="B111" s="84"/>
      <c r="C111" s="53">
        <f>K118</f>
        <v>12</v>
      </c>
      <c r="D111" s="58">
        <f>((100/H107)*C111)/100</f>
        <v>1</v>
      </c>
      <c r="E111" s="121"/>
      <c r="F111" s="121"/>
      <c r="G111" s="121"/>
      <c r="H111" s="123"/>
      <c r="I111" s="8"/>
      <c r="J111" s="8"/>
      <c r="K111" s="22"/>
    </row>
    <row r="112" spans="1:11" customFormat="1" hidden="1" x14ac:dyDescent="0.25">
      <c r="A112" s="83" t="s">
        <v>225</v>
      </c>
      <c r="B112" s="84"/>
      <c r="C112" s="54">
        <v>13</v>
      </c>
      <c r="D112" s="58">
        <f>((100/(C107+E107+H107))*C112)/100</f>
        <v>1</v>
      </c>
      <c r="E112" s="121"/>
      <c r="F112" s="121"/>
      <c r="G112" s="121"/>
      <c r="H112" s="123"/>
      <c r="I112" s="39" t="s">
        <v>130</v>
      </c>
      <c r="J112" s="23"/>
      <c r="K112" s="43">
        <f>H107*50%</f>
        <v>6</v>
      </c>
    </row>
    <row r="113" spans="1:11" customFormat="1" ht="15" hidden="1" customHeight="1" x14ac:dyDescent="0.25">
      <c r="A113" s="83" t="s">
        <v>171</v>
      </c>
      <c r="B113" s="84" t="s">
        <v>165</v>
      </c>
      <c r="C113" s="53">
        <v>12</v>
      </c>
      <c r="D113" s="58">
        <f>((100/H107)*C113)/100</f>
        <v>1</v>
      </c>
      <c r="E113" s="121"/>
      <c r="F113" s="121"/>
      <c r="G113" s="121"/>
      <c r="H113" s="123"/>
      <c r="I113" s="39" t="s">
        <v>131</v>
      </c>
      <c r="J113" s="23"/>
      <c r="K113" s="43">
        <f>H107</f>
        <v>12</v>
      </c>
    </row>
    <row r="114" spans="1:11" customFormat="1" hidden="1" x14ac:dyDescent="0.25">
      <c r="A114" s="83" t="s">
        <v>172</v>
      </c>
      <c r="B114" s="84" t="s">
        <v>165</v>
      </c>
      <c r="C114" s="53">
        <v>12</v>
      </c>
      <c r="D114" s="58">
        <f>((100/H107)*C114)/100</f>
        <v>1</v>
      </c>
      <c r="E114" s="121"/>
      <c r="F114" s="121"/>
      <c r="G114" s="121"/>
      <c r="H114" s="123"/>
      <c r="I114" s="39"/>
      <c r="J114" s="23"/>
      <c r="K114" s="43"/>
    </row>
    <row r="115" spans="1:11" customFormat="1" hidden="1" x14ac:dyDescent="0.25">
      <c r="A115" s="117" t="s">
        <v>170</v>
      </c>
      <c r="B115" s="118" t="s">
        <v>167</v>
      </c>
      <c r="C115" s="53">
        <v>12</v>
      </c>
      <c r="D115" s="58">
        <f>((100/(H107))*C115)/100</f>
        <v>1</v>
      </c>
      <c r="E115" s="121"/>
      <c r="F115" s="121"/>
      <c r="G115" s="121"/>
      <c r="H115" s="123"/>
      <c r="I115" s="39" t="s">
        <v>132</v>
      </c>
      <c r="J115" s="23"/>
      <c r="K115" s="43">
        <f>H107*25%</f>
        <v>3</v>
      </c>
    </row>
    <row r="116" spans="1:11" customFormat="1" hidden="1" x14ac:dyDescent="0.25">
      <c r="A116" s="83" t="s">
        <v>166</v>
      </c>
      <c r="B116" s="84" t="s">
        <v>166</v>
      </c>
      <c r="C116" s="53">
        <v>12</v>
      </c>
      <c r="D116" s="58">
        <f>((100/H107)*C116)/100</f>
        <v>1</v>
      </c>
      <c r="E116" s="121"/>
      <c r="F116" s="121"/>
      <c r="G116" s="121"/>
      <c r="H116" s="123"/>
      <c r="I116" s="39" t="s">
        <v>133</v>
      </c>
      <c r="J116" s="23"/>
      <c r="K116" s="43">
        <f>H107*50%</f>
        <v>6</v>
      </c>
    </row>
    <row r="117" spans="1:11" customFormat="1" ht="15" hidden="1" customHeight="1" x14ac:dyDescent="0.25">
      <c r="A117" s="83" t="s">
        <v>173</v>
      </c>
      <c r="B117" s="84"/>
      <c r="C117" s="53">
        <v>12</v>
      </c>
      <c r="D117" s="58">
        <f>((100/H107)*C117)/100</f>
        <v>1</v>
      </c>
      <c r="E117" s="121"/>
      <c r="F117" s="121"/>
      <c r="G117" s="121"/>
      <c r="H117" s="123"/>
      <c r="I117" s="39" t="s">
        <v>175</v>
      </c>
      <c r="J117" s="23"/>
      <c r="K117" s="43">
        <f>H107*75%</f>
        <v>9</v>
      </c>
    </row>
    <row r="118" spans="1:11" customFormat="1" hidden="1" x14ac:dyDescent="0.25">
      <c r="A118" s="83" t="s">
        <v>168</v>
      </c>
      <c r="B118" s="84" t="s">
        <v>168</v>
      </c>
      <c r="C118" s="53">
        <v>12</v>
      </c>
      <c r="D118" s="58">
        <f>((100/(H107))*C118)/100</f>
        <v>1</v>
      </c>
      <c r="E118" s="121"/>
      <c r="F118" s="121"/>
      <c r="G118" s="121"/>
      <c r="H118" s="123"/>
      <c r="I118" s="39" t="s">
        <v>134</v>
      </c>
      <c r="J118" s="23"/>
      <c r="K118" s="43">
        <f>H107</f>
        <v>12</v>
      </c>
    </row>
    <row r="119" spans="1:11" customFormat="1" ht="16.5" hidden="1" thickBot="1" x14ac:dyDescent="0.3">
      <c r="A119" s="119" t="s">
        <v>169</v>
      </c>
      <c r="B119" s="120"/>
      <c r="C119" s="55">
        <v>12</v>
      </c>
      <c r="D119" s="59">
        <f>((100/(H107))*C119)/100</f>
        <v>1</v>
      </c>
      <c r="E119" s="122"/>
      <c r="F119" s="122"/>
      <c r="G119" s="122"/>
      <c r="H119" s="124"/>
      <c r="I119" s="56"/>
      <c r="J119" s="56"/>
      <c r="K119" s="57"/>
    </row>
    <row r="120" spans="1:11" customFormat="1" x14ac:dyDescent="0.25">
      <c r="A120" s="132" t="s">
        <v>228</v>
      </c>
      <c r="B120" s="133"/>
      <c r="C120" s="133"/>
      <c r="D120" s="133"/>
      <c r="E120" s="133"/>
      <c r="F120" s="133"/>
      <c r="G120" s="133"/>
      <c r="H120" s="134"/>
      <c r="I120" s="44" t="str">
        <f>(IF(C124=0,"Work not yet Started.",IF(D124=50%,"Excavation work in process",IF(D124=100%,"Excavation work completed, ","0")))&amp;(IF(C125=0%,"",IF(D125=25%,"Footing work is process",IF(D125=50%,"Footing work Completed",IF(D125=75%,"Plinth work is process",IF(D125=100%,"Plinth work completed","0"))))))&amp;(IF(C126&gt;0,", RCC upto "&amp;C126&amp;" Slab completed",""))&amp;(IF(C127&gt;0,", Brickwork upto "&amp;C127&amp;" Floor completed"," "))&amp;(IF(C128&gt;0,", Internal Plaster upto "&amp;C128&amp;" Floor completed"," "))&amp;(IF(C129&gt;0,", External Plaster upto "&amp;C129&amp;" Floor completed"," "))&amp;(IF(C130&gt;0,", Flooring upto "&amp;C130&amp;" Floor completed"," "))&amp;(IF(C131&gt;0,", Painting upto "&amp;C131&amp;" Floor completed"," "))&amp;(IF(C132&gt;0,", Finishing upto "&amp;C132&amp;" Floor completed"," ")))</f>
        <v xml:space="preserve">Excavation work completed, Plinth work completed, RCC upto 13 Slab completed, Brickwork upto 12 Floor completed, Internal Plaster upto 12 Floor completed, External Plaster upto 12 Floor completed, Flooring upto 7 Floor completed, Painting upto 3 Floor completed </v>
      </c>
      <c r="J120" s="44"/>
      <c r="K120" s="20"/>
    </row>
    <row r="121" spans="1:11" customFormat="1" ht="15" customHeight="1" x14ac:dyDescent="0.25">
      <c r="A121" s="117" t="s">
        <v>102</v>
      </c>
      <c r="B121" s="118"/>
      <c r="C121" s="47">
        <v>1</v>
      </c>
      <c r="D121" s="47" t="s">
        <v>101</v>
      </c>
      <c r="E121" s="118">
        <v>0</v>
      </c>
      <c r="F121" s="118"/>
      <c r="G121" s="47" t="s">
        <v>114</v>
      </c>
      <c r="H121" s="45">
        <v>12</v>
      </c>
      <c r="I121" s="18" t="s">
        <v>223</v>
      </c>
      <c r="J121" s="18"/>
      <c r="K121" s="21"/>
    </row>
    <row r="122" spans="1:11" customFormat="1" ht="67.5" customHeight="1" x14ac:dyDescent="0.25">
      <c r="A122" s="125" t="s">
        <v>124</v>
      </c>
      <c r="B122" s="101"/>
      <c r="C122" s="143" t="str">
        <f>I120</f>
        <v xml:space="preserve">Excavation work completed, Plinth work completed, RCC upto 13 Slab completed, Brickwork upto 12 Floor completed, Internal Plaster upto 12 Floor completed, External Plaster upto 12 Floor completed, Flooring upto 7 Floor completed, Painting upto 3 Floor completed </v>
      </c>
      <c r="D122" s="144"/>
      <c r="E122" s="144"/>
      <c r="F122" s="144"/>
      <c r="G122" s="144"/>
      <c r="H122" s="145"/>
      <c r="I122" s="18" t="s">
        <v>224</v>
      </c>
      <c r="J122" s="18"/>
      <c r="K122" s="21"/>
    </row>
    <row r="123" spans="1:11" customFormat="1" x14ac:dyDescent="0.25">
      <c r="A123" s="83" t="s">
        <v>54</v>
      </c>
      <c r="B123" s="84"/>
      <c r="C123" s="52" t="s">
        <v>174</v>
      </c>
      <c r="D123" s="52" t="s">
        <v>117</v>
      </c>
      <c r="E123" s="84" t="s">
        <v>119</v>
      </c>
      <c r="F123" s="84"/>
      <c r="G123" s="84" t="s">
        <v>118</v>
      </c>
      <c r="H123" s="146"/>
      <c r="I123" s="18" t="s">
        <v>135</v>
      </c>
      <c r="J123" s="8"/>
      <c r="K123" s="22"/>
    </row>
    <row r="124" spans="1:11" customFormat="1" x14ac:dyDescent="0.25">
      <c r="A124" s="83" t="s">
        <v>164</v>
      </c>
      <c r="B124" s="84"/>
      <c r="C124" s="53">
        <f>K127</f>
        <v>12</v>
      </c>
      <c r="D124" s="58">
        <f>((100/H121)*C124)/100</f>
        <v>1</v>
      </c>
      <c r="E124" s="121">
        <f>(IF(C122=I122,"100%",IF(C122=I123,"100%",(((C125/H121*10)+(40/(C121+E121+H121)*C126)+(7.5/(H121)*C127)+(7.5/(H121)*C128)+(10/H121*C129)+(10/H121*C130)+(5/H121*C131)+(5/H121*C132)+(5/H121*C133))/100))))</f>
        <v>0.8208333333333333</v>
      </c>
      <c r="F124" s="121"/>
      <c r="G124" s="121">
        <f>((((C124/H121)*20)+((C125/H121)*25)+(30/(H121+E121+C121)*C126)+(5/H121*C127)+(5/H121*C128)+(5/H121*C129)+(5/H121*C130)+(0/H121*C131)+(0/H121*C132)+(5/H121*C133))/100)</f>
        <v>0.9291666666666667</v>
      </c>
      <c r="H124" s="123"/>
      <c r="I124" s="18"/>
      <c r="J124" s="8"/>
      <c r="K124" s="22"/>
    </row>
    <row r="125" spans="1:11" customFormat="1" x14ac:dyDescent="0.25">
      <c r="A125" s="83" t="s">
        <v>55</v>
      </c>
      <c r="B125" s="84"/>
      <c r="C125" s="53">
        <f>K132</f>
        <v>12</v>
      </c>
      <c r="D125" s="58">
        <f>((100/H121)*C125)/100</f>
        <v>1</v>
      </c>
      <c r="E125" s="121"/>
      <c r="F125" s="121"/>
      <c r="G125" s="121"/>
      <c r="H125" s="123"/>
      <c r="I125" s="8"/>
      <c r="J125" s="8"/>
      <c r="K125" s="22"/>
    </row>
    <row r="126" spans="1:11" customFormat="1" x14ac:dyDescent="0.25">
      <c r="A126" s="83" t="s">
        <v>225</v>
      </c>
      <c r="B126" s="84"/>
      <c r="C126" s="54">
        <v>13</v>
      </c>
      <c r="D126" s="58">
        <f>((100/(C121+E121+H121))*C126)/100</f>
        <v>1</v>
      </c>
      <c r="E126" s="121"/>
      <c r="F126" s="121"/>
      <c r="G126" s="121"/>
      <c r="H126" s="123"/>
      <c r="I126" s="39" t="s">
        <v>130</v>
      </c>
      <c r="J126" s="23"/>
      <c r="K126" s="43">
        <f>H121*50%</f>
        <v>6</v>
      </c>
    </row>
    <row r="127" spans="1:11" customFormat="1" ht="15" customHeight="1" x14ac:dyDescent="0.25">
      <c r="A127" s="83" t="s">
        <v>171</v>
      </c>
      <c r="B127" s="84" t="s">
        <v>165</v>
      </c>
      <c r="C127" s="53">
        <v>12</v>
      </c>
      <c r="D127" s="58">
        <f>((100/H121)*C127)/100</f>
        <v>1</v>
      </c>
      <c r="E127" s="121"/>
      <c r="F127" s="121"/>
      <c r="G127" s="121"/>
      <c r="H127" s="123"/>
      <c r="I127" s="39" t="s">
        <v>131</v>
      </c>
      <c r="J127" s="23"/>
      <c r="K127" s="43">
        <f>H121</f>
        <v>12</v>
      </c>
    </row>
    <row r="128" spans="1:11" customFormat="1" x14ac:dyDescent="0.25">
      <c r="A128" s="83" t="s">
        <v>172</v>
      </c>
      <c r="B128" s="84" t="s">
        <v>165</v>
      </c>
      <c r="C128" s="53">
        <v>12</v>
      </c>
      <c r="D128" s="58">
        <f>((100/H121)*C128)/100</f>
        <v>1</v>
      </c>
      <c r="E128" s="121"/>
      <c r="F128" s="121"/>
      <c r="G128" s="121"/>
      <c r="H128" s="123"/>
      <c r="I128" s="39"/>
      <c r="J128" s="23"/>
      <c r="K128" s="43"/>
    </row>
    <row r="129" spans="1:11" customFormat="1" x14ac:dyDescent="0.25">
      <c r="A129" s="117" t="s">
        <v>170</v>
      </c>
      <c r="B129" s="118" t="s">
        <v>167</v>
      </c>
      <c r="C129" s="53">
        <v>12</v>
      </c>
      <c r="D129" s="58">
        <f>((100/(H121))*C129)/100</f>
        <v>1</v>
      </c>
      <c r="E129" s="121"/>
      <c r="F129" s="121"/>
      <c r="G129" s="121"/>
      <c r="H129" s="123"/>
      <c r="I129" s="39" t="s">
        <v>132</v>
      </c>
      <c r="J129" s="23"/>
      <c r="K129" s="43">
        <f>H121*25%</f>
        <v>3</v>
      </c>
    </row>
    <row r="130" spans="1:11" customFormat="1" x14ac:dyDescent="0.25">
      <c r="A130" s="83" t="s">
        <v>166</v>
      </c>
      <c r="B130" s="84" t="s">
        <v>166</v>
      </c>
      <c r="C130" s="53">
        <v>7</v>
      </c>
      <c r="D130" s="58">
        <f>((100/H121)*C130)/100</f>
        <v>0.58333333333333337</v>
      </c>
      <c r="E130" s="121"/>
      <c r="F130" s="121"/>
      <c r="G130" s="121"/>
      <c r="H130" s="123"/>
      <c r="I130" s="39" t="s">
        <v>133</v>
      </c>
      <c r="J130" s="23"/>
      <c r="K130" s="43">
        <f>H121*50%</f>
        <v>6</v>
      </c>
    </row>
    <row r="131" spans="1:11" customFormat="1" ht="15" customHeight="1" x14ac:dyDescent="0.25">
      <c r="A131" s="83" t="s">
        <v>173</v>
      </c>
      <c r="B131" s="84"/>
      <c r="C131" s="53">
        <v>3</v>
      </c>
      <c r="D131" s="58">
        <f>((100/H121)*C131)/100</f>
        <v>0.25</v>
      </c>
      <c r="E131" s="121"/>
      <c r="F131" s="121"/>
      <c r="G131" s="121"/>
      <c r="H131" s="123"/>
      <c r="I131" s="39" t="s">
        <v>175</v>
      </c>
      <c r="J131" s="23"/>
      <c r="K131" s="43">
        <f>H121*75%</f>
        <v>9</v>
      </c>
    </row>
    <row r="132" spans="1:11" customFormat="1" x14ac:dyDescent="0.25">
      <c r="A132" s="83" t="s">
        <v>168</v>
      </c>
      <c r="B132" s="84" t="s">
        <v>168</v>
      </c>
      <c r="C132" s="53">
        <v>0</v>
      </c>
      <c r="D132" s="58">
        <f>((100/(H121))*C132)/100</f>
        <v>0</v>
      </c>
      <c r="E132" s="121"/>
      <c r="F132" s="121"/>
      <c r="G132" s="121"/>
      <c r="H132" s="123"/>
      <c r="I132" s="39" t="s">
        <v>134</v>
      </c>
      <c r="J132" s="23"/>
      <c r="K132" s="43">
        <f>H121</f>
        <v>12</v>
      </c>
    </row>
    <row r="133" spans="1:11" customFormat="1" ht="16.5" thickBot="1" x14ac:dyDescent="0.3">
      <c r="A133" s="119" t="s">
        <v>169</v>
      </c>
      <c r="B133" s="120"/>
      <c r="C133" s="55">
        <v>0</v>
      </c>
      <c r="D133" s="59">
        <f>((100/(H121))*C133)/100</f>
        <v>0</v>
      </c>
      <c r="E133" s="122"/>
      <c r="F133" s="122"/>
      <c r="G133" s="122"/>
      <c r="H133" s="124"/>
      <c r="I133" s="56"/>
      <c r="J133" s="56"/>
      <c r="K133" s="57"/>
    </row>
    <row r="134" spans="1:11" customFormat="1" x14ac:dyDescent="0.25">
      <c r="A134" s="200" t="s">
        <v>229</v>
      </c>
      <c r="B134" s="201"/>
      <c r="C134" s="201"/>
      <c r="D134" s="201"/>
      <c r="E134" s="201"/>
      <c r="F134" s="201"/>
      <c r="G134" s="201"/>
      <c r="H134" s="202"/>
      <c r="I134" s="44" t="str">
        <f>(IF(C138=0,"Work not yet Started.",IF(D138=50%,"Excavation work in process",IF(D138=100%,"Excavation work completed, ","0")))&amp;(IF(C139=0%,"",IF(D139=25%,"Footing work is process",IF(D139=50%,"Footing work Completed",IF(D139=75%,"Plinth work is process",IF(D139=100%,"Plinth work completed","0"))))))&amp;(IF(C140&gt;0,", RCC upto "&amp;C140&amp;" Slab completed",""))&amp;(IF(C141&gt;0,", Brickwork upto "&amp;C141&amp;" Floor completed"," "))&amp;(IF(C142&gt;0,", Internal Plaster upto "&amp;C142&amp;" Floor completed"," "))&amp;(IF(C143&gt;0,", External Plaster upto "&amp;C143&amp;" Floor completed"," "))&amp;(IF(C144&gt;0,", Flooring upto "&amp;C144&amp;" Floor completed"," "))&amp;(IF(C145&gt;0,", Painting upto "&amp;C145&amp;" Floor completed"," "))&amp;(IF(C146&gt;0,", Finishing upto "&amp;C146&amp;" Floor completed"," ")))</f>
        <v xml:space="preserve">Excavation work completed, Plinth work completed, RCC upto 13 Slab completed, Brickwork upto 12 Floor completed, Internal Plaster upto 12 Floor completed, External Plaster upto 12 Floor completed, Flooring upto 8 Floor completed, Painting upto 2 Floor completed </v>
      </c>
      <c r="J134" s="44"/>
      <c r="K134" s="20"/>
    </row>
    <row r="135" spans="1:11" customFormat="1" ht="15" customHeight="1" x14ac:dyDescent="0.25">
      <c r="A135" s="117" t="s">
        <v>102</v>
      </c>
      <c r="B135" s="118"/>
      <c r="C135" s="47">
        <v>1</v>
      </c>
      <c r="D135" s="47" t="s">
        <v>101</v>
      </c>
      <c r="E135" s="118">
        <v>0</v>
      </c>
      <c r="F135" s="118"/>
      <c r="G135" s="47" t="s">
        <v>114</v>
      </c>
      <c r="H135" s="45">
        <v>12</v>
      </c>
      <c r="I135" s="18" t="s">
        <v>223</v>
      </c>
      <c r="J135" s="18"/>
      <c r="K135" s="21"/>
    </row>
    <row r="136" spans="1:11" customFormat="1" ht="66.75" customHeight="1" x14ac:dyDescent="0.25">
      <c r="A136" s="125" t="s">
        <v>124</v>
      </c>
      <c r="B136" s="101"/>
      <c r="C136" s="143" t="str">
        <f>I134</f>
        <v xml:space="preserve">Excavation work completed, Plinth work completed, RCC upto 13 Slab completed, Brickwork upto 12 Floor completed, Internal Plaster upto 12 Floor completed, External Plaster upto 12 Floor completed, Flooring upto 8 Floor completed, Painting upto 2 Floor completed </v>
      </c>
      <c r="D136" s="144"/>
      <c r="E136" s="144"/>
      <c r="F136" s="144"/>
      <c r="G136" s="144"/>
      <c r="H136" s="145"/>
      <c r="I136" s="18" t="s">
        <v>224</v>
      </c>
      <c r="J136" s="18"/>
      <c r="K136" s="21"/>
    </row>
    <row r="137" spans="1:11" customFormat="1" x14ac:dyDescent="0.25">
      <c r="A137" s="83" t="s">
        <v>54</v>
      </c>
      <c r="B137" s="84"/>
      <c r="C137" s="52" t="s">
        <v>174</v>
      </c>
      <c r="D137" s="52" t="s">
        <v>117</v>
      </c>
      <c r="E137" s="84" t="s">
        <v>119</v>
      </c>
      <c r="F137" s="84"/>
      <c r="G137" s="84" t="s">
        <v>118</v>
      </c>
      <c r="H137" s="146"/>
      <c r="I137" s="18" t="s">
        <v>135</v>
      </c>
      <c r="J137" s="8"/>
      <c r="K137" s="22"/>
    </row>
    <row r="138" spans="1:11" customFormat="1" x14ac:dyDescent="0.25">
      <c r="A138" s="83" t="s">
        <v>164</v>
      </c>
      <c r="B138" s="84"/>
      <c r="C138" s="53">
        <f>K141</f>
        <v>12</v>
      </c>
      <c r="D138" s="58">
        <f>((100/H135)*C138)/100</f>
        <v>1</v>
      </c>
      <c r="E138" s="121">
        <f>(IF(C136=I136,"100%",IF(C136=I137,"100%",(((C139/H135*10)+(40/(C135+E135+H135)*C140)+(7.5/(H135)*C141)+(7.5/(H135)*C142)+(10/H135*C143)+(10/H135*C144)+(5/H135*C145)+(5/H135*C146)+(5/H135*C147))/100))))</f>
        <v>0.82499999999999996</v>
      </c>
      <c r="F138" s="121"/>
      <c r="G138" s="121">
        <f>((((C138/H135)*20)+((C139/H135)*25)+(30/(H135+E135+C135)*C140)+(5/H135*C141)+(5/H135*C142)+(5/H135*C143)+(5/H135*C144)+(0/H135*C145)+(0/H135*C146)+(5/H135*C147))/100)</f>
        <v>0.93333333333333324</v>
      </c>
      <c r="H138" s="123"/>
      <c r="I138" s="18"/>
      <c r="J138" s="8"/>
      <c r="K138" s="22"/>
    </row>
    <row r="139" spans="1:11" customFormat="1" x14ac:dyDescent="0.25">
      <c r="A139" s="83" t="s">
        <v>55</v>
      </c>
      <c r="B139" s="84"/>
      <c r="C139" s="53">
        <f>K146</f>
        <v>12</v>
      </c>
      <c r="D139" s="58">
        <f>((100/H135)*C139)/100</f>
        <v>1</v>
      </c>
      <c r="E139" s="121"/>
      <c r="F139" s="121"/>
      <c r="G139" s="121"/>
      <c r="H139" s="123"/>
      <c r="I139" s="8"/>
      <c r="J139" s="8"/>
      <c r="K139" s="22"/>
    </row>
    <row r="140" spans="1:11" customFormat="1" x14ac:dyDescent="0.25">
      <c r="A140" s="83" t="s">
        <v>225</v>
      </c>
      <c r="B140" s="84"/>
      <c r="C140" s="54">
        <v>13</v>
      </c>
      <c r="D140" s="58">
        <f>((100/(C135+E135+H135))*C140)/100</f>
        <v>1</v>
      </c>
      <c r="E140" s="121"/>
      <c r="F140" s="121"/>
      <c r="G140" s="121"/>
      <c r="H140" s="123"/>
      <c r="I140" s="39" t="s">
        <v>130</v>
      </c>
      <c r="J140" s="23"/>
      <c r="K140" s="43">
        <f>H135*50%</f>
        <v>6</v>
      </c>
    </row>
    <row r="141" spans="1:11" customFormat="1" ht="15" customHeight="1" x14ac:dyDescent="0.25">
      <c r="A141" s="83" t="s">
        <v>171</v>
      </c>
      <c r="B141" s="84" t="s">
        <v>165</v>
      </c>
      <c r="C141" s="53">
        <v>12</v>
      </c>
      <c r="D141" s="58">
        <f>((100/H135)*C141)/100</f>
        <v>1</v>
      </c>
      <c r="E141" s="121"/>
      <c r="F141" s="121"/>
      <c r="G141" s="121"/>
      <c r="H141" s="123"/>
      <c r="I141" s="39" t="s">
        <v>131</v>
      </c>
      <c r="J141" s="23"/>
      <c r="K141" s="43">
        <f>H135</f>
        <v>12</v>
      </c>
    </row>
    <row r="142" spans="1:11" customFormat="1" x14ac:dyDescent="0.25">
      <c r="A142" s="83" t="s">
        <v>172</v>
      </c>
      <c r="B142" s="84" t="s">
        <v>165</v>
      </c>
      <c r="C142" s="53">
        <v>12</v>
      </c>
      <c r="D142" s="58">
        <f>((100/H135)*C142)/100</f>
        <v>1</v>
      </c>
      <c r="E142" s="121"/>
      <c r="F142" s="121"/>
      <c r="G142" s="121"/>
      <c r="H142" s="123"/>
      <c r="I142" s="39"/>
      <c r="J142" s="23"/>
      <c r="K142" s="43"/>
    </row>
    <row r="143" spans="1:11" customFormat="1" x14ac:dyDescent="0.25">
      <c r="A143" s="117" t="s">
        <v>170</v>
      </c>
      <c r="B143" s="118" t="s">
        <v>167</v>
      </c>
      <c r="C143" s="53">
        <v>12</v>
      </c>
      <c r="D143" s="58">
        <f>((100/(H135))*C143)/100</f>
        <v>1</v>
      </c>
      <c r="E143" s="121"/>
      <c r="F143" s="121"/>
      <c r="G143" s="121"/>
      <c r="H143" s="123"/>
      <c r="I143" s="39" t="s">
        <v>132</v>
      </c>
      <c r="J143" s="23"/>
      <c r="K143" s="43">
        <f>H135*25%</f>
        <v>3</v>
      </c>
    </row>
    <row r="144" spans="1:11" customFormat="1" x14ac:dyDescent="0.25">
      <c r="A144" s="83" t="s">
        <v>166</v>
      </c>
      <c r="B144" s="84" t="s">
        <v>166</v>
      </c>
      <c r="C144" s="53">
        <v>8</v>
      </c>
      <c r="D144" s="58">
        <f>((100/H135)*C144)/100</f>
        <v>0.66666666666666674</v>
      </c>
      <c r="E144" s="121"/>
      <c r="F144" s="121"/>
      <c r="G144" s="121"/>
      <c r="H144" s="123"/>
      <c r="I144" s="39" t="s">
        <v>133</v>
      </c>
      <c r="J144" s="23"/>
      <c r="K144" s="43">
        <f>H135*50%</f>
        <v>6</v>
      </c>
    </row>
    <row r="145" spans="1:11" customFormat="1" ht="15" customHeight="1" x14ac:dyDescent="0.25">
      <c r="A145" s="83" t="s">
        <v>173</v>
      </c>
      <c r="B145" s="84"/>
      <c r="C145" s="53">
        <v>2</v>
      </c>
      <c r="D145" s="58">
        <f>((100/H135)*C145)/100</f>
        <v>0.16666666666666669</v>
      </c>
      <c r="E145" s="121"/>
      <c r="F145" s="121"/>
      <c r="G145" s="121"/>
      <c r="H145" s="123"/>
      <c r="I145" s="39" t="s">
        <v>175</v>
      </c>
      <c r="J145" s="23"/>
      <c r="K145" s="43">
        <f>H135*75%</f>
        <v>9</v>
      </c>
    </row>
    <row r="146" spans="1:11" customFormat="1" x14ac:dyDescent="0.25">
      <c r="A146" s="83" t="s">
        <v>168</v>
      </c>
      <c r="B146" s="84" t="s">
        <v>168</v>
      </c>
      <c r="C146" s="53">
        <v>0</v>
      </c>
      <c r="D146" s="58">
        <f>((100/(H135))*C146)/100</f>
        <v>0</v>
      </c>
      <c r="E146" s="121"/>
      <c r="F146" s="121"/>
      <c r="G146" s="121"/>
      <c r="H146" s="123"/>
      <c r="I146" s="39" t="s">
        <v>134</v>
      </c>
      <c r="J146" s="23"/>
      <c r="K146" s="43">
        <f>H135</f>
        <v>12</v>
      </c>
    </row>
    <row r="147" spans="1:11" customFormat="1" ht="16.5" thickBot="1" x14ac:dyDescent="0.3">
      <c r="A147" s="119" t="s">
        <v>169</v>
      </c>
      <c r="B147" s="120"/>
      <c r="C147" s="55">
        <v>0</v>
      </c>
      <c r="D147" s="59">
        <f>((100/(H135))*C147)/100</f>
        <v>0</v>
      </c>
      <c r="E147" s="122"/>
      <c r="F147" s="122"/>
      <c r="G147" s="122"/>
      <c r="H147" s="124"/>
      <c r="I147" s="56"/>
      <c r="J147" s="56"/>
      <c r="K147" s="57"/>
    </row>
    <row r="148" spans="1:11" customFormat="1" x14ac:dyDescent="0.25">
      <c r="A148" s="132" t="s">
        <v>230</v>
      </c>
      <c r="B148" s="133"/>
      <c r="C148" s="133"/>
      <c r="D148" s="133"/>
      <c r="E148" s="133"/>
      <c r="F148" s="133"/>
      <c r="G148" s="133"/>
      <c r="H148" s="134"/>
      <c r="I148" s="44" t="str">
        <f>(IF(C152=0,"Work not yet Started.",IF(D152=50%,"Excavation work in process",IF(D152=100%,"Excavation work completed, ","0")))&amp;(IF(C153=0%,"",IF(D153=25%,"Footing work is process",IF(D153=50%,"Footing work Completed",IF(D153=75%,"Plinth work is process",IF(D153=100%,"Plinth work completed","0"))))))&amp;(IF(C154&gt;0,", RCC upto "&amp;C154&amp;" Slab completed",""))&amp;(IF(C155&gt;0,", Brickwork upto "&amp;C155&amp;" Floor completed"," "))&amp;(IF(C156&gt;0,", Internal Plaster upto "&amp;C156&amp;" Floor completed"," "))&amp;(IF(C157&gt;0,", External Plaster upto "&amp;C157&amp;" Floor completed"," "))&amp;(IF(C158&gt;0,", Flooring upto "&amp;C158&amp;" Floor completed"," "))&amp;(IF(C159&gt;0,", Painting upto "&amp;C159&amp;" Floor completed"," "))&amp;(IF(C160&gt;0,", Finishing upto "&amp;C160&amp;" Floor completed"," ")))</f>
        <v xml:space="preserve">Excavation work completed, Plinth work completed, RCC upto 4 Slab completed      </v>
      </c>
      <c r="J148" s="44"/>
      <c r="K148" s="20"/>
    </row>
    <row r="149" spans="1:11" customFormat="1" ht="15" customHeight="1" x14ac:dyDescent="0.25">
      <c r="A149" s="117" t="s">
        <v>102</v>
      </c>
      <c r="B149" s="118"/>
      <c r="C149" s="47">
        <v>1</v>
      </c>
      <c r="D149" s="47" t="s">
        <v>101</v>
      </c>
      <c r="E149" s="118">
        <v>0</v>
      </c>
      <c r="F149" s="118"/>
      <c r="G149" s="47" t="s">
        <v>114</v>
      </c>
      <c r="H149" s="45">
        <v>12</v>
      </c>
      <c r="I149" s="18" t="s">
        <v>223</v>
      </c>
      <c r="J149" s="18"/>
      <c r="K149" s="21"/>
    </row>
    <row r="150" spans="1:11" customFormat="1" ht="36.75" customHeight="1" x14ac:dyDescent="0.25">
      <c r="A150" s="125" t="s">
        <v>124</v>
      </c>
      <c r="B150" s="101"/>
      <c r="C150" s="143" t="str">
        <f>I148</f>
        <v xml:space="preserve">Excavation work completed, Plinth work completed, RCC upto 4 Slab completed      </v>
      </c>
      <c r="D150" s="144"/>
      <c r="E150" s="144"/>
      <c r="F150" s="144"/>
      <c r="G150" s="144"/>
      <c r="H150" s="145"/>
      <c r="I150" s="18" t="s">
        <v>224</v>
      </c>
      <c r="J150" s="18"/>
      <c r="K150" s="21"/>
    </row>
    <row r="151" spans="1:11" customFormat="1" x14ac:dyDescent="0.25">
      <c r="A151" s="83" t="s">
        <v>54</v>
      </c>
      <c r="B151" s="84"/>
      <c r="C151" s="52" t="s">
        <v>174</v>
      </c>
      <c r="D151" s="52" t="s">
        <v>117</v>
      </c>
      <c r="E151" s="84" t="s">
        <v>119</v>
      </c>
      <c r="F151" s="84"/>
      <c r="G151" s="84" t="s">
        <v>118</v>
      </c>
      <c r="H151" s="146"/>
      <c r="I151" s="18" t="s">
        <v>135</v>
      </c>
      <c r="J151" s="8"/>
      <c r="K151" s="22"/>
    </row>
    <row r="152" spans="1:11" customFormat="1" x14ac:dyDescent="0.25">
      <c r="A152" s="83" t="s">
        <v>164</v>
      </c>
      <c r="B152" s="84"/>
      <c r="C152" s="53">
        <f>K155</f>
        <v>12</v>
      </c>
      <c r="D152" s="58">
        <f>((100/H149)*C152)/100</f>
        <v>1</v>
      </c>
      <c r="E152" s="121">
        <f>(IF(C150=I150,"100%",IF(C150=I151,"100%",(((C153/H149*10)+(40/(C149+E149+H149)*C154)+(7.5/(H149)*C155)+(7.5/(H149)*C156)+(10/H149*C157)+(10/H149*C158)+(5/H149*C159)+(5/H149*C160)+(5/H149*C161))/100))))</f>
        <v>0.22307692307692306</v>
      </c>
      <c r="F152" s="121"/>
      <c r="G152" s="121">
        <f>((((C152/H149)*20)+((C153/H149)*25)+(30/(H149+E149+C149)*C154)+(5/H149*C155)+(5/H149*C156)+(5/H149*C157)+(5/H149*C158)+(0/H149*C159)+(0/H149*C160)+(5/H149*C161))/100)</f>
        <v>0.54230769230769227</v>
      </c>
      <c r="H152" s="123"/>
      <c r="I152" s="18"/>
      <c r="J152" s="8"/>
      <c r="K152" s="22"/>
    </row>
    <row r="153" spans="1:11" customFormat="1" x14ac:dyDescent="0.25">
      <c r="A153" s="83" t="s">
        <v>55</v>
      </c>
      <c r="B153" s="84"/>
      <c r="C153" s="53">
        <f>K160</f>
        <v>12</v>
      </c>
      <c r="D153" s="58">
        <f>((100/H149)*C153)/100</f>
        <v>1</v>
      </c>
      <c r="E153" s="121"/>
      <c r="F153" s="121"/>
      <c r="G153" s="121"/>
      <c r="H153" s="123"/>
      <c r="I153" s="8"/>
      <c r="J153" s="8"/>
      <c r="K153" s="22"/>
    </row>
    <row r="154" spans="1:11" customFormat="1" x14ac:dyDescent="0.25">
      <c r="A154" s="83" t="s">
        <v>225</v>
      </c>
      <c r="B154" s="84"/>
      <c r="C154" s="54">
        <v>4</v>
      </c>
      <c r="D154" s="58">
        <f>((100/(C149+E149+H149))*C154)/100</f>
        <v>0.30769230769230771</v>
      </c>
      <c r="E154" s="121"/>
      <c r="F154" s="121"/>
      <c r="G154" s="121"/>
      <c r="H154" s="123"/>
      <c r="I154" s="39" t="s">
        <v>130</v>
      </c>
      <c r="J154" s="23"/>
      <c r="K154" s="43">
        <f>H149*50%</f>
        <v>6</v>
      </c>
    </row>
    <row r="155" spans="1:11" customFormat="1" ht="15" customHeight="1" x14ac:dyDescent="0.25">
      <c r="A155" s="83" t="s">
        <v>171</v>
      </c>
      <c r="B155" s="84" t="s">
        <v>165</v>
      </c>
      <c r="C155" s="53">
        <v>0</v>
      </c>
      <c r="D155" s="58">
        <f>((100/H149)*C155)/100</f>
        <v>0</v>
      </c>
      <c r="E155" s="121"/>
      <c r="F155" s="121"/>
      <c r="G155" s="121"/>
      <c r="H155" s="123"/>
      <c r="I155" s="39" t="s">
        <v>131</v>
      </c>
      <c r="J155" s="23"/>
      <c r="K155" s="43">
        <f>H149</f>
        <v>12</v>
      </c>
    </row>
    <row r="156" spans="1:11" customFormat="1" x14ac:dyDescent="0.25">
      <c r="A156" s="83" t="s">
        <v>172</v>
      </c>
      <c r="B156" s="84" t="s">
        <v>165</v>
      </c>
      <c r="C156" s="53">
        <v>0</v>
      </c>
      <c r="D156" s="58">
        <f>((100/H149)*C156)/100</f>
        <v>0</v>
      </c>
      <c r="E156" s="121"/>
      <c r="F156" s="121"/>
      <c r="G156" s="121"/>
      <c r="H156" s="123"/>
      <c r="I156" s="39"/>
      <c r="J156" s="23"/>
      <c r="K156" s="43"/>
    </row>
    <row r="157" spans="1:11" customFormat="1" x14ac:dyDescent="0.25">
      <c r="A157" s="117" t="s">
        <v>170</v>
      </c>
      <c r="B157" s="118" t="s">
        <v>167</v>
      </c>
      <c r="C157" s="53">
        <v>0</v>
      </c>
      <c r="D157" s="58">
        <f>((100/(H149))*C157)/100</f>
        <v>0</v>
      </c>
      <c r="E157" s="121"/>
      <c r="F157" s="121"/>
      <c r="G157" s="121"/>
      <c r="H157" s="123"/>
      <c r="I157" s="39" t="s">
        <v>132</v>
      </c>
      <c r="J157" s="23"/>
      <c r="K157" s="43">
        <f>H149*25%</f>
        <v>3</v>
      </c>
    </row>
    <row r="158" spans="1:11" customFormat="1" x14ac:dyDescent="0.25">
      <c r="A158" s="83" t="s">
        <v>166</v>
      </c>
      <c r="B158" s="84" t="s">
        <v>166</v>
      </c>
      <c r="C158" s="53">
        <v>0</v>
      </c>
      <c r="D158" s="58">
        <f>((100/H149)*C158)/100</f>
        <v>0</v>
      </c>
      <c r="E158" s="121"/>
      <c r="F158" s="121"/>
      <c r="G158" s="121"/>
      <c r="H158" s="123"/>
      <c r="I158" s="39" t="s">
        <v>133</v>
      </c>
      <c r="J158" s="23"/>
      <c r="K158" s="43">
        <f>H149*50%</f>
        <v>6</v>
      </c>
    </row>
    <row r="159" spans="1:11" customFormat="1" ht="15" customHeight="1" x14ac:dyDescent="0.25">
      <c r="A159" s="83" t="s">
        <v>173</v>
      </c>
      <c r="B159" s="84"/>
      <c r="C159" s="53">
        <v>0</v>
      </c>
      <c r="D159" s="58">
        <f>((100/H149)*C159)/100</f>
        <v>0</v>
      </c>
      <c r="E159" s="121"/>
      <c r="F159" s="121"/>
      <c r="G159" s="121"/>
      <c r="H159" s="123"/>
      <c r="I159" s="39" t="s">
        <v>175</v>
      </c>
      <c r="J159" s="23"/>
      <c r="K159" s="43">
        <f>H149*75%</f>
        <v>9</v>
      </c>
    </row>
    <row r="160" spans="1:11" customFormat="1" x14ac:dyDescent="0.25">
      <c r="A160" s="83" t="s">
        <v>168</v>
      </c>
      <c r="B160" s="84" t="s">
        <v>168</v>
      </c>
      <c r="C160" s="53">
        <v>0</v>
      </c>
      <c r="D160" s="58">
        <f>((100/(H149))*C160)/100</f>
        <v>0</v>
      </c>
      <c r="E160" s="121"/>
      <c r="F160" s="121"/>
      <c r="G160" s="121"/>
      <c r="H160" s="123"/>
      <c r="I160" s="39" t="s">
        <v>134</v>
      </c>
      <c r="J160" s="23"/>
      <c r="K160" s="43">
        <f>H149</f>
        <v>12</v>
      </c>
    </row>
    <row r="161" spans="1:11" customFormat="1" ht="16.5" thickBot="1" x14ac:dyDescent="0.3">
      <c r="A161" s="119" t="s">
        <v>169</v>
      </c>
      <c r="B161" s="120"/>
      <c r="C161" s="55">
        <v>0</v>
      </c>
      <c r="D161" s="59">
        <f>((100/(H149))*C161)/100</f>
        <v>0</v>
      </c>
      <c r="E161" s="122"/>
      <c r="F161" s="122"/>
      <c r="G161" s="122"/>
      <c r="H161" s="124"/>
      <c r="I161" s="56"/>
      <c r="J161" s="56"/>
      <c r="K161" s="57"/>
    </row>
    <row r="162" spans="1:11" customFormat="1" x14ac:dyDescent="0.25">
      <c r="A162" s="132" t="s">
        <v>231</v>
      </c>
      <c r="B162" s="133"/>
      <c r="C162" s="133"/>
      <c r="D162" s="133"/>
      <c r="E162" s="133"/>
      <c r="F162" s="133"/>
      <c r="G162" s="133"/>
      <c r="H162" s="134"/>
      <c r="I162" s="44" t="str">
        <f>(IF(C166=0,"Work not yet Started.",IF(D166=50%,"Excavation work in process",IF(D166=100%,"Excavation work completed, ","0")))&amp;(IF(C167=0%,"",IF(D167=25%,"Footing work is process",IF(D167=50%,"Footing work Completed",IF(D167=75%,"Plinth work is process",IF(D167=100%,"Plinth work completed","0"))))))&amp;(IF(C168&gt;0,", RCC upto "&amp;C168&amp;" Slab completed",""))&amp;(IF(C169&gt;0,", Brickwork upto "&amp;C169&amp;" Floor completed"," "))&amp;(IF(C170&gt;0,", Internal Plaster upto "&amp;C170&amp;" Floor completed"," "))&amp;(IF(C171&gt;0,", External Plaster upto "&amp;C171&amp;" Floor completed"," "))&amp;(IF(C172&gt;0,", Flooring upto "&amp;C172&amp;" Floor completed"," "))&amp;(IF(C173&gt;0,", Painting upto "&amp;C173&amp;" Floor completed"," "))&amp;(IF(C174&gt;0,", Finishing upto "&amp;C174&amp;" Floor completed"," ")))</f>
        <v xml:space="preserve">Work not yet Started.      </v>
      </c>
      <c r="J162" s="44"/>
      <c r="K162" s="20"/>
    </row>
    <row r="163" spans="1:11" customFormat="1" ht="15" customHeight="1" x14ac:dyDescent="0.25">
      <c r="A163" s="135" t="s">
        <v>102</v>
      </c>
      <c r="B163" s="136"/>
      <c r="C163" s="47">
        <v>1</v>
      </c>
      <c r="D163" s="47" t="s">
        <v>101</v>
      </c>
      <c r="E163" s="118">
        <v>0</v>
      </c>
      <c r="F163" s="118"/>
      <c r="G163" s="47" t="s">
        <v>114</v>
      </c>
      <c r="H163" s="45">
        <v>12</v>
      </c>
      <c r="I163" s="18" t="s">
        <v>223</v>
      </c>
      <c r="J163" s="18"/>
      <c r="K163" s="21"/>
    </row>
    <row r="164" spans="1:11" customFormat="1" x14ac:dyDescent="0.25">
      <c r="A164" s="125" t="s">
        <v>124</v>
      </c>
      <c r="B164" s="101"/>
      <c r="C164" s="143" t="str">
        <f>I162</f>
        <v xml:space="preserve">Work not yet Started.      </v>
      </c>
      <c r="D164" s="144"/>
      <c r="E164" s="144"/>
      <c r="F164" s="144"/>
      <c r="G164" s="144"/>
      <c r="H164" s="145"/>
      <c r="I164" s="18" t="s">
        <v>224</v>
      </c>
      <c r="J164" s="18"/>
      <c r="K164" s="21"/>
    </row>
    <row r="165" spans="1:11" customFormat="1" x14ac:dyDescent="0.25">
      <c r="A165" s="141" t="s">
        <v>54</v>
      </c>
      <c r="B165" s="142"/>
      <c r="C165" s="52" t="s">
        <v>174</v>
      </c>
      <c r="D165" s="52" t="s">
        <v>117</v>
      </c>
      <c r="E165" s="84" t="s">
        <v>119</v>
      </c>
      <c r="F165" s="84"/>
      <c r="G165" s="84" t="s">
        <v>118</v>
      </c>
      <c r="H165" s="146"/>
      <c r="I165" s="18" t="s">
        <v>135</v>
      </c>
      <c r="J165" s="8"/>
      <c r="K165" s="22"/>
    </row>
    <row r="166" spans="1:11" customFormat="1" x14ac:dyDescent="0.25">
      <c r="A166" s="141" t="s">
        <v>164</v>
      </c>
      <c r="B166" s="142"/>
      <c r="C166" s="53">
        <v>0</v>
      </c>
      <c r="D166" s="58">
        <f>((100/H163)*C166)/100</f>
        <v>0</v>
      </c>
      <c r="E166" s="121">
        <f>(IF(C164=I164,"100%",IF(C164=I165,"100%",(((C167/H163*10)+(40/(C163+E163+H163)*C168)+(7.5/(H163)*C169)+(7.5/(H163)*C170)+(10/H163*C171)+(10/H163*C172)+(5/H163*C173)+(5/H163*C174)+(5/H163*C175))/100))))</f>
        <v>0</v>
      </c>
      <c r="F166" s="121"/>
      <c r="G166" s="121">
        <f>((((C166/H163)*20)+((C167/H163)*25)+(30/(H163+E163+C163)*C168)+(5/H163*C169)+(5/H163*C170)+(5/H163*C171)+(5/H163*C172)+(0/H163*C173)+(0/H163*C174)+(5/H163*C175))/100)</f>
        <v>0</v>
      </c>
      <c r="H166" s="123"/>
      <c r="I166" s="18"/>
      <c r="J166" s="8"/>
      <c r="K166" s="22"/>
    </row>
    <row r="167" spans="1:11" customFormat="1" x14ac:dyDescent="0.25">
      <c r="A167" s="141" t="s">
        <v>55</v>
      </c>
      <c r="B167" s="142"/>
      <c r="C167" s="53">
        <v>0</v>
      </c>
      <c r="D167" s="58">
        <f>((100/H163)*C167)/100</f>
        <v>0</v>
      </c>
      <c r="E167" s="121"/>
      <c r="F167" s="121"/>
      <c r="G167" s="121"/>
      <c r="H167" s="123"/>
      <c r="I167" s="8"/>
      <c r="J167" s="8"/>
      <c r="K167" s="22"/>
    </row>
    <row r="168" spans="1:11" customFormat="1" x14ac:dyDescent="0.25">
      <c r="A168" s="141" t="s">
        <v>225</v>
      </c>
      <c r="B168" s="142"/>
      <c r="C168" s="54">
        <v>0</v>
      </c>
      <c r="D168" s="58">
        <f>((100/(C163+E163+H163))*C168)/100</f>
        <v>0</v>
      </c>
      <c r="E168" s="121"/>
      <c r="F168" s="121"/>
      <c r="G168" s="121"/>
      <c r="H168" s="123"/>
      <c r="I168" s="39" t="s">
        <v>130</v>
      </c>
      <c r="J168" s="23"/>
      <c r="K168" s="43">
        <f>H163*50%</f>
        <v>6</v>
      </c>
    </row>
    <row r="169" spans="1:11" customFormat="1" ht="15" customHeight="1" x14ac:dyDescent="0.25">
      <c r="A169" s="141" t="s">
        <v>171</v>
      </c>
      <c r="B169" s="142" t="s">
        <v>165</v>
      </c>
      <c r="C169" s="53">
        <v>0</v>
      </c>
      <c r="D169" s="58">
        <f>((100/H163)*C169)/100</f>
        <v>0</v>
      </c>
      <c r="E169" s="121"/>
      <c r="F169" s="121"/>
      <c r="G169" s="121"/>
      <c r="H169" s="123"/>
      <c r="I169" s="39" t="s">
        <v>131</v>
      </c>
      <c r="J169" s="23"/>
      <c r="K169" s="43">
        <f>H163</f>
        <v>12</v>
      </c>
    </row>
    <row r="170" spans="1:11" customFormat="1" x14ac:dyDescent="0.25">
      <c r="A170" s="141" t="s">
        <v>172</v>
      </c>
      <c r="B170" s="142" t="s">
        <v>165</v>
      </c>
      <c r="C170" s="53">
        <v>0</v>
      </c>
      <c r="D170" s="58">
        <f>((100/H163)*C170)/100</f>
        <v>0</v>
      </c>
      <c r="E170" s="121"/>
      <c r="F170" s="121"/>
      <c r="G170" s="121"/>
      <c r="H170" s="123"/>
      <c r="I170" s="39"/>
      <c r="J170" s="23"/>
      <c r="K170" s="43"/>
    </row>
    <row r="171" spans="1:11" customFormat="1" x14ac:dyDescent="0.25">
      <c r="A171" s="157" t="s">
        <v>170</v>
      </c>
      <c r="B171" s="158" t="s">
        <v>167</v>
      </c>
      <c r="C171" s="53">
        <v>0</v>
      </c>
      <c r="D171" s="58">
        <f>((100/(H163))*C171)/100</f>
        <v>0</v>
      </c>
      <c r="E171" s="121"/>
      <c r="F171" s="121"/>
      <c r="G171" s="121"/>
      <c r="H171" s="123"/>
      <c r="I171" s="39" t="s">
        <v>132</v>
      </c>
      <c r="J171" s="23"/>
      <c r="K171" s="43">
        <f>H163*25%</f>
        <v>3</v>
      </c>
    </row>
    <row r="172" spans="1:11" customFormat="1" x14ac:dyDescent="0.25">
      <c r="A172" s="141" t="s">
        <v>166</v>
      </c>
      <c r="B172" s="142" t="s">
        <v>166</v>
      </c>
      <c r="C172" s="53">
        <v>0</v>
      </c>
      <c r="D172" s="58">
        <f>((100/H163)*C172)/100</f>
        <v>0</v>
      </c>
      <c r="E172" s="121"/>
      <c r="F172" s="121"/>
      <c r="G172" s="121"/>
      <c r="H172" s="123"/>
      <c r="I172" s="39" t="s">
        <v>133</v>
      </c>
      <c r="J172" s="23"/>
      <c r="K172" s="43">
        <f>H163*50%</f>
        <v>6</v>
      </c>
    </row>
    <row r="173" spans="1:11" customFormat="1" ht="15" customHeight="1" x14ac:dyDescent="0.25">
      <c r="A173" s="141" t="s">
        <v>173</v>
      </c>
      <c r="B173" s="142"/>
      <c r="C173" s="53">
        <v>0</v>
      </c>
      <c r="D173" s="58">
        <f>((100/H163)*C173)/100</f>
        <v>0</v>
      </c>
      <c r="E173" s="121"/>
      <c r="F173" s="121"/>
      <c r="G173" s="121"/>
      <c r="H173" s="123"/>
      <c r="I173" s="39" t="s">
        <v>175</v>
      </c>
      <c r="J173" s="23"/>
      <c r="K173" s="43">
        <f>H163*75%</f>
        <v>9</v>
      </c>
    </row>
    <row r="174" spans="1:11" customFormat="1" x14ac:dyDescent="0.25">
      <c r="A174" s="141" t="s">
        <v>168</v>
      </c>
      <c r="B174" s="142" t="s">
        <v>168</v>
      </c>
      <c r="C174" s="53">
        <v>0</v>
      </c>
      <c r="D174" s="58">
        <f>((100/(H163))*C174)/100</f>
        <v>0</v>
      </c>
      <c r="E174" s="121"/>
      <c r="F174" s="121"/>
      <c r="G174" s="121"/>
      <c r="H174" s="123"/>
      <c r="I174" s="39" t="s">
        <v>134</v>
      </c>
      <c r="J174" s="23"/>
      <c r="K174" s="43">
        <f>H163</f>
        <v>12</v>
      </c>
    </row>
    <row r="175" spans="1:11" customFormat="1" ht="16.5" thickBot="1" x14ac:dyDescent="0.3">
      <c r="A175" s="155" t="s">
        <v>169</v>
      </c>
      <c r="B175" s="156"/>
      <c r="C175" s="55">
        <v>0</v>
      </c>
      <c r="D175" s="59">
        <f>((100/(H163))*C175)/100</f>
        <v>0</v>
      </c>
      <c r="E175" s="122"/>
      <c r="F175" s="122"/>
      <c r="G175" s="122"/>
      <c r="H175" s="124"/>
      <c r="I175" s="56"/>
      <c r="J175" s="56"/>
      <c r="K175" s="57"/>
    </row>
    <row r="176" spans="1:11" x14ac:dyDescent="0.25">
      <c r="A176" s="129" t="s">
        <v>149</v>
      </c>
      <c r="B176" s="130"/>
      <c r="C176" s="130"/>
      <c r="D176" s="130"/>
      <c r="E176" s="131"/>
      <c r="F176" s="129" t="str">
        <f>(IF(D61="Nothing","Yes",IF(D61="Cement, Aggregate, Steel, etc","Under Construction",IF(D61="Work not yet Started","Work not yet Started"))))</f>
        <v>Under Construction</v>
      </c>
      <c r="G176" s="130"/>
      <c r="H176" s="131"/>
    </row>
    <row r="177" spans="1:13" x14ac:dyDescent="0.25">
      <c r="A177" s="66" t="s">
        <v>56</v>
      </c>
      <c r="B177" s="66"/>
      <c r="C177" s="66"/>
      <c r="D177" s="66"/>
      <c r="E177" s="66"/>
      <c r="F177" s="66"/>
      <c r="G177" s="66"/>
      <c r="H177" s="66"/>
    </row>
    <row r="178" spans="1:13" ht="15" customHeight="1" x14ac:dyDescent="0.25">
      <c r="A178" s="101" t="s">
        <v>105</v>
      </c>
      <c r="B178" s="101"/>
      <c r="C178" s="159" t="s">
        <v>106</v>
      </c>
      <c r="D178" s="159"/>
      <c r="E178" s="159"/>
      <c r="F178" s="159"/>
      <c r="G178" s="159"/>
      <c r="H178" s="159"/>
    </row>
    <row r="179" spans="1:13" x14ac:dyDescent="0.25">
      <c r="A179" s="102" t="s">
        <v>57</v>
      </c>
      <c r="B179" s="102"/>
      <c r="C179" s="102"/>
      <c r="D179" s="102"/>
      <c r="E179" s="102"/>
      <c r="F179" s="102"/>
      <c r="G179" s="102"/>
      <c r="H179" s="102"/>
    </row>
    <row r="180" spans="1:13" x14ac:dyDescent="0.25">
      <c r="A180" s="66" t="s">
        <v>107</v>
      </c>
      <c r="B180" s="66"/>
      <c r="C180" s="66"/>
      <c r="D180" s="66"/>
      <c r="E180" s="66"/>
      <c r="F180" s="100">
        <v>4700</v>
      </c>
      <c r="G180" s="100"/>
      <c r="H180" s="100"/>
      <c r="J180" s="60" t="s">
        <v>249</v>
      </c>
      <c r="K180" s="61">
        <v>44966</v>
      </c>
      <c r="L180" s="60" t="s">
        <v>247</v>
      </c>
      <c r="M180" s="60" t="s">
        <v>248</v>
      </c>
    </row>
    <row r="181" spans="1:13" x14ac:dyDescent="0.25">
      <c r="A181" s="127" t="s">
        <v>232</v>
      </c>
      <c r="B181" s="127"/>
      <c r="C181" s="127"/>
      <c r="D181" s="127"/>
      <c r="E181" s="127"/>
      <c r="F181" s="128">
        <v>6000</v>
      </c>
      <c r="G181" s="128"/>
      <c r="H181" s="128"/>
    </row>
    <row r="182" spans="1:13" x14ac:dyDescent="0.25">
      <c r="A182" s="127" t="s">
        <v>233</v>
      </c>
      <c r="B182" s="127"/>
      <c r="C182" s="127"/>
      <c r="D182" s="127"/>
      <c r="E182" s="127"/>
      <c r="F182" s="128">
        <v>9000</v>
      </c>
      <c r="G182" s="128"/>
      <c r="H182" s="128"/>
    </row>
    <row r="183" spans="1:13" s="12" customFormat="1" x14ac:dyDescent="0.25">
      <c r="A183" s="66" t="s">
        <v>129</v>
      </c>
      <c r="B183" s="66"/>
      <c r="C183" s="66"/>
      <c r="D183" s="66"/>
      <c r="E183" s="66"/>
      <c r="F183" s="128" t="s">
        <v>234</v>
      </c>
      <c r="G183" s="128"/>
      <c r="H183" s="128"/>
    </row>
    <row r="184" spans="1:13" s="12" customFormat="1" x14ac:dyDescent="0.25">
      <c r="A184" s="66" t="s">
        <v>251</v>
      </c>
      <c r="B184" s="66"/>
      <c r="C184" s="66"/>
      <c r="D184" s="66"/>
      <c r="E184" s="66"/>
      <c r="F184" s="128" t="s">
        <v>235</v>
      </c>
      <c r="G184" s="128"/>
      <c r="H184" s="128"/>
    </row>
    <row r="185" spans="1:13" s="12" customFormat="1" x14ac:dyDescent="0.25">
      <c r="A185" s="66" t="s">
        <v>236</v>
      </c>
      <c r="B185" s="66"/>
      <c r="C185" s="66"/>
      <c r="D185" s="66"/>
      <c r="E185" s="66"/>
      <c r="F185" s="108" t="s">
        <v>250</v>
      </c>
      <c r="G185" s="128"/>
      <c r="H185" s="128"/>
    </row>
    <row r="186" spans="1:13" s="12" customFormat="1" x14ac:dyDescent="0.25">
      <c r="A186" s="66" t="s">
        <v>242</v>
      </c>
      <c r="B186" s="66"/>
      <c r="C186" s="66"/>
      <c r="D186" s="66"/>
      <c r="E186" s="66"/>
      <c r="F186" s="108" t="s">
        <v>244</v>
      </c>
      <c r="G186" s="128"/>
      <c r="H186" s="128"/>
    </row>
    <row r="187" spans="1:13" s="12" customFormat="1" hidden="1" x14ac:dyDescent="0.25">
      <c r="A187" s="66" t="s">
        <v>237</v>
      </c>
      <c r="B187" s="66"/>
      <c r="C187" s="66"/>
      <c r="D187" s="66"/>
      <c r="E187" s="66"/>
      <c r="F187" s="128" t="s">
        <v>238</v>
      </c>
      <c r="G187" s="128"/>
      <c r="H187" s="128"/>
    </row>
    <row r="188" spans="1:13" s="12" customFormat="1" x14ac:dyDescent="0.25">
      <c r="A188" s="66" t="s">
        <v>245</v>
      </c>
      <c r="B188" s="66"/>
      <c r="C188" s="66"/>
      <c r="D188" s="66"/>
      <c r="E188" s="66"/>
      <c r="F188" s="128" t="s">
        <v>246</v>
      </c>
      <c r="G188" s="128"/>
      <c r="H188" s="128"/>
    </row>
    <row r="189" spans="1:13" x14ac:dyDescent="0.25">
      <c r="A189" s="66" t="s">
        <v>58</v>
      </c>
      <c r="B189" s="66"/>
      <c r="C189" s="66"/>
      <c r="D189" s="66"/>
      <c r="E189" s="66"/>
      <c r="F189" s="128" t="s">
        <v>241</v>
      </c>
      <c r="G189" s="128"/>
      <c r="H189" s="128"/>
    </row>
    <row r="190" spans="1:13" s="9" customFormat="1" x14ac:dyDescent="0.25">
      <c r="A190" s="102" t="s">
        <v>59</v>
      </c>
      <c r="B190" s="102"/>
      <c r="C190" s="102"/>
      <c r="D190" s="102"/>
      <c r="E190" s="102"/>
      <c r="F190" s="128">
        <f>F180*0.8</f>
        <v>3760</v>
      </c>
      <c r="G190" s="128"/>
      <c r="H190" s="128"/>
    </row>
    <row r="191" spans="1:13" s="1" customFormat="1" ht="15.75" customHeight="1" x14ac:dyDescent="0.25">
      <c r="A191" s="151" t="s">
        <v>108</v>
      </c>
      <c r="B191" s="151"/>
      <c r="C191" s="151"/>
      <c r="D191" s="151"/>
      <c r="E191" s="151"/>
      <c r="F191" s="151"/>
      <c r="G191" s="151"/>
      <c r="H191" s="151"/>
    </row>
    <row r="192" spans="1:13" s="1" customFormat="1" ht="15.75" customHeight="1" x14ac:dyDescent="0.25">
      <c r="A192" s="90" t="s">
        <v>60</v>
      </c>
      <c r="B192" s="90"/>
      <c r="C192" s="126" t="s">
        <v>111</v>
      </c>
      <c r="D192" s="126"/>
      <c r="E192" s="153" t="s">
        <v>61</v>
      </c>
      <c r="F192" s="153"/>
      <c r="G192" s="90" t="s">
        <v>62</v>
      </c>
      <c r="H192" s="90"/>
    </row>
    <row r="193" spans="1:10" s="1" customFormat="1" x14ac:dyDescent="0.25">
      <c r="A193" s="99" t="s">
        <v>239</v>
      </c>
      <c r="B193" s="99"/>
      <c r="C193" s="139">
        <f>COUNT(D215:D230,D232:D249)</f>
        <v>34</v>
      </c>
      <c r="D193" s="139"/>
      <c r="E193" s="103">
        <f>SUM(D215:D230)+SUM(D232:D249)</f>
        <v>10202.277968999999</v>
      </c>
      <c r="F193" s="104"/>
      <c r="G193" s="103">
        <f>SUM(F215:F230)+SUM(F232:F249)</f>
        <v>15813.530851949999</v>
      </c>
      <c r="H193" s="104"/>
      <c r="J193" s="62"/>
    </row>
    <row r="194" spans="1:10" s="1" customFormat="1" x14ac:dyDescent="0.25">
      <c r="A194" s="77" t="s">
        <v>64</v>
      </c>
      <c r="B194" s="77"/>
      <c r="C194" s="78">
        <f>C193</f>
        <v>34</v>
      </c>
      <c r="D194" s="78"/>
      <c r="E194" s="79">
        <f t="shared" ref="E194" si="0">E193</f>
        <v>10202.277968999999</v>
      </c>
      <c r="F194" s="79"/>
      <c r="G194" s="79">
        <f t="shared" ref="G194" si="1">G193</f>
        <v>15813.530851949999</v>
      </c>
      <c r="H194" s="79"/>
    </row>
    <row r="195" spans="1:10" s="1" customFormat="1" x14ac:dyDescent="0.25">
      <c r="A195" s="151" t="s">
        <v>100</v>
      </c>
      <c r="B195" s="151"/>
      <c r="C195" s="151"/>
      <c r="D195" s="151"/>
      <c r="E195" s="151"/>
      <c r="F195" s="151"/>
      <c r="G195" s="151"/>
      <c r="H195" s="151"/>
      <c r="J195" s="62"/>
    </row>
    <row r="196" spans="1:10" s="1" customFormat="1" ht="15.75" customHeight="1" x14ac:dyDescent="0.25">
      <c r="A196" s="90" t="s">
        <v>60</v>
      </c>
      <c r="B196" s="90"/>
      <c r="C196" s="126" t="s">
        <v>111</v>
      </c>
      <c r="D196" s="126"/>
      <c r="E196" s="153" t="s">
        <v>61</v>
      </c>
      <c r="F196" s="153"/>
      <c r="G196" s="90" t="s">
        <v>62</v>
      </c>
      <c r="H196" s="90"/>
    </row>
    <row r="197" spans="1:10" s="1" customFormat="1" x14ac:dyDescent="0.25">
      <c r="A197" s="99" t="s">
        <v>200</v>
      </c>
      <c r="B197" s="99"/>
      <c r="C197" s="139">
        <f>COUNT(D255:D258)*6+COUNT(D260:D263)*5</f>
        <v>44</v>
      </c>
      <c r="D197" s="139"/>
      <c r="E197" s="140">
        <f>SUM(D255:D258)*6+SUM(D260:D263)*5</f>
        <v>16635.718944</v>
      </c>
      <c r="F197" s="140"/>
      <c r="G197" s="140">
        <f>SUM(F255:F258)*6+SUM(F260:F263)*5</f>
        <v>26841.497904000003</v>
      </c>
      <c r="H197" s="140"/>
    </row>
    <row r="198" spans="1:10" s="1" customFormat="1" x14ac:dyDescent="0.25">
      <c r="A198" s="99" t="s">
        <v>204</v>
      </c>
      <c r="B198" s="99"/>
      <c r="C198" s="139">
        <f>COUNT(D266:D271)*6+COUNT(D273:D278)*6</f>
        <v>72</v>
      </c>
      <c r="D198" s="139"/>
      <c r="E198" s="140">
        <f>SUM(D266:D271)*6+SUM(D273:D278)*6</f>
        <v>32672.658095999999</v>
      </c>
      <c r="F198" s="140"/>
      <c r="G198" s="140">
        <f>SUM(F266:F271)*6+SUM(F273:F278)*6</f>
        <v>52076.985480000003</v>
      </c>
      <c r="H198" s="140"/>
    </row>
    <row r="199" spans="1:10" s="1" customFormat="1" x14ac:dyDescent="0.25">
      <c r="A199" s="99" t="s">
        <v>207</v>
      </c>
      <c r="B199" s="99"/>
      <c r="C199" s="139">
        <f>COUNT(D281:D286)*6+COUNT(D288:D293)*6</f>
        <v>72</v>
      </c>
      <c r="D199" s="139"/>
      <c r="E199" s="140">
        <f>SUM(D281:D286)*6+SUM(D288:D293)*6</f>
        <v>29725.819344000003</v>
      </c>
      <c r="F199" s="140"/>
      <c r="G199" s="140">
        <f>SUM(F281:F286)*6+SUM(F288:F293)*6</f>
        <v>47628.245808000007</v>
      </c>
      <c r="H199" s="140"/>
    </row>
    <row r="200" spans="1:10" s="1" customFormat="1" x14ac:dyDescent="0.25">
      <c r="A200" s="99" t="s">
        <v>208</v>
      </c>
      <c r="B200" s="99"/>
      <c r="C200" s="139">
        <f>COUNT(D296:D297)+COUNT(D299:D304)*5+COUNT(D306:D311)*6</f>
        <v>68</v>
      </c>
      <c r="D200" s="139"/>
      <c r="E200" s="140">
        <f>SUM(D296:D297)+SUM(D299:D304)*5+SUM(D306:D311)*6</f>
        <v>38839.063067999996</v>
      </c>
      <c r="F200" s="140"/>
      <c r="G200" s="140">
        <f>SUM(F296:F297)+SUM(F299:F304)*5+SUM(F306:F311)*6</f>
        <v>61218.61925399999</v>
      </c>
      <c r="H200" s="140"/>
    </row>
    <row r="201" spans="1:10" s="1" customFormat="1" x14ac:dyDescent="0.25">
      <c r="A201" s="99" t="s">
        <v>211</v>
      </c>
      <c r="B201" s="99"/>
      <c r="C201" s="139">
        <f>COUNT(D314:D317)+COUNT(D319:D324)*5+COUNT(D326:D331)*6</f>
        <v>70</v>
      </c>
      <c r="D201" s="139"/>
      <c r="E201" s="140">
        <f>SUM(D314:D317)+SUM(D319:D324)*5+SUM(D326:D331)*6</f>
        <v>31513.224599999998</v>
      </c>
      <c r="F201" s="140"/>
      <c r="G201" s="140">
        <f>SUM(F314:F317)+SUM(F319:F324)*5+SUM(F326:F331)*6</f>
        <v>50344.788780000003</v>
      </c>
      <c r="H201" s="140"/>
    </row>
    <row r="202" spans="1:10" s="1" customFormat="1" x14ac:dyDescent="0.25">
      <c r="A202" s="99" t="s">
        <v>212</v>
      </c>
      <c r="B202" s="99"/>
      <c r="C202" s="139">
        <f>COUNT(D334:D339)*6+COUNT(D341:D346)*5</f>
        <v>66</v>
      </c>
      <c r="D202" s="139"/>
      <c r="E202" s="140">
        <f>SUM(D334:D339)*6+SUM(D341:D346)*5</f>
        <v>31568.131787999999</v>
      </c>
      <c r="F202" s="140"/>
      <c r="G202" s="140">
        <f>SUM(F334:F339)*6+SUM(F341:F346)*5</f>
        <v>50017.751585999998</v>
      </c>
      <c r="H202" s="140"/>
    </row>
    <row r="203" spans="1:10" s="1" customFormat="1" x14ac:dyDescent="0.25">
      <c r="A203" s="99" t="s">
        <v>213</v>
      </c>
      <c r="B203" s="99"/>
      <c r="C203" s="139">
        <f>COUNT(D349:D354)*4+COUNT(D356:D361)*3</f>
        <v>42</v>
      </c>
      <c r="D203" s="139"/>
      <c r="E203" s="140">
        <f>SUM(D349:D354)*4+SUM(D356:D361)*3</f>
        <v>19782.184019831999</v>
      </c>
      <c r="F203" s="140"/>
      <c r="G203" s="140">
        <f>SUM(F349:F354)*4+SUM(F356:F361)*3</f>
        <v>31656.187279547994</v>
      </c>
      <c r="H203" s="140"/>
    </row>
    <row r="204" spans="1:10" s="1" customFormat="1" x14ac:dyDescent="0.25">
      <c r="A204" s="99" t="s">
        <v>216</v>
      </c>
      <c r="B204" s="99"/>
      <c r="C204" s="139">
        <f>COUNT(D364:D369)*4+COUNT(D371:D376)*3</f>
        <v>42</v>
      </c>
      <c r="D204" s="139"/>
      <c r="E204" s="140">
        <f>SUM(D364:D369)*4+SUM(D371:D376)*3</f>
        <v>22558.3327882224</v>
      </c>
      <c r="F204" s="140"/>
      <c r="G204" s="140">
        <f>SUM(F364:F369)*4+SUM(F371:F376)*3</f>
        <v>35756.373512433594</v>
      </c>
      <c r="H204" s="140"/>
    </row>
    <row r="205" spans="1:10" s="1" customFormat="1" x14ac:dyDescent="0.25">
      <c r="A205" s="99" t="s">
        <v>217</v>
      </c>
      <c r="B205" s="99"/>
      <c r="C205" s="139">
        <f>COUNT(D379:D384)*4+COUNT(D386:D391)*3</f>
        <v>42</v>
      </c>
      <c r="D205" s="139"/>
      <c r="E205" s="140">
        <f>SUM(D379:D384)*4+SUM(D386:D391)*3</f>
        <v>19168.173619920002</v>
      </c>
      <c r="F205" s="140"/>
      <c r="G205" s="140">
        <f>SUM(F379:F384)*4+SUM(F386:F391)*3</f>
        <v>30657.639125879999</v>
      </c>
      <c r="H205" s="140"/>
    </row>
    <row r="206" spans="1:10" s="1" customFormat="1" x14ac:dyDescent="0.25">
      <c r="A206" s="99" t="s">
        <v>218</v>
      </c>
      <c r="B206" s="99"/>
      <c r="C206" s="139">
        <f>COUNT(D394:D399)*4+COUNT(D401:D406)*3</f>
        <v>42</v>
      </c>
      <c r="D206" s="139"/>
      <c r="E206" s="140">
        <f>SUM(D394:D399)*4+SUM(D401:D406)*3</f>
        <v>19425.009979440001</v>
      </c>
      <c r="F206" s="140"/>
      <c r="G206" s="140">
        <f>SUM(F394:F399)*4+SUM(F401:F406)*3</f>
        <v>31043.257488359995</v>
      </c>
      <c r="H206" s="140"/>
    </row>
    <row r="207" spans="1:10" s="1" customFormat="1" x14ac:dyDescent="0.25">
      <c r="A207" s="99" t="s">
        <v>219</v>
      </c>
      <c r="B207" s="99"/>
      <c r="C207" s="139">
        <f>COUNT(D409:D414)*4+COUNT(D416:D421)*3</f>
        <v>42</v>
      </c>
      <c r="D207" s="139"/>
      <c r="E207" s="140">
        <f>SUM(D409:D414)*4+SUM(D416:D421)*3</f>
        <v>21653.000717400002</v>
      </c>
      <c r="F207" s="140"/>
      <c r="G207" s="140">
        <f>SUM(F409:F414)*4+SUM(F416:F421)*3</f>
        <v>34329.630851099995</v>
      </c>
      <c r="H207" s="140"/>
    </row>
    <row r="208" spans="1:10" s="1" customFormat="1" ht="16.5" thickBot="1" x14ac:dyDescent="0.3">
      <c r="A208" s="77" t="s">
        <v>64</v>
      </c>
      <c r="B208" s="77"/>
      <c r="C208" s="78">
        <f>SUM(C197:D207)</f>
        <v>602</v>
      </c>
      <c r="D208" s="78"/>
      <c r="E208" s="79">
        <f>SUM(E197:F207)</f>
        <v>283541.31696481438</v>
      </c>
      <c r="F208" s="78"/>
      <c r="G208" s="79">
        <f>SUM(G197:H207)</f>
        <v>451570.97706932167</v>
      </c>
      <c r="H208" s="78"/>
    </row>
    <row r="209" spans="1:14" s="9" customFormat="1" ht="16.5" thickBot="1" x14ac:dyDescent="0.3">
      <c r="A209" s="73" t="s">
        <v>272</v>
      </c>
      <c r="B209" s="74"/>
      <c r="C209" s="75">
        <f>C194+C208</f>
        <v>636</v>
      </c>
      <c r="D209" s="75"/>
      <c r="E209" s="76">
        <f t="shared" ref="E209" si="2">E194+E208</f>
        <v>293743.59493381437</v>
      </c>
      <c r="F209" s="76"/>
      <c r="G209" s="76">
        <f t="shared" ref="G209" si="3">G194+G208</f>
        <v>467384.50792127167</v>
      </c>
      <c r="H209" s="76"/>
    </row>
    <row r="210" spans="1:14" x14ac:dyDescent="0.25">
      <c r="A210" s="138" t="s">
        <v>65</v>
      </c>
      <c r="B210" s="138"/>
      <c r="C210" s="138"/>
      <c r="D210" s="138"/>
      <c r="E210" s="138"/>
      <c r="F210" s="138"/>
      <c r="G210" s="138"/>
      <c r="H210" s="138"/>
    </row>
    <row r="211" spans="1:14" ht="47.25" customHeight="1" x14ac:dyDescent="0.25">
      <c r="A211" s="91" t="s">
        <v>153</v>
      </c>
      <c r="B211" s="91" t="s">
        <v>152</v>
      </c>
      <c r="C211" s="91" t="s">
        <v>66</v>
      </c>
      <c r="D211" s="91" t="s">
        <v>67</v>
      </c>
      <c r="E211" s="93" t="s">
        <v>68</v>
      </c>
      <c r="F211" s="36" t="s">
        <v>150</v>
      </c>
      <c r="G211" s="95" t="s">
        <v>69</v>
      </c>
      <c r="H211" s="96"/>
    </row>
    <row r="212" spans="1:14" s="2" customFormat="1" x14ac:dyDescent="0.25">
      <c r="A212" s="92"/>
      <c r="B212" s="92"/>
      <c r="C212" s="92"/>
      <c r="D212" s="92"/>
      <c r="E212" s="94"/>
      <c r="F212" s="37">
        <v>0.55000000000000004</v>
      </c>
      <c r="G212" s="97"/>
      <c r="H212" s="98"/>
    </row>
    <row r="213" spans="1:14" s="2" customFormat="1" x14ac:dyDescent="0.25">
      <c r="A213" s="188" t="s">
        <v>196</v>
      </c>
      <c r="B213" s="189"/>
      <c r="C213" s="189"/>
      <c r="D213" s="189"/>
      <c r="E213" s="189"/>
      <c r="F213" s="189"/>
      <c r="G213" s="189"/>
      <c r="H213" s="190"/>
    </row>
    <row r="214" spans="1:14" s="2" customFormat="1" x14ac:dyDescent="0.25">
      <c r="A214" s="188" t="s">
        <v>197</v>
      </c>
      <c r="B214" s="189"/>
      <c r="C214" s="189"/>
      <c r="D214" s="189"/>
      <c r="E214" s="189"/>
      <c r="F214" s="189"/>
      <c r="G214" s="189"/>
      <c r="H214" s="190"/>
    </row>
    <row r="215" spans="1:14" s="2" customFormat="1" x14ac:dyDescent="0.25">
      <c r="A215" s="147" t="s">
        <v>199</v>
      </c>
      <c r="B215" s="148"/>
      <c r="C215" s="19" t="s">
        <v>198</v>
      </c>
      <c r="D215" s="19">
        <f>(2.95*8.25-2*5.835*0.5)*10.764</f>
        <v>199.16091</v>
      </c>
      <c r="E215" s="19">
        <v>0</v>
      </c>
      <c r="F215" s="19">
        <f t="shared" ref="F215:F221" si="4">D215*(($F$212)+1)+E215</f>
        <v>308.6994105</v>
      </c>
      <c r="G215" s="147" t="str">
        <f>A214</f>
        <v>Lower Ground Floor</v>
      </c>
      <c r="H215" s="148"/>
      <c r="I215" s="38"/>
      <c r="L215" s="187"/>
      <c r="M215" s="187"/>
      <c r="N215" s="38"/>
    </row>
    <row r="216" spans="1:14" s="2" customFormat="1" x14ac:dyDescent="0.25">
      <c r="A216" s="147">
        <v>1</v>
      </c>
      <c r="B216" s="148"/>
      <c r="C216" s="19" t="s">
        <v>198</v>
      </c>
      <c r="D216" s="19">
        <f>(2.95*7.85+1.65*2.2+1.2*1.5)*10.764</f>
        <v>307.71584999999999</v>
      </c>
      <c r="E216" s="19">
        <v>0</v>
      </c>
      <c r="F216" s="19">
        <f t="shared" si="4"/>
        <v>476.95956749999999</v>
      </c>
      <c r="G216" s="147" t="str">
        <f t="shared" ref="G216:G230" si="5">G215</f>
        <v>Lower Ground Floor</v>
      </c>
      <c r="H216" s="148"/>
      <c r="I216" s="38"/>
      <c r="L216" s="187"/>
      <c r="M216" s="187"/>
      <c r="N216" s="38"/>
    </row>
    <row r="217" spans="1:14" s="2" customFormat="1" x14ac:dyDescent="0.25">
      <c r="A217" s="147">
        <f t="shared" ref="A217:A230" si="6">A216+1</f>
        <v>2</v>
      </c>
      <c r="B217" s="148"/>
      <c r="C217" s="19" t="s">
        <v>198</v>
      </c>
      <c r="D217" s="19">
        <f t="shared" ref="D217:D218" si="7">(2.95*7.85+1.65*2.2+1.2*1.5)*10.764</f>
        <v>307.71584999999999</v>
      </c>
      <c r="E217" s="19">
        <v>0</v>
      </c>
      <c r="F217" s="19">
        <f t="shared" si="4"/>
        <v>476.95956749999999</v>
      </c>
      <c r="G217" s="147" t="str">
        <f t="shared" si="5"/>
        <v>Lower Ground Floor</v>
      </c>
      <c r="H217" s="148"/>
      <c r="I217" s="38"/>
      <c r="L217" s="187"/>
      <c r="M217" s="187"/>
      <c r="N217" s="38"/>
    </row>
    <row r="218" spans="1:14" s="2" customFormat="1" x14ac:dyDescent="0.25">
      <c r="A218" s="147">
        <f t="shared" si="6"/>
        <v>3</v>
      </c>
      <c r="B218" s="148"/>
      <c r="C218" s="19" t="s">
        <v>198</v>
      </c>
      <c r="D218" s="19">
        <f t="shared" si="7"/>
        <v>307.71584999999999</v>
      </c>
      <c r="E218" s="19">
        <v>0</v>
      </c>
      <c r="F218" s="19">
        <f t="shared" si="4"/>
        <v>476.95956749999999</v>
      </c>
      <c r="G218" s="147" t="str">
        <f t="shared" si="5"/>
        <v>Lower Ground Floor</v>
      </c>
      <c r="H218" s="148"/>
      <c r="I218" s="38"/>
      <c r="L218" s="187"/>
      <c r="M218" s="187"/>
      <c r="N218" s="38"/>
    </row>
    <row r="219" spans="1:14" s="2" customFormat="1" x14ac:dyDescent="0.25">
      <c r="A219" s="147">
        <f t="shared" si="6"/>
        <v>4</v>
      </c>
      <c r="B219" s="148"/>
      <c r="C219" s="19" t="s">
        <v>198</v>
      </c>
      <c r="D219" s="19">
        <f>(2.9*7.85+1.65*2.2+1.2*1.5)*10.764</f>
        <v>303.49097999999992</v>
      </c>
      <c r="E219" s="19">
        <v>0</v>
      </c>
      <c r="F219" s="19">
        <f t="shared" si="4"/>
        <v>470.4110189999999</v>
      </c>
      <c r="G219" s="147" t="str">
        <f t="shared" si="5"/>
        <v>Lower Ground Floor</v>
      </c>
      <c r="H219" s="148"/>
      <c r="I219" s="38"/>
      <c r="L219" s="187"/>
      <c r="M219" s="187"/>
      <c r="N219" s="38"/>
    </row>
    <row r="220" spans="1:14" s="2" customFormat="1" x14ac:dyDescent="0.25">
      <c r="A220" s="147">
        <f t="shared" si="6"/>
        <v>5</v>
      </c>
      <c r="B220" s="148"/>
      <c r="C220" s="19" t="s">
        <v>198</v>
      </c>
      <c r="D220" s="19">
        <f t="shared" ref="D220:D230" si="8">(2.9*7.85+1.65*2.2+1.2*1.5)*10.764</f>
        <v>303.49097999999992</v>
      </c>
      <c r="E220" s="19">
        <v>0</v>
      </c>
      <c r="F220" s="19">
        <f t="shared" si="4"/>
        <v>470.4110189999999</v>
      </c>
      <c r="G220" s="147" t="str">
        <f t="shared" si="5"/>
        <v>Lower Ground Floor</v>
      </c>
      <c r="H220" s="148"/>
      <c r="I220" s="38"/>
      <c r="L220" s="187"/>
      <c r="M220" s="187"/>
      <c r="N220" s="38"/>
    </row>
    <row r="221" spans="1:14" s="2" customFormat="1" x14ac:dyDescent="0.25">
      <c r="A221" s="147">
        <f t="shared" si="6"/>
        <v>6</v>
      </c>
      <c r="B221" s="148"/>
      <c r="C221" s="19" t="s">
        <v>198</v>
      </c>
      <c r="D221" s="19">
        <f t="shared" si="8"/>
        <v>303.49097999999992</v>
      </c>
      <c r="E221" s="19">
        <v>0</v>
      </c>
      <c r="F221" s="19">
        <f t="shared" si="4"/>
        <v>470.4110189999999</v>
      </c>
      <c r="G221" s="147" t="str">
        <f t="shared" si="5"/>
        <v>Lower Ground Floor</v>
      </c>
      <c r="H221" s="148"/>
      <c r="I221" s="38"/>
      <c r="L221" s="187"/>
      <c r="M221" s="187"/>
      <c r="N221" s="38"/>
    </row>
    <row r="222" spans="1:14" s="2" customFormat="1" x14ac:dyDescent="0.25">
      <c r="A222" s="147">
        <f t="shared" si="6"/>
        <v>7</v>
      </c>
      <c r="B222" s="148"/>
      <c r="C222" s="19" t="s">
        <v>198</v>
      </c>
      <c r="D222" s="19">
        <f t="shared" si="8"/>
        <v>303.49097999999992</v>
      </c>
      <c r="E222" s="19">
        <v>0</v>
      </c>
      <c r="F222" s="19">
        <f t="shared" ref="F222:F227" si="9">D222*(($F$212)+1)+E222</f>
        <v>470.4110189999999</v>
      </c>
      <c r="G222" s="147" t="str">
        <f t="shared" si="5"/>
        <v>Lower Ground Floor</v>
      </c>
      <c r="H222" s="148"/>
      <c r="I222" s="38"/>
      <c r="L222" s="187"/>
      <c r="M222" s="187"/>
      <c r="N222" s="38"/>
    </row>
    <row r="223" spans="1:14" s="2" customFormat="1" x14ac:dyDescent="0.25">
      <c r="A223" s="147">
        <f t="shared" si="6"/>
        <v>8</v>
      </c>
      <c r="B223" s="148"/>
      <c r="C223" s="19" t="s">
        <v>198</v>
      </c>
      <c r="D223" s="19">
        <f t="shared" si="8"/>
        <v>303.49097999999992</v>
      </c>
      <c r="E223" s="19">
        <v>0</v>
      </c>
      <c r="F223" s="19">
        <f t="shared" si="9"/>
        <v>470.4110189999999</v>
      </c>
      <c r="G223" s="147" t="str">
        <f t="shared" si="5"/>
        <v>Lower Ground Floor</v>
      </c>
      <c r="H223" s="148"/>
      <c r="I223" s="38"/>
      <c r="L223" s="187"/>
      <c r="M223" s="187"/>
      <c r="N223" s="38"/>
    </row>
    <row r="224" spans="1:14" s="2" customFormat="1" x14ac:dyDescent="0.25">
      <c r="A224" s="147">
        <f t="shared" si="6"/>
        <v>9</v>
      </c>
      <c r="B224" s="148"/>
      <c r="C224" s="19" t="s">
        <v>198</v>
      </c>
      <c r="D224" s="19">
        <f t="shared" si="8"/>
        <v>303.49097999999992</v>
      </c>
      <c r="E224" s="19">
        <v>0</v>
      </c>
      <c r="F224" s="19">
        <f t="shared" si="9"/>
        <v>470.4110189999999</v>
      </c>
      <c r="G224" s="147" t="str">
        <f t="shared" si="5"/>
        <v>Lower Ground Floor</v>
      </c>
      <c r="H224" s="148"/>
      <c r="I224" s="38"/>
      <c r="L224" s="187"/>
      <c r="M224" s="187"/>
      <c r="N224" s="38"/>
    </row>
    <row r="225" spans="1:14" s="2" customFormat="1" x14ac:dyDescent="0.25">
      <c r="A225" s="147">
        <f t="shared" si="6"/>
        <v>10</v>
      </c>
      <c r="B225" s="148"/>
      <c r="C225" s="19" t="s">
        <v>198</v>
      </c>
      <c r="D225" s="19">
        <f t="shared" si="8"/>
        <v>303.49097999999992</v>
      </c>
      <c r="E225" s="19">
        <v>0</v>
      </c>
      <c r="F225" s="19">
        <f t="shared" si="9"/>
        <v>470.4110189999999</v>
      </c>
      <c r="G225" s="147" t="str">
        <f t="shared" si="5"/>
        <v>Lower Ground Floor</v>
      </c>
      <c r="H225" s="148"/>
      <c r="I225" s="38"/>
      <c r="L225" s="187"/>
      <c r="M225" s="187"/>
      <c r="N225" s="38"/>
    </row>
    <row r="226" spans="1:14" s="2" customFormat="1" x14ac:dyDescent="0.25">
      <c r="A226" s="147">
        <f t="shared" si="6"/>
        <v>11</v>
      </c>
      <c r="B226" s="148"/>
      <c r="C226" s="19" t="s">
        <v>198</v>
      </c>
      <c r="D226" s="19">
        <f t="shared" si="8"/>
        <v>303.49097999999992</v>
      </c>
      <c r="E226" s="19">
        <v>0</v>
      </c>
      <c r="F226" s="19">
        <f t="shared" si="9"/>
        <v>470.4110189999999</v>
      </c>
      <c r="G226" s="147" t="str">
        <f t="shared" si="5"/>
        <v>Lower Ground Floor</v>
      </c>
      <c r="H226" s="148"/>
      <c r="I226" s="38"/>
      <c r="L226" s="187"/>
      <c r="M226" s="187"/>
      <c r="N226" s="38"/>
    </row>
    <row r="227" spans="1:14" s="2" customFormat="1" x14ac:dyDescent="0.25">
      <c r="A227" s="147">
        <f t="shared" si="6"/>
        <v>12</v>
      </c>
      <c r="B227" s="148"/>
      <c r="C227" s="19" t="s">
        <v>198</v>
      </c>
      <c r="D227" s="19">
        <f t="shared" si="8"/>
        <v>303.49097999999992</v>
      </c>
      <c r="E227" s="19">
        <v>0</v>
      </c>
      <c r="F227" s="19">
        <f t="shared" si="9"/>
        <v>470.4110189999999</v>
      </c>
      <c r="G227" s="147" t="str">
        <f t="shared" si="5"/>
        <v>Lower Ground Floor</v>
      </c>
      <c r="H227" s="148"/>
      <c r="I227" s="38"/>
      <c r="L227" s="187"/>
      <c r="M227" s="187"/>
      <c r="N227" s="38"/>
    </row>
    <row r="228" spans="1:14" s="2" customFormat="1" x14ac:dyDescent="0.25">
      <c r="A228" s="147">
        <f t="shared" si="6"/>
        <v>13</v>
      </c>
      <c r="B228" s="148"/>
      <c r="C228" s="19" t="s">
        <v>198</v>
      </c>
      <c r="D228" s="19">
        <f t="shared" si="8"/>
        <v>303.49097999999992</v>
      </c>
      <c r="E228" s="19">
        <v>0</v>
      </c>
      <c r="F228" s="19">
        <f t="shared" ref="F228:F229" si="10">D228*(($F$212)+1)+E228</f>
        <v>470.4110189999999</v>
      </c>
      <c r="G228" s="147" t="str">
        <f t="shared" si="5"/>
        <v>Lower Ground Floor</v>
      </c>
      <c r="H228" s="148"/>
      <c r="I228" s="38"/>
      <c r="L228" s="187"/>
      <c r="M228" s="187"/>
      <c r="N228" s="38"/>
    </row>
    <row r="229" spans="1:14" s="2" customFormat="1" x14ac:dyDescent="0.25">
      <c r="A229" s="147">
        <f t="shared" si="6"/>
        <v>14</v>
      </c>
      <c r="B229" s="148"/>
      <c r="C229" s="19" t="s">
        <v>198</v>
      </c>
      <c r="D229" s="19">
        <f t="shared" si="8"/>
        <v>303.49097999999992</v>
      </c>
      <c r="E229" s="19">
        <v>0</v>
      </c>
      <c r="F229" s="19">
        <f t="shared" si="10"/>
        <v>470.4110189999999</v>
      </c>
      <c r="G229" s="147" t="str">
        <f t="shared" si="5"/>
        <v>Lower Ground Floor</v>
      </c>
      <c r="H229" s="148"/>
      <c r="I229" s="38"/>
      <c r="L229" s="187"/>
      <c r="M229" s="187"/>
      <c r="N229" s="38"/>
    </row>
    <row r="230" spans="1:14" s="2" customFormat="1" x14ac:dyDescent="0.25">
      <c r="A230" s="147">
        <f t="shared" si="6"/>
        <v>15</v>
      </c>
      <c r="B230" s="148"/>
      <c r="C230" s="19" t="s">
        <v>198</v>
      </c>
      <c r="D230" s="19">
        <f t="shared" si="8"/>
        <v>303.49097999999992</v>
      </c>
      <c r="E230" s="19">
        <v>0</v>
      </c>
      <c r="F230" s="19">
        <f t="shared" ref="F230" si="11">D230*(($F$212)+1)+E230</f>
        <v>470.4110189999999</v>
      </c>
      <c r="G230" s="147" t="str">
        <f t="shared" si="5"/>
        <v>Lower Ground Floor</v>
      </c>
      <c r="H230" s="148"/>
      <c r="I230" s="38"/>
      <c r="L230" s="187"/>
      <c r="M230" s="187"/>
      <c r="N230" s="38"/>
    </row>
    <row r="231" spans="1:14" s="2" customFormat="1" x14ac:dyDescent="0.25">
      <c r="A231" s="188" t="s">
        <v>151</v>
      </c>
      <c r="B231" s="189"/>
      <c r="C231" s="189"/>
      <c r="D231" s="189"/>
      <c r="E231" s="189"/>
      <c r="F231" s="189"/>
      <c r="G231" s="189"/>
      <c r="H231" s="190"/>
    </row>
    <row r="232" spans="1:14" s="2" customFormat="1" x14ac:dyDescent="0.25">
      <c r="A232" s="147">
        <v>16</v>
      </c>
      <c r="B232" s="148"/>
      <c r="C232" s="19" t="s">
        <v>198</v>
      </c>
      <c r="D232" s="19">
        <f>(2.75*8+2*1.5+1.9*1.25)*10.764</f>
        <v>294.66449999999998</v>
      </c>
      <c r="E232" s="19">
        <v>0</v>
      </c>
      <c r="F232" s="19">
        <f t="shared" ref="F232:F247" si="12">D232*(($F$212)+1)+E232</f>
        <v>456.72997499999997</v>
      </c>
      <c r="G232" s="147" t="str">
        <f>A231</f>
        <v>Ground Floor</v>
      </c>
      <c r="H232" s="148"/>
      <c r="I232" s="38"/>
      <c r="L232" s="187"/>
      <c r="M232" s="187"/>
      <c r="N232" s="38"/>
    </row>
    <row r="233" spans="1:14" s="2" customFormat="1" x14ac:dyDescent="0.25">
      <c r="A233" s="147">
        <f>A232+1</f>
        <v>17</v>
      </c>
      <c r="B233" s="148"/>
      <c r="C233" s="19" t="s">
        <v>198</v>
      </c>
      <c r="D233" s="19">
        <f>(2.75*8+2*1.25)*10.764</f>
        <v>263.71799999999996</v>
      </c>
      <c r="E233" s="19">
        <v>0</v>
      </c>
      <c r="F233" s="19">
        <f t="shared" si="12"/>
        <v>408.76289999999995</v>
      </c>
      <c r="G233" s="147" t="str">
        <f t="shared" ref="G233:G249" si="13">G232</f>
        <v>Ground Floor</v>
      </c>
      <c r="H233" s="148"/>
      <c r="I233" s="38"/>
      <c r="L233" s="187"/>
      <c r="M233" s="187"/>
      <c r="N233" s="38"/>
    </row>
    <row r="234" spans="1:14" s="2" customFormat="1" x14ac:dyDescent="0.25">
      <c r="A234" s="147">
        <f t="shared" ref="A234:A249" si="14">A233+1</f>
        <v>18</v>
      </c>
      <c r="B234" s="148"/>
      <c r="C234" s="19" t="s">
        <v>198</v>
      </c>
      <c r="D234" s="19">
        <f>(4.07*7.85+2.77*2.2+1.2*1.5)*10.764</f>
        <v>428.87543399999998</v>
      </c>
      <c r="E234" s="19">
        <v>0</v>
      </c>
      <c r="F234" s="19">
        <f t="shared" si="12"/>
        <v>664.75692270000002</v>
      </c>
      <c r="G234" s="147" t="str">
        <f t="shared" si="13"/>
        <v>Ground Floor</v>
      </c>
      <c r="H234" s="148"/>
      <c r="I234" s="38"/>
      <c r="L234" s="187"/>
      <c r="M234" s="187"/>
      <c r="N234" s="38"/>
    </row>
    <row r="235" spans="1:14" s="2" customFormat="1" x14ac:dyDescent="0.25">
      <c r="A235" s="147">
        <f t="shared" si="14"/>
        <v>19</v>
      </c>
      <c r="B235" s="148"/>
      <c r="C235" s="19" t="s">
        <v>198</v>
      </c>
      <c r="D235" s="19">
        <f>(2.9*7.85+1.6*2.2+1.2*1.5)*10.764</f>
        <v>302.30693999999994</v>
      </c>
      <c r="E235" s="19">
        <v>0</v>
      </c>
      <c r="F235" s="19">
        <f t="shared" si="12"/>
        <v>468.5757569999999</v>
      </c>
      <c r="G235" s="147" t="str">
        <f t="shared" si="13"/>
        <v>Ground Floor</v>
      </c>
      <c r="H235" s="148"/>
      <c r="I235" s="38"/>
      <c r="L235" s="187"/>
      <c r="M235" s="187"/>
      <c r="N235" s="38"/>
    </row>
    <row r="236" spans="1:14" s="2" customFormat="1" x14ac:dyDescent="0.25">
      <c r="A236" s="147">
        <f t="shared" si="14"/>
        <v>20</v>
      </c>
      <c r="B236" s="148"/>
      <c r="C236" s="19" t="s">
        <v>198</v>
      </c>
      <c r="D236" s="19">
        <f t="shared" ref="D236:D241" si="15">(2.9*7.85+1.6*2.2+1.2*1.5)*10.764</f>
        <v>302.30693999999994</v>
      </c>
      <c r="E236" s="19">
        <v>0</v>
      </c>
      <c r="F236" s="19">
        <f t="shared" si="12"/>
        <v>468.5757569999999</v>
      </c>
      <c r="G236" s="147" t="str">
        <f t="shared" si="13"/>
        <v>Ground Floor</v>
      </c>
      <c r="H236" s="148"/>
      <c r="I236" s="38"/>
      <c r="L236" s="187"/>
      <c r="M236" s="187"/>
      <c r="N236" s="38"/>
    </row>
    <row r="237" spans="1:14" s="2" customFormat="1" x14ac:dyDescent="0.25">
      <c r="A237" s="147">
        <f t="shared" si="14"/>
        <v>21</v>
      </c>
      <c r="B237" s="148"/>
      <c r="C237" s="19" t="s">
        <v>198</v>
      </c>
      <c r="D237" s="19">
        <f t="shared" si="15"/>
        <v>302.30693999999994</v>
      </c>
      <c r="E237" s="19">
        <v>0</v>
      </c>
      <c r="F237" s="19">
        <f t="shared" si="12"/>
        <v>468.5757569999999</v>
      </c>
      <c r="G237" s="147" t="str">
        <f t="shared" si="13"/>
        <v>Ground Floor</v>
      </c>
      <c r="H237" s="148"/>
      <c r="I237" s="38"/>
      <c r="L237" s="187"/>
      <c r="M237" s="187"/>
      <c r="N237" s="38"/>
    </row>
    <row r="238" spans="1:14" s="2" customFormat="1" x14ac:dyDescent="0.25">
      <c r="A238" s="147">
        <f t="shared" si="14"/>
        <v>22</v>
      </c>
      <c r="B238" s="148"/>
      <c r="C238" s="19" t="s">
        <v>198</v>
      </c>
      <c r="D238" s="19">
        <f t="shared" si="15"/>
        <v>302.30693999999994</v>
      </c>
      <c r="E238" s="19">
        <v>0</v>
      </c>
      <c r="F238" s="19">
        <f t="shared" si="12"/>
        <v>468.5757569999999</v>
      </c>
      <c r="G238" s="147" t="str">
        <f t="shared" si="13"/>
        <v>Ground Floor</v>
      </c>
      <c r="H238" s="148"/>
      <c r="I238" s="38"/>
      <c r="L238" s="187"/>
      <c r="M238" s="187"/>
      <c r="N238" s="38"/>
    </row>
    <row r="239" spans="1:14" s="2" customFormat="1" x14ac:dyDescent="0.25">
      <c r="A239" s="147">
        <f t="shared" si="14"/>
        <v>23</v>
      </c>
      <c r="B239" s="148"/>
      <c r="C239" s="19" t="s">
        <v>198</v>
      </c>
      <c r="D239" s="19">
        <f t="shared" si="15"/>
        <v>302.30693999999994</v>
      </c>
      <c r="E239" s="19">
        <v>0</v>
      </c>
      <c r="F239" s="19">
        <f t="shared" si="12"/>
        <v>468.5757569999999</v>
      </c>
      <c r="G239" s="147" t="str">
        <f t="shared" si="13"/>
        <v>Ground Floor</v>
      </c>
      <c r="H239" s="148"/>
      <c r="I239" s="38"/>
      <c r="L239" s="187"/>
      <c r="M239" s="187"/>
      <c r="N239" s="38"/>
    </row>
    <row r="240" spans="1:14" s="2" customFormat="1" x14ac:dyDescent="0.25">
      <c r="A240" s="147">
        <f t="shared" si="14"/>
        <v>24</v>
      </c>
      <c r="B240" s="148"/>
      <c r="C240" s="19" t="s">
        <v>198</v>
      </c>
      <c r="D240" s="19">
        <f t="shared" si="15"/>
        <v>302.30693999999994</v>
      </c>
      <c r="E240" s="19">
        <v>0</v>
      </c>
      <c r="F240" s="19">
        <f t="shared" si="12"/>
        <v>468.5757569999999</v>
      </c>
      <c r="G240" s="147" t="str">
        <f t="shared" si="13"/>
        <v>Ground Floor</v>
      </c>
      <c r="H240" s="148"/>
      <c r="I240" s="38"/>
      <c r="L240" s="187"/>
      <c r="M240" s="187"/>
      <c r="N240" s="38"/>
    </row>
    <row r="241" spans="1:16" s="2" customFormat="1" x14ac:dyDescent="0.25">
      <c r="A241" s="147">
        <f t="shared" si="14"/>
        <v>25</v>
      </c>
      <c r="B241" s="148"/>
      <c r="C241" s="19" t="s">
        <v>198</v>
      </c>
      <c r="D241" s="19">
        <f t="shared" si="15"/>
        <v>302.30693999999994</v>
      </c>
      <c r="E241" s="19">
        <v>0</v>
      </c>
      <c r="F241" s="19">
        <f t="shared" si="12"/>
        <v>468.5757569999999</v>
      </c>
      <c r="G241" s="147" t="str">
        <f t="shared" si="13"/>
        <v>Ground Floor</v>
      </c>
      <c r="H241" s="148"/>
      <c r="I241" s="38"/>
      <c r="L241" s="187"/>
      <c r="M241" s="187"/>
      <c r="N241" s="38"/>
    </row>
    <row r="242" spans="1:16" s="2" customFormat="1" x14ac:dyDescent="0.25">
      <c r="A242" s="147">
        <f t="shared" si="14"/>
        <v>26</v>
      </c>
      <c r="B242" s="148"/>
      <c r="C242" s="19" t="s">
        <v>198</v>
      </c>
      <c r="D242" s="19">
        <f>(2.785*8+2.015*1.45)*10.764</f>
        <v>271.271637</v>
      </c>
      <c r="E242" s="19">
        <v>0</v>
      </c>
      <c r="F242" s="19">
        <f t="shared" si="12"/>
        <v>420.47103735000002</v>
      </c>
      <c r="G242" s="147" t="str">
        <f t="shared" si="13"/>
        <v>Ground Floor</v>
      </c>
      <c r="H242" s="148"/>
      <c r="I242" s="38"/>
      <c r="L242" s="187"/>
      <c r="M242" s="187"/>
      <c r="N242" s="38"/>
    </row>
    <row r="243" spans="1:16" s="2" customFormat="1" x14ac:dyDescent="0.25">
      <c r="A243" s="147">
        <f t="shared" si="14"/>
        <v>27</v>
      </c>
      <c r="B243" s="148"/>
      <c r="C243" s="19" t="s">
        <v>198</v>
      </c>
      <c r="D243" s="19">
        <f>(2.785*8+1.505*2.05+1.895*1.35)*10.764</f>
        <v>300.56855400000001</v>
      </c>
      <c r="E243" s="19">
        <v>0</v>
      </c>
      <c r="F243" s="19">
        <f t="shared" si="12"/>
        <v>465.88125870000005</v>
      </c>
      <c r="G243" s="147" t="str">
        <f t="shared" si="13"/>
        <v>Ground Floor</v>
      </c>
      <c r="H243" s="148"/>
      <c r="I243" s="38"/>
      <c r="L243" s="187"/>
      <c r="M243" s="187"/>
      <c r="N243" s="38"/>
    </row>
    <row r="244" spans="1:16" s="2" customFormat="1" x14ac:dyDescent="0.25">
      <c r="A244" s="147">
        <f t="shared" si="14"/>
        <v>28</v>
      </c>
      <c r="B244" s="148"/>
      <c r="C244" s="19" t="s">
        <v>198</v>
      </c>
      <c r="D244" s="19">
        <f>(2.95*7.85+1.65*2.2+1.2*1.5)*10.764</f>
        <v>307.71584999999999</v>
      </c>
      <c r="E244" s="19">
        <v>0</v>
      </c>
      <c r="F244" s="19">
        <f t="shared" si="12"/>
        <v>476.95956749999999</v>
      </c>
      <c r="G244" s="147" t="str">
        <f t="shared" si="13"/>
        <v>Ground Floor</v>
      </c>
      <c r="H244" s="148"/>
      <c r="I244" s="38"/>
      <c r="L244" s="187"/>
      <c r="M244" s="187"/>
      <c r="N244" s="38"/>
    </row>
    <row r="245" spans="1:16" s="2" customFormat="1" x14ac:dyDescent="0.25">
      <c r="A245" s="147">
        <f t="shared" si="14"/>
        <v>29</v>
      </c>
      <c r="B245" s="148"/>
      <c r="C245" s="19" t="s">
        <v>198</v>
      </c>
      <c r="D245" s="19">
        <f t="shared" ref="D245:D246" si="16">(2.95*7.85+1.65*2.2+1.2*1.5)*10.764</f>
        <v>307.71584999999999</v>
      </c>
      <c r="E245" s="19">
        <v>0</v>
      </c>
      <c r="F245" s="19">
        <f t="shared" si="12"/>
        <v>476.95956749999999</v>
      </c>
      <c r="G245" s="147" t="str">
        <f t="shared" si="13"/>
        <v>Ground Floor</v>
      </c>
      <c r="H245" s="148"/>
      <c r="I245" s="38"/>
      <c r="L245" s="187"/>
      <c r="M245" s="187"/>
      <c r="N245" s="38"/>
    </row>
    <row r="246" spans="1:16" s="2" customFormat="1" x14ac:dyDescent="0.25">
      <c r="A246" s="147">
        <f t="shared" si="14"/>
        <v>30</v>
      </c>
      <c r="B246" s="148"/>
      <c r="C246" s="19" t="s">
        <v>198</v>
      </c>
      <c r="D246" s="19">
        <f t="shared" si="16"/>
        <v>307.71584999999999</v>
      </c>
      <c r="E246" s="19">
        <v>0</v>
      </c>
      <c r="F246" s="19">
        <f t="shared" si="12"/>
        <v>476.95956749999999</v>
      </c>
      <c r="G246" s="147" t="str">
        <f t="shared" si="13"/>
        <v>Ground Floor</v>
      </c>
      <c r="H246" s="148"/>
      <c r="I246" s="38"/>
      <c r="L246" s="187"/>
      <c r="M246" s="187"/>
      <c r="N246" s="38"/>
    </row>
    <row r="247" spans="1:16" s="2" customFormat="1" x14ac:dyDescent="0.25">
      <c r="A247" s="147">
        <f t="shared" si="14"/>
        <v>31</v>
      </c>
      <c r="B247" s="148"/>
      <c r="C247" s="19" t="s">
        <v>198</v>
      </c>
      <c r="D247" s="19">
        <f>(2.75*8+1.505*2.05+1.895*1.35)*10.764</f>
        <v>297.55463399999996</v>
      </c>
      <c r="E247" s="19">
        <v>0</v>
      </c>
      <c r="F247" s="19">
        <f t="shared" si="12"/>
        <v>461.20968269999997</v>
      </c>
      <c r="G247" s="147" t="str">
        <f t="shared" si="13"/>
        <v>Ground Floor</v>
      </c>
      <c r="H247" s="148"/>
      <c r="I247" s="38"/>
      <c r="L247" s="187"/>
      <c r="M247" s="187"/>
      <c r="N247" s="38"/>
    </row>
    <row r="248" spans="1:16" s="2" customFormat="1" x14ac:dyDescent="0.25">
      <c r="A248" s="147">
        <f t="shared" si="14"/>
        <v>32</v>
      </c>
      <c r="B248" s="148"/>
      <c r="C248" s="19" t="s">
        <v>198</v>
      </c>
      <c r="D248" s="19">
        <f>(2.765*8+1.15*1.45)*10.764</f>
        <v>256.04865000000001</v>
      </c>
      <c r="E248" s="19">
        <v>0</v>
      </c>
      <c r="F248" s="19">
        <f t="shared" ref="F248:F249" si="17">D248*(($F$212)+1)+E248</f>
        <v>396.87540750000005</v>
      </c>
      <c r="G248" s="147" t="str">
        <f t="shared" si="13"/>
        <v>Ground Floor</v>
      </c>
      <c r="H248" s="148"/>
      <c r="I248" s="38"/>
      <c r="L248" s="187"/>
      <c r="M248" s="187"/>
      <c r="N248" s="38"/>
    </row>
    <row r="249" spans="1:16" s="2" customFormat="1" x14ac:dyDescent="0.25">
      <c r="A249" s="147">
        <f t="shared" si="14"/>
        <v>33</v>
      </c>
      <c r="B249" s="148"/>
      <c r="C249" s="19" t="s">
        <v>198</v>
      </c>
      <c r="D249" s="19">
        <f>(2.75*7.85+1.45*2.2+1.2*1.5)*10.764</f>
        <v>286.08020999999997</v>
      </c>
      <c r="E249" s="19">
        <v>0</v>
      </c>
      <c r="F249" s="19">
        <f t="shared" si="17"/>
        <v>443.42432549999995</v>
      </c>
      <c r="G249" s="147" t="str">
        <f t="shared" si="13"/>
        <v>Ground Floor</v>
      </c>
      <c r="H249" s="148"/>
      <c r="I249" s="38"/>
      <c r="L249" s="187"/>
      <c r="M249" s="187"/>
      <c r="N249" s="38"/>
    </row>
    <row r="250" spans="1:16" s="2" customFormat="1" x14ac:dyDescent="0.25">
      <c r="A250" s="147"/>
      <c r="B250" s="191"/>
      <c r="C250" s="191"/>
      <c r="D250" s="191"/>
      <c r="E250" s="191"/>
      <c r="F250" s="191"/>
      <c r="G250" s="191"/>
      <c r="H250" s="148"/>
      <c r="I250" s="38"/>
      <c r="N250" s="38"/>
    </row>
    <row r="251" spans="1:16" ht="47.25" customHeight="1" x14ac:dyDescent="0.25">
      <c r="A251" s="95" t="s">
        <v>154</v>
      </c>
      <c r="B251" s="95" t="s">
        <v>155</v>
      </c>
      <c r="C251" s="91" t="s">
        <v>66</v>
      </c>
      <c r="D251" s="91" t="s">
        <v>67</v>
      </c>
      <c r="E251" s="93" t="s">
        <v>68</v>
      </c>
      <c r="F251" s="36" t="s">
        <v>150</v>
      </c>
      <c r="G251" s="95" t="s">
        <v>69</v>
      </c>
      <c r="H251" s="96"/>
      <c r="I251" s="38"/>
    </row>
    <row r="252" spans="1:16" s="2" customFormat="1" x14ac:dyDescent="0.25">
      <c r="A252" s="97"/>
      <c r="B252" s="97"/>
      <c r="C252" s="92"/>
      <c r="D252" s="92"/>
      <c r="E252" s="94"/>
      <c r="F252" s="37">
        <v>0.5</v>
      </c>
      <c r="G252" s="97"/>
      <c r="H252" s="98"/>
      <c r="I252" s="38"/>
    </row>
    <row r="253" spans="1:16" s="2" customFormat="1" ht="15.75" customHeight="1" x14ac:dyDescent="0.25">
      <c r="A253" s="188" t="s">
        <v>200</v>
      </c>
      <c r="B253" s="189"/>
      <c r="C253" s="189"/>
      <c r="D253" s="189"/>
      <c r="E253" s="189"/>
      <c r="F253" s="189"/>
      <c r="G253" s="189"/>
      <c r="H253" s="190"/>
      <c r="I253" s="38"/>
    </row>
    <row r="254" spans="1:16" s="2" customFormat="1" ht="15.75" customHeight="1" x14ac:dyDescent="0.25">
      <c r="A254" s="188" t="s">
        <v>201</v>
      </c>
      <c r="B254" s="189"/>
      <c r="C254" s="189"/>
      <c r="D254" s="189"/>
      <c r="E254" s="189"/>
      <c r="F254" s="189"/>
      <c r="G254" s="189"/>
      <c r="H254" s="190"/>
      <c r="I254" s="38"/>
    </row>
    <row r="255" spans="1:16" s="2" customFormat="1" x14ac:dyDescent="0.25">
      <c r="A255" s="147" t="str">
        <f t="shared" ref="A255:A258" ca="1" si="18">N255</f>
        <v>101,..,1101</v>
      </c>
      <c r="B255" s="148"/>
      <c r="C255" s="19" t="s">
        <v>203</v>
      </c>
      <c r="D255" s="19">
        <f>39.06*10.764-E255</f>
        <v>377.05215600000002</v>
      </c>
      <c r="E255" s="19">
        <f>4.031*10.764</f>
        <v>43.389683999999995</v>
      </c>
      <c r="F255" s="19">
        <f t="shared" ref="F255:F258" si="19">D255*(($F$252)+1)+E255</f>
        <v>608.96791800000005</v>
      </c>
      <c r="G255" s="147" t="str">
        <f>A254</f>
        <v>1st, 3rd, 5th, 7th, 9th, 11th Floor</v>
      </c>
      <c r="H255" s="148"/>
      <c r="I255" s="38"/>
      <c r="N255" s="2" t="str">
        <f t="shared" ref="N255:N258" ca="1" si="20">O255&amp;""&amp;",..,"&amp;""&amp;P255</f>
        <v>101,..,1101</v>
      </c>
      <c r="O255" s="2">
        <f ca="1">(SUMPRODUCT(MID(0&amp;(LEFT(A254,SUM(LEN(A254)-LEN(SUBSTITUTE(A254,{"0","1","2"},""))))), LARGE(INDEX(ISNUMBER(--MID((LEFT(A254,SUM(LEN(A254)-LEN(SUBSTITUTE(A254,{"0","1","2"},""))))), ROW(INDIRECT("1:"&amp;LEN((LEFT(A254,SUM(LEN(A254)-LEN(SUBSTITUTE(A254,{"0","1","2"},"")))))))), 1)) * ROW(INDIRECT("1:"&amp;LEN((LEFT(A254,SUM(LEN(A254)-LEN(SUBSTITUTE(A254,{"0","1","2"},"")))))))), 0), ROW(INDIRECT("1:"&amp;LEN((LEFT(A254,SUM(LEN(A254)-LEN(SUBSTITUTE(A254,{"0","1","2"},"")))))))))+1, 1) * 10^ROW(INDIRECT("1:"&amp;LEN((LEFT(A254,SUM(LEN(A254)-LEN(SUBSTITUTE(A254,{"0","1","2"},""))))))))/10))*100+1</f>
        <v>101</v>
      </c>
      <c r="P255" s="2">
        <f ca="1">(SUMPRODUCT(MID(0&amp;(--TRIM(RIGHT(SUBSTITUTE(LEFT(A254,_xlfn.AGGREGATE(16,6,FIND({0,1,2,3,4,5,6,7,8,9},A254,ROW(INDIRECT("1:"&amp;LEN(A254)))),1))," ",REPT(" ",LEN(A254))),LEN(A254)))), LARGE(INDEX(ISNUMBER(--MID((--TRIM(RIGHT(SUBSTITUTE(LEFT(A254,_xlfn.AGGREGATE(16,6,FIND({0,1,2,3,4,5,6,7,8,9},A254,ROW(INDIRECT("1:"&amp;LEN(A254)))),1))," ",REPT(" ",LEN(A254))),LEN(A254)))), ROW(INDIRECT("1:"&amp;LEN((--TRIM(RIGHT(SUBSTITUTE(LEFT(A254,_xlfn.AGGREGATE(16,6,FIND({0,1,2,3,4,5,6,7,8,9},A254,ROW(INDIRECT("1:"&amp;LEN(A254)))),1))," ",REPT(" ",LEN(A254))),LEN(A254))))))), 1)) * ROW(INDIRECT("1:"&amp;LEN((--TRIM(RIGHT(SUBSTITUTE(LEFT(A254,_xlfn.AGGREGATE(16,6,FIND({0,1,2,3,4,5,6,7,8,9},A254,ROW(INDIRECT("1:"&amp;LEN(A254)))),1))," ",REPT(" ",LEN(A254))),LEN(A254))))))), 0), ROW(INDIRECT("1:"&amp;LEN((--TRIM(RIGHT(SUBSTITUTE(LEFT(A254,_xlfn.AGGREGATE(16,6,FIND({0,1,2,3,4,5,6,7,8,9},A254,ROW(INDIRECT("1:"&amp;LEN(A254)))),1))," ",REPT(" ",LEN(A254))),LEN(A254))))))))+1, 1) * 10^ROW(INDIRECT("1:"&amp;LEN((--TRIM(RIGHT(SUBSTITUTE(LEFT(A254,_xlfn.AGGREGATE(16,6,FIND({0,1,2,3,4,5,6,7,8,9},A254,ROW(INDIRECT("1:"&amp;LEN(A254)))),1))," ",REPT(" ",LEN(A254))),LEN(A254)))))))/10))*100+1</f>
        <v>1101</v>
      </c>
    </row>
    <row r="256" spans="1:16" s="2" customFormat="1" x14ac:dyDescent="0.25">
      <c r="A256" s="147" t="str">
        <f t="shared" ca="1" si="18"/>
        <v>102,..,1102</v>
      </c>
      <c r="B256" s="148"/>
      <c r="C256" s="19" t="s">
        <v>203</v>
      </c>
      <c r="D256" s="19">
        <f>38.889*10.764-E256</f>
        <v>376.46013600000003</v>
      </c>
      <c r="E256" s="19">
        <f>3.915*10.764</f>
        <v>42.141059999999996</v>
      </c>
      <c r="F256" s="19">
        <f t="shared" si="19"/>
        <v>606.83126400000003</v>
      </c>
      <c r="G256" s="147" t="str">
        <f>G255</f>
        <v>1st, 3rd, 5th, 7th, 9th, 11th Floor</v>
      </c>
      <c r="H256" s="148"/>
      <c r="I256" s="38"/>
      <c r="N256" s="2" t="str">
        <f t="shared" ca="1" si="20"/>
        <v>102,..,1102</v>
      </c>
      <c r="O256" s="2">
        <f t="shared" ref="O256:P258" ca="1" si="21">O255+1</f>
        <v>102</v>
      </c>
      <c r="P256" s="2">
        <f t="shared" ca="1" si="21"/>
        <v>1102</v>
      </c>
    </row>
    <row r="257" spans="1:16" s="2" customFormat="1" x14ac:dyDescent="0.25">
      <c r="A257" s="147" t="str">
        <f t="shared" ca="1" si="18"/>
        <v>103,..,1103</v>
      </c>
      <c r="B257" s="148"/>
      <c r="C257" s="19" t="s">
        <v>203</v>
      </c>
      <c r="D257" s="19">
        <f>38.889*10.764-E257</f>
        <v>376.46013600000003</v>
      </c>
      <c r="E257" s="19">
        <f>3.915*10.764</f>
        <v>42.141059999999996</v>
      </c>
      <c r="F257" s="19">
        <f t="shared" si="19"/>
        <v>606.83126400000003</v>
      </c>
      <c r="G257" s="147" t="str">
        <f>G256</f>
        <v>1st, 3rd, 5th, 7th, 9th, 11th Floor</v>
      </c>
      <c r="H257" s="148"/>
      <c r="I257" s="38"/>
      <c r="N257" s="2" t="str">
        <f t="shared" ca="1" si="20"/>
        <v>103,..,1103</v>
      </c>
      <c r="O257" s="2">
        <f t="shared" ca="1" si="21"/>
        <v>103</v>
      </c>
      <c r="P257" s="2">
        <f t="shared" ca="1" si="21"/>
        <v>1103</v>
      </c>
    </row>
    <row r="258" spans="1:16" s="2" customFormat="1" x14ac:dyDescent="0.25">
      <c r="A258" s="147" t="str">
        <f t="shared" ca="1" si="18"/>
        <v>104,..,1104</v>
      </c>
      <c r="B258" s="148"/>
      <c r="C258" s="19" t="s">
        <v>203</v>
      </c>
      <c r="D258" s="19">
        <f>39.06*10.764-E258</f>
        <v>377.05215600000002</v>
      </c>
      <c r="E258" s="19">
        <f>4.031*10.764</f>
        <v>43.389683999999995</v>
      </c>
      <c r="F258" s="19">
        <f t="shared" si="19"/>
        <v>608.96791800000005</v>
      </c>
      <c r="G258" s="147" t="str">
        <f>G257</f>
        <v>1st, 3rd, 5th, 7th, 9th, 11th Floor</v>
      </c>
      <c r="H258" s="148"/>
      <c r="I258" s="38">
        <f>2583000/F258</f>
        <v>4241.6027571422901</v>
      </c>
      <c r="J258" s="38">
        <f>126000/F258</f>
        <v>206.90745156791658</v>
      </c>
      <c r="K258" s="38">
        <f>J258/10</f>
        <v>20.690745156791657</v>
      </c>
      <c r="N258" s="2" t="str">
        <f t="shared" ca="1" si="20"/>
        <v>104,..,1104</v>
      </c>
      <c r="O258" s="2">
        <f t="shared" ca="1" si="21"/>
        <v>104</v>
      </c>
      <c r="P258" s="2">
        <f t="shared" ca="1" si="21"/>
        <v>1104</v>
      </c>
    </row>
    <row r="259" spans="1:16" s="2" customFormat="1" ht="15.75" customHeight="1" x14ac:dyDescent="0.25">
      <c r="A259" s="188" t="s">
        <v>202</v>
      </c>
      <c r="B259" s="189"/>
      <c r="C259" s="189"/>
      <c r="D259" s="189"/>
      <c r="E259" s="189"/>
      <c r="F259" s="189"/>
      <c r="G259" s="189"/>
      <c r="H259" s="190"/>
      <c r="I259" s="38"/>
    </row>
    <row r="260" spans="1:16" s="2" customFormat="1" x14ac:dyDescent="0.25">
      <c r="A260" s="147" t="str">
        <f t="shared" ref="A260:A263" ca="1" si="22">N260</f>
        <v>201,..,1001</v>
      </c>
      <c r="B260" s="148"/>
      <c r="C260" s="19" t="s">
        <v>203</v>
      </c>
      <c r="D260" s="19">
        <f>39.78*10.764-E260</f>
        <v>382.92930000000001</v>
      </c>
      <c r="E260" s="19">
        <f>4.205*10.764</f>
        <v>45.262619999999998</v>
      </c>
      <c r="F260" s="19">
        <f t="shared" ref="F260:F263" si="23">D260*(($F$252)+1)+E260</f>
        <v>619.65656999999999</v>
      </c>
      <c r="G260" s="147" t="str">
        <f>A259</f>
        <v>2nd, 4th, 6th, 8th, 10th Floor</v>
      </c>
      <c r="H260" s="148"/>
      <c r="I260" s="38"/>
      <c r="N260" s="2" t="str">
        <f t="shared" ref="N260:N263" ca="1" si="24">O260&amp;""&amp;",..,"&amp;""&amp;P260</f>
        <v>201,..,1001</v>
      </c>
      <c r="O260" s="2">
        <f ca="1">(SUMPRODUCT(MID(0&amp;(LEFT(A259,SUM(LEN(A259)-LEN(SUBSTITUTE(A259,{"0","1","2"},""))))), LARGE(INDEX(ISNUMBER(--MID((LEFT(A259,SUM(LEN(A259)-LEN(SUBSTITUTE(A259,{"0","1","2"},""))))), ROW(INDIRECT("1:"&amp;LEN((LEFT(A259,SUM(LEN(A259)-LEN(SUBSTITUTE(A259,{"0","1","2"},"")))))))), 1)) * ROW(INDIRECT("1:"&amp;LEN((LEFT(A259,SUM(LEN(A259)-LEN(SUBSTITUTE(A259,{"0","1","2"},"")))))))), 0), ROW(INDIRECT("1:"&amp;LEN((LEFT(A259,SUM(LEN(A259)-LEN(SUBSTITUTE(A259,{"0","1","2"},"")))))))))+1, 1) * 10^ROW(INDIRECT("1:"&amp;LEN((LEFT(A259,SUM(LEN(A259)-LEN(SUBSTITUTE(A259,{"0","1","2"},""))))))))/10))*100+1</f>
        <v>201</v>
      </c>
      <c r="P260" s="2">
        <f ca="1">(SUMPRODUCT(MID(0&amp;(--TRIM(RIGHT(SUBSTITUTE(LEFT(A259,_xlfn.AGGREGATE(16,6,FIND({0,1,2,3,4,5,6,7,8,9},A259,ROW(INDIRECT("1:"&amp;LEN(A259)))),1))," ",REPT(" ",LEN(A259))),LEN(A259)))), LARGE(INDEX(ISNUMBER(--MID((--TRIM(RIGHT(SUBSTITUTE(LEFT(A259,_xlfn.AGGREGATE(16,6,FIND({0,1,2,3,4,5,6,7,8,9},A259,ROW(INDIRECT("1:"&amp;LEN(A259)))),1))," ",REPT(" ",LEN(A259))),LEN(A259)))), ROW(INDIRECT("1:"&amp;LEN((--TRIM(RIGHT(SUBSTITUTE(LEFT(A259,_xlfn.AGGREGATE(16,6,FIND({0,1,2,3,4,5,6,7,8,9},A259,ROW(INDIRECT("1:"&amp;LEN(A259)))),1))," ",REPT(" ",LEN(A259))),LEN(A259))))))), 1)) * ROW(INDIRECT("1:"&amp;LEN((--TRIM(RIGHT(SUBSTITUTE(LEFT(A259,_xlfn.AGGREGATE(16,6,FIND({0,1,2,3,4,5,6,7,8,9},A259,ROW(INDIRECT("1:"&amp;LEN(A259)))),1))," ",REPT(" ",LEN(A259))),LEN(A259))))))), 0), ROW(INDIRECT("1:"&amp;LEN((--TRIM(RIGHT(SUBSTITUTE(LEFT(A259,_xlfn.AGGREGATE(16,6,FIND({0,1,2,3,4,5,6,7,8,9},A259,ROW(INDIRECT("1:"&amp;LEN(A259)))),1))," ",REPT(" ",LEN(A259))),LEN(A259))))))))+1, 1) * 10^ROW(INDIRECT("1:"&amp;LEN((--TRIM(RIGHT(SUBSTITUTE(LEFT(A259,_xlfn.AGGREGATE(16,6,FIND({0,1,2,3,4,5,6,7,8,9},A259,ROW(INDIRECT("1:"&amp;LEN(A259)))),1))," ",REPT(" ",LEN(A259))),LEN(A259)))))))/10))*100+1</f>
        <v>1001</v>
      </c>
    </row>
    <row r="261" spans="1:16" s="2" customFormat="1" x14ac:dyDescent="0.25">
      <c r="A261" s="147" t="str">
        <f t="shared" ca="1" si="22"/>
        <v>202,..,1002</v>
      </c>
      <c r="B261" s="148"/>
      <c r="C261" s="19" t="s">
        <v>203</v>
      </c>
      <c r="D261" s="19">
        <f>38.77*10.764-E261</f>
        <v>376.42784400000005</v>
      </c>
      <c r="E261" s="19">
        <f>3.799*10.764</f>
        <v>40.892435999999996</v>
      </c>
      <c r="F261" s="19">
        <f t="shared" si="23"/>
        <v>605.53420200000005</v>
      </c>
      <c r="G261" s="147" t="str">
        <f>G260</f>
        <v>2nd, 4th, 6th, 8th, 10th Floor</v>
      </c>
      <c r="H261" s="148"/>
      <c r="I261" s="38"/>
      <c r="N261" s="2" t="str">
        <f t="shared" ca="1" si="24"/>
        <v>202,..,1002</v>
      </c>
      <c r="O261" s="2">
        <f t="shared" ref="O261:P261" ca="1" si="25">O260+1</f>
        <v>202</v>
      </c>
      <c r="P261" s="2">
        <f t="shared" ca="1" si="25"/>
        <v>1002</v>
      </c>
    </row>
    <row r="262" spans="1:16" s="2" customFormat="1" x14ac:dyDescent="0.25">
      <c r="A262" s="147" t="str">
        <f t="shared" ca="1" si="22"/>
        <v>203,..,1003</v>
      </c>
      <c r="B262" s="148"/>
      <c r="C262" s="19" t="s">
        <v>203</v>
      </c>
      <c r="D262" s="19">
        <f>38.77*10.764-E262</f>
        <v>376.42784400000005</v>
      </c>
      <c r="E262" s="19">
        <f>3.799*10.764</f>
        <v>40.892435999999996</v>
      </c>
      <c r="F262" s="19">
        <f t="shared" si="23"/>
        <v>605.53420200000005</v>
      </c>
      <c r="G262" s="147" t="str">
        <f>G261</f>
        <v>2nd, 4th, 6th, 8th, 10th Floor</v>
      </c>
      <c r="H262" s="148"/>
      <c r="I262" s="38"/>
      <c r="N262" s="2" t="str">
        <f t="shared" ca="1" si="24"/>
        <v>203,..,1003</v>
      </c>
      <c r="O262" s="2">
        <f t="shared" ref="O262:P262" ca="1" si="26">O261+1</f>
        <v>203</v>
      </c>
      <c r="P262" s="2">
        <f t="shared" ca="1" si="26"/>
        <v>1003</v>
      </c>
    </row>
    <row r="263" spans="1:16" s="2" customFormat="1" x14ac:dyDescent="0.25">
      <c r="A263" s="147" t="str">
        <f t="shared" ca="1" si="22"/>
        <v>204,..,1004</v>
      </c>
      <c r="B263" s="148"/>
      <c r="C263" s="19" t="s">
        <v>203</v>
      </c>
      <c r="D263" s="19">
        <f>39.78*10.764-E263</f>
        <v>382.92930000000001</v>
      </c>
      <c r="E263" s="19">
        <f>4.205*10.764</f>
        <v>45.262619999999998</v>
      </c>
      <c r="F263" s="19">
        <f t="shared" si="23"/>
        <v>619.65656999999999</v>
      </c>
      <c r="G263" s="147" t="str">
        <f>G262</f>
        <v>2nd, 4th, 6th, 8th, 10th Floor</v>
      </c>
      <c r="H263" s="148"/>
      <c r="I263" s="38"/>
      <c r="N263" s="2" t="str">
        <f t="shared" ca="1" si="24"/>
        <v>204,..,1004</v>
      </c>
      <c r="O263" s="2">
        <f t="shared" ref="O263:P263" ca="1" si="27">O262+1</f>
        <v>204</v>
      </c>
      <c r="P263" s="2">
        <f t="shared" ca="1" si="27"/>
        <v>1004</v>
      </c>
    </row>
    <row r="264" spans="1:16" s="2" customFormat="1" ht="15.75" customHeight="1" x14ac:dyDescent="0.25">
      <c r="A264" s="188" t="s">
        <v>204</v>
      </c>
      <c r="B264" s="189"/>
      <c r="C264" s="189"/>
      <c r="D264" s="189"/>
      <c r="E264" s="189"/>
      <c r="F264" s="189"/>
      <c r="G264" s="189"/>
      <c r="H264" s="190"/>
      <c r="I264" s="38"/>
    </row>
    <row r="265" spans="1:16" s="2" customFormat="1" ht="15.75" customHeight="1" x14ac:dyDescent="0.25">
      <c r="A265" s="188" t="s">
        <v>201</v>
      </c>
      <c r="B265" s="189"/>
      <c r="C265" s="189"/>
      <c r="D265" s="189"/>
      <c r="E265" s="189"/>
      <c r="F265" s="189"/>
      <c r="G265" s="189"/>
      <c r="H265" s="190"/>
      <c r="I265" s="38"/>
    </row>
    <row r="266" spans="1:16" s="2" customFormat="1" ht="15.75" customHeight="1" x14ac:dyDescent="0.25">
      <c r="A266" s="147" t="str">
        <f t="shared" ref="A266:A269" ca="1" si="28">N266</f>
        <v>101,..,1101</v>
      </c>
      <c r="B266" s="148"/>
      <c r="C266" s="19" t="s">
        <v>205</v>
      </c>
      <c r="D266" s="19">
        <f>57.822*10.764-E266</f>
        <v>586.88557199999991</v>
      </c>
      <c r="E266" s="19">
        <f>3.299*10.764</f>
        <v>35.510435999999999</v>
      </c>
      <c r="F266" s="19">
        <f t="shared" ref="F266:F269" si="29">D266*(($F$252)+1)+E266</f>
        <v>915.83879399999989</v>
      </c>
      <c r="G266" s="192" t="str">
        <f>A265</f>
        <v>1st, 3rd, 5th, 7th, 9th, 11th Floor</v>
      </c>
      <c r="H266" s="193"/>
      <c r="I266" s="38"/>
      <c r="N266" s="2" t="str">
        <f t="shared" ref="N266:N269" ca="1" si="30">O266&amp;""&amp;",..,"&amp;""&amp;P266</f>
        <v>101,..,1101</v>
      </c>
      <c r="O266" s="2">
        <f ca="1">(SUMPRODUCT(MID(0&amp;(LEFT(A265,SUM(LEN(A265)-LEN(SUBSTITUTE(A265,{"0","1","2"},""))))), LARGE(INDEX(ISNUMBER(--MID((LEFT(A265,SUM(LEN(A265)-LEN(SUBSTITUTE(A265,{"0","1","2"},""))))), ROW(INDIRECT("1:"&amp;LEN((LEFT(A265,SUM(LEN(A265)-LEN(SUBSTITUTE(A265,{"0","1","2"},"")))))))), 1)) * ROW(INDIRECT("1:"&amp;LEN((LEFT(A265,SUM(LEN(A265)-LEN(SUBSTITUTE(A265,{"0","1","2"},"")))))))), 0), ROW(INDIRECT("1:"&amp;LEN((LEFT(A265,SUM(LEN(A265)-LEN(SUBSTITUTE(A265,{"0","1","2"},"")))))))))+1, 1) * 10^ROW(INDIRECT("1:"&amp;LEN((LEFT(A265,SUM(LEN(A265)-LEN(SUBSTITUTE(A265,{"0","1","2"},""))))))))/10))*100+1</f>
        <v>101</v>
      </c>
      <c r="P266" s="2">
        <f ca="1">(SUMPRODUCT(MID(0&amp;(--TRIM(RIGHT(SUBSTITUTE(LEFT(A265,_xlfn.AGGREGATE(16,6,FIND({0,1,2,3,4,5,6,7,8,9},A265,ROW(INDIRECT("1:"&amp;LEN(A265)))),1))," ",REPT(" ",LEN(A265))),LEN(A265)))), LARGE(INDEX(ISNUMBER(--MID((--TRIM(RIGHT(SUBSTITUTE(LEFT(A265,_xlfn.AGGREGATE(16,6,FIND({0,1,2,3,4,5,6,7,8,9},A265,ROW(INDIRECT("1:"&amp;LEN(A265)))),1))," ",REPT(" ",LEN(A265))),LEN(A265)))), ROW(INDIRECT("1:"&amp;LEN((--TRIM(RIGHT(SUBSTITUTE(LEFT(A265,_xlfn.AGGREGATE(16,6,FIND({0,1,2,3,4,5,6,7,8,9},A265,ROW(INDIRECT("1:"&amp;LEN(A265)))),1))," ",REPT(" ",LEN(A265))),LEN(A265))))))), 1)) * ROW(INDIRECT("1:"&amp;LEN((--TRIM(RIGHT(SUBSTITUTE(LEFT(A265,_xlfn.AGGREGATE(16,6,FIND({0,1,2,3,4,5,6,7,8,9},A265,ROW(INDIRECT("1:"&amp;LEN(A265)))),1))," ",REPT(" ",LEN(A265))),LEN(A265))))))), 0), ROW(INDIRECT("1:"&amp;LEN((--TRIM(RIGHT(SUBSTITUTE(LEFT(A265,_xlfn.AGGREGATE(16,6,FIND({0,1,2,3,4,5,6,7,8,9},A265,ROW(INDIRECT("1:"&amp;LEN(A265)))),1))," ",REPT(" ",LEN(A265))),LEN(A265))))))))+1, 1) * 10^ROW(INDIRECT("1:"&amp;LEN((--TRIM(RIGHT(SUBSTITUTE(LEFT(A265,_xlfn.AGGREGATE(16,6,FIND({0,1,2,3,4,5,6,7,8,9},A265,ROW(INDIRECT("1:"&amp;LEN(A265)))),1))," ",REPT(" ",LEN(A265))),LEN(A265)))))))/10))*100+1</f>
        <v>1101</v>
      </c>
    </row>
    <row r="267" spans="1:16" s="2" customFormat="1" ht="15.75" customHeight="1" x14ac:dyDescent="0.25">
      <c r="A267" s="147" t="str">
        <f t="shared" ca="1" si="28"/>
        <v>102,..,1102</v>
      </c>
      <c r="B267" s="148"/>
      <c r="C267" s="19" t="s">
        <v>205</v>
      </c>
      <c r="D267" s="19">
        <f>57.822*10.764-E267</f>
        <v>586.88557199999991</v>
      </c>
      <c r="E267" s="19">
        <f>3.299*10.764</f>
        <v>35.510435999999999</v>
      </c>
      <c r="F267" s="19">
        <f t="shared" si="29"/>
        <v>915.83879399999989</v>
      </c>
      <c r="G267" s="194"/>
      <c r="H267" s="195"/>
      <c r="I267" s="38"/>
      <c r="N267" s="2" t="str">
        <f t="shared" ca="1" si="30"/>
        <v>102,..,1102</v>
      </c>
      <c r="O267" s="2">
        <f t="shared" ref="O267:P267" ca="1" si="31">O266+1</f>
        <v>102</v>
      </c>
      <c r="P267" s="2">
        <f t="shared" ca="1" si="31"/>
        <v>1102</v>
      </c>
    </row>
    <row r="268" spans="1:16" s="2" customFormat="1" ht="15.75" customHeight="1" x14ac:dyDescent="0.25">
      <c r="A268" s="147" t="str">
        <f t="shared" ca="1" si="28"/>
        <v>103,..,1103</v>
      </c>
      <c r="B268" s="148"/>
      <c r="C268" s="19" t="s">
        <v>203</v>
      </c>
      <c r="D268" s="19">
        <f>40.16*10.764-E268</f>
        <v>388.89255599999996</v>
      </c>
      <c r="E268" s="19">
        <f>4.031*10.764</f>
        <v>43.389683999999995</v>
      </c>
      <c r="F268" s="19">
        <f t="shared" si="29"/>
        <v>626.72851799999989</v>
      </c>
      <c r="G268" s="194"/>
      <c r="H268" s="195"/>
      <c r="I268" s="38"/>
      <c r="N268" s="2" t="str">
        <f t="shared" ca="1" si="30"/>
        <v>103,..,1103</v>
      </c>
      <c r="O268" s="2">
        <f t="shared" ref="O268:P268" ca="1" si="32">O267+1</f>
        <v>103</v>
      </c>
      <c r="P268" s="2">
        <f t="shared" ca="1" si="32"/>
        <v>1103</v>
      </c>
    </row>
    <row r="269" spans="1:16" s="2" customFormat="1" ht="15.75" customHeight="1" x14ac:dyDescent="0.25">
      <c r="A269" s="147" t="str">
        <f t="shared" ca="1" si="28"/>
        <v>104,..,1104</v>
      </c>
      <c r="B269" s="148"/>
      <c r="C269" s="19" t="s">
        <v>203</v>
      </c>
      <c r="D269" s="19">
        <f>39.706*10.764-E269</f>
        <v>388.21442400000001</v>
      </c>
      <c r="E269" s="19">
        <f>3.64*10.764</f>
        <v>39.180959999999999</v>
      </c>
      <c r="F269" s="19">
        <f t="shared" si="29"/>
        <v>621.50259600000004</v>
      </c>
      <c r="G269" s="194"/>
      <c r="H269" s="195"/>
      <c r="I269" s="38"/>
      <c r="N269" s="2" t="str">
        <f t="shared" ca="1" si="30"/>
        <v>104,..,1104</v>
      </c>
      <c r="O269" s="2">
        <f t="shared" ref="O269:P269" ca="1" si="33">O268+1</f>
        <v>104</v>
      </c>
      <c r="P269" s="2">
        <f t="shared" ca="1" si="33"/>
        <v>1104</v>
      </c>
    </row>
    <row r="270" spans="1:16" s="2" customFormat="1" ht="15.75" customHeight="1" x14ac:dyDescent="0.25">
      <c r="A270" s="147" t="str">
        <f t="shared" ref="A270:A271" ca="1" si="34">N270</f>
        <v>105,..,1105</v>
      </c>
      <c r="B270" s="148"/>
      <c r="C270" s="19" t="s">
        <v>203</v>
      </c>
      <c r="D270" s="19">
        <f>39.706*10.764-E270</f>
        <v>388.21442400000001</v>
      </c>
      <c r="E270" s="19">
        <f>3.64*10.764</f>
        <v>39.180959999999999</v>
      </c>
      <c r="F270" s="19">
        <f t="shared" ref="F270:F271" si="35">D270*(($F$252)+1)+E270</f>
        <v>621.50259600000004</v>
      </c>
      <c r="G270" s="194"/>
      <c r="H270" s="195"/>
      <c r="I270" s="38"/>
      <c r="N270" s="2" t="str">
        <f t="shared" ref="N270:N271" ca="1" si="36">O270&amp;""&amp;",..,"&amp;""&amp;P270</f>
        <v>105,..,1105</v>
      </c>
      <c r="O270" s="2">
        <f t="shared" ref="O270:P270" ca="1" si="37">O269+1</f>
        <v>105</v>
      </c>
      <c r="P270" s="2">
        <f t="shared" ca="1" si="37"/>
        <v>1105</v>
      </c>
    </row>
    <row r="271" spans="1:16" s="2" customFormat="1" ht="15.75" customHeight="1" x14ac:dyDescent="0.25">
      <c r="A271" s="147" t="str">
        <f t="shared" ca="1" si="34"/>
        <v>106,..,1106</v>
      </c>
      <c r="B271" s="148"/>
      <c r="C271" s="19" t="s">
        <v>203</v>
      </c>
      <c r="D271" s="19">
        <f>40.16*10.764-E271</f>
        <v>388.89255599999996</v>
      </c>
      <c r="E271" s="19">
        <f>4.031*10.764</f>
        <v>43.389683999999995</v>
      </c>
      <c r="F271" s="19">
        <f t="shared" si="35"/>
        <v>626.72851799999989</v>
      </c>
      <c r="G271" s="196"/>
      <c r="H271" s="197"/>
      <c r="I271" s="38"/>
      <c r="N271" s="2" t="str">
        <f t="shared" ca="1" si="36"/>
        <v>106,..,1106</v>
      </c>
      <c r="O271" s="2">
        <f t="shared" ref="O271:P271" ca="1" si="38">O270+1</f>
        <v>106</v>
      </c>
      <c r="P271" s="2">
        <f t="shared" ca="1" si="38"/>
        <v>1106</v>
      </c>
    </row>
    <row r="272" spans="1:16" s="2" customFormat="1" ht="15.75" customHeight="1" x14ac:dyDescent="0.25">
      <c r="A272" s="188" t="s">
        <v>206</v>
      </c>
      <c r="B272" s="189"/>
      <c r="C272" s="189"/>
      <c r="D272" s="189"/>
      <c r="E272" s="189"/>
      <c r="F272" s="189"/>
      <c r="G272" s="189"/>
      <c r="H272" s="190"/>
      <c r="I272" s="38"/>
    </row>
    <row r="273" spans="1:16" s="2" customFormat="1" ht="15.75" customHeight="1" x14ac:dyDescent="0.25">
      <c r="A273" s="147" t="str">
        <f t="shared" ref="A273:A276" ca="1" si="39">N273</f>
        <v>201,..,1201</v>
      </c>
      <c r="B273" s="148"/>
      <c r="C273" s="19" t="s">
        <v>205</v>
      </c>
      <c r="D273" s="19">
        <f>59.367*10.764-E273</f>
        <v>583.22581199999991</v>
      </c>
      <c r="E273" s="19">
        <f>5.184*10.764</f>
        <v>55.800576</v>
      </c>
      <c r="F273" s="19">
        <f t="shared" ref="F273:F276" si="40">D273*(($F$252)+1)+E273</f>
        <v>930.63929399999984</v>
      </c>
      <c r="G273" s="192" t="str">
        <f>A272</f>
        <v>2nd, 4th, 6th, 8th, 10th, 12th Floor</v>
      </c>
      <c r="H273" s="193"/>
      <c r="I273" s="38"/>
      <c r="N273" s="2" t="str">
        <f t="shared" ref="N273:N276" ca="1" si="41">O273&amp;""&amp;",..,"&amp;""&amp;P273</f>
        <v>201,..,1201</v>
      </c>
      <c r="O273" s="2">
        <f ca="1">(SUMPRODUCT(MID(0&amp;(LEFT(A272,SUM(LEN(A272)-LEN(SUBSTITUTE(A272,{"0","1","2"},""))))), LARGE(INDEX(ISNUMBER(--MID((LEFT(A272,SUM(LEN(A272)-LEN(SUBSTITUTE(A272,{"0","1","2"},""))))), ROW(INDIRECT("1:"&amp;LEN((LEFT(A272,SUM(LEN(A272)-LEN(SUBSTITUTE(A272,{"0","1","2"},"")))))))), 1)) * ROW(INDIRECT("1:"&amp;LEN((LEFT(A272,SUM(LEN(A272)-LEN(SUBSTITUTE(A272,{"0","1","2"},"")))))))), 0), ROW(INDIRECT("1:"&amp;LEN((LEFT(A272,SUM(LEN(A272)-LEN(SUBSTITUTE(A272,{"0","1","2"},"")))))))))+1, 1) * 10^ROW(INDIRECT("1:"&amp;LEN((LEFT(A272,SUM(LEN(A272)-LEN(SUBSTITUTE(A272,{"0","1","2"},""))))))))/10))*100+1</f>
        <v>201</v>
      </c>
      <c r="P273" s="2">
        <f ca="1">(SUMPRODUCT(MID(0&amp;(--TRIM(RIGHT(SUBSTITUTE(LEFT(A272,_xlfn.AGGREGATE(16,6,FIND({0,1,2,3,4,5,6,7,8,9},A272,ROW(INDIRECT("1:"&amp;LEN(A272)))),1))," ",REPT(" ",LEN(A272))),LEN(A272)))), LARGE(INDEX(ISNUMBER(--MID((--TRIM(RIGHT(SUBSTITUTE(LEFT(A272,_xlfn.AGGREGATE(16,6,FIND({0,1,2,3,4,5,6,7,8,9},A272,ROW(INDIRECT("1:"&amp;LEN(A272)))),1))," ",REPT(" ",LEN(A272))),LEN(A272)))), ROW(INDIRECT("1:"&amp;LEN((--TRIM(RIGHT(SUBSTITUTE(LEFT(A272,_xlfn.AGGREGATE(16,6,FIND({0,1,2,3,4,5,6,7,8,9},A272,ROW(INDIRECT("1:"&amp;LEN(A272)))),1))," ",REPT(" ",LEN(A272))),LEN(A272))))))), 1)) * ROW(INDIRECT("1:"&amp;LEN((--TRIM(RIGHT(SUBSTITUTE(LEFT(A272,_xlfn.AGGREGATE(16,6,FIND({0,1,2,3,4,5,6,7,8,9},A272,ROW(INDIRECT("1:"&amp;LEN(A272)))),1))," ",REPT(" ",LEN(A272))),LEN(A272))))))), 0), ROW(INDIRECT("1:"&amp;LEN((--TRIM(RIGHT(SUBSTITUTE(LEFT(A272,_xlfn.AGGREGATE(16,6,FIND({0,1,2,3,4,5,6,7,8,9},A272,ROW(INDIRECT("1:"&amp;LEN(A272)))),1))," ",REPT(" ",LEN(A272))),LEN(A272))))))))+1, 1) * 10^ROW(INDIRECT("1:"&amp;LEN((--TRIM(RIGHT(SUBSTITUTE(LEFT(A272,_xlfn.AGGREGATE(16,6,FIND({0,1,2,3,4,5,6,7,8,9},A272,ROW(INDIRECT("1:"&amp;LEN(A272)))),1))," ",REPT(" ",LEN(A272))),LEN(A272)))))))/10))*100+1</f>
        <v>1201</v>
      </c>
    </row>
    <row r="274" spans="1:16" s="2" customFormat="1" ht="15.75" customHeight="1" x14ac:dyDescent="0.25">
      <c r="A274" s="147" t="str">
        <f t="shared" ca="1" si="39"/>
        <v>202,..,1202</v>
      </c>
      <c r="B274" s="148"/>
      <c r="C274" s="19" t="s">
        <v>205</v>
      </c>
      <c r="D274" s="19">
        <f>59.367*10.764-E274</f>
        <v>583.22581199999991</v>
      </c>
      <c r="E274" s="19">
        <f>5.184*10.764</f>
        <v>55.800576</v>
      </c>
      <c r="F274" s="19">
        <f t="shared" si="40"/>
        <v>930.63929399999984</v>
      </c>
      <c r="G274" s="194"/>
      <c r="H274" s="195"/>
      <c r="I274" s="38"/>
      <c r="N274" s="2" t="str">
        <f t="shared" ca="1" si="41"/>
        <v>202,..,1202</v>
      </c>
      <c r="O274" s="2">
        <f t="shared" ref="O274:P274" ca="1" si="42">O273+1</f>
        <v>202</v>
      </c>
      <c r="P274" s="2">
        <f t="shared" ca="1" si="42"/>
        <v>1202</v>
      </c>
    </row>
    <row r="275" spans="1:16" s="2" customFormat="1" ht="15.75" customHeight="1" x14ac:dyDescent="0.25">
      <c r="A275" s="147" t="str">
        <f t="shared" ca="1" si="39"/>
        <v>203,..,1203</v>
      </c>
      <c r="B275" s="148"/>
      <c r="C275" s="19" t="s">
        <v>203</v>
      </c>
      <c r="D275" s="19">
        <f>40.036*10.764-E275</f>
        <v>390.05506800000001</v>
      </c>
      <c r="E275" s="19">
        <f>3.799*10.764</f>
        <v>40.892435999999996</v>
      </c>
      <c r="F275" s="19">
        <f t="shared" si="40"/>
        <v>625.97503799999993</v>
      </c>
      <c r="G275" s="194"/>
      <c r="H275" s="195"/>
      <c r="I275" s="38"/>
      <c r="N275" s="2" t="str">
        <f t="shared" ca="1" si="41"/>
        <v>203,..,1203</v>
      </c>
      <c r="O275" s="2">
        <f t="shared" ref="O275:P275" ca="1" si="43">O274+1</f>
        <v>203</v>
      </c>
      <c r="P275" s="2">
        <f t="shared" ca="1" si="43"/>
        <v>1203</v>
      </c>
    </row>
    <row r="276" spans="1:16" s="2" customFormat="1" ht="15.75" customHeight="1" x14ac:dyDescent="0.25">
      <c r="A276" s="147" t="str">
        <f t="shared" ca="1" si="39"/>
        <v>204,..,1204</v>
      </c>
      <c r="B276" s="148"/>
      <c r="C276" s="19" t="s">
        <v>203</v>
      </c>
      <c r="D276" s="19">
        <f>39.637*10.764-E276</f>
        <v>385.76023200000003</v>
      </c>
      <c r="E276" s="19">
        <f t="shared" ref="E276:E278" si="44">3.799*10.764</f>
        <v>40.892435999999996</v>
      </c>
      <c r="F276" s="19">
        <f t="shared" si="40"/>
        <v>619.53278399999999</v>
      </c>
      <c r="G276" s="194"/>
      <c r="H276" s="195"/>
      <c r="I276" s="38"/>
      <c r="N276" s="2" t="str">
        <f t="shared" ca="1" si="41"/>
        <v>204,..,1204</v>
      </c>
      <c r="O276" s="2">
        <f t="shared" ref="O276:P276" ca="1" si="45">O275+1</f>
        <v>204</v>
      </c>
      <c r="P276" s="2">
        <f t="shared" ca="1" si="45"/>
        <v>1204</v>
      </c>
    </row>
    <row r="277" spans="1:16" s="2" customFormat="1" ht="15.75" customHeight="1" x14ac:dyDescent="0.25">
      <c r="A277" s="147" t="str">
        <f t="shared" ref="A277:A278" ca="1" si="46">N277</f>
        <v>205,..,1205</v>
      </c>
      <c r="B277" s="148"/>
      <c r="C277" s="19" t="s">
        <v>203</v>
      </c>
      <c r="D277" s="19">
        <f>39.633*10.764-E277</f>
        <v>385.71717600000005</v>
      </c>
      <c r="E277" s="19">
        <f t="shared" si="44"/>
        <v>40.892435999999996</v>
      </c>
      <c r="F277" s="19">
        <f t="shared" ref="F277:F278" si="47">D277*(($F$252)+1)+E277</f>
        <v>619.46820000000002</v>
      </c>
      <c r="G277" s="194"/>
      <c r="H277" s="195"/>
      <c r="I277" s="38"/>
      <c r="N277" s="2" t="str">
        <f t="shared" ref="N277:N278" ca="1" si="48">O277&amp;""&amp;",..,"&amp;""&amp;P277</f>
        <v>205,..,1205</v>
      </c>
      <c r="O277" s="2">
        <f t="shared" ref="O277:P277" ca="1" si="49">O276+1</f>
        <v>205</v>
      </c>
      <c r="P277" s="2">
        <f t="shared" ca="1" si="49"/>
        <v>1205</v>
      </c>
    </row>
    <row r="278" spans="1:16" s="2" customFormat="1" ht="15.75" customHeight="1" x14ac:dyDescent="0.25">
      <c r="A278" s="147" t="str">
        <f t="shared" ca="1" si="46"/>
        <v>206,..,1206</v>
      </c>
      <c r="B278" s="148"/>
      <c r="C278" s="19" t="s">
        <v>203</v>
      </c>
      <c r="D278" s="19">
        <f>39.982*10.764-E278</f>
        <v>389.47381200000001</v>
      </c>
      <c r="E278" s="19">
        <f t="shared" si="44"/>
        <v>40.892435999999996</v>
      </c>
      <c r="F278" s="19">
        <f t="shared" si="47"/>
        <v>625.10315400000002</v>
      </c>
      <c r="G278" s="196"/>
      <c r="H278" s="197"/>
      <c r="I278" s="38"/>
      <c r="N278" s="2" t="str">
        <f t="shared" ca="1" si="48"/>
        <v>206,..,1206</v>
      </c>
      <c r="O278" s="2">
        <f t="shared" ref="O278:P278" ca="1" si="50">O277+1</f>
        <v>206</v>
      </c>
      <c r="P278" s="2">
        <f t="shared" ca="1" si="50"/>
        <v>1206</v>
      </c>
    </row>
    <row r="279" spans="1:16" s="2" customFormat="1" ht="15.75" customHeight="1" x14ac:dyDescent="0.25">
      <c r="A279" s="188" t="s">
        <v>207</v>
      </c>
      <c r="B279" s="189"/>
      <c r="C279" s="189"/>
      <c r="D279" s="189"/>
      <c r="E279" s="189"/>
      <c r="F279" s="189"/>
      <c r="G279" s="189"/>
      <c r="H279" s="190"/>
      <c r="I279" s="38"/>
    </row>
    <row r="280" spans="1:16" s="2" customFormat="1" ht="15.75" customHeight="1" x14ac:dyDescent="0.25">
      <c r="A280" s="188" t="s">
        <v>201</v>
      </c>
      <c r="B280" s="189"/>
      <c r="C280" s="189"/>
      <c r="D280" s="189"/>
      <c r="E280" s="189"/>
      <c r="F280" s="189"/>
      <c r="G280" s="189"/>
      <c r="H280" s="190"/>
      <c r="I280" s="38"/>
    </row>
    <row r="281" spans="1:16" s="2" customFormat="1" ht="15.75" customHeight="1" x14ac:dyDescent="0.25">
      <c r="A281" s="147" t="str">
        <f t="shared" ref="A281:A286" ca="1" si="51">N281</f>
        <v>101,..,1101</v>
      </c>
      <c r="B281" s="148"/>
      <c r="C281" s="49" t="s">
        <v>203</v>
      </c>
      <c r="D281" s="50">
        <f>((1.05*1.1+2.75*4.2+2*2.175+2.75*2.7+2.255*0.4+1.225*0.925+1.115*1.575+2*1)+(2+2.75)*0.7)*10.764</f>
        <v>361.63003500000002</v>
      </c>
      <c r="E281" s="50">
        <f>3.944*10.764</f>
        <v>42.453215999999998</v>
      </c>
      <c r="F281" s="19">
        <f t="shared" ref="F281:F286" si="52">D281*(($F$252)+1)+E281</f>
        <v>584.89826849999997</v>
      </c>
      <c r="G281" s="192" t="str">
        <f>A280</f>
        <v>1st, 3rd, 5th, 7th, 9th, 11th Floor</v>
      </c>
      <c r="H281" s="193"/>
      <c r="I281" s="38"/>
      <c r="N281" s="2" t="str">
        <f t="shared" ref="N281:N286" ca="1" si="53">O281&amp;""&amp;",..,"&amp;""&amp;P281</f>
        <v>101,..,1101</v>
      </c>
      <c r="O281" s="2">
        <f ca="1">(SUMPRODUCT(MID(0&amp;(LEFT(A280,SUM(LEN(A280)-LEN(SUBSTITUTE(A280,{"0","1","2"},""))))), LARGE(INDEX(ISNUMBER(--MID((LEFT(A280,SUM(LEN(A280)-LEN(SUBSTITUTE(A280,{"0","1","2"},""))))), ROW(INDIRECT("1:"&amp;LEN((LEFT(A280,SUM(LEN(A280)-LEN(SUBSTITUTE(A280,{"0","1","2"},"")))))))), 1)) * ROW(INDIRECT("1:"&amp;LEN((LEFT(A280,SUM(LEN(A280)-LEN(SUBSTITUTE(A280,{"0","1","2"},"")))))))), 0), ROW(INDIRECT("1:"&amp;LEN((LEFT(A280,SUM(LEN(A280)-LEN(SUBSTITUTE(A280,{"0","1","2"},"")))))))))+1, 1) * 10^ROW(INDIRECT("1:"&amp;LEN((LEFT(A280,SUM(LEN(A280)-LEN(SUBSTITUTE(A280,{"0","1","2"},""))))))))/10))*100+1</f>
        <v>101</v>
      </c>
      <c r="P281" s="2">
        <f ca="1">(SUMPRODUCT(MID(0&amp;(--TRIM(RIGHT(SUBSTITUTE(LEFT(A280,_xlfn.AGGREGATE(16,6,FIND({0,1,2,3,4,5,6,7,8,9},A280,ROW(INDIRECT("1:"&amp;LEN(A280)))),1))," ",REPT(" ",LEN(A280))),LEN(A280)))), LARGE(INDEX(ISNUMBER(--MID((--TRIM(RIGHT(SUBSTITUTE(LEFT(A280,_xlfn.AGGREGATE(16,6,FIND({0,1,2,3,4,5,6,7,8,9},A280,ROW(INDIRECT("1:"&amp;LEN(A280)))),1))," ",REPT(" ",LEN(A280))),LEN(A280)))), ROW(INDIRECT("1:"&amp;LEN((--TRIM(RIGHT(SUBSTITUTE(LEFT(A280,_xlfn.AGGREGATE(16,6,FIND({0,1,2,3,4,5,6,7,8,9},A280,ROW(INDIRECT("1:"&amp;LEN(A280)))),1))," ",REPT(" ",LEN(A280))),LEN(A280))))))), 1)) * ROW(INDIRECT("1:"&amp;LEN((--TRIM(RIGHT(SUBSTITUTE(LEFT(A280,_xlfn.AGGREGATE(16,6,FIND({0,1,2,3,4,5,6,7,8,9},A280,ROW(INDIRECT("1:"&amp;LEN(A280)))),1))," ",REPT(" ",LEN(A280))),LEN(A280))))))), 0), ROW(INDIRECT("1:"&amp;LEN((--TRIM(RIGHT(SUBSTITUTE(LEFT(A280,_xlfn.AGGREGATE(16,6,FIND({0,1,2,3,4,5,6,7,8,9},A280,ROW(INDIRECT("1:"&amp;LEN(A280)))),1))," ",REPT(" ",LEN(A280))),LEN(A280))))))))+1, 1) * 10^ROW(INDIRECT("1:"&amp;LEN((--TRIM(RIGHT(SUBSTITUTE(LEFT(A280,_xlfn.AGGREGATE(16,6,FIND({0,1,2,3,4,5,6,7,8,9},A280,ROW(INDIRECT("1:"&amp;LEN(A280)))),1))," ",REPT(" ",LEN(A280))),LEN(A280)))))))/10))*100+1</f>
        <v>1101</v>
      </c>
    </row>
    <row r="282" spans="1:16" s="2" customFormat="1" ht="15.75" customHeight="1" x14ac:dyDescent="0.25">
      <c r="A282" s="147" t="str">
        <f t="shared" ca="1" si="51"/>
        <v>102,..,1102</v>
      </c>
      <c r="B282" s="148"/>
      <c r="C282" s="49" t="s">
        <v>203</v>
      </c>
      <c r="D282" s="50">
        <f>((1.05*1.1+2.75*4.2+2*2.175+2.75*2.7+2.255*0.4+1.225*0.925+1.115*1.575+2*1)+(2+2.75)*0.7)*10.764</f>
        <v>361.63003500000002</v>
      </c>
      <c r="E282" s="50">
        <f>3.944*10.764</f>
        <v>42.453215999999998</v>
      </c>
      <c r="F282" s="19">
        <f t="shared" si="52"/>
        <v>584.89826849999997</v>
      </c>
      <c r="G282" s="194"/>
      <c r="H282" s="195"/>
      <c r="I282" s="38"/>
      <c r="N282" s="2" t="str">
        <f t="shared" ca="1" si="53"/>
        <v>102,..,1102</v>
      </c>
      <c r="O282" s="2">
        <f t="shared" ref="O282:P282" ca="1" si="54">O281+1</f>
        <v>102</v>
      </c>
      <c r="P282" s="2">
        <f t="shared" ca="1" si="54"/>
        <v>1102</v>
      </c>
    </row>
    <row r="283" spans="1:16" s="2" customFormat="1" ht="15.75" customHeight="1" x14ac:dyDescent="0.25">
      <c r="A283" s="147" t="str">
        <f t="shared" ca="1" si="51"/>
        <v>103,..,1103</v>
      </c>
      <c r="B283" s="148"/>
      <c r="C283" s="49" t="s">
        <v>205</v>
      </c>
      <c r="D283" s="50">
        <f>((1.5*1.1+4*2.9+0.6*1.8+2.5*2.2+2.65*2.45+2.75*2.9+0.4*1.965+1.98*1.225+1.25*1.9+1*2.6)+(2.2+2.75+2.75)*0.7)*10.764</f>
        <v>515.31573600000002</v>
      </c>
      <c r="E283" s="50">
        <f>2.93*10.764</f>
        <v>31.538519999999998</v>
      </c>
      <c r="F283" s="19">
        <f t="shared" si="52"/>
        <v>804.51212399999997</v>
      </c>
      <c r="G283" s="194"/>
      <c r="H283" s="195"/>
      <c r="I283" s="38"/>
      <c r="N283" s="2" t="str">
        <f t="shared" ca="1" si="53"/>
        <v>103,..,1103</v>
      </c>
      <c r="O283" s="2">
        <f t="shared" ref="O283:P283" ca="1" si="55">O282+1</f>
        <v>103</v>
      </c>
      <c r="P283" s="2">
        <f t="shared" ca="1" si="55"/>
        <v>1103</v>
      </c>
    </row>
    <row r="284" spans="1:16" s="2" customFormat="1" ht="15.75" customHeight="1" x14ac:dyDescent="0.25">
      <c r="A284" s="147" t="str">
        <f t="shared" ca="1" si="51"/>
        <v>104,..,1104</v>
      </c>
      <c r="B284" s="148"/>
      <c r="C284" s="49" t="s">
        <v>205</v>
      </c>
      <c r="D284" s="50">
        <f>((1.5*1.1+4*2.9+0.6*1.8+2.5*2.2+2.65*2.45+2.75*2.9+0.4*1.965+1.98*1.225+1.25*1.9+1*2.6)+(2.2+2.75+2.75)*0.7)*10.764</f>
        <v>515.31573600000002</v>
      </c>
      <c r="E284" s="50">
        <f>3.59*10.764</f>
        <v>38.642759999999996</v>
      </c>
      <c r="F284" s="19">
        <f t="shared" si="52"/>
        <v>811.61636399999998</v>
      </c>
      <c r="G284" s="194"/>
      <c r="H284" s="195"/>
      <c r="I284" s="38"/>
      <c r="N284" s="2" t="str">
        <f t="shared" ca="1" si="53"/>
        <v>104,..,1104</v>
      </c>
      <c r="O284" s="2">
        <f t="shared" ref="O284:P284" ca="1" si="56">O283+1</f>
        <v>104</v>
      </c>
      <c r="P284" s="2">
        <f t="shared" ca="1" si="56"/>
        <v>1104</v>
      </c>
    </row>
    <row r="285" spans="1:16" s="2" customFormat="1" ht="15.75" customHeight="1" x14ac:dyDescent="0.25">
      <c r="A285" s="147" t="str">
        <f t="shared" ca="1" si="51"/>
        <v>105,..,1105</v>
      </c>
      <c r="B285" s="148"/>
      <c r="C285" s="49" t="s">
        <v>203</v>
      </c>
      <c r="D285" s="50">
        <f t="shared" ref="D285:D286" si="57">((1.05*1.1+2.75*4.2+2*2.175+2.75*2.7+2.255*0.4+1.225*0.925+1.115*1.575+2*1)+(2+2.75)*0.7)*10.764</f>
        <v>361.63003500000002</v>
      </c>
      <c r="E285" s="51">
        <f>4.24*10.764</f>
        <v>45.639359999999996</v>
      </c>
      <c r="F285" s="19">
        <f t="shared" si="52"/>
        <v>588.08441249999998</v>
      </c>
      <c r="G285" s="194"/>
      <c r="H285" s="195"/>
      <c r="I285" s="38"/>
      <c r="N285" s="2" t="str">
        <f t="shared" ca="1" si="53"/>
        <v>105,..,1105</v>
      </c>
      <c r="O285" s="2">
        <f t="shared" ref="O285:P285" ca="1" si="58">O284+1</f>
        <v>105</v>
      </c>
      <c r="P285" s="2">
        <f t="shared" ca="1" si="58"/>
        <v>1105</v>
      </c>
    </row>
    <row r="286" spans="1:16" s="2" customFormat="1" ht="15.75" customHeight="1" x14ac:dyDescent="0.25">
      <c r="A286" s="147" t="str">
        <f t="shared" ca="1" si="51"/>
        <v>106,..,1106</v>
      </c>
      <c r="B286" s="148"/>
      <c r="C286" s="49" t="s">
        <v>203</v>
      </c>
      <c r="D286" s="50">
        <f t="shared" si="57"/>
        <v>361.63003500000002</v>
      </c>
      <c r="E286" s="51">
        <f>4.117*10.764</f>
        <v>44.315387999999999</v>
      </c>
      <c r="F286" s="19">
        <f t="shared" si="52"/>
        <v>586.76044049999996</v>
      </c>
      <c r="G286" s="196"/>
      <c r="H286" s="197"/>
      <c r="I286" s="38"/>
      <c r="N286" s="2" t="str">
        <f t="shared" ca="1" si="53"/>
        <v>106,..,1106</v>
      </c>
      <c r="O286" s="2">
        <f t="shared" ref="O286:P286" ca="1" si="59">O285+1</f>
        <v>106</v>
      </c>
      <c r="P286" s="2">
        <f t="shared" ca="1" si="59"/>
        <v>1106</v>
      </c>
    </row>
    <row r="287" spans="1:16" s="2" customFormat="1" ht="15.75" customHeight="1" x14ac:dyDescent="0.25">
      <c r="A287" s="188" t="s">
        <v>206</v>
      </c>
      <c r="B287" s="189"/>
      <c r="C287" s="189"/>
      <c r="D287" s="189"/>
      <c r="E287" s="189"/>
      <c r="F287" s="189"/>
      <c r="G287" s="189"/>
      <c r="H287" s="190"/>
      <c r="I287" s="38"/>
    </row>
    <row r="288" spans="1:16" s="2" customFormat="1" ht="15.75" customHeight="1" x14ac:dyDescent="0.25">
      <c r="A288" s="147" t="str">
        <f t="shared" ref="A288:A293" ca="1" si="60">N288</f>
        <v>201,..,1201</v>
      </c>
      <c r="B288" s="148"/>
      <c r="C288" s="49" t="s">
        <v>203</v>
      </c>
      <c r="D288" s="50">
        <f>((1.05*1.1+2.75*4.2+2*2.175+2.75*2.7+2.255*0.4+1.225*0.925+1.115*1.575+2*1)+(2+2.75)*0.7)*10.764</f>
        <v>361.63003500000002</v>
      </c>
      <c r="E288" s="50">
        <f>4.117*10.764</f>
        <v>44.315387999999999</v>
      </c>
      <c r="F288" s="19">
        <f t="shared" ref="F288:F293" si="61">D288*(($F$252)+1)+E288</f>
        <v>586.76044049999996</v>
      </c>
      <c r="G288" s="192" t="str">
        <f>A287</f>
        <v>2nd, 4th, 6th, 8th, 10th, 12th Floor</v>
      </c>
      <c r="H288" s="193"/>
      <c r="I288" s="38"/>
      <c r="N288" s="2" t="str">
        <f t="shared" ref="N288:N293" ca="1" si="62">O288&amp;""&amp;",..,"&amp;""&amp;P288</f>
        <v>201,..,1201</v>
      </c>
      <c r="O288" s="2">
        <f ca="1">(SUMPRODUCT(MID(0&amp;(LEFT(A287,SUM(LEN(A287)-LEN(SUBSTITUTE(A287,{"0","1","2"},""))))), LARGE(INDEX(ISNUMBER(--MID((LEFT(A287,SUM(LEN(A287)-LEN(SUBSTITUTE(A287,{"0","1","2"},""))))), ROW(INDIRECT("1:"&amp;LEN((LEFT(A287,SUM(LEN(A287)-LEN(SUBSTITUTE(A287,{"0","1","2"},"")))))))), 1)) * ROW(INDIRECT("1:"&amp;LEN((LEFT(A287,SUM(LEN(A287)-LEN(SUBSTITUTE(A287,{"0","1","2"},"")))))))), 0), ROW(INDIRECT("1:"&amp;LEN((LEFT(A287,SUM(LEN(A287)-LEN(SUBSTITUTE(A287,{"0","1","2"},"")))))))))+1, 1) * 10^ROW(INDIRECT("1:"&amp;LEN((LEFT(A287,SUM(LEN(A287)-LEN(SUBSTITUTE(A287,{"0","1","2"},""))))))))/10))*100+1</f>
        <v>201</v>
      </c>
      <c r="P288" s="2">
        <f ca="1">(SUMPRODUCT(MID(0&amp;(--TRIM(RIGHT(SUBSTITUTE(LEFT(A287,_xlfn.AGGREGATE(16,6,FIND({0,1,2,3,4,5,6,7,8,9},A287,ROW(INDIRECT("1:"&amp;LEN(A287)))),1))," ",REPT(" ",LEN(A287))),LEN(A287)))), LARGE(INDEX(ISNUMBER(--MID((--TRIM(RIGHT(SUBSTITUTE(LEFT(A287,_xlfn.AGGREGATE(16,6,FIND({0,1,2,3,4,5,6,7,8,9},A287,ROW(INDIRECT("1:"&amp;LEN(A287)))),1))," ",REPT(" ",LEN(A287))),LEN(A287)))), ROW(INDIRECT("1:"&amp;LEN((--TRIM(RIGHT(SUBSTITUTE(LEFT(A287,_xlfn.AGGREGATE(16,6,FIND({0,1,2,3,4,5,6,7,8,9},A287,ROW(INDIRECT("1:"&amp;LEN(A287)))),1))," ",REPT(" ",LEN(A287))),LEN(A287))))))), 1)) * ROW(INDIRECT("1:"&amp;LEN((--TRIM(RIGHT(SUBSTITUTE(LEFT(A287,_xlfn.AGGREGATE(16,6,FIND({0,1,2,3,4,5,6,7,8,9},A287,ROW(INDIRECT("1:"&amp;LEN(A287)))),1))," ",REPT(" ",LEN(A287))),LEN(A287))))))), 0), ROW(INDIRECT("1:"&amp;LEN((--TRIM(RIGHT(SUBSTITUTE(LEFT(A287,_xlfn.AGGREGATE(16,6,FIND({0,1,2,3,4,5,6,7,8,9},A287,ROW(INDIRECT("1:"&amp;LEN(A287)))),1))," ",REPT(" ",LEN(A287))),LEN(A287))))))))+1, 1) * 10^ROW(INDIRECT("1:"&amp;LEN((--TRIM(RIGHT(SUBSTITUTE(LEFT(A287,_xlfn.AGGREGATE(16,6,FIND({0,1,2,3,4,5,6,7,8,9},A287,ROW(INDIRECT("1:"&amp;LEN(A287)))),1))," ",REPT(" ",LEN(A287))),LEN(A287)))))))/10))*100+1</f>
        <v>1201</v>
      </c>
    </row>
    <row r="289" spans="1:16" s="2" customFormat="1" ht="15.75" customHeight="1" x14ac:dyDescent="0.25">
      <c r="A289" s="147" t="str">
        <f t="shared" ca="1" si="60"/>
        <v>202,..,1202</v>
      </c>
      <c r="B289" s="148"/>
      <c r="C289" s="49" t="s">
        <v>203</v>
      </c>
      <c r="D289" s="50">
        <f>((1.05*1.1+2.75*4.2+2*2.175+2.75*2.7+2.255*0.4+1.225*0.925+1.115*1.575+2*1)+(2+2.75)*0.7)*10.764</f>
        <v>361.63003500000002</v>
      </c>
      <c r="E289" s="50">
        <f>4.117*10.764</f>
        <v>44.315387999999999</v>
      </c>
      <c r="F289" s="19">
        <f t="shared" si="61"/>
        <v>586.76044049999996</v>
      </c>
      <c r="G289" s="194"/>
      <c r="H289" s="195"/>
      <c r="I289" s="38"/>
      <c r="N289" s="2" t="str">
        <f t="shared" ca="1" si="62"/>
        <v>202,..,1202</v>
      </c>
      <c r="O289" s="2">
        <f t="shared" ref="O289:P289" ca="1" si="63">O288+1</f>
        <v>202</v>
      </c>
      <c r="P289" s="2">
        <f t="shared" ca="1" si="63"/>
        <v>1202</v>
      </c>
    </row>
    <row r="290" spans="1:16" s="2" customFormat="1" ht="15.75" customHeight="1" x14ac:dyDescent="0.25">
      <c r="A290" s="147" t="str">
        <f t="shared" ca="1" si="60"/>
        <v>203,..,1203</v>
      </c>
      <c r="B290" s="148"/>
      <c r="C290" s="49" t="s">
        <v>205</v>
      </c>
      <c r="D290" s="50">
        <f>((1.5*1.1+4*2.9+0.6*1.8+2.5*2.2+2.65*2.45+2.75*2.9+0.4*1.965+1.98*1.225+1.25*1.9+1*2.6)+(2.2+2.75+2.75)*0.7)*10.764</f>
        <v>515.31573600000002</v>
      </c>
      <c r="E290" s="50">
        <f>3.915*10.764</f>
        <v>42.141059999999996</v>
      </c>
      <c r="F290" s="19">
        <f t="shared" si="61"/>
        <v>815.11466400000006</v>
      </c>
      <c r="G290" s="194"/>
      <c r="H290" s="195"/>
      <c r="I290" s="38"/>
      <c r="N290" s="2" t="str">
        <f t="shared" ca="1" si="62"/>
        <v>203,..,1203</v>
      </c>
      <c r="O290" s="2">
        <f t="shared" ref="O290:P290" ca="1" si="64">O289+1</f>
        <v>203</v>
      </c>
      <c r="P290" s="2">
        <f t="shared" ca="1" si="64"/>
        <v>1203</v>
      </c>
    </row>
    <row r="291" spans="1:16" s="2" customFormat="1" ht="15.75" customHeight="1" x14ac:dyDescent="0.25">
      <c r="A291" s="147" t="str">
        <f t="shared" ca="1" si="60"/>
        <v>204,..,1204</v>
      </c>
      <c r="B291" s="148"/>
      <c r="C291" s="49" t="s">
        <v>205</v>
      </c>
      <c r="D291" s="50">
        <f>((1.5*1.1+4*2.9+0.6*1.8+2.5*2.2+2.65*2.45+2.75*2.9+0.4*1.965+1.98*1.225+1.25*1.9+1*2.6)+(2.2+2.75+2.75)*0.7)*10.764</f>
        <v>515.31573600000002</v>
      </c>
      <c r="E291" s="50">
        <f>3.915*10.764</f>
        <v>42.141059999999996</v>
      </c>
      <c r="F291" s="19">
        <f t="shared" si="61"/>
        <v>815.11466400000006</v>
      </c>
      <c r="G291" s="194"/>
      <c r="H291" s="195"/>
      <c r="I291" s="38"/>
      <c r="N291" s="2" t="str">
        <f t="shared" ca="1" si="62"/>
        <v>204,..,1204</v>
      </c>
      <c r="O291" s="2">
        <f t="shared" ref="O291:P291" ca="1" si="65">O290+1</f>
        <v>204</v>
      </c>
      <c r="P291" s="2">
        <f t="shared" ca="1" si="65"/>
        <v>1204</v>
      </c>
    </row>
    <row r="292" spans="1:16" s="2" customFormat="1" ht="15.75" customHeight="1" x14ac:dyDescent="0.25">
      <c r="A292" s="147" t="str">
        <f t="shared" ca="1" si="60"/>
        <v>205,..,1205</v>
      </c>
      <c r="B292" s="148"/>
      <c r="C292" s="49" t="s">
        <v>203</v>
      </c>
      <c r="D292" s="50">
        <f t="shared" ref="D292:D293" si="66">((1.05*1.1+2.75*4.2+2*2.175+2.75*2.7+2.255*0.4+1.225*0.925+1.115*1.575+2*1)+(2+2.75)*0.7)*10.764</f>
        <v>361.63003500000002</v>
      </c>
      <c r="E292" s="50">
        <f t="shared" ref="E292:E293" si="67">4.117*10.764</f>
        <v>44.315387999999999</v>
      </c>
      <c r="F292" s="19">
        <f t="shared" si="61"/>
        <v>586.76044049999996</v>
      </c>
      <c r="G292" s="194"/>
      <c r="H292" s="195"/>
      <c r="I292" s="38"/>
      <c r="N292" s="2" t="str">
        <f t="shared" ca="1" si="62"/>
        <v>205,..,1205</v>
      </c>
      <c r="O292" s="2">
        <f t="shared" ref="O292:P292" ca="1" si="68">O291+1</f>
        <v>205</v>
      </c>
      <c r="P292" s="2">
        <f t="shared" ca="1" si="68"/>
        <v>1205</v>
      </c>
    </row>
    <row r="293" spans="1:16" s="2" customFormat="1" ht="15.75" customHeight="1" x14ac:dyDescent="0.25">
      <c r="A293" s="147" t="str">
        <f t="shared" ca="1" si="60"/>
        <v>206,..,1206</v>
      </c>
      <c r="B293" s="148"/>
      <c r="C293" s="49" t="s">
        <v>203</v>
      </c>
      <c r="D293" s="50">
        <f t="shared" si="66"/>
        <v>361.63003500000002</v>
      </c>
      <c r="E293" s="50">
        <f t="shared" si="67"/>
        <v>44.315387999999999</v>
      </c>
      <c r="F293" s="19">
        <f t="shared" si="61"/>
        <v>586.76044049999996</v>
      </c>
      <c r="G293" s="196"/>
      <c r="H293" s="197"/>
      <c r="I293" s="38"/>
      <c r="N293" s="2" t="str">
        <f t="shared" ca="1" si="62"/>
        <v>206,..,1206</v>
      </c>
      <c r="O293" s="2">
        <f t="shared" ref="O293:P293" ca="1" si="69">O292+1</f>
        <v>206</v>
      </c>
      <c r="P293" s="2">
        <f t="shared" ca="1" si="69"/>
        <v>1206</v>
      </c>
    </row>
    <row r="294" spans="1:16" s="2" customFormat="1" ht="15.75" customHeight="1" x14ac:dyDescent="0.25">
      <c r="A294" s="188" t="s">
        <v>208</v>
      </c>
      <c r="B294" s="189"/>
      <c r="C294" s="189"/>
      <c r="D294" s="189"/>
      <c r="E294" s="189"/>
      <c r="F294" s="189"/>
      <c r="G294" s="189"/>
      <c r="H294" s="190"/>
      <c r="I294" s="38"/>
    </row>
    <row r="295" spans="1:16" s="2" customFormat="1" x14ac:dyDescent="0.25">
      <c r="A295" s="198" t="s">
        <v>209</v>
      </c>
      <c r="B295" s="198"/>
      <c r="C295" s="198"/>
      <c r="D295" s="198"/>
      <c r="E295" s="198"/>
      <c r="F295" s="198"/>
      <c r="G295" s="198"/>
      <c r="H295" s="198"/>
      <c r="I295" s="38"/>
      <c r="L295" s="187"/>
      <c r="M295" s="187"/>
    </row>
    <row r="296" spans="1:16" s="2" customFormat="1" x14ac:dyDescent="0.25">
      <c r="A296" s="199">
        <v>104</v>
      </c>
      <c r="B296" s="199"/>
      <c r="C296" s="19" t="s">
        <v>205</v>
      </c>
      <c r="D296" s="19">
        <f>57.77*10.764-E296</f>
        <v>585.07722000000001</v>
      </c>
      <c r="E296" s="19">
        <f>3.415*10.764</f>
        <v>36.759059999999998</v>
      </c>
      <c r="F296" s="19">
        <f t="shared" ref="F296:F297" si="70">D296*(($F$252)+1)+E296</f>
        <v>914.37488999999994</v>
      </c>
      <c r="G296" s="199" t="str">
        <f>A295</f>
        <v>1st Floor</v>
      </c>
      <c r="H296" s="199"/>
      <c r="I296" s="38"/>
      <c r="N296" s="38"/>
    </row>
    <row r="297" spans="1:16" s="2" customFormat="1" x14ac:dyDescent="0.25">
      <c r="A297" s="199">
        <v>105</v>
      </c>
      <c r="B297" s="199"/>
      <c r="C297" s="19" t="s">
        <v>205</v>
      </c>
      <c r="D297" s="19">
        <f>54.111*10.764-E297</f>
        <v>546.94036799999992</v>
      </c>
      <c r="E297" s="19">
        <f>3.299*10.764</f>
        <v>35.510435999999999</v>
      </c>
      <c r="F297" s="19">
        <f t="shared" si="70"/>
        <v>855.92098799999985</v>
      </c>
      <c r="G297" s="199" t="str">
        <f>G296</f>
        <v>1st Floor</v>
      </c>
      <c r="H297" s="199"/>
      <c r="I297" s="38"/>
      <c r="N297" s="38"/>
    </row>
    <row r="298" spans="1:16" s="2" customFormat="1" ht="15.75" customHeight="1" x14ac:dyDescent="0.25">
      <c r="A298" s="188" t="s">
        <v>210</v>
      </c>
      <c r="B298" s="189"/>
      <c r="C298" s="189"/>
      <c r="D298" s="189"/>
      <c r="E298" s="189"/>
      <c r="F298" s="189"/>
      <c r="G298" s="189"/>
      <c r="H298" s="190"/>
      <c r="I298" s="38"/>
    </row>
    <row r="299" spans="1:16" s="2" customFormat="1" ht="15.75" customHeight="1" x14ac:dyDescent="0.25">
      <c r="A299" s="147" t="str">
        <f t="shared" ref="A299:A304" ca="1" si="71">N299</f>
        <v>301,..,1101</v>
      </c>
      <c r="B299" s="148"/>
      <c r="C299" s="19" t="s">
        <v>205</v>
      </c>
      <c r="D299" s="19">
        <f>57.822*10.764-E299</f>
        <v>586.88557199999991</v>
      </c>
      <c r="E299" s="19">
        <f>3.299*10.764</f>
        <v>35.510435999999999</v>
      </c>
      <c r="F299" s="19">
        <f t="shared" ref="F299:F304" si="72">D299*(($F$252)+1)+E299</f>
        <v>915.83879399999989</v>
      </c>
      <c r="G299" s="192" t="str">
        <f>A298</f>
        <v>3rd, 5th, 7th, 9th, 11th Floor</v>
      </c>
      <c r="H299" s="193"/>
      <c r="I299" s="38"/>
      <c r="N299" s="2" t="str">
        <f t="shared" ref="N299:N304" ca="1" si="73">O299&amp;""&amp;",..,"&amp;""&amp;P299</f>
        <v>301,..,1101</v>
      </c>
      <c r="O299" s="2">
        <f ca="1">(SUMPRODUCT(MID(0&amp;(LEFT(A298,SUM(LEN(A298)-LEN(SUBSTITUTE(A298,{"0","1","2"},""))))), LARGE(INDEX(ISNUMBER(--MID((LEFT(A298,SUM(LEN(A298)-LEN(SUBSTITUTE(A298,{"0","1","2"},""))))), ROW(INDIRECT("1:"&amp;LEN((LEFT(A298,SUM(LEN(A298)-LEN(SUBSTITUTE(A298,{"0","1","2"},"")))))))), 1)) * ROW(INDIRECT("1:"&amp;LEN((LEFT(A298,SUM(LEN(A298)-LEN(SUBSTITUTE(A298,{"0","1","2"},"")))))))), 0), ROW(INDIRECT("1:"&amp;LEN((LEFT(A298,SUM(LEN(A298)-LEN(SUBSTITUTE(A298,{"0","1","2"},"")))))))))+1, 1) * 10^ROW(INDIRECT("1:"&amp;LEN((LEFT(A298,SUM(LEN(A298)-LEN(SUBSTITUTE(A298,{"0","1","2"},""))))))))/10))*100+1</f>
        <v>301</v>
      </c>
      <c r="P299" s="2">
        <f ca="1">(SUMPRODUCT(MID(0&amp;(--TRIM(RIGHT(SUBSTITUTE(LEFT(A298,_xlfn.AGGREGATE(16,6,FIND({0,1,2,3,4,5,6,7,8,9},A298,ROW(INDIRECT("1:"&amp;LEN(A298)))),1))," ",REPT(" ",LEN(A298))),LEN(A298)))), LARGE(INDEX(ISNUMBER(--MID((--TRIM(RIGHT(SUBSTITUTE(LEFT(A298,_xlfn.AGGREGATE(16,6,FIND({0,1,2,3,4,5,6,7,8,9},A298,ROW(INDIRECT("1:"&amp;LEN(A298)))),1))," ",REPT(" ",LEN(A298))),LEN(A298)))), ROW(INDIRECT("1:"&amp;LEN((--TRIM(RIGHT(SUBSTITUTE(LEFT(A298,_xlfn.AGGREGATE(16,6,FIND({0,1,2,3,4,5,6,7,8,9},A298,ROW(INDIRECT("1:"&amp;LEN(A298)))),1))," ",REPT(" ",LEN(A298))),LEN(A298))))))), 1)) * ROW(INDIRECT("1:"&amp;LEN((--TRIM(RIGHT(SUBSTITUTE(LEFT(A298,_xlfn.AGGREGATE(16,6,FIND({0,1,2,3,4,5,6,7,8,9},A298,ROW(INDIRECT("1:"&amp;LEN(A298)))),1))," ",REPT(" ",LEN(A298))),LEN(A298))))))), 0), ROW(INDIRECT("1:"&amp;LEN((--TRIM(RIGHT(SUBSTITUTE(LEFT(A298,_xlfn.AGGREGATE(16,6,FIND({0,1,2,3,4,5,6,7,8,9},A298,ROW(INDIRECT("1:"&amp;LEN(A298)))),1))," ",REPT(" ",LEN(A298))),LEN(A298))))))))+1, 1) * 10^ROW(INDIRECT("1:"&amp;LEN((--TRIM(RIGHT(SUBSTITUTE(LEFT(A298,_xlfn.AGGREGATE(16,6,FIND({0,1,2,3,4,5,6,7,8,9},A298,ROW(INDIRECT("1:"&amp;LEN(A298)))),1))," ",REPT(" ",LEN(A298))),LEN(A298)))))))/10))*100+1</f>
        <v>1101</v>
      </c>
    </row>
    <row r="300" spans="1:16" s="2" customFormat="1" ht="15.75" customHeight="1" x14ac:dyDescent="0.25">
      <c r="A300" s="147" t="str">
        <f t="shared" ca="1" si="71"/>
        <v>302,..,1102</v>
      </c>
      <c r="B300" s="148"/>
      <c r="C300" s="19" t="s">
        <v>205</v>
      </c>
      <c r="D300" s="19">
        <f>57.822*10.764-E300</f>
        <v>586.88557199999991</v>
      </c>
      <c r="E300" s="19">
        <f t="shared" ref="E300:E301" si="74">3.299*10.764</f>
        <v>35.510435999999999</v>
      </c>
      <c r="F300" s="19">
        <f t="shared" si="72"/>
        <v>915.83879399999989</v>
      </c>
      <c r="G300" s="194"/>
      <c r="H300" s="195"/>
      <c r="I300" s="38"/>
      <c r="N300" s="2" t="str">
        <f t="shared" ca="1" si="73"/>
        <v>302,..,1102</v>
      </c>
      <c r="O300" s="2">
        <f t="shared" ref="O300:P300" ca="1" si="75">O299+1</f>
        <v>302</v>
      </c>
      <c r="P300" s="2">
        <f t="shared" ca="1" si="75"/>
        <v>1102</v>
      </c>
    </row>
    <row r="301" spans="1:16" s="2" customFormat="1" ht="15.75" customHeight="1" x14ac:dyDescent="0.25">
      <c r="A301" s="147" t="str">
        <f t="shared" ca="1" si="71"/>
        <v>303,..,1103</v>
      </c>
      <c r="B301" s="148"/>
      <c r="C301" s="19" t="s">
        <v>205</v>
      </c>
      <c r="D301" s="19">
        <f>57.653*10.764-E301</f>
        <v>585.0664559999999</v>
      </c>
      <c r="E301" s="19">
        <f t="shared" si="74"/>
        <v>35.510435999999999</v>
      </c>
      <c r="F301" s="19">
        <f t="shared" si="72"/>
        <v>913.11011999999982</v>
      </c>
      <c r="G301" s="194"/>
      <c r="H301" s="195"/>
      <c r="I301" s="38"/>
      <c r="N301" s="2" t="str">
        <f t="shared" ca="1" si="73"/>
        <v>303,..,1103</v>
      </c>
      <c r="O301" s="2">
        <f t="shared" ref="O301:P301" ca="1" si="76">O300+1</f>
        <v>303</v>
      </c>
      <c r="P301" s="2">
        <f t="shared" ca="1" si="76"/>
        <v>1103</v>
      </c>
    </row>
    <row r="302" spans="1:16" s="2" customFormat="1" ht="15.75" customHeight="1" x14ac:dyDescent="0.25">
      <c r="A302" s="147" t="str">
        <f t="shared" ca="1" si="71"/>
        <v>304,..,1104</v>
      </c>
      <c r="B302" s="148"/>
      <c r="C302" s="19" t="s">
        <v>205</v>
      </c>
      <c r="D302" s="19">
        <f>57.77*10.764-E302</f>
        <v>585.07722000000001</v>
      </c>
      <c r="E302" s="19">
        <f>3.415*10.764</f>
        <v>36.759059999999998</v>
      </c>
      <c r="F302" s="19">
        <f t="shared" si="72"/>
        <v>914.37488999999994</v>
      </c>
      <c r="G302" s="194"/>
      <c r="H302" s="195"/>
      <c r="I302" s="38"/>
      <c r="N302" s="2" t="str">
        <f t="shared" ca="1" si="73"/>
        <v>304,..,1104</v>
      </c>
      <c r="O302" s="2">
        <f t="shared" ref="O302:P302" ca="1" si="77">O301+1</f>
        <v>304</v>
      </c>
      <c r="P302" s="2">
        <f t="shared" ca="1" si="77"/>
        <v>1104</v>
      </c>
    </row>
    <row r="303" spans="1:16" s="2" customFormat="1" ht="15.75" customHeight="1" x14ac:dyDescent="0.25">
      <c r="A303" s="147" t="str">
        <f t="shared" ca="1" si="71"/>
        <v>305,..,1105</v>
      </c>
      <c r="B303" s="148"/>
      <c r="C303" s="19" t="s">
        <v>243</v>
      </c>
      <c r="D303" s="19">
        <f>54.111*10.764-E303</f>
        <v>546.94036799999992</v>
      </c>
      <c r="E303" s="19">
        <f>3.299*10.764</f>
        <v>35.510435999999999</v>
      </c>
      <c r="F303" s="19">
        <f t="shared" si="72"/>
        <v>855.92098799999985</v>
      </c>
      <c r="G303" s="194"/>
      <c r="H303" s="195"/>
      <c r="I303" s="38"/>
      <c r="N303" s="2" t="str">
        <f t="shared" ca="1" si="73"/>
        <v>305,..,1105</v>
      </c>
      <c r="O303" s="2">
        <f t="shared" ref="O303:P303" ca="1" si="78">O302+1</f>
        <v>305</v>
      </c>
      <c r="P303" s="2">
        <f t="shared" ca="1" si="78"/>
        <v>1105</v>
      </c>
    </row>
    <row r="304" spans="1:16" s="2" customFormat="1" ht="15.75" customHeight="1" x14ac:dyDescent="0.25">
      <c r="A304" s="147" t="str">
        <f t="shared" ca="1" si="71"/>
        <v>306,..,1106</v>
      </c>
      <c r="B304" s="148"/>
      <c r="C304" s="19" t="s">
        <v>243</v>
      </c>
      <c r="D304" s="19">
        <f>53.731*10.764-E304</f>
        <v>546.49904399999991</v>
      </c>
      <c r="E304" s="19">
        <f>2.96*10.764</f>
        <v>31.861439999999998</v>
      </c>
      <c r="F304" s="19">
        <f t="shared" si="72"/>
        <v>851.61000599999988</v>
      </c>
      <c r="G304" s="196"/>
      <c r="H304" s="197"/>
      <c r="I304" s="38"/>
      <c r="N304" s="2" t="str">
        <f t="shared" ca="1" si="73"/>
        <v>306,..,1106</v>
      </c>
      <c r="O304" s="2">
        <f t="shared" ref="O304:P304" ca="1" si="79">O303+1</f>
        <v>306</v>
      </c>
      <c r="P304" s="2">
        <f t="shared" ca="1" si="79"/>
        <v>1106</v>
      </c>
    </row>
    <row r="305" spans="1:16" s="2" customFormat="1" ht="15.75" customHeight="1" x14ac:dyDescent="0.25">
      <c r="A305" s="188" t="s">
        <v>206</v>
      </c>
      <c r="B305" s="189"/>
      <c r="C305" s="189"/>
      <c r="D305" s="189"/>
      <c r="E305" s="189"/>
      <c r="F305" s="189"/>
      <c r="G305" s="189"/>
      <c r="H305" s="190"/>
      <c r="I305" s="38"/>
    </row>
    <row r="306" spans="1:16" s="2" customFormat="1" ht="15.75" customHeight="1" x14ac:dyDescent="0.25">
      <c r="A306" s="147" t="str">
        <f t="shared" ref="A306:A311" ca="1" si="80">N306</f>
        <v>201,..,1201</v>
      </c>
      <c r="B306" s="148"/>
      <c r="C306" s="19" t="s">
        <v>205</v>
      </c>
      <c r="D306" s="19">
        <f>59.256*10.764-E306</f>
        <v>582.03100799999993</v>
      </c>
      <c r="E306" s="19">
        <f>5.184*10.764</f>
        <v>55.800576</v>
      </c>
      <c r="F306" s="19">
        <f t="shared" ref="F306:F311" si="81">D306*(($F$252)+1)+E306</f>
        <v>928.84708799999987</v>
      </c>
      <c r="G306" s="192" t="str">
        <f>A305</f>
        <v>2nd, 4th, 6th, 8th, 10th, 12th Floor</v>
      </c>
      <c r="H306" s="193"/>
      <c r="I306" s="38"/>
      <c r="N306" s="2" t="str">
        <f t="shared" ref="N306:N311" ca="1" si="82">O306&amp;""&amp;",..,"&amp;""&amp;P306</f>
        <v>201,..,1201</v>
      </c>
      <c r="O306" s="2">
        <f ca="1">(SUMPRODUCT(MID(0&amp;(LEFT(A305,SUM(LEN(A305)-LEN(SUBSTITUTE(A305,{"0","1","2"},""))))), LARGE(INDEX(ISNUMBER(--MID((LEFT(A305,SUM(LEN(A305)-LEN(SUBSTITUTE(A305,{"0","1","2"},""))))), ROW(INDIRECT("1:"&amp;LEN((LEFT(A305,SUM(LEN(A305)-LEN(SUBSTITUTE(A305,{"0","1","2"},"")))))))), 1)) * ROW(INDIRECT("1:"&amp;LEN((LEFT(A305,SUM(LEN(A305)-LEN(SUBSTITUTE(A305,{"0","1","2"},"")))))))), 0), ROW(INDIRECT("1:"&amp;LEN((LEFT(A305,SUM(LEN(A305)-LEN(SUBSTITUTE(A305,{"0","1","2"},"")))))))))+1, 1) * 10^ROW(INDIRECT("1:"&amp;LEN((LEFT(A305,SUM(LEN(A305)-LEN(SUBSTITUTE(A305,{"0","1","2"},""))))))))/10))*100+1</f>
        <v>201</v>
      </c>
      <c r="P306" s="2">
        <f ca="1">(SUMPRODUCT(MID(0&amp;(--TRIM(RIGHT(SUBSTITUTE(LEFT(A305,_xlfn.AGGREGATE(16,6,FIND({0,1,2,3,4,5,6,7,8,9},A305,ROW(INDIRECT("1:"&amp;LEN(A305)))),1))," ",REPT(" ",LEN(A305))),LEN(A305)))), LARGE(INDEX(ISNUMBER(--MID((--TRIM(RIGHT(SUBSTITUTE(LEFT(A305,_xlfn.AGGREGATE(16,6,FIND({0,1,2,3,4,5,6,7,8,9},A305,ROW(INDIRECT("1:"&amp;LEN(A305)))),1))," ",REPT(" ",LEN(A305))),LEN(A305)))), ROW(INDIRECT("1:"&amp;LEN((--TRIM(RIGHT(SUBSTITUTE(LEFT(A305,_xlfn.AGGREGATE(16,6,FIND({0,1,2,3,4,5,6,7,8,9},A305,ROW(INDIRECT("1:"&amp;LEN(A305)))),1))," ",REPT(" ",LEN(A305))),LEN(A305))))))), 1)) * ROW(INDIRECT("1:"&amp;LEN((--TRIM(RIGHT(SUBSTITUTE(LEFT(A305,_xlfn.AGGREGATE(16,6,FIND({0,1,2,3,4,5,6,7,8,9},A305,ROW(INDIRECT("1:"&amp;LEN(A305)))),1))," ",REPT(" ",LEN(A305))),LEN(A305))))))), 0), ROW(INDIRECT("1:"&amp;LEN((--TRIM(RIGHT(SUBSTITUTE(LEFT(A305,_xlfn.AGGREGATE(16,6,FIND({0,1,2,3,4,5,6,7,8,9},A305,ROW(INDIRECT("1:"&amp;LEN(A305)))),1))," ",REPT(" ",LEN(A305))),LEN(A305))))))))+1, 1) * 10^ROW(INDIRECT("1:"&amp;LEN((--TRIM(RIGHT(SUBSTITUTE(LEFT(A305,_xlfn.AGGREGATE(16,6,FIND({0,1,2,3,4,5,6,7,8,9},A305,ROW(INDIRECT("1:"&amp;LEN(A305)))),1))," ",REPT(" ",LEN(A305))),LEN(A305)))))))/10))*100+1</f>
        <v>1201</v>
      </c>
    </row>
    <row r="307" spans="1:16" s="2" customFormat="1" ht="15.75" customHeight="1" x14ac:dyDescent="0.25">
      <c r="A307" s="147" t="str">
        <f t="shared" ca="1" si="80"/>
        <v>202,..,1202</v>
      </c>
      <c r="B307" s="148"/>
      <c r="C307" s="19" t="s">
        <v>205</v>
      </c>
      <c r="D307" s="19">
        <f>59.256*10.764-E307</f>
        <v>582.03100799999993</v>
      </c>
      <c r="E307" s="19">
        <f>5.184*10.764</f>
        <v>55.800576</v>
      </c>
      <c r="F307" s="19">
        <f t="shared" si="81"/>
        <v>928.84708799999987</v>
      </c>
      <c r="G307" s="194"/>
      <c r="H307" s="195"/>
      <c r="I307" s="38"/>
      <c r="N307" s="2" t="str">
        <f t="shared" ca="1" si="82"/>
        <v>202,..,1202</v>
      </c>
      <c r="O307" s="2">
        <f t="shared" ref="O307:P307" ca="1" si="83">O306+1</f>
        <v>202</v>
      </c>
      <c r="P307" s="2">
        <f t="shared" ca="1" si="83"/>
        <v>1202</v>
      </c>
    </row>
    <row r="308" spans="1:16" s="2" customFormat="1" ht="15.75" customHeight="1" x14ac:dyDescent="0.25">
      <c r="A308" s="147" t="str">
        <f t="shared" ca="1" si="80"/>
        <v>203,..,1203</v>
      </c>
      <c r="B308" s="148"/>
      <c r="C308" s="19" t="s">
        <v>205</v>
      </c>
      <c r="D308" s="19">
        <f>59.86*10.764-E308</f>
        <v>586.03521599999999</v>
      </c>
      <c r="E308" s="19">
        <f>5.416*10.764</f>
        <v>58.297823999999999</v>
      </c>
      <c r="F308" s="19">
        <f t="shared" si="81"/>
        <v>937.35064799999998</v>
      </c>
      <c r="G308" s="194"/>
      <c r="H308" s="195"/>
      <c r="I308" s="38"/>
      <c r="N308" s="2" t="str">
        <f t="shared" ca="1" si="82"/>
        <v>203,..,1203</v>
      </c>
      <c r="O308" s="2">
        <f t="shared" ref="O308:P308" ca="1" si="84">O307+1</f>
        <v>203</v>
      </c>
      <c r="P308" s="2">
        <f t="shared" ca="1" si="84"/>
        <v>1203</v>
      </c>
    </row>
    <row r="309" spans="1:16" s="2" customFormat="1" ht="15.75" customHeight="1" x14ac:dyDescent="0.25">
      <c r="A309" s="147" t="str">
        <f t="shared" ca="1" si="80"/>
        <v>204,..,1204</v>
      </c>
      <c r="B309" s="148"/>
      <c r="C309" s="19" t="s">
        <v>205</v>
      </c>
      <c r="D309" s="19">
        <f>59.914*10.764-E309</f>
        <v>586.61647199999993</v>
      </c>
      <c r="E309" s="19">
        <f>5.416*10.764</f>
        <v>58.297823999999999</v>
      </c>
      <c r="F309" s="19">
        <f t="shared" si="81"/>
        <v>938.22253199999989</v>
      </c>
      <c r="G309" s="194"/>
      <c r="H309" s="195"/>
      <c r="I309" s="38"/>
      <c r="N309" s="2" t="str">
        <f t="shared" ca="1" si="82"/>
        <v>204,..,1204</v>
      </c>
      <c r="O309" s="2">
        <f t="shared" ref="O309:P309" ca="1" si="85">O308+1</f>
        <v>204</v>
      </c>
      <c r="P309" s="2">
        <f t="shared" ca="1" si="85"/>
        <v>1204</v>
      </c>
    </row>
    <row r="310" spans="1:16" s="2" customFormat="1" ht="15.75" customHeight="1" x14ac:dyDescent="0.25">
      <c r="A310" s="147" t="str">
        <f t="shared" ca="1" si="80"/>
        <v>205,..,1205</v>
      </c>
      <c r="B310" s="148"/>
      <c r="C310" s="19" t="s">
        <v>243</v>
      </c>
      <c r="D310" s="19">
        <f>54.126*10.764-E310</f>
        <v>543.84033599999998</v>
      </c>
      <c r="E310" s="19">
        <f>3.602*10.764</f>
        <v>38.771927999999996</v>
      </c>
      <c r="F310" s="19">
        <f t="shared" si="81"/>
        <v>854.53243199999997</v>
      </c>
      <c r="G310" s="194"/>
      <c r="H310" s="195"/>
      <c r="I310" s="38"/>
      <c r="N310" s="2" t="str">
        <f t="shared" ca="1" si="82"/>
        <v>205,..,1205</v>
      </c>
      <c r="O310" s="2">
        <f t="shared" ref="O310:P310" ca="1" si="86">O309+1</f>
        <v>205</v>
      </c>
      <c r="P310" s="2">
        <f t="shared" ca="1" si="86"/>
        <v>1205</v>
      </c>
    </row>
    <row r="311" spans="1:16" s="2" customFormat="1" ht="15.75" customHeight="1" x14ac:dyDescent="0.25">
      <c r="A311" s="147" t="str">
        <f t="shared" ca="1" si="80"/>
        <v>206,..,1206</v>
      </c>
      <c r="B311" s="148"/>
      <c r="C311" s="19" t="s">
        <v>243</v>
      </c>
      <c r="D311" s="19">
        <f>53.722*10.764-E311</f>
        <v>539.49167999999997</v>
      </c>
      <c r="E311" s="19">
        <f>3.602*10.764</f>
        <v>38.771927999999996</v>
      </c>
      <c r="F311" s="19">
        <f t="shared" si="81"/>
        <v>848.00944799999991</v>
      </c>
      <c r="G311" s="196"/>
      <c r="H311" s="197"/>
      <c r="I311" s="38"/>
      <c r="N311" s="2" t="str">
        <f t="shared" ca="1" si="82"/>
        <v>206,..,1206</v>
      </c>
      <c r="O311" s="2">
        <f t="shared" ref="O311:P311" ca="1" si="87">O310+1</f>
        <v>206</v>
      </c>
      <c r="P311" s="2">
        <f t="shared" ca="1" si="87"/>
        <v>1206</v>
      </c>
    </row>
    <row r="312" spans="1:16" s="2" customFormat="1" ht="15.75" customHeight="1" x14ac:dyDescent="0.25">
      <c r="A312" s="188" t="s">
        <v>211</v>
      </c>
      <c r="B312" s="189"/>
      <c r="C312" s="189"/>
      <c r="D312" s="189"/>
      <c r="E312" s="189"/>
      <c r="F312" s="189"/>
      <c r="G312" s="189"/>
      <c r="H312" s="190"/>
      <c r="I312" s="38"/>
    </row>
    <row r="313" spans="1:16" s="2" customFormat="1" x14ac:dyDescent="0.25">
      <c r="A313" s="198" t="s">
        <v>209</v>
      </c>
      <c r="B313" s="198"/>
      <c r="C313" s="198"/>
      <c r="D313" s="198"/>
      <c r="E313" s="198"/>
      <c r="F313" s="198"/>
      <c r="G313" s="198"/>
      <c r="H313" s="198"/>
      <c r="I313" s="38"/>
      <c r="L313" s="187"/>
      <c r="M313" s="187"/>
    </row>
    <row r="314" spans="1:16" s="2" customFormat="1" x14ac:dyDescent="0.25">
      <c r="A314" s="199">
        <v>101</v>
      </c>
      <c r="B314" s="199"/>
      <c r="C314" s="19" t="s">
        <v>203</v>
      </c>
      <c r="D314" s="19">
        <f>40.063*10.764-E314</f>
        <v>387.84844800000002</v>
      </c>
      <c r="E314" s="19">
        <f>4.031*10.764</f>
        <v>43.389683999999995</v>
      </c>
      <c r="F314" s="19">
        <f t="shared" ref="F314:F315" si="88">D314*(($F$252)+1)+E314</f>
        <v>625.16235600000005</v>
      </c>
      <c r="G314" s="192" t="str">
        <f>A313</f>
        <v>1st Floor</v>
      </c>
      <c r="H314" s="193"/>
      <c r="I314" s="38"/>
      <c r="N314" s="38"/>
    </row>
    <row r="315" spans="1:16" s="2" customFormat="1" x14ac:dyDescent="0.25">
      <c r="A315" s="199">
        <v>102</v>
      </c>
      <c r="B315" s="199"/>
      <c r="C315" s="19" t="s">
        <v>203</v>
      </c>
      <c r="D315" s="19">
        <f>40.063*10.764-E315</f>
        <v>387.84844800000002</v>
      </c>
      <c r="E315" s="19">
        <f>4.031*10.764</f>
        <v>43.389683999999995</v>
      </c>
      <c r="F315" s="19">
        <f t="shared" si="88"/>
        <v>625.16235600000005</v>
      </c>
      <c r="G315" s="194"/>
      <c r="H315" s="195"/>
      <c r="I315" s="38"/>
      <c r="N315" s="38"/>
    </row>
    <row r="316" spans="1:16" s="2" customFormat="1" x14ac:dyDescent="0.25">
      <c r="A316" s="199">
        <v>105</v>
      </c>
      <c r="B316" s="199"/>
      <c r="C316" s="19" t="s">
        <v>203</v>
      </c>
      <c r="D316" s="19">
        <f>39.948*10.764-E316</f>
        <v>387.85921200000001</v>
      </c>
      <c r="E316" s="19">
        <f>3.915*10.764</f>
        <v>42.141059999999996</v>
      </c>
      <c r="F316" s="19">
        <f t="shared" ref="F316:F317" si="89">D316*(($F$252)+1)+E316</f>
        <v>623.92987800000003</v>
      </c>
      <c r="G316" s="194"/>
      <c r="H316" s="195"/>
      <c r="I316" s="38"/>
      <c r="N316" s="38"/>
    </row>
    <row r="317" spans="1:16" s="2" customFormat="1" x14ac:dyDescent="0.25">
      <c r="A317" s="199">
        <v>106</v>
      </c>
      <c r="B317" s="199"/>
      <c r="C317" s="19" t="s">
        <v>203</v>
      </c>
      <c r="D317" s="19">
        <f>39.948*10.764-E317</f>
        <v>387.85921200000001</v>
      </c>
      <c r="E317" s="19">
        <f>3.915*10.764</f>
        <v>42.141059999999996</v>
      </c>
      <c r="F317" s="19">
        <f t="shared" si="89"/>
        <v>623.92987800000003</v>
      </c>
      <c r="G317" s="196"/>
      <c r="H317" s="197"/>
      <c r="I317" s="38"/>
      <c r="N317" s="38"/>
    </row>
    <row r="318" spans="1:16" s="2" customFormat="1" ht="15.75" customHeight="1" x14ac:dyDescent="0.25">
      <c r="A318" s="188" t="s">
        <v>210</v>
      </c>
      <c r="B318" s="189"/>
      <c r="C318" s="189"/>
      <c r="D318" s="189"/>
      <c r="E318" s="189"/>
      <c r="F318" s="189"/>
      <c r="G318" s="189"/>
      <c r="H318" s="190"/>
      <c r="I318" s="38"/>
    </row>
    <row r="319" spans="1:16" s="2" customFormat="1" x14ac:dyDescent="0.25">
      <c r="A319" s="147" t="str">
        <f t="shared" ref="A319:A324" ca="1" si="90">N319</f>
        <v>301,..,1101</v>
      </c>
      <c r="B319" s="148"/>
      <c r="C319" s="19" t="s">
        <v>203</v>
      </c>
      <c r="D319" s="19">
        <f>40.063*10.764-E319</f>
        <v>387.84844800000002</v>
      </c>
      <c r="E319" s="19">
        <f>4.031*10.764</f>
        <v>43.389683999999995</v>
      </c>
      <c r="F319" s="19">
        <f t="shared" ref="F319:F324" si="91">D319*(($F$252)+1)+E319</f>
        <v>625.16235600000005</v>
      </c>
      <c r="G319" s="147" t="str">
        <f>A318</f>
        <v>3rd, 5th, 7th, 9th, 11th Floor</v>
      </c>
      <c r="H319" s="148"/>
      <c r="I319" s="38"/>
      <c r="N319" s="2" t="str">
        <f t="shared" ref="N319:N324" ca="1" si="92">O319&amp;""&amp;",..,"&amp;""&amp;P319</f>
        <v>301,..,1101</v>
      </c>
      <c r="O319" s="2">
        <f ca="1">(SUMPRODUCT(MID(0&amp;(LEFT(A318,SUM(LEN(A318)-LEN(SUBSTITUTE(A318,{"0","1","2"},""))))), LARGE(INDEX(ISNUMBER(--MID((LEFT(A318,SUM(LEN(A318)-LEN(SUBSTITUTE(A318,{"0","1","2"},""))))), ROW(INDIRECT("1:"&amp;LEN((LEFT(A318,SUM(LEN(A318)-LEN(SUBSTITUTE(A318,{"0","1","2"},"")))))))), 1)) * ROW(INDIRECT("1:"&amp;LEN((LEFT(A318,SUM(LEN(A318)-LEN(SUBSTITUTE(A318,{"0","1","2"},"")))))))), 0), ROW(INDIRECT("1:"&amp;LEN((LEFT(A318,SUM(LEN(A318)-LEN(SUBSTITUTE(A318,{"0","1","2"},"")))))))))+1, 1) * 10^ROW(INDIRECT("1:"&amp;LEN((LEFT(A318,SUM(LEN(A318)-LEN(SUBSTITUTE(A318,{"0","1","2"},""))))))))/10))*100+1</f>
        <v>301</v>
      </c>
      <c r="P319" s="2">
        <f ca="1">(SUMPRODUCT(MID(0&amp;(--TRIM(RIGHT(SUBSTITUTE(LEFT(A318,_xlfn.AGGREGATE(16,6,FIND({0,1,2,3,4,5,6,7,8,9},A318,ROW(INDIRECT("1:"&amp;LEN(A318)))),1))," ",REPT(" ",LEN(A318))),LEN(A318)))), LARGE(INDEX(ISNUMBER(--MID((--TRIM(RIGHT(SUBSTITUTE(LEFT(A318,_xlfn.AGGREGATE(16,6,FIND({0,1,2,3,4,5,6,7,8,9},A318,ROW(INDIRECT("1:"&amp;LEN(A318)))),1))," ",REPT(" ",LEN(A318))),LEN(A318)))), ROW(INDIRECT("1:"&amp;LEN((--TRIM(RIGHT(SUBSTITUTE(LEFT(A318,_xlfn.AGGREGATE(16,6,FIND({0,1,2,3,4,5,6,7,8,9},A318,ROW(INDIRECT("1:"&amp;LEN(A318)))),1))," ",REPT(" ",LEN(A318))),LEN(A318))))))), 1)) * ROW(INDIRECT("1:"&amp;LEN((--TRIM(RIGHT(SUBSTITUTE(LEFT(A318,_xlfn.AGGREGATE(16,6,FIND({0,1,2,3,4,5,6,7,8,9},A318,ROW(INDIRECT("1:"&amp;LEN(A318)))),1))," ",REPT(" ",LEN(A318))),LEN(A318))))))), 0), ROW(INDIRECT("1:"&amp;LEN((--TRIM(RIGHT(SUBSTITUTE(LEFT(A318,_xlfn.AGGREGATE(16,6,FIND({0,1,2,3,4,5,6,7,8,9},A318,ROW(INDIRECT("1:"&amp;LEN(A318)))),1))," ",REPT(" ",LEN(A318))),LEN(A318))))))))+1, 1) * 10^ROW(INDIRECT("1:"&amp;LEN((--TRIM(RIGHT(SUBSTITUTE(LEFT(A318,_xlfn.AGGREGATE(16,6,FIND({0,1,2,3,4,5,6,7,8,9},A318,ROW(INDIRECT("1:"&amp;LEN(A318)))),1))," ",REPT(" ",LEN(A318))),LEN(A318)))))))/10))*100+1</f>
        <v>1101</v>
      </c>
    </row>
    <row r="320" spans="1:16" s="2" customFormat="1" x14ac:dyDescent="0.25">
      <c r="A320" s="147" t="str">
        <f t="shared" ca="1" si="90"/>
        <v>302,..,1102</v>
      </c>
      <c r="B320" s="148"/>
      <c r="C320" s="19" t="s">
        <v>203</v>
      </c>
      <c r="D320" s="19">
        <f>40.063*10.764-E320</f>
        <v>387.84844800000002</v>
      </c>
      <c r="E320" s="19">
        <f>4.031*10.764</f>
        <v>43.389683999999995</v>
      </c>
      <c r="F320" s="19">
        <f t="shared" si="91"/>
        <v>625.16235600000005</v>
      </c>
      <c r="G320" s="147" t="str">
        <f>G319</f>
        <v>3rd, 5th, 7th, 9th, 11th Floor</v>
      </c>
      <c r="H320" s="148"/>
      <c r="I320" s="38"/>
      <c r="N320" s="2" t="str">
        <f t="shared" ca="1" si="92"/>
        <v>302,..,1102</v>
      </c>
      <c r="O320" s="2">
        <f t="shared" ref="O320:P320" ca="1" si="93">O319+1</f>
        <v>302</v>
      </c>
      <c r="P320" s="2">
        <f t="shared" ca="1" si="93"/>
        <v>1102</v>
      </c>
    </row>
    <row r="321" spans="1:16" s="2" customFormat="1" x14ac:dyDescent="0.25">
      <c r="A321" s="147" t="str">
        <f t="shared" ca="1" si="90"/>
        <v>303,..,1103</v>
      </c>
      <c r="B321" s="148"/>
      <c r="C321" s="19" t="s">
        <v>205</v>
      </c>
      <c r="D321" s="19">
        <f>57.941*10.764-E321</f>
        <v>586.91786400000001</v>
      </c>
      <c r="E321" s="19">
        <f>3.415*10.764</f>
        <v>36.759059999999998</v>
      </c>
      <c r="F321" s="19">
        <f t="shared" si="91"/>
        <v>917.13585599999999</v>
      </c>
      <c r="G321" s="147" t="str">
        <f>G320</f>
        <v>3rd, 5th, 7th, 9th, 11th Floor</v>
      </c>
      <c r="H321" s="148"/>
      <c r="I321" s="38"/>
      <c r="N321" s="2" t="str">
        <f t="shared" ca="1" si="92"/>
        <v>303,..,1103</v>
      </c>
      <c r="O321" s="2">
        <f t="shared" ref="O321:P321" ca="1" si="94">O320+1</f>
        <v>303</v>
      </c>
      <c r="P321" s="2">
        <f t="shared" ca="1" si="94"/>
        <v>1103</v>
      </c>
    </row>
    <row r="322" spans="1:16" s="2" customFormat="1" x14ac:dyDescent="0.25">
      <c r="A322" s="147" t="str">
        <f t="shared" ca="1" si="90"/>
        <v>304,..,1104</v>
      </c>
      <c r="B322" s="148"/>
      <c r="C322" s="19" t="s">
        <v>205</v>
      </c>
      <c r="D322" s="19">
        <f>57.941*10.764-E322</f>
        <v>586.91786400000001</v>
      </c>
      <c r="E322" s="19">
        <f>3.415*10.764</f>
        <v>36.759059999999998</v>
      </c>
      <c r="F322" s="19">
        <f t="shared" si="91"/>
        <v>917.13585599999999</v>
      </c>
      <c r="G322" s="147" t="str">
        <f>G321</f>
        <v>3rd, 5th, 7th, 9th, 11th Floor</v>
      </c>
      <c r="H322" s="148"/>
      <c r="I322" s="38"/>
      <c r="N322" s="2" t="str">
        <f t="shared" ca="1" si="92"/>
        <v>304,..,1104</v>
      </c>
      <c r="O322" s="2">
        <f t="shared" ref="O322:P322" ca="1" si="95">O321+1</f>
        <v>304</v>
      </c>
      <c r="P322" s="2">
        <f t="shared" ca="1" si="95"/>
        <v>1104</v>
      </c>
    </row>
    <row r="323" spans="1:16" s="2" customFormat="1" x14ac:dyDescent="0.25">
      <c r="A323" s="147" t="str">
        <f t="shared" ca="1" si="90"/>
        <v>305,..,1105</v>
      </c>
      <c r="B323" s="148"/>
      <c r="C323" s="19" t="s">
        <v>203</v>
      </c>
      <c r="D323" s="19">
        <f>39.948*10.764-E323</f>
        <v>387.85921200000001</v>
      </c>
      <c r="E323" s="19">
        <f>3.915*10.764</f>
        <v>42.141059999999996</v>
      </c>
      <c r="F323" s="19">
        <f t="shared" si="91"/>
        <v>623.92987800000003</v>
      </c>
      <c r="G323" s="147" t="str">
        <f>G322</f>
        <v>3rd, 5th, 7th, 9th, 11th Floor</v>
      </c>
      <c r="H323" s="148"/>
      <c r="I323" s="38"/>
      <c r="N323" s="2" t="str">
        <f t="shared" ca="1" si="92"/>
        <v>305,..,1105</v>
      </c>
      <c r="O323" s="2">
        <f t="shared" ref="O323:P323" ca="1" si="96">O322+1</f>
        <v>305</v>
      </c>
      <c r="P323" s="2">
        <f t="shared" ca="1" si="96"/>
        <v>1105</v>
      </c>
    </row>
    <row r="324" spans="1:16" s="2" customFormat="1" x14ac:dyDescent="0.25">
      <c r="A324" s="147" t="str">
        <f t="shared" ca="1" si="90"/>
        <v>306,..,1106</v>
      </c>
      <c r="B324" s="148"/>
      <c r="C324" s="19" t="s">
        <v>203</v>
      </c>
      <c r="D324" s="19">
        <f>39.948*10.764-E324</f>
        <v>387.85921200000001</v>
      </c>
      <c r="E324" s="19">
        <f>3.915*10.764</f>
        <v>42.141059999999996</v>
      </c>
      <c r="F324" s="19">
        <f t="shared" si="91"/>
        <v>623.92987800000003</v>
      </c>
      <c r="G324" s="147" t="str">
        <f>G323</f>
        <v>3rd, 5th, 7th, 9th, 11th Floor</v>
      </c>
      <c r="H324" s="148"/>
      <c r="I324" s="38"/>
      <c r="N324" s="2" t="str">
        <f t="shared" ca="1" si="92"/>
        <v>306,..,1106</v>
      </c>
      <c r="O324" s="2">
        <f t="shared" ref="O324:P324" ca="1" si="97">O323+1</f>
        <v>306</v>
      </c>
      <c r="P324" s="2">
        <f t="shared" ca="1" si="97"/>
        <v>1106</v>
      </c>
    </row>
    <row r="325" spans="1:16" s="2" customFormat="1" ht="15.75" customHeight="1" x14ac:dyDescent="0.25">
      <c r="A325" s="188" t="s">
        <v>206</v>
      </c>
      <c r="B325" s="189"/>
      <c r="C325" s="189"/>
      <c r="D325" s="189"/>
      <c r="E325" s="189"/>
      <c r="F325" s="189"/>
      <c r="G325" s="189"/>
      <c r="H325" s="190"/>
      <c r="I325" s="38"/>
    </row>
    <row r="326" spans="1:16" s="2" customFormat="1" x14ac:dyDescent="0.25">
      <c r="A326" s="147" t="str">
        <f t="shared" ref="A326:A331" ca="1" si="98">N326</f>
        <v>201,..,1201</v>
      </c>
      <c r="B326" s="148"/>
      <c r="C326" s="19" t="s">
        <v>203</v>
      </c>
      <c r="D326" s="19">
        <f>39.939*10.764-E326</f>
        <v>389.01096000000001</v>
      </c>
      <c r="E326" s="19">
        <f>3.799*10.764</f>
        <v>40.892435999999996</v>
      </c>
      <c r="F326" s="19">
        <f t="shared" ref="F326:F331" si="99">D326*(($F$252)+1)+E326</f>
        <v>624.40887599999996</v>
      </c>
      <c r="G326" s="147" t="str">
        <f>A325</f>
        <v>2nd, 4th, 6th, 8th, 10th, 12th Floor</v>
      </c>
      <c r="H326" s="148"/>
      <c r="I326" s="38"/>
      <c r="N326" s="2" t="str">
        <f t="shared" ref="N326:N331" ca="1" si="100">O326&amp;""&amp;",..,"&amp;""&amp;P326</f>
        <v>201,..,1201</v>
      </c>
      <c r="O326" s="2">
        <f ca="1">(SUMPRODUCT(MID(0&amp;(LEFT(A325,SUM(LEN(A325)-LEN(SUBSTITUTE(A325,{"0","1","2"},""))))), LARGE(INDEX(ISNUMBER(--MID((LEFT(A325,SUM(LEN(A325)-LEN(SUBSTITUTE(A325,{"0","1","2"},""))))), ROW(INDIRECT("1:"&amp;LEN((LEFT(A325,SUM(LEN(A325)-LEN(SUBSTITUTE(A325,{"0","1","2"},"")))))))), 1)) * ROW(INDIRECT("1:"&amp;LEN((LEFT(A325,SUM(LEN(A325)-LEN(SUBSTITUTE(A325,{"0","1","2"},"")))))))), 0), ROW(INDIRECT("1:"&amp;LEN((LEFT(A325,SUM(LEN(A325)-LEN(SUBSTITUTE(A325,{"0","1","2"},"")))))))))+1, 1) * 10^ROW(INDIRECT("1:"&amp;LEN((LEFT(A325,SUM(LEN(A325)-LEN(SUBSTITUTE(A325,{"0","1","2"},""))))))))/10))*100+1</f>
        <v>201</v>
      </c>
      <c r="P326" s="2">
        <f ca="1">(SUMPRODUCT(MID(0&amp;(--TRIM(RIGHT(SUBSTITUTE(LEFT(A325,_xlfn.AGGREGATE(16,6,FIND({0,1,2,3,4,5,6,7,8,9},A325,ROW(INDIRECT("1:"&amp;LEN(A325)))),1))," ",REPT(" ",LEN(A325))),LEN(A325)))), LARGE(INDEX(ISNUMBER(--MID((--TRIM(RIGHT(SUBSTITUTE(LEFT(A325,_xlfn.AGGREGATE(16,6,FIND({0,1,2,3,4,5,6,7,8,9},A325,ROW(INDIRECT("1:"&amp;LEN(A325)))),1))," ",REPT(" ",LEN(A325))),LEN(A325)))), ROW(INDIRECT("1:"&amp;LEN((--TRIM(RIGHT(SUBSTITUTE(LEFT(A325,_xlfn.AGGREGATE(16,6,FIND({0,1,2,3,4,5,6,7,8,9},A325,ROW(INDIRECT("1:"&amp;LEN(A325)))),1))," ",REPT(" ",LEN(A325))),LEN(A325))))))), 1)) * ROW(INDIRECT("1:"&amp;LEN((--TRIM(RIGHT(SUBSTITUTE(LEFT(A325,_xlfn.AGGREGATE(16,6,FIND({0,1,2,3,4,5,6,7,8,9},A325,ROW(INDIRECT("1:"&amp;LEN(A325)))),1))," ",REPT(" ",LEN(A325))),LEN(A325))))))), 0), ROW(INDIRECT("1:"&amp;LEN((--TRIM(RIGHT(SUBSTITUTE(LEFT(A325,_xlfn.AGGREGATE(16,6,FIND({0,1,2,3,4,5,6,7,8,9},A325,ROW(INDIRECT("1:"&amp;LEN(A325)))),1))," ",REPT(" ",LEN(A325))),LEN(A325))))))))+1, 1) * 10^ROW(INDIRECT("1:"&amp;LEN((--TRIM(RIGHT(SUBSTITUTE(LEFT(A325,_xlfn.AGGREGATE(16,6,FIND({0,1,2,3,4,5,6,7,8,9},A325,ROW(INDIRECT("1:"&amp;LEN(A325)))),1))," ",REPT(" ",LEN(A325))),LEN(A325)))))))/10))*100+1</f>
        <v>1201</v>
      </c>
    </row>
    <row r="327" spans="1:16" s="2" customFormat="1" x14ac:dyDescent="0.25">
      <c r="A327" s="147" t="str">
        <f t="shared" ca="1" si="98"/>
        <v>202,..,1202</v>
      </c>
      <c r="B327" s="148"/>
      <c r="C327" s="19" t="s">
        <v>203</v>
      </c>
      <c r="D327" s="19">
        <f>39.938*10.764-E327</f>
        <v>389.00019600000002</v>
      </c>
      <c r="E327" s="19">
        <f>3.799*10.764</f>
        <v>40.892435999999996</v>
      </c>
      <c r="F327" s="19">
        <f t="shared" si="99"/>
        <v>624.39273000000003</v>
      </c>
      <c r="G327" s="147" t="str">
        <f>G326</f>
        <v>2nd, 4th, 6th, 8th, 10th, 12th Floor</v>
      </c>
      <c r="H327" s="148"/>
      <c r="I327" s="38"/>
      <c r="N327" s="2" t="str">
        <f t="shared" ca="1" si="100"/>
        <v>202,..,1202</v>
      </c>
      <c r="O327" s="2">
        <f t="shared" ref="O327:P327" ca="1" si="101">O326+1</f>
        <v>202</v>
      </c>
      <c r="P327" s="2">
        <f t="shared" ca="1" si="101"/>
        <v>1202</v>
      </c>
    </row>
    <row r="328" spans="1:16" s="2" customFormat="1" x14ac:dyDescent="0.25">
      <c r="A328" s="147" t="str">
        <f t="shared" ca="1" si="98"/>
        <v>203,..,1203</v>
      </c>
      <c r="B328" s="148"/>
      <c r="C328" s="19" t="s">
        <v>205</v>
      </c>
      <c r="D328" s="19">
        <f>59.659*10.764-E328</f>
        <v>583.87165199999993</v>
      </c>
      <c r="E328" s="19">
        <f>5.416*10.764</f>
        <v>58.297823999999999</v>
      </c>
      <c r="F328" s="19">
        <f t="shared" si="99"/>
        <v>934.10530199999994</v>
      </c>
      <c r="G328" s="147" t="str">
        <f>G327</f>
        <v>2nd, 4th, 6th, 8th, 10th, 12th Floor</v>
      </c>
      <c r="H328" s="148"/>
      <c r="I328" s="38"/>
      <c r="N328" s="2" t="str">
        <f t="shared" ca="1" si="100"/>
        <v>203,..,1203</v>
      </c>
      <c r="O328" s="2">
        <f t="shared" ref="O328:P328" ca="1" si="102">O327+1</f>
        <v>203</v>
      </c>
      <c r="P328" s="2">
        <f t="shared" ca="1" si="102"/>
        <v>1203</v>
      </c>
    </row>
    <row r="329" spans="1:16" s="2" customFormat="1" x14ac:dyDescent="0.25">
      <c r="A329" s="147" t="str">
        <f t="shared" ca="1" si="98"/>
        <v>204,..,1204</v>
      </c>
      <c r="B329" s="148"/>
      <c r="C329" s="19" t="s">
        <v>205</v>
      </c>
      <c r="D329" s="19">
        <f>59.659*10.764-E329</f>
        <v>583.87165199999993</v>
      </c>
      <c r="E329" s="19">
        <f>5.416*10.764</f>
        <v>58.297823999999999</v>
      </c>
      <c r="F329" s="19">
        <f t="shared" si="99"/>
        <v>934.10530199999994</v>
      </c>
      <c r="G329" s="147" t="str">
        <f>G328</f>
        <v>2nd, 4th, 6th, 8th, 10th, 12th Floor</v>
      </c>
      <c r="H329" s="148"/>
      <c r="I329" s="38"/>
      <c r="N329" s="2" t="str">
        <f t="shared" ca="1" si="100"/>
        <v>204,..,1204</v>
      </c>
      <c r="O329" s="2">
        <f t="shared" ref="O329:P329" ca="1" si="103">O328+1</f>
        <v>204</v>
      </c>
      <c r="P329" s="2">
        <f t="shared" ca="1" si="103"/>
        <v>1204</v>
      </c>
    </row>
    <row r="330" spans="1:16" s="2" customFormat="1" x14ac:dyDescent="0.25">
      <c r="A330" s="147" t="str">
        <f t="shared" ca="1" si="98"/>
        <v>205,..,1205</v>
      </c>
      <c r="B330" s="148"/>
      <c r="C330" s="19" t="s">
        <v>203</v>
      </c>
      <c r="D330" s="19">
        <f>39.884*10.764-E330</f>
        <v>388.41894000000002</v>
      </c>
      <c r="E330" s="19">
        <f t="shared" ref="E330:E331" si="104">3.799*10.764</f>
        <v>40.892435999999996</v>
      </c>
      <c r="F330" s="19">
        <f t="shared" si="99"/>
        <v>623.52084600000001</v>
      </c>
      <c r="G330" s="147" t="str">
        <f>G329</f>
        <v>2nd, 4th, 6th, 8th, 10th, 12th Floor</v>
      </c>
      <c r="H330" s="148"/>
      <c r="I330" s="38"/>
      <c r="N330" s="2" t="str">
        <f t="shared" ca="1" si="100"/>
        <v>205,..,1205</v>
      </c>
      <c r="O330" s="2">
        <f t="shared" ref="O330:P330" ca="1" si="105">O329+1</f>
        <v>205</v>
      </c>
      <c r="P330" s="2">
        <f t="shared" ca="1" si="105"/>
        <v>1205</v>
      </c>
    </row>
    <row r="331" spans="1:16" s="2" customFormat="1" x14ac:dyDescent="0.25">
      <c r="A331" s="147" t="str">
        <f t="shared" ca="1" si="98"/>
        <v>206,..,1206</v>
      </c>
      <c r="B331" s="148"/>
      <c r="C331" s="19" t="s">
        <v>203</v>
      </c>
      <c r="D331" s="19">
        <f>39.884*10.764-E331</f>
        <v>388.41894000000002</v>
      </c>
      <c r="E331" s="19">
        <f t="shared" si="104"/>
        <v>40.892435999999996</v>
      </c>
      <c r="F331" s="19">
        <f t="shared" si="99"/>
        <v>623.52084600000001</v>
      </c>
      <c r="G331" s="147" t="str">
        <f>G330</f>
        <v>2nd, 4th, 6th, 8th, 10th, 12th Floor</v>
      </c>
      <c r="H331" s="148"/>
      <c r="I331" s="38"/>
      <c r="N331" s="2" t="str">
        <f t="shared" ca="1" si="100"/>
        <v>206,..,1206</v>
      </c>
      <c r="O331" s="2">
        <f t="shared" ref="O331:P331" ca="1" si="106">O330+1</f>
        <v>206</v>
      </c>
      <c r="P331" s="2">
        <f t="shared" ca="1" si="106"/>
        <v>1206</v>
      </c>
    </row>
    <row r="332" spans="1:16" s="2" customFormat="1" ht="15.75" customHeight="1" x14ac:dyDescent="0.25">
      <c r="A332" s="188" t="s">
        <v>212</v>
      </c>
      <c r="B332" s="189"/>
      <c r="C332" s="189"/>
      <c r="D332" s="189"/>
      <c r="E332" s="189"/>
      <c r="F332" s="189"/>
      <c r="G332" s="189"/>
      <c r="H332" s="190"/>
      <c r="I332" s="38"/>
    </row>
    <row r="333" spans="1:16" s="2" customFormat="1" ht="15.75" customHeight="1" x14ac:dyDescent="0.25">
      <c r="A333" s="188" t="s">
        <v>201</v>
      </c>
      <c r="B333" s="189"/>
      <c r="C333" s="189"/>
      <c r="D333" s="189"/>
      <c r="E333" s="189"/>
      <c r="F333" s="189"/>
      <c r="G333" s="189"/>
      <c r="H333" s="190"/>
      <c r="I333" s="38"/>
    </row>
    <row r="334" spans="1:16" s="2" customFormat="1" x14ac:dyDescent="0.25">
      <c r="A334" s="147" t="str">
        <f t="shared" ref="A334:A339" ca="1" si="107">N334</f>
        <v>101,..,1101</v>
      </c>
      <c r="B334" s="148"/>
      <c r="C334" s="19" t="s">
        <v>203</v>
      </c>
      <c r="D334" s="19">
        <f>39.947*10.764-E334</f>
        <v>387.84844800000002</v>
      </c>
      <c r="E334" s="19">
        <f>3.915*10.764</f>
        <v>42.141059999999996</v>
      </c>
      <c r="F334" s="19">
        <f t="shared" ref="F334:F339" si="108">D334*(($F$252)+1)+E334</f>
        <v>623.9137320000001</v>
      </c>
      <c r="G334" s="147" t="str">
        <f>A333</f>
        <v>1st, 3rd, 5th, 7th, 9th, 11th Floor</v>
      </c>
      <c r="H334" s="148"/>
      <c r="I334" s="38"/>
      <c r="N334" s="2" t="str">
        <f t="shared" ref="N334:N339" ca="1" si="109">O334&amp;""&amp;",..,"&amp;""&amp;P334</f>
        <v>101,..,1101</v>
      </c>
      <c r="O334" s="2">
        <f ca="1">(SUMPRODUCT(MID(0&amp;(LEFT(A333,SUM(LEN(A333)-LEN(SUBSTITUTE(A333,{"0","1","2"},""))))), LARGE(INDEX(ISNUMBER(--MID((LEFT(A333,SUM(LEN(A333)-LEN(SUBSTITUTE(A333,{"0","1","2"},""))))), ROW(INDIRECT("1:"&amp;LEN((LEFT(A333,SUM(LEN(A333)-LEN(SUBSTITUTE(A333,{"0","1","2"},"")))))))), 1)) * ROW(INDIRECT("1:"&amp;LEN((LEFT(A333,SUM(LEN(A333)-LEN(SUBSTITUTE(A333,{"0","1","2"},"")))))))), 0), ROW(INDIRECT("1:"&amp;LEN((LEFT(A333,SUM(LEN(A333)-LEN(SUBSTITUTE(A333,{"0","1","2"},"")))))))))+1, 1) * 10^ROW(INDIRECT("1:"&amp;LEN((LEFT(A333,SUM(LEN(A333)-LEN(SUBSTITUTE(A333,{"0","1","2"},""))))))))/10))*100+1</f>
        <v>101</v>
      </c>
      <c r="P334" s="2">
        <f ca="1">(SUMPRODUCT(MID(0&amp;(--TRIM(RIGHT(SUBSTITUTE(LEFT(A333,_xlfn.AGGREGATE(16,6,FIND({0,1,2,3,4,5,6,7,8,9},A333,ROW(INDIRECT("1:"&amp;LEN(A333)))),1))," ",REPT(" ",LEN(A333))),LEN(A333)))), LARGE(INDEX(ISNUMBER(--MID((--TRIM(RIGHT(SUBSTITUTE(LEFT(A333,_xlfn.AGGREGATE(16,6,FIND({0,1,2,3,4,5,6,7,8,9},A333,ROW(INDIRECT("1:"&amp;LEN(A333)))),1))," ",REPT(" ",LEN(A333))),LEN(A333)))), ROW(INDIRECT("1:"&amp;LEN((--TRIM(RIGHT(SUBSTITUTE(LEFT(A333,_xlfn.AGGREGATE(16,6,FIND({0,1,2,3,4,5,6,7,8,9},A333,ROW(INDIRECT("1:"&amp;LEN(A333)))),1))," ",REPT(" ",LEN(A333))),LEN(A333))))))), 1)) * ROW(INDIRECT("1:"&amp;LEN((--TRIM(RIGHT(SUBSTITUTE(LEFT(A333,_xlfn.AGGREGATE(16,6,FIND({0,1,2,3,4,5,6,7,8,9},A333,ROW(INDIRECT("1:"&amp;LEN(A333)))),1))," ",REPT(" ",LEN(A333))),LEN(A333))))))), 0), ROW(INDIRECT("1:"&amp;LEN((--TRIM(RIGHT(SUBSTITUTE(LEFT(A333,_xlfn.AGGREGATE(16,6,FIND({0,1,2,3,4,5,6,7,8,9},A333,ROW(INDIRECT("1:"&amp;LEN(A333)))),1))," ",REPT(" ",LEN(A333))),LEN(A333))))))))+1, 1) * 10^ROW(INDIRECT("1:"&amp;LEN((--TRIM(RIGHT(SUBSTITUTE(LEFT(A333,_xlfn.AGGREGATE(16,6,FIND({0,1,2,3,4,5,6,7,8,9},A333,ROW(INDIRECT("1:"&amp;LEN(A333)))),1))," ",REPT(" ",LEN(A333))),LEN(A333)))))))/10))*100+1</f>
        <v>1101</v>
      </c>
    </row>
    <row r="335" spans="1:16" s="2" customFormat="1" x14ac:dyDescent="0.25">
      <c r="A335" s="147" t="str">
        <f t="shared" ca="1" si="107"/>
        <v>102,..,1102</v>
      </c>
      <c r="B335" s="148"/>
      <c r="C335" s="19" t="s">
        <v>203</v>
      </c>
      <c r="D335" s="19">
        <f>39.947*10.764-E335</f>
        <v>387.84844800000002</v>
      </c>
      <c r="E335" s="19">
        <f t="shared" ref="E335:E336" si="110">3.915*10.764</f>
        <v>42.141059999999996</v>
      </c>
      <c r="F335" s="19">
        <f t="shared" si="108"/>
        <v>623.9137320000001</v>
      </c>
      <c r="G335" s="147" t="str">
        <f>G334</f>
        <v>1st, 3rd, 5th, 7th, 9th, 11th Floor</v>
      </c>
      <c r="H335" s="148"/>
      <c r="I335" s="38"/>
      <c r="N335" s="2" t="str">
        <f t="shared" ca="1" si="109"/>
        <v>102,..,1102</v>
      </c>
      <c r="O335" s="2">
        <f t="shared" ref="O335:P335" ca="1" si="111">O334+1</f>
        <v>102</v>
      </c>
      <c r="P335" s="2">
        <f t="shared" ca="1" si="111"/>
        <v>1102</v>
      </c>
    </row>
    <row r="336" spans="1:16" s="2" customFormat="1" x14ac:dyDescent="0.25">
      <c r="A336" s="147" t="str">
        <f t="shared" ca="1" si="107"/>
        <v>103,..,1103</v>
      </c>
      <c r="B336" s="148"/>
      <c r="C336" s="19" t="s">
        <v>203</v>
      </c>
      <c r="D336" s="19">
        <f>40.044*10.764-E336</f>
        <v>388.89255599999996</v>
      </c>
      <c r="E336" s="19">
        <f t="shared" si="110"/>
        <v>42.141059999999996</v>
      </c>
      <c r="F336" s="19">
        <f t="shared" si="108"/>
        <v>625.47989399999994</v>
      </c>
      <c r="G336" s="147" t="str">
        <f>G335</f>
        <v>1st, 3rd, 5th, 7th, 9th, 11th Floor</v>
      </c>
      <c r="H336" s="148"/>
      <c r="I336" s="38"/>
      <c r="N336" s="2" t="str">
        <f t="shared" ca="1" si="109"/>
        <v>103,..,1103</v>
      </c>
      <c r="O336" s="2">
        <f t="shared" ref="O336:P336" ca="1" si="112">O335+1</f>
        <v>103</v>
      </c>
      <c r="P336" s="2">
        <f t="shared" ca="1" si="112"/>
        <v>1103</v>
      </c>
    </row>
    <row r="337" spans="1:16" s="2" customFormat="1" x14ac:dyDescent="0.25">
      <c r="A337" s="147" t="str">
        <f t="shared" ca="1" si="107"/>
        <v>104,..,1104</v>
      </c>
      <c r="B337" s="148"/>
      <c r="C337" s="19" t="s">
        <v>203</v>
      </c>
      <c r="D337" s="19">
        <f>40.063*10.764-E337</f>
        <v>387.84844800000002</v>
      </c>
      <c r="E337" s="19">
        <f>4.031*10.764</f>
        <v>43.389683999999995</v>
      </c>
      <c r="F337" s="19">
        <f t="shared" si="108"/>
        <v>625.16235600000005</v>
      </c>
      <c r="G337" s="147" t="str">
        <f>G336</f>
        <v>1st, 3rd, 5th, 7th, 9th, 11th Floor</v>
      </c>
      <c r="H337" s="148"/>
      <c r="I337" s="38"/>
      <c r="N337" s="2" t="str">
        <f t="shared" ca="1" si="109"/>
        <v>104,..,1104</v>
      </c>
      <c r="O337" s="2">
        <f t="shared" ref="O337:P337" ca="1" si="113">O336+1</f>
        <v>104</v>
      </c>
      <c r="P337" s="2">
        <f t="shared" ca="1" si="113"/>
        <v>1104</v>
      </c>
    </row>
    <row r="338" spans="1:16" s="2" customFormat="1" x14ac:dyDescent="0.25">
      <c r="A338" s="147" t="str">
        <f t="shared" ca="1" si="107"/>
        <v>105,..,1105</v>
      </c>
      <c r="B338" s="148"/>
      <c r="C338" s="19" t="s">
        <v>243</v>
      </c>
      <c r="D338" s="19">
        <f>54.281*10.764-E338</f>
        <v>547.52162399999997</v>
      </c>
      <c r="E338" s="19">
        <f>3.415*10.764</f>
        <v>36.759059999999998</v>
      </c>
      <c r="F338" s="19">
        <f t="shared" si="108"/>
        <v>858.04149599999994</v>
      </c>
      <c r="G338" s="147" t="str">
        <f>G337</f>
        <v>1st, 3rd, 5th, 7th, 9th, 11th Floor</v>
      </c>
      <c r="H338" s="148"/>
      <c r="I338" s="38"/>
      <c r="N338" s="2" t="str">
        <f t="shared" ca="1" si="109"/>
        <v>105,..,1105</v>
      </c>
      <c r="O338" s="2">
        <f t="shared" ref="O338:P338" ca="1" si="114">O337+1</f>
        <v>105</v>
      </c>
      <c r="P338" s="2">
        <f t="shared" ca="1" si="114"/>
        <v>1105</v>
      </c>
    </row>
    <row r="339" spans="1:16" s="2" customFormat="1" x14ac:dyDescent="0.25">
      <c r="A339" s="147" t="str">
        <f t="shared" ca="1" si="107"/>
        <v>106,..,1106</v>
      </c>
      <c r="B339" s="148"/>
      <c r="C339" s="19" t="s">
        <v>243</v>
      </c>
      <c r="D339" s="19">
        <f>54.281*10.764-E339</f>
        <v>547.52162399999997</v>
      </c>
      <c r="E339" s="19">
        <f>3.415*10.764</f>
        <v>36.759059999999998</v>
      </c>
      <c r="F339" s="19">
        <f t="shared" si="108"/>
        <v>858.04149599999994</v>
      </c>
      <c r="G339" s="147" t="str">
        <f>G338</f>
        <v>1st, 3rd, 5th, 7th, 9th, 11th Floor</v>
      </c>
      <c r="H339" s="148"/>
      <c r="I339" s="38"/>
      <c r="N339" s="2" t="str">
        <f t="shared" ca="1" si="109"/>
        <v>106,..,1106</v>
      </c>
      <c r="O339" s="2">
        <f t="shared" ref="O339:P339" ca="1" si="115">O338+1</f>
        <v>106</v>
      </c>
      <c r="P339" s="2">
        <f t="shared" ca="1" si="115"/>
        <v>1106</v>
      </c>
    </row>
    <row r="340" spans="1:16" s="2" customFormat="1" ht="15.75" customHeight="1" x14ac:dyDescent="0.25">
      <c r="A340" s="188" t="s">
        <v>202</v>
      </c>
      <c r="B340" s="189"/>
      <c r="C340" s="189"/>
      <c r="D340" s="189"/>
      <c r="E340" s="189"/>
      <c r="F340" s="189"/>
      <c r="G340" s="189"/>
      <c r="H340" s="190"/>
      <c r="I340" s="38"/>
    </row>
    <row r="341" spans="1:16" s="2" customFormat="1" x14ac:dyDescent="0.25">
      <c r="A341" s="147" t="str">
        <f t="shared" ref="A341:A346" ca="1" si="116">N341</f>
        <v>201,..,1001</v>
      </c>
      <c r="B341" s="148"/>
      <c r="C341" s="19" t="s">
        <v>203</v>
      </c>
      <c r="D341" s="19">
        <f>39.885*10.764-E341</f>
        <v>388.42970399999996</v>
      </c>
      <c r="E341" s="19">
        <f>3.799*10.764</f>
        <v>40.892435999999996</v>
      </c>
      <c r="F341" s="19">
        <f t="shared" ref="F341:F346" si="117">D341*(($F$252)+1)+E341</f>
        <v>623.53699199999994</v>
      </c>
      <c r="G341" s="147" t="str">
        <f>A340</f>
        <v>2nd, 4th, 6th, 8th, 10th Floor</v>
      </c>
      <c r="H341" s="148"/>
      <c r="I341" s="38"/>
      <c r="N341" s="2" t="str">
        <f t="shared" ref="N341:N346" ca="1" si="118">O341&amp;""&amp;",..,"&amp;""&amp;P341</f>
        <v>201,..,1001</v>
      </c>
      <c r="O341" s="2">
        <f ca="1">(SUMPRODUCT(MID(0&amp;(LEFT(A340,SUM(LEN(A340)-LEN(SUBSTITUTE(A340,{"0","1","2"},""))))), LARGE(INDEX(ISNUMBER(--MID((LEFT(A340,SUM(LEN(A340)-LEN(SUBSTITUTE(A340,{"0","1","2"},""))))), ROW(INDIRECT("1:"&amp;LEN((LEFT(A340,SUM(LEN(A340)-LEN(SUBSTITUTE(A340,{"0","1","2"},"")))))))), 1)) * ROW(INDIRECT("1:"&amp;LEN((LEFT(A340,SUM(LEN(A340)-LEN(SUBSTITUTE(A340,{"0","1","2"},"")))))))), 0), ROW(INDIRECT("1:"&amp;LEN((LEFT(A340,SUM(LEN(A340)-LEN(SUBSTITUTE(A340,{"0","1","2"},"")))))))))+1, 1) * 10^ROW(INDIRECT("1:"&amp;LEN((LEFT(A340,SUM(LEN(A340)-LEN(SUBSTITUTE(A340,{"0","1","2"},""))))))))/10))*100+1</f>
        <v>201</v>
      </c>
      <c r="P341" s="2">
        <f ca="1">(SUMPRODUCT(MID(0&amp;(--TRIM(RIGHT(SUBSTITUTE(LEFT(A340,_xlfn.AGGREGATE(16,6,FIND({0,1,2,3,4,5,6,7,8,9},A340,ROW(INDIRECT("1:"&amp;LEN(A340)))),1))," ",REPT(" ",LEN(A340))),LEN(A340)))), LARGE(INDEX(ISNUMBER(--MID((--TRIM(RIGHT(SUBSTITUTE(LEFT(A340,_xlfn.AGGREGATE(16,6,FIND({0,1,2,3,4,5,6,7,8,9},A340,ROW(INDIRECT("1:"&amp;LEN(A340)))),1))," ",REPT(" ",LEN(A340))),LEN(A340)))), ROW(INDIRECT("1:"&amp;LEN((--TRIM(RIGHT(SUBSTITUTE(LEFT(A340,_xlfn.AGGREGATE(16,6,FIND({0,1,2,3,4,5,6,7,8,9},A340,ROW(INDIRECT("1:"&amp;LEN(A340)))),1))," ",REPT(" ",LEN(A340))),LEN(A340))))))), 1)) * ROW(INDIRECT("1:"&amp;LEN((--TRIM(RIGHT(SUBSTITUTE(LEFT(A340,_xlfn.AGGREGATE(16,6,FIND({0,1,2,3,4,5,6,7,8,9},A340,ROW(INDIRECT("1:"&amp;LEN(A340)))),1))," ",REPT(" ",LEN(A340))),LEN(A340))))))), 0), ROW(INDIRECT("1:"&amp;LEN((--TRIM(RIGHT(SUBSTITUTE(LEFT(A340,_xlfn.AGGREGATE(16,6,FIND({0,1,2,3,4,5,6,7,8,9},A340,ROW(INDIRECT("1:"&amp;LEN(A340)))),1))," ",REPT(" ",LEN(A340))),LEN(A340))))))))+1, 1) * 10^ROW(INDIRECT("1:"&amp;LEN((--TRIM(RIGHT(SUBSTITUTE(LEFT(A340,_xlfn.AGGREGATE(16,6,FIND({0,1,2,3,4,5,6,7,8,9},A340,ROW(INDIRECT("1:"&amp;LEN(A340)))),1))," ",REPT(" ",LEN(A340))),LEN(A340)))))))/10))*100+1</f>
        <v>1001</v>
      </c>
    </row>
    <row r="342" spans="1:16" s="2" customFormat="1" x14ac:dyDescent="0.25">
      <c r="A342" s="147" t="str">
        <f t="shared" ca="1" si="116"/>
        <v>202,..,1002</v>
      </c>
      <c r="B342" s="148"/>
      <c r="C342" s="19" t="s">
        <v>203</v>
      </c>
      <c r="D342" s="19">
        <f>39.925*10.764-E342</f>
        <v>388.86026399999997</v>
      </c>
      <c r="E342" s="19">
        <f>3.799*10.764</f>
        <v>40.892435999999996</v>
      </c>
      <c r="F342" s="19">
        <f t="shared" si="117"/>
        <v>624.18283199999996</v>
      </c>
      <c r="G342" s="147" t="str">
        <f>G341</f>
        <v>2nd, 4th, 6th, 8th, 10th Floor</v>
      </c>
      <c r="H342" s="148"/>
      <c r="I342" s="38"/>
      <c r="N342" s="2" t="str">
        <f t="shared" ca="1" si="118"/>
        <v>202,..,1002</v>
      </c>
      <c r="O342" s="2">
        <f t="shared" ref="O342:P342" ca="1" si="119">O341+1</f>
        <v>202</v>
      </c>
      <c r="P342" s="2">
        <f t="shared" ca="1" si="119"/>
        <v>1002</v>
      </c>
    </row>
    <row r="343" spans="1:16" s="2" customFormat="1" x14ac:dyDescent="0.25">
      <c r="A343" s="147" t="str">
        <f t="shared" ca="1" si="116"/>
        <v>203,..,1003</v>
      </c>
      <c r="B343" s="148"/>
      <c r="C343" s="19" t="s">
        <v>203</v>
      </c>
      <c r="D343" s="19">
        <f>39.9+82*10.764-E343</f>
        <v>881.65556399999991</v>
      </c>
      <c r="E343" s="19">
        <f t="shared" ref="E343:E344" si="120">3.799*10.764</f>
        <v>40.892435999999996</v>
      </c>
      <c r="F343" s="19">
        <f t="shared" si="117"/>
        <v>1363.3757820000001</v>
      </c>
      <c r="G343" s="147" t="str">
        <f>G342</f>
        <v>2nd, 4th, 6th, 8th, 10th Floor</v>
      </c>
      <c r="H343" s="148"/>
      <c r="I343" s="38"/>
      <c r="N343" s="2" t="str">
        <f t="shared" ca="1" si="118"/>
        <v>203,..,1003</v>
      </c>
      <c r="O343" s="2">
        <f t="shared" ref="O343:P343" ca="1" si="121">O342+1</f>
        <v>203</v>
      </c>
      <c r="P343" s="2">
        <f t="shared" ca="1" si="121"/>
        <v>1003</v>
      </c>
    </row>
    <row r="344" spans="1:16" s="2" customFormat="1" x14ac:dyDescent="0.25">
      <c r="A344" s="147" t="str">
        <f t="shared" ca="1" si="116"/>
        <v>204,..,1004</v>
      </c>
      <c r="B344" s="148"/>
      <c r="C344" s="19" t="s">
        <v>203</v>
      </c>
      <c r="D344" s="19">
        <f>39.939*10.764-E344</f>
        <v>389.01096000000001</v>
      </c>
      <c r="E344" s="19">
        <f t="shared" si="120"/>
        <v>40.892435999999996</v>
      </c>
      <c r="F344" s="19">
        <f t="shared" si="117"/>
        <v>624.40887599999996</v>
      </c>
      <c r="G344" s="147" t="str">
        <f>G343</f>
        <v>2nd, 4th, 6th, 8th, 10th Floor</v>
      </c>
      <c r="H344" s="148"/>
      <c r="I344" s="38"/>
      <c r="N344" s="2" t="str">
        <f t="shared" ca="1" si="118"/>
        <v>204,..,1004</v>
      </c>
      <c r="O344" s="2">
        <f t="shared" ref="O344:P344" ca="1" si="122">O343+1</f>
        <v>204</v>
      </c>
      <c r="P344" s="2">
        <f t="shared" ca="1" si="122"/>
        <v>1004</v>
      </c>
    </row>
    <row r="345" spans="1:16" s="2" customFormat="1" x14ac:dyDescent="0.25">
      <c r="A345" s="147" t="str">
        <f t="shared" ca="1" si="116"/>
        <v>205,..,1005</v>
      </c>
      <c r="B345" s="148"/>
      <c r="C345" s="19" t="s">
        <v>243</v>
      </c>
      <c r="D345" s="19">
        <f>54.173*10.764-E345</f>
        <v>544.34624399999996</v>
      </c>
      <c r="E345" s="19">
        <f>3.602*10.764</f>
        <v>38.771927999999996</v>
      </c>
      <c r="F345" s="19">
        <f t="shared" si="117"/>
        <v>855.29129399999999</v>
      </c>
      <c r="G345" s="147" t="str">
        <f>G344</f>
        <v>2nd, 4th, 6th, 8th, 10th Floor</v>
      </c>
      <c r="H345" s="148"/>
      <c r="I345" s="38"/>
      <c r="N345" s="2" t="str">
        <f t="shared" ca="1" si="118"/>
        <v>205,..,1005</v>
      </c>
      <c r="O345" s="2">
        <f t="shared" ref="O345:P345" ca="1" si="123">O344+1</f>
        <v>205</v>
      </c>
      <c r="P345" s="2">
        <f t="shared" ca="1" si="123"/>
        <v>1005</v>
      </c>
    </row>
    <row r="346" spans="1:16" s="2" customFormat="1" x14ac:dyDescent="0.25">
      <c r="A346" s="147" t="str">
        <f t="shared" ca="1" si="116"/>
        <v>206,..,1006</v>
      </c>
      <c r="B346" s="148"/>
      <c r="C346" s="19" t="s">
        <v>243</v>
      </c>
      <c r="D346" s="19">
        <f>54.173*10.764-E346</f>
        <v>544.34624399999996</v>
      </c>
      <c r="E346" s="19">
        <f>3.602*10.764</f>
        <v>38.771927999999996</v>
      </c>
      <c r="F346" s="19">
        <f t="shared" si="117"/>
        <v>855.29129399999999</v>
      </c>
      <c r="G346" s="147" t="str">
        <f>G345</f>
        <v>2nd, 4th, 6th, 8th, 10th Floor</v>
      </c>
      <c r="H346" s="148"/>
      <c r="I346" s="38"/>
      <c r="N346" s="2" t="str">
        <f t="shared" ca="1" si="118"/>
        <v>206,..,1006</v>
      </c>
      <c r="O346" s="2">
        <f t="shared" ref="O346:P346" ca="1" si="124">O345+1</f>
        <v>206</v>
      </c>
      <c r="P346" s="2">
        <f t="shared" ca="1" si="124"/>
        <v>1006</v>
      </c>
    </row>
    <row r="347" spans="1:16" s="2" customFormat="1" ht="15.75" customHeight="1" x14ac:dyDescent="0.25">
      <c r="A347" s="188" t="s">
        <v>213</v>
      </c>
      <c r="B347" s="189"/>
      <c r="C347" s="189"/>
      <c r="D347" s="189"/>
      <c r="E347" s="189"/>
      <c r="F347" s="189"/>
      <c r="G347" s="189"/>
      <c r="H347" s="190"/>
      <c r="I347" s="38"/>
    </row>
    <row r="348" spans="1:16" s="2" customFormat="1" ht="15.75" customHeight="1" x14ac:dyDescent="0.25">
      <c r="A348" s="188" t="s">
        <v>214</v>
      </c>
      <c r="B348" s="189"/>
      <c r="C348" s="189"/>
      <c r="D348" s="189"/>
      <c r="E348" s="189"/>
      <c r="F348" s="189"/>
      <c r="G348" s="189"/>
      <c r="H348" s="190"/>
      <c r="I348" s="38"/>
    </row>
    <row r="349" spans="1:16" s="2" customFormat="1" x14ac:dyDescent="0.25">
      <c r="A349" s="147" t="str">
        <f t="shared" ref="A349:A354" ca="1" si="125">N349</f>
        <v>101,..,701</v>
      </c>
      <c r="B349" s="148"/>
      <c r="C349" s="49" t="s">
        <v>203</v>
      </c>
      <c r="D349" s="50">
        <f>((2.4*4.2)+(2.4*0.45)+(2.21*0.75)+(2.21*1)+(1.98*2.145)+(2*0.9)+(1.115*1.575)+(1.225*0.925)+(2.39*0.39)+(2.75*2.735)+(2.9*1)+(2.9*0.75))*10.764</f>
        <v>403.56604079999994</v>
      </c>
      <c r="E349" s="50">
        <f>2.503*1.525*10.764</f>
        <v>41.086995299999998</v>
      </c>
      <c r="F349" s="19">
        <f t="shared" ref="F349:F354" si="126">D349*(($F$252)+1)+E349</f>
        <v>646.43605649999995</v>
      </c>
      <c r="G349" s="147" t="str">
        <f>A348</f>
        <v>1st, 3rd, 5th, 7th Floor</v>
      </c>
      <c r="H349" s="148"/>
      <c r="I349" s="38"/>
      <c r="N349" s="2" t="str">
        <f t="shared" ref="N349:N354" ca="1" si="127">O349&amp;""&amp;",..,"&amp;""&amp;P349</f>
        <v>101,..,701</v>
      </c>
      <c r="O349" s="2">
        <f ca="1">(SUMPRODUCT(MID(0&amp;(LEFT(A348,SUM(LEN(A348)-LEN(SUBSTITUTE(A348,{"0","1","2"},""))))), LARGE(INDEX(ISNUMBER(--MID((LEFT(A348,SUM(LEN(A348)-LEN(SUBSTITUTE(A348,{"0","1","2"},""))))), ROW(INDIRECT("1:"&amp;LEN((LEFT(A348,SUM(LEN(A348)-LEN(SUBSTITUTE(A348,{"0","1","2"},"")))))))), 1)) * ROW(INDIRECT("1:"&amp;LEN((LEFT(A348,SUM(LEN(A348)-LEN(SUBSTITUTE(A348,{"0","1","2"},"")))))))), 0), ROW(INDIRECT("1:"&amp;LEN((LEFT(A348,SUM(LEN(A348)-LEN(SUBSTITUTE(A348,{"0","1","2"},"")))))))))+1, 1) * 10^ROW(INDIRECT("1:"&amp;LEN((LEFT(A348,SUM(LEN(A348)-LEN(SUBSTITUTE(A348,{"0","1","2"},""))))))))/10))*100+1</f>
        <v>101</v>
      </c>
      <c r="P349" s="2">
        <f ca="1">(SUMPRODUCT(MID(0&amp;(--TRIM(RIGHT(SUBSTITUTE(LEFT(A348,_xlfn.AGGREGATE(16,6,FIND({0,1,2,3,4,5,6,7,8,9},A348,ROW(INDIRECT("1:"&amp;LEN(A348)))),1))," ",REPT(" ",LEN(A348))),LEN(A348)))), LARGE(INDEX(ISNUMBER(--MID((--TRIM(RIGHT(SUBSTITUTE(LEFT(A348,_xlfn.AGGREGATE(16,6,FIND({0,1,2,3,4,5,6,7,8,9},A348,ROW(INDIRECT("1:"&amp;LEN(A348)))),1))," ",REPT(" ",LEN(A348))),LEN(A348)))), ROW(INDIRECT("1:"&amp;LEN((--TRIM(RIGHT(SUBSTITUTE(LEFT(A348,_xlfn.AGGREGATE(16,6,FIND({0,1,2,3,4,5,6,7,8,9},A348,ROW(INDIRECT("1:"&amp;LEN(A348)))),1))," ",REPT(" ",LEN(A348))),LEN(A348))))))), 1)) * ROW(INDIRECT("1:"&amp;LEN((--TRIM(RIGHT(SUBSTITUTE(LEFT(A348,_xlfn.AGGREGATE(16,6,FIND({0,1,2,3,4,5,6,7,8,9},A348,ROW(INDIRECT("1:"&amp;LEN(A348)))),1))," ",REPT(" ",LEN(A348))),LEN(A348))))))), 0), ROW(INDIRECT("1:"&amp;LEN((--TRIM(RIGHT(SUBSTITUTE(LEFT(A348,_xlfn.AGGREGATE(16,6,FIND({0,1,2,3,4,5,6,7,8,9},A348,ROW(INDIRECT("1:"&amp;LEN(A348)))),1))," ",REPT(" ",LEN(A348))),LEN(A348))))))))+1, 1) * 10^ROW(INDIRECT("1:"&amp;LEN((--TRIM(RIGHT(SUBSTITUTE(LEFT(A348,_xlfn.AGGREGATE(16,6,FIND({0,1,2,3,4,5,6,7,8,9},A348,ROW(INDIRECT("1:"&amp;LEN(A348)))),1))," ",REPT(" ",LEN(A348))),LEN(A348)))))))/10))*100+1</f>
        <v>701</v>
      </c>
    </row>
    <row r="350" spans="1:16" s="2" customFormat="1" x14ac:dyDescent="0.25">
      <c r="A350" s="147" t="str">
        <f t="shared" ca="1" si="125"/>
        <v>102,..,702</v>
      </c>
      <c r="B350" s="148"/>
      <c r="C350" s="49" t="s">
        <v>203</v>
      </c>
      <c r="D350" s="50">
        <f>((3.75*2.75)+(1.465*0.45)+(2.21*0.75)+(2.21*1)+(1.98*2.145)+(2*0.9)+(1.115*1.575)+(1.225*0.925)+(2.39*0.39)+(2.75*2.735)+(2.9*1)+(2.9*0.75))*10.764</f>
        <v>401.53971779999989</v>
      </c>
      <c r="E350" s="50">
        <f>E349</f>
        <v>41.086995299999998</v>
      </c>
      <c r="F350" s="19">
        <f t="shared" si="126"/>
        <v>643.39657199999988</v>
      </c>
      <c r="G350" s="147" t="str">
        <f>G349</f>
        <v>1st, 3rd, 5th, 7th Floor</v>
      </c>
      <c r="H350" s="148"/>
      <c r="I350" s="38"/>
      <c r="N350" s="2" t="str">
        <f t="shared" ca="1" si="127"/>
        <v>102,..,702</v>
      </c>
      <c r="O350" s="2">
        <f t="shared" ref="O350:P350" ca="1" si="128">O349+1</f>
        <v>102</v>
      </c>
      <c r="P350" s="2">
        <f t="shared" ca="1" si="128"/>
        <v>702</v>
      </c>
    </row>
    <row r="351" spans="1:16" s="2" customFormat="1" x14ac:dyDescent="0.25">
      <c r="A351" s="147" t="str">
        <f t="shared" ca="1" si="125"/>
        <v>103,..,703</v>
      </c>
      <c r="B351" s="148"/>
      <c r="C351" s="49" t="s">
        <v>203</v>
      </c>
      <c r="D351" s="50">
        <f>((2.4*4.2)+(2.4*0.45)+(2.21*0.75)+(2.21*1)+(1.98*2.145)+(2*0.9)+(1.115*1.575)+(1.225*0.925)+(2.39*0.39)+(2.75*2.735)+(2.9*1)+(2.9*0.75))*10.764</f>
        <v>403.56604079999994</v>
      </c>
      <c r="E351" s="51">
        <f>2.953*1.525*10.764</f>
        <v>48.47379029999999</v>
      </c>
      <c r="F351" s="19">
        <f t="shared" si="126"/>
        <v>653.82285149999996</v>
      </c>
      <c r="G351" s="147" t="str">
        <f>G350</f>
        <v>1st, 3rd, 5th, 7th Floor</v>
      </c>
      <c r="H351" s="148"/>
      <c r="I351" s="38"/>
      <c r="N351" s="2" t="str">
        <f t="shared" ca="1" si="127"/>
        <v>103,..,703</v>
      </c>
      <c r="O351" s="2">
        <f t="shared" ref="O351:P351" ca="1" si="129">O350+1</f>
        <v>103</v>
      </c>
      <c r="P351" s="2">
        <f t="shared" ca="1" si="129"/>
        <v>703</v>
      </c>
    </row>
    <row r="352" spans="1:16" s="2" customFormat="1" x14ac:dyDescent="0.25">
      <c r="A352" s="147" t="str">
        <f t="shared" ca="1" si="125"/>
        <v>104,..,704</v>
      </c>
      <c r="B352" s="148"/>
      <c r="C352" s="49" t="s">
        <v>203</v>
      </c>
      <c r="D352" s="50">
        <f>((2.4*4.2)+(2.4*0.45)+(2.21*0.75)+(2.21*1)+(1.98*2.145)+(2*0.9)+(1.115*1.575)+(1.225*0.925)+(2.39*0.39)+(2.75*2.735)+(2.9*1)+(2.9*0.75))*10.764</f>
        <v>403.56604079999994</v>
      </c>
      <c r="E352" s="51">
        <f>2.953*1.525*10.764</f>
        <v>48.47379029999999</v>
      </c>
      <c r="F352" s="19">
        <f t="shared" si="126"/>
        <v>653.82285149999996</v>
      </c>
      <c r="G352" s="147" t="str">
        <f>G351</f>
        <v>1st, 3rd, 5th, 7th Floor</v>
      </c>
      <c r="H352" s="148"/>
      <c r="I352" s="38"/>
      <c r="N352" s="2" t="str">
        <f t="shared" ca="1" si="127"/>
        <v>104,..,704</v>
      </c>
      <c r="O352" s="2">
        <f t="shared" ref="O352:P352" ca="1" si="130">O351+1</f>
        <v>104</v>
      </c>
      <c r="P352" s="2">
        <f t="shared" ca="1" si="130"/>
        <v>704</v>
      </c>
    </row>
    <row r="353" spans="1:16" s="2" customFormat="1" x14ac:dyDescent="0.25">
      <c r="A353" s="147" t="str">
        <f t="shared" ca="1" si="125"/>
        <v>105,..,705</v>
      </c>
      <c r="B353" s="148"/>
      <c r="C353" s="49" t="s">
        <v>205</v>
      </c>
      <c r="D353" s="50">
        <f>((4.579*2.95)+(2.4*0.45)+(2.55*1.695)+(2.45*0.75)+(3*0.75)+(2.6*1)+(2.75*3.05)+(2.8*0.9)+(2.916*0.75)+(2.916*1.366)+(2.8186*2.975)+(2.166*0.45)+(1.2*2.1)+(1.95*1.25))*10.764</f>
        <v>613.47363152399987</v>
      </c>
      <c r="E353" s="50">
        <f>2.275*1.525*10.764</f>
        <v>37.344352499999999</v>
      </c>
      <c r="F353" s="19">
        <f t="shared" si="126"/>
        <v>957.55479978599988</v>
      </c>
      <c r="G353" s="147" t="str">
        <f>G352</f>
        <v>1st, 3rd, 5th, 7th Floor</v>
      </c>
      <c r="H353" s="148"/>
      <c r="I353" s="38"/>
      <c r="N353" s="2" t="str">
        <f t="shared" ca="1" si="127"/>
        <v>105,..,705</v>
      </c>
      <c r="O353" s="2">
        <f t="shared" ref="O353:P353" ca="1" si="131">O352+1</f>
        <v>105</v>
      </c>
      <c r="P353" s="2">
        <f t="shared" ca="1" si="131"/>
        <v>705</v>
      </c>
    </row>
    <row r="354" spans="1:16" s="2" customFormat="1" x14ac:dyDescent="0.25">
      <c r="A354" s="147" t="str">
        <f t="shared" ca="1" si="125"/>
        <v>106,..,706</v>
      </c>
      <c r="B354" s="148"/>
      <c r="C354" s="49" t="s">
        <v>205</v>
      </c>
      <c r="D354" s="50">
        <f>((4.579*2.95)+(2.4*0.45)+(2.55*1.695)+(2.45*0.75)+(3*0.75)+(2.6*1)+(2.75*3.05)+(2.8*0.9)+(2.916*0.75)+(2.916*1.366)+(2.8186*2.975)+(2.166*0.45)+(1.2*2.1)+(1.95*1.25))*10.764</f>
        <v>613.47363152399987</v>
      </c>
      <c r="E354" s="50">
        <f>2.275*1.525*10.764</f>
        <v>37.344352499999999</v>
      </c>
      <c r="F354" s="19">
        <f t="shared" si="126"/>
        <v>957.55479978599988</v>
      </c>
      <c r="G354" s="147" t="str">
        <f>G353</f>
        <v>1st, 3rd, 5th, 7th Floor</v>
      </c>
      <c r="H354" s="148"/>
      <c r="I354" s="38"/>
      <c r="N354" s="2" t="str">
        <f t="shared" ca="1" si="127"/>
        <v>106,..,706</v>
      </c>
      <c r="O354" s="2">
        <f t="shared" ref="O354:P354" ca="1" si="132">O353+1</f>
        <v>106</v>
      </c>
      <c r="P354" s="2">
        <f t="shared" ca="1" si="132"/>
        <v>706</v>
      </c>
    </row>
    <row r="355" spans="1:16" s="2" customFormat="1" ht="15.75" customHeight="1" x14ac:dyDescent="0.25">
      <c r="A355" s="188" t="s">
        <v>215</v>
      </c>
      <c r="B355" s="189"/>
      <c r="C355" s="189"/>
      <c r="D355" s="189"/>
      <c r="E355" s="189"/>
      <c r="F355" s="189"/>
      <c r="G355" s="189"/>
      <c r="H355" s="190"/>
      <c r="I355" s="38"/>
    </row>
    <row r="356" spans="1:16" s="2" customFormat="1" x14ac:dyDescent="0.25">
      <c r="A356" s="147" t="str">
        <f t="shared" ref="A356:A361" ca="1" si="133">N356</f>
        <v>201,..,601</v>
      </c>
      <c r="B356" s="148"/>
      <c r="C356" s="49" t="s">
        <v>203</v>
      </c>
      <c r="D356" s="50">
        <f>((2.4*4.2)+(2.4*0.45)+(2.5*1.5)+(0.75*2.6)+(2.21*0.75)+(1.98*2.145)+(2*0.9)+(1.115*1.575)+(1.225*0.925)+(2.39*0.39)+(2.75*2.735))*10.764</f>
        <v>386.50510079999992</v>
      </c>
      <c r="E356" s="50">
        <f>3.05*1.525*10.764</f>
        <v>50.066054999999992</v>
      </c>
      <c r="F356" s="19">
        <f t="shared" ref="F356:F361" si="134">D356*(($F$252)+1)+E356</f>
        <v>629.82370619999983</v>
      </c>
      <c r="G356" s="147" t="str">
        <f>A355</f>
        <v>2nd, 4th, 6th Floor</v>
      </c>
      <c r="H356" s="148"/>
      <c r="I356" s="38"/>
      <c r="N356" s="2" t="str">
        <f t="shared" ref="N356:N361" ca="1" si="135">O356&amp;""&amp;",..,"&amp;""&amp;P356</f>
        <v>201,..,601</v>
      </c>
      <c r="O356" s="2">
        <f ca="1">(SUMPRODUCT(MID(0&amp;(LEFT(A355,SUM(LEN(A355)-LEN(SUBSTITUTE(A355,{"0","1","2"},""))))), LARGE(INDEX(ISNUMBER(--MID((LEFT(A355,SUM(LEN(A355)-LEN(SUBSTITUTE(A355,{"0","1","2"},""))))), ROW(INDIRECT("1:"&amp;LEN((LEFT(A355,SUM(LEN(A355)-LEN(SUBSTITUTE(A355,{"0","1","2"},"")))))))), 1)) * ROW(INDIRECT("1:"&amp;LEN((LEFT(A355,SUM(LEN(A355)-LEN(SUBSTITUTE(A355,{"0","1","2"},"")))))))), 0), ROW(INDIRECT("1:"&amp;LEN((LEFT(A355,SUM(LEN(A355)-LEN(SUBSTITUTE(A355,{"0","1","2"},"")))))))))+1, 1) * 10^ROW(INDIRECT("1:"&amp;LEN((LEFT(A355,SUM(LEN(A355)-LEN(SUBSTITUTE(A355,{"0","1","2"},""))))))))/10))*100+1</f>
        <v>201</v>
      </c>
      <c r="P356" s="2">
        <f ca="1">(SUMPRODUCT(MID(0&amp;(--TRIM(RIGHT(SUBSTITUTE(LEFT(A355,_xlfn.AGGREGATE(16,6,FIND({0,1,2,3,4,5,6,7,8,9},A355,ROW(INDIRECT("1:"&amp;LEN(A355)))),1))," ",REPT(" ",LEN(A355))),LEN(A355)))), LARGE(INDEX(ISNUMBER(--MID((--TRIM(RIGHT(SUBSTITUTE(LEFT(A355,_xlfn.AGGREGATE(16,6,FIND({0,1,2,3,4,5,6,7,8,9},A355,ROW(INDIRECT("1:"&amp;LEN(A355)))),1))," ",REPT(" ",LEN(A355))),LEN(A355)))), ROW(INDIRECT("1:"&amp;LEN((--TRIM(RIGHT(SUBSTITUTE(LEFT(A355,_xlfn.AGGREGATE(16,6,FIND({0,1,2,3,4,5,6,7,8,9},A355,ROW(INDIRECT("1:"&amp;LEN(A355)))),1))," ",REPT(" ",LEN(A355))),LEN(A355))))))), 1)) * ROW(INDIRECT("1:"&amp;LEN((--TRIM(RIGHT(SUBSTITUTE(LEFT(A355,_xlfn.AGGREGATE(16,6,FIND({0,1,2,3,4,5,6,7,8,9},A355,ROW(INDIRECT("1:"&amp;LEN(A355)))),1))," ",REPT(" ",LEN(A355))),LEN(A355))))))), 0), ROW(INDIRECT("1:"&amp;LEN((--TRIM(RIGHT(SUBSTITUTE(LEFT(A355,_xlfn.AGGREGATE(16,6,FIND({0,1,2,3,4,5,6,7,8,9},A355,ROW(INDIRECT("1:"&amp;LEN(A355)))),1))," ",REPT(" ",LEN(A355))),LEN(A355))))))))+1, 1) * 10^ROW(INDIRECT("1:"&amp;LEN((--TRIM(RIGHT(SUBSTITUTE(LEFT(A355,_xlfn.AGGREGATE(16,6,FIND({0,1,2,3,4,5,6,7,8,9},A355,ROW(INDIRECT("1:"&amp;LEN(A355)))),1))," ",REPT(" ",LEN(A355))),LEN(A355)))))))/10))*100+1</f>
        <v>601</v>
      </c>
    </row>
    <row r="357" spans="1:16" s="2" customFormat="1" x14ac:dyDescent="0.25">
      <c r="A357" s="147" t="str">
        <f t="shared" ca="1" si="133"/>
        <v>202,..,602</v>
      </c>
      <c r="B357" s="148"/>
      <c r="C357" s="49" t="s">
        <v>203</v>
      </c>
      <c r="D357" s="50">
        <f>((2.4*4.2)+(2.75*1.5)+(0.75*2.8)+(2.21*0.75)+(1.98*2.145)+(2*0.9)+(1.115*1.575)+(1.225*0.925)+(2.39*0.39)+(2.75*2.735))*10.764</f>
        <v>380.53108079999993</v>
      </c>
      <c r="E357" s="50">
        <f>E356</f>
        <v>50.066054999999992</v>
      </c>
      <c r="F357" s="19">
        <f t="shared" si="134"/>
        <v>620.8626761999999</v>
      </c>
      <c r="G357" s="147" t="str">
        <f>G356</f>
        <v>2nd, 4th, 6th Floor</v>
      </c>
      <c r="H357" s="148"/>
      <c r="I357" s="38"/>
      <c r="N357" s="2" t="str">
        <f t="shared" ca="1" si="135"/>
        <v>202,..,602</v>
      </c>
      <c r="O357" s="2">
        <f t="shared" ref="O357:P357" ca="1" si="136">O356+1</f>
        <v>202</v>
      </c>
      <c r="P357" s="2">
        <f t="shared" ca="1" si="136"/>
        <v>602</v>
      </c>
    </row>
    <row r="358" spans="1:16" s="2" customFormat="1" x14ac:dyDescent="0.25">
      <c r="A358" s="147" t="str">
        <f t="shared" ca="1" si="133"/>
        <v>203,..,603</v>
      </c>
      <c r="B358" s="148"/>
      <c r="C358" s="49" t="s">
        <v>203</v>
      </c>
      <c r="D358" s="50">
        <f>((2.4*4.2)+(2.3*1)+(2.5*0.65)+(2.4*0.45)+(2.21*0.75)+(2.21*1)+(1.98*2.145)+(2*0.9)+(1.115*1.575)+(1.225*0.925)+(2.39*0.39)+(2.75*2.735))*10.764</f>
        <v>391.18744079999993</v>
      </c>
      <c r="E358" s="51">
        <f>3.05*1.525*10.764</f>
        <v>50.066054999999992</v>
      </c>
      <c r="F358" s="19">
        <f t="shared" si="134"/>
        <v>636.84721619999993</v>
      </c>
      <c r="G358" s="147" t="str">
        <f>G357</f>
        <v>2nd, 4th, 6th Floor</v>
      </c>
      <c r="H358" s="148"/>
      <c r="I358" s="38"/>
      <c r="N358" s="2" t="str">
        <f t="shared" ca="1" si="135"/>
        <v>203,..,603</v>
      </c>
      <c r="O358" s="2">
        <f t="shared" ref="O358:P358" ca="1" si="137">O357+1</f>
        <v>203</v>
      </c>
      <c r="P358" s="2">
        <f t="shared" ca="1" si="137"/>
        <v>603</v>
      </c>
    </row>
    <row r="359" spans="1:16" s="2" customFormat="1" x14ac:dyDescent="0.25">
      <c r="A359" s="147" t="str">
        <f t="shared" ca="1" si="133"/>
        <v>204,..,604</v>
      </c>
      <c r="B359" s="148"/>
      <c r="C359" s="49" t="s">
        <v>203</v>
      </c>
      <c r="D359" s="50">
        <f>((2.4*4.2)+(2.3*1)+(2.5*0.65)+(2.4*0.45)+(2.21*0.75)+(2.21*1)+(1.98*2.145)+(2*0.9)+(1.115*1.575)+(1.225*0.925)+(2.39*0.39)+(2.75*2.735))*10.764</f>
        <v>391.18744079999993</v>
      </c>
      <c r="E359" s="51">
        <f>3.05*1.525*10.764</f>
        <v>50.066054999999992</v>
      </c>
      <c r="F359" s="19">
        <f t="shared" si="134"/>
        <v>636.84721619999993</v>
      </c>
      <c r="G359" s="147" t="str">
        <f>G358</f>
        <v>2nd, 4th, 6th Floor</v>
      </c>
      <c r="H359" s="148"/>
      <c r="I359" s="38"/>
      <c r="N359" s="2" t="str">
        <f t="shared" ca="1" si="135"/>
        <v>204,..,604</v>
      </c>
      <c r="O359" s="2">
        <f t="shared" ref="O359:P359" ca="1" si="138">O358+1</f>
        <v>204</v>
      </c>
      <c r="P359" s="2">
        <f t="shared" ca="1" si="138"/>
        <v>604</v>
      </c>
    </row>
    <row r="360" spans="1:16" s="2" customFormat="1" x14ac:dyDescent="0.25">
      <c r="A360" s="147" t="str">
        <f t="shared" ca="1" si="133"/>
        <v>205,..,605</v>
      </c>
      <c r="B360" s="148"/>
      <c r="C360" s="49" t="s">
        <v>205</v>
      </c>
      <c r="D360" s="50">
        <f>((4.579*2.95)+(2.275*1.656)+(2.8*0.75)+(2.4*0.45)+(2.55*1.695)+(2.45*0.75)+(1.795*1)+(3*0.75)+(2.6*1)+(2.75*3.05)+(2.8*0.9)+(2.8186*2.975)+(2.166*0.45)+(1.2*2.1)+(1.95*1.25))*10.764</f>
        <v>629.53506953999999</v>
      </c>
      <c r="E360" s="50">
        <f>3.725*1.525*10.764</f>
        <v>61.146247499999994</v>
      </c>
      <c r="F360" s="19">
        <f t="shared" si="134"/>
        <v>1005.44885181</v>
      </c>
      <c r="G360" s="147" t="str">
        <f>G359</f>
        <v>2nd, 4th, 6th Floor</v>
      </c>
      <c r="H360" s="148"/>
      <c r="I360" s="38"/>
      <c r="N360" s="2" t="str">
        <f t="shared" ca="1" si="135"/>
        <v>205,..,605</v>
      </c>
      <c r="O360" s="2">
        <f t="shared" ref="O360:P360" ca="1" si="139">O359+1</f>
        <v>205</v>
      </c>
      <c r="P360" s="2">
        <f t="shared" ca="1" si="139"/>
        <v>605</v>
      </c>
    </row>
    <row r="361" spans="1:16" s="2" customFormat="1" x14ac:dyDescent="0.25">
      <c r="A361" s="147" t="str">
        <f t="shared" ca="1" si="133"/>
        <v>206,..,606</v>
      </c>
      <c r="B361" s="148"/>
      <c r="C361" s="49" t="s">
        <v>205</v>
      </c>
      <c r="D361" s="50">
        <f>((4.579*2.95)+(2.275*1.656)+(2.8*0.75)+(2.4*0.45)+(2.55*1.695)+(2.45*0.75)+(1.795*1)+(3*0.75)+(2.6*1)+(2.75*3.05)+(2.8*0.9)+(2.8186*2.975)+(2.166*0.45)+(1.2*2.1)+(1.95*1.25))*10.764</f>
        <v>629.53506953999999</v>
      </c>
      <c r="E361" s="50">
        <f>3.725*1.525*10.764</f>
        <v>61.146247499999994</v>
      </c>
      <c r="F361" s="19">
        <f t="shared" si="134"/>
        <v>1005.44885181</v>
      </c>
      <c r="G361" s="147" t="str">
        <f>G360</f>
        <v>2nd, 4th, 6th Floor</v>
      </c>
      <c r="H361" s="148"/>
      <c r="I361" s="38"/>
      <c r="N361" s="2" t="str">
        <f t="shared" ca="1" si="135"/>
        <v>206,..,606</v>
      </c>
      <c r="O361" s="2">
        <f t="shared" ref="O361:P361" ca="1" si="140">O360+1</f>
        <v>206</v>
      </c>
      <c r="P361" s="2">
        <f t="shared" ca="1" si="140"/>
        <v>606</v>
      </c>
    </row>
    <row r="362" spans="1:16" s="2" customFormat="1" ht="15.75" customHeight="1" x14ac:dyDescent="0.25">
      <c r="A362" s="188" t="s">
        <v>216</v>
      </c>
      <c r="B362" s="189"/>
      <c r="C362" s="189"/>
      <c r="D362" s="189"/>
      <c r="E362" s="189"/>
      <c r="F362" s="189"/>
      <c r="G362" s="189"/>
      <c r="H362" s="190"/>
      <c r="I362" s="38"/>
    </row>
    <row r="363" spans="1:16" s="2" customFormat="1" ht="15.75" customHeight="1" x14ac:dyDescent="0.25">
      <c r="A363" s="188" t="s">
        <v>214</v>
      </c>
      <c r="B363" s="189"/>
      <c r="C363" s="189"/>
      <c r="D363" s="189"/>
      <c r="E363" s="189"/>
      <c r="F363" s="189"/>
      <c r="G363" s="189"/>
      <c r="H363" s="190"/>
      <c r="I363" s="38"/>
    </row>
    <row r="364" spans="1:16" s="2" customFormat="1" x14ac:dyDescent="0.25">
      <c r="A364" s="147" t="str">
        <f t="shared" ref="A364:A369" ca="1" si="141">N364</f>
        <v>101,..,701</v>
      </c>
      <c r="B364" s="148"/>
      <c r="C364" s="19" t="s">
        <v>243</v>
      </c>
      <c r="D364" s="50">
        <f>((2.9*4.2)+(1.8*0.45)+(0.45*2.4)+(5.145*0.75)+(1.946*1)+(2.45*1.696)+(2.45*2.6)+(2.6*0.9)+(3.05*0.75)+(3*1)+(2.9*2.75)+(2.12*0.39)+(1.225*1.98)+(1.9*1.25))*10.764</f>
        <v>555.74262900000008</v>
      </c>
      <c r="E364" s="50">
        <f>3.698*10.764</f>
        <v>39.805271999999995</v>
      </c>
      <c r="F364" s="19">
        <f t="shared" ref="F364:F369" si="142">D364*(($F$252)+1)+E364</f>
        <v>873.41921550000006</v>
      </c>
      <c r="G364" s="147" t="str">
        <f>A363</f>
        <v>1st, 3rd, 5th, 7th Floor</v>
      </c>
      <c r="H364" s="148"/>
      <c r="I364" s="38"/>
      <c r="N364" s="2" t="str">
        <f t="shared" ref="N364:N369" ca="1" si="143">O364&amp;""&amp;",..,"&amp;""&amp;P364</f>
        <v>101,..,701</v>
      </c>
      <c r="O364" s="2">
        <f ca="1">(SUMPRODUCT(MID(0&amp;(LEFT(A363,SUM(LEN(A363)-LEN(SUBSTITUTE(A363,{"0","1","2"},""))))), LARGE(INDEX(ISNUMBER(--MID((LEFT(A363,SUM(LEN(A363)-LEN(SUBSTITUTE(A363,{"0","1","2"},""))))), ROW(INDIRECT("1:"&amp;LEN((LEFT(A363,SUM(LEN(A363)-LEN(SUBSTITUTE(A363,{"0","1","2"},"")))))))), 1)) * ROW(INDIRECT("1:"&amp;LEN((LEFT(A363,SUM(LEN(A363)-LEN(SUBSTITUTE(A363,{"0","1","2"},"")))))))), 0), ROW(INDIRECT("1:"&amp;LEN((LEFT(A363,SUM(LEN(A363)-LEN(SUBSTITUTE(A363,{"0","1","2"},"")))))))))+1, 1) * 10^ROW(INDIRECT("1:"&amp;LEN((LEFT(A363,SUM(LEN(A363)-LEN(SUBSTITUTE(A363,{"0","1","2"},""))))))))/10))*100+1</f>
        <v>101</v>
      </c>
      <c r="P364" s="2">
        <f ca="1">(SUMPRODUCT(MID(0&amp;(--TRIM(RIGHT(SUBSTITUTE(LEFT(A363,_xlfn.AGGREGATE(16,6,FIND({0,1,2,3,4,5,6,7,8,9},A363,ROW(INDIRECT("1:"&amp;LEN(A363)))),1))," ",REPT(" ",LEN(A363))),LEN(A363)))), LARGE(INDEX(ISNUMBER(--MID((--TRIM(RIGHT(SUBSTITUTE(LEFT(A363,_xlfn.AGGREGATE(16,6,FIND({0,1,2,3,4,5,6,7,8,9},A363,ROW(INDIRECT("1:"&amp;LEN(A363)))),1))," ",REPT(" ",LEN(A363))),LEN(A363)))), ROW(INDIRECT("1:"&amp;LEN((--TRIM(RIGHT(SUBSTITUTE(LEFT(A363,_xlfn.AGGREGATE(16,6,FIND({0,1,2,3,4,5,6,7,8,9},A363,ROW(INDIRECT("1:"&amp;LEN(A363)))),1))," ",REPT(" ",LEN(A363))),LEN(A363))))))), 1)) * ROW(INDIRECT("1:"&amp;LEN((--TRIM(RIGHT(SUBSTITUTE(LEFT(A363,_xlfn.AGGREGATE(16,6,FIND({0,1,2,3,4,5,6,7,8,9},A363,ROW(INDIRECT("1:"&amp;LEN(A363)))),1))," ",REPT(" ",LEN(A363))),LEN(A363))))))), 0), ROW(INDIRECT("1:"&amp;LEN((--TRIM(RIGHT(SUBSTITUTE(LEFT(A363,_xlfn.AGGREGATE(16,6,FIND({0,1,2,3,4,5,6,7,8,9},A363,ROW(INDIRECT("1:"&amp;LEN(A363)))),1))," ",REPT(" ",LEN(A363))),LEN(A363))))))))+1, 1) * 10^ROW(INDIRECT("1:"&amp;LEN((--TRIM(RIGHT(SUBSTITUTE(LEFT(A363,_xlfn.AGGREGATE(16,6,FIND({0,1,2,3,4,5,6,7,8,9},A363,ROW(INDIRECT("1:"&amp;LEN(A363)))),1))," ",REPT(" ",LEN(A363))),LEN(A363)))))))/10))*100+1</f>
        <v>701</v>
      </c>
    </row>
    <row r="365" spans="1:16" s="2" customFormat="1" x14ac:dyDescent="0.25">
      <c r="A365" s="147" t="str">
        <f t="shared" ca="1" si="141"/>
        <v>102,..,702</v>
      </c>
      <c r="B365" s="148"/>
      <c r="C365" s="19" t="s">
        <v>243</v>
      </c>
      <c r="D365" s="50">
        <f>((2.9*4.2)+(1.8*0.45)+(0.45*2.4)+((2.245+3.05)*0.75)+(1.946*1)+(2.55*1.696)+(3.05*2.75)+(2.6*0.9)+(3.05*0.75)+(3*1)+(2.9*2.75)+(2.12*0.39)+(1.225*1.98)+(1.9*1.25))*10.764</f>
        <v>580.49552340000002</v>
      </c>
      <c r="E365" s="50">
        <f>3.698*10.764</f>
        <v>39.805271999999995</v>
      </c>
      <c r="F365" s="19">
        <f t="shared" si="142"/>
        <v>910.54855710000004</v>
      </c>
      <c r="G365" s="147" t="str">
        <f>G364</f>
        <v>1st, 3rd, 5th, 7th Floor</v>
      </c>
      <c r="H365" s="148"/>
      <c r="I365" s="38"/>
      <c r="N365" s="2" t="str">
        <f t="shared" ca="1" si="143"/>
        <v>102,..,702</v>
      </c>
      <c r="O365" s="2">
        <f t="shared" ref="O365:P365" ca="1" si="144">O364+1</f>
        <v>102</v>
      </c>
      <c r="P365" s="2">
        <f t="shared" ca="1" si="144"/>
        <v>702</v>
      </c>
    </row>
    <row r="366" spans="1:16" s="2" customFormat="1" x14ac:dyDescent="0.25">
      <c r="A366" s="147" t="str">
        <f t="shared" ca="1" si="141"/>
        <v>103,..,703</v>
      </c>
      <c r="B366" s="148"/>
      <c r="C366" s="49" t="s">
        <v>205</v>
      </c>
      <c r="D366" s="50">
        <f>((2.95*4.27)+(1.851*0.45)+(0.45*2.4)+(2.55*1.695)+(1.795*1)+(2.245*0.75)+(3.05*0.75)+(2.6*1.1614)+(3.053*2.75)+(2.8*0.9)+(2.84*0.75)+(2.9*1)+(2.975*2.816)+(0.45*2.45)+(1.2*2.1)+(1.95*1.25))*10.764</f>
        <v>624.32211816000006</v>
      </c>
      <c r="E366" s="50">
        <f>2.425*1.525*10.764</f>
        <v>39.806617499999994</v>
      </c>
      <c r="F366" s="19">
        <f t="shared" si="142"/>
        <v>976.28979474000005</v>
      </c>
      <c r="G366" s="147" t="str">
        <f>G365</f>
        <v>1st, 3rd, 5th, 7th Floor</v>
      </c>
      <c r="H366" s="148"/>
      <c r="I366" s="38"/>
      <c r="N366" s="2" t="str">
        <f t="shared" ca="1" si="143"/>
        <v>103,..,703</v>
      </c>
      <c r="O366" s="2">
        <f t="shared" ref="O366:P366" ca="1" si="145">O365+1</f>
        <v>103</v>
      </c>
      <c r="P366" s="2">
        <f t="shared" ca="1" si="145"/>
        <v>703</v>
      </c>
    </row>
    <row r="367" spans="1:16" s="2" customFormat="1" x14ac:dyDescent="0.25">
      <c r="A367" s="147" t="str">
        <f t="shared" ca="1" si="141"/>
        <v>104,..,704</v>
      </c>
      <c r="B367" s="148"/>
      <c r="C367" s="49" t="s">
        <v>205</v>
      </c>
      <c r="D367" s="50">
        <f>((2.95*4.27)+(1.851*0.45)+(0.45*2.4)+(2.55*1.695)+(1.795*1)+(2.245*0.75)+(3.05*0.75)+(2.6*1.1614)+(3.053*2.75)+(2.8*0.9)+(2.84*0.75)+(2.9*1)+(2.975*2.816)+(0.45*2.45)+(1.2*2.1)+(1.95*1.25))*10.764</f>
        <v>624.32211816000006</v>
      </c>
      <c r="E367" s="50">
        <f>2.425*1.525*10.764</f>
        <v>39.806617499999994</v>
      </c>
      <c r="F367" s="19">
        <f t="shared" si="142"/>
        <v>976.28979474000005</v>
      </c>
      <c r="G367" s="147" t="str">
        <f>G366</f>
        <v>1st, 3rd, 5th, 7th Floor</v>
      </c>
      <c r="H367" s="148"/>
      <c r="I367" s="38"/>
      <c r="N367" s="2" t="str">
        <f t="shared" ca="1" si="143"/>
        <v>104,..,704</v>
      </c>
      <c r="O367" s="2">
        <f t="shared" ref="O367:P367" ca="1" si="146">O366+1</f>
        <v>104</v>
      </c>
      <c r="P367" s="2">
        <f t="shared" ca="1" si="146"/>
        <v>704</v>
      </c>
    </row>
    <row r="368" spans="1:16" s="2" customFormat="1" x14ac:dyDescent="0.25">
      <c r="A368" s="147" t="str">
        <f t="shared" ca="1" si="141"/>
        <v>105,..,705</v>
      </c>
      <c r="B368" s="148"/>
      <c r="C368" s="49" t="s">
        <v>203</v>
      </c>
      <c r="D368" s="50">
        <f>((4.2*2.745)+(2.21*0.75)+(2.21*1)+(2.145*1.98)+(2.2*0.9)+(2.9*0.75)+(2.9*1)+(2.735*2.75)+(2.39*0.39)+(0.925*1.225)+(1.98*1.115))*10.764</f>
        <v>414.33623009999997</v>
      </c>
      <c r="E368" s="51">
        <f>4.384*10.764</f>
        <v>47.189376000000003</v>
      </c>
      <c r="F368" s="19">
        <f t="shared" si="142"/>
        <v>668.69372114999999</v>
      </c>
      <c r="G368" s="147" t="str">
        <f>G367</f>
        <v>1st, 3rd, 5th, 7th Floor</v>
      </c>
      <c r="H368" s="148"/>
      <c r="I368" s="38"/>
      <c r="N368" s="2" t="str">
        <f t="shared" ca="1" si="143"/>
        <v>105,..,705</v>
      </c>
      <c r="O368" s="2">
        <f t="shared" ref="O368:P368" ca="1" si="147">O367+1</f>
        <v>105</v>
      </c>
      <c r="P368" s="2">
        <f t="shared" ca="1" si="147"/>
        <v>705</v>
      </c>
    </row>
    <row r="369" spans="1:16" s="2" customFormat="1" x14ac:dyDescent="0.25">
      <c r="A369" s="147" t="str">
        <f t="shared" ca="1" si="141"/>
        <v>106,..,706</v>
      </c>
      <c r="B369" s="148"/>
      <c r="C369" s="49" t="s">
        <v>203</v>
      </c>
      <c r="D369" s="50">
        <f>((4.2*2.745)+(2.21*0.75)+(2.21*1)+(2.145*1.98)+(2.2*0.9)+(2.9*0.75)+(2.9*1)+(2.735*2.75)+(2.39*0.39)+(0.925*1.225)+(1.98*1.115))*10.764</f>
        <v>414.33623009999997</v>
      </c>
      <c r="E369" s="51">
        <f>4.384*10.764</f>
        <v>47.189376000000003</v>
      </c>
      <c r="F369" s="19">
        <f t="shared" si="142"/>
        <v>668.69372114999999</v>
      </c>
      <c r="G369" s="147" t="str">
        <f>G368</f>
        <v>1st, 3rd, 5th, 7th Floor</v>
      </c>
      <c r="H369" s="148"/>
      <c r="I369" s="38"/>
      <c r="N369" s="2" t="str">
        <f t="shared" ca="1" si="143"/>
        <v>106,..,706</v>
      </c>
      <c r="O369" s="2">
        <f t="shared" ref="O369:P369" ca="1" si="148">O368+1</f>
        <v>106</v>
      </c>
      <c r="P369" s="2">
        <f t="shared" ca="1" si="148"/>
        <v>706</v>
      </c>
    </row>
    <row r="370" spans="1:16" s="2" customFormat="1" ht="15.75" customHeight="1" x14ac:dyDescent="0.25">
      <c r="A370" s="188" t="s">
        <v>215</v>
      </c>
      <c r="B370" s="189"/>
      <c r="C370" s="189"/>
      <c r="D370" s="189"/>
      <c r="E370" s="189"/>
      <c r="F370" s="189"/>
      <c r="G370" s="189"/>
      <c r="H370" s="190"/>
      <c r="I370" s="38"/>
    </row>
    <row r="371" spans="1:16" s="2" customFormat="1" x14ac:dyDescent="0.25">
      <c r="A371" s="147" t="str">
        <f t="shared" ref="A371:A376" ca="1" si="149">N371</f>
        <v>201,..,601</v>
      </c>
      <c r="B371" s="148"/>
      <c r="C371" s="19" t="s">
        <v>243</v>
      </c>
      <c r="D371" s="50">
        <f>((2.9*4.2)+(1.8*0.45)+(2.125*1)+(2.2*0.75)+(0.45*2.4)+(5.145*0.75)+(1.946*1)+(2.45*1.696)+(2.45*2.6)+(2.6*0.9)+(2.9*2.75)+(2.12*0.39)+(1.225*1.98)+(1.9*1.25))*10.764</f>
        <v>539.46207900000002</v>
      </c>
      <c r="E371" s="50">
        <f>4.132*10.764</f>
        <v>44.476847999999997</v>
      </c>
      <c r="F371" s="19">
        <f t="shared" ref="F371:F376" si="150">D371*(($F$252)+1)+E371</f>
        <v>853.6699665000001</v>
      </c>
      <c r="G371" s="147" t="str">
        <f>A370</f>
        <v>2nd, 4th, 6th Floor</v>
      </c>
      <c r="H371" s="148"/>
      <c r="I371" s="38"/>
      <c r="N371" s="2" t="str">
        <f t="shared" ref="N371:N376" ca="1" si="151">O371&amp;""&amp;",..,"&amp;""&amp;P371</f>
        <v>201,..,601</v>
      </c>
      <c r="O371" s="2">
        <f ca="1">(SUMPRODUCT(MID(0&amp;(LEFT(A370,SUM(LEN(A370)-LEN(SUBSTITUTE(A370,{"0","1","2"},""))))), LARGE(INDEX(ISNUMBER(--MID((LEFT(A370,SUM(LEN(A370)-LEN(SUBSTITUTE(A370,{"0","1","2"},""))))), ROW(INDIRECT("1:"&amp;LEN((LEFT(A370,SUM(LEN(A370)-LEN(SUBSTITUTE(A370,{"0","1","2"},"")))))))), 1)) * ROW(INDIRECT("1:"&amp;LEN((LEFT(A370,SUM(LEN(A370)-LEN(SUBSTITUTE(A370,{"0","1","2"},"")))))))), 0), ROW(INDIRECT("1:"&amp;LEN((LEFT(A370,SUM(LEN(A370)-LEN(SUBSTITUTE(A370,{"0","1","2"},"")))))))))+1, 1) * 10^ROW(INDIRECT("1:"&amp;LEN((LEFT(A370,SUM(LEN(A370)-LEN(SUBSTITUTE(A370,{"0","1","2"},""))))))))/10))*100+1</f>
        <v>201</v>
      </c>
      <c r="P371" s="2">
        <f ca="1">(SUMPRODUCT(MID(0&amp;(--TRIM(RIGHT(SUBSTITUTE(LEFT(A370,_xlfn.AGGREGATE(16,6,FIND({0,1,2,3,4,5,6,7,8,9},A370,ROW(INDIRECT("1:"&amp;LEN(A370)))),1))," ",REPT(" ",LEN(A370))),LEN(A370)))), LARGE(INDEX(ISNUMBER(--MID((--TRIM(RIGHT(SUBSTITUTE(LEFT(A370,_xlfn.AGGREGATE(16,6,FIND({0,1,2,3,4,5,6,7,8,9},A370,ROW(INDIRECT("1:"&amp;LEN(A370)))),1))," ",REPT(" ",LEN(A370))),LEN(A370)))), ROW(INDIRECT("1:"&amp;LEN((--TRIM(RIGHT(SUBSTITUTE(LEFT(A370,_xlfn.AGGREGATE(16,6,FIND({0,1,2,3,4,5,6,7,8,9},A370,ROW(INDIRECT("1:"&amp;LEN(A370)))),1))," ",REPT(" ",LEN(A370))),LEN(A370))))))), 1)) * ROW(INDIRECT("1:"&amp;LEN((--TRIM(RIGHT(SUBSTITUTE(LEFT(A370,_xlfn.AGGREGATE(16,6,FIND({0,1,2,3,4,5,6,7,8,9},A370,ROW(INDIRECT("1:"&amp;LEN(A370)))),1))," ",REPT(" ",LEN(A370))),LEN(A370))))))), 0), ROW(INDIRECT("1:"&amp;LEN((--TRIM(RIGHT(SUBSTITUTE(LEFT(A370,_xlfn.AGGREGATE(16,6,FIND({0,1,2,3,4,5,6,7,8,9},A370,ROW(INDIRECT("1:"&amp;LEN(A370)))),1))," ",REPT(" ",LEN(A370))),LEN(A370))))))))+1, 1) * 10^ROW(INDIRECT("1:"&amp;LEN((--TRIM(RIGHT(SUBSTITUTE(LEFT(A370,_xlfn.AGGREGATE(16,6,FIND({0,1,2,3,4,5,6,7,8,9},A370,ROW(INDIRECT("1:"&amp;LEN(A370)))),1))," ",REPT(" ",LEN(A370))),LEN(A370)))))))/10))*100+1</f>
        <v>601</v>
      </c>
    </row>
    <row r="372" spans="1:16" s="2" customFormat="1" x14ac:dyDescent="0.25">
      <c r="A372" s="147" t="str">
        <f t="shared" ca="1" si="149"/>
        <v>202,..,602</v>
      </c>
      <c r="B372" s="148"/>
      <c r="C372" s="19" t="s">
        <v>243</v>
      </c>
      <c r="D372" s="50">
        <f>((2.9*4.2)+(1.8*0.45)+(2.125)+(2.2*0.75)+(0.45*2.4)+((2.245+3.05)*0.75)+(1.946*1)+(2.55*1.696)+(3.05*2.75)+(2.6*0.9)+(2.9*2.75)+(2.12*0.39)+(1.225*1.98)+(1.9*1.25))*10.764</f>
        <v>564.21497339999996</v>
      </c>
      <c r="E372" s="50">
        <f>3.725*1.525*10.764</f>
        <v>61.146247499999994</v>
      </c>
      <c r="F372" s="19">
        <f t="shared" si="150"/>
        <v>907.4687075999999</v>
      </c>
      <c r="G372" s="147" t="str">
        <f>G371</f>
        <v>2nd, 4th, 6th Floor</v>
      </c>
      <c r="H372" s="148"/>
      <c r="I372" s="38"/>
      <c r="N372" s="2" t="str">
        <f t="shared" ca="1" si="151"/>
        <v>202,..,602</v>
      </c>
      <c r="O372" s="2">
        <f t="shared" ref="O372:P372" ca="1" si="152">O371+1</f>
        <v>202</v>
      </c>
      <c r="P372" s="2">
        <f t="shared" ca="1" si="152"/>
        <v>602</v>
      </c>
    </row>
    <row r="373" spans="1:16" s="2" customFormat="1" x14ac:dyDescent="0.25">
      <c r="A373" s="147" t="str">
        <f t="shared" ca="1" si="149"/>
        <v>203,..,603</v>
      </c>
      <c r="B373" s="148"/>
      <c r="C373" s="49" t="s">
        <v>205</v>
      </c>
      <c r="D373" s="50">
        <f>((2.95*4.27)+(1.851*0.45)+(2.126*1.1486)+(2.2*0.75)+(0.45*2.4)+(2.55*1.695)+(1.795*1)+(2.245*0.75)+(3.05*0.75)+(2.6*1.1614)+(3.053*2.75)+(2.8*0.9)+(2.975*2.816)+(0.45*2.45)+(1.2*2.1)+(1.95*1.25))*10.764</f>
        <v>614.22466379039986</v>
      </c>
      <c r="E373" s="50">
        <f>2.916*1.525*10.764</f>
        <v>47.866431599999991</v>
      </c>
      <c r="F373" s="19">
        <f t="shared" si="150"/>
        <v>969.20342728559967</v>
      </c>
      <c r="G373" s="147" t="str">
        <f>G372</f>
        <v>2nd, 4th, 6th Floor</v>
      </c>
      <c r="H373" s="148"/>
      <c r="I373" s="38"/>
      <c r="N373" s="2" t="str">
        <f t="shared" ca="1" si="151"/>
        <v>203,..,603</v>
      </c>
      <c r="O373" s="2">
        <f t="shared" ref="O373:P373" ca="1" si="153">O372+1</f>
        <v>203</v>
      </c>
      <c r="P373" s="2">
        <f t="shared" ca="1" si="153"/>
        <v>603</v>
      </c>
    </row>
    <row r="374" spans="1:16" s="2" customFormat="1" x14ac:dyDescent="0.25">
      <c r="A374" s="147" t="str">
        <f t="shared" ca="1" si="149"/>
        <v>204,..,604</v>
      </c>
      <c r="B374" s="148"/>
      <c r="C374" s="49" t="s">
        <v>205</v>
      </c>
      <c r="D374" s="50">
        <f>((2.95*4.27)+(1.851*0.45)+(2.126*1.1486)+(2.2*0.75)+(0.45*2.4)+(2.55*1.695)+(1.795*1)+(2.245*0.75)+(3.05*0.75)+(2.6*1.1614)+(3.053*2.75)+(2.8*0.9)+(2.975*2.816)+(0.45*2.45)+(1.2*2.1)+(1.95*1.25))*10.764</f>
        <v>614.22466379039986</v>
      </c>
      <c r="E374" s="50">
        <f>2.916*1.525*10.764</f>
        <v>47.866431599999991</v>
      </c>
      <c r="F374" s="19">
        <f t="shared" si="150"/>
        <v>969.20342728559967</v>
      </c>
      <c r="G374" s="147" t="str">
        <f>G373</f>
        <v>2nd, 4th, 6th Floor</v>
      </c>
      <c r="H374" s="148"/>
      <c r="I374" s="38"/>
      <c r="N374" s="2" t="str">
        <f t="shared" ca="1" si="151"/>
        <v>204,..,604</v>
      </c>
      <c r="O374" s="2">
        <f t="shared" ref="O374:P374" ca="1" si="154">O373+1</f>
        <v>204</v>
      </c>
      <c r="P374" s="2">
        <f t="shared" ca="1" si="154"/>
        <v>604</v>
      </c>
    </row>
    <row r="375" spans="1:16" s="2" customFormat="1" x14ac:dyDescent="0.25">
      <c r="A375" s="147" t="str">
        <f t="shared" ca="1" si="149"/>
        <v>205,..,605</v>
      </c>
      <c r="B375" s="148"/>
      <c r="C375" s="49" t="s">
        <v>203</v>
      </c>
      <c r="D375" s="50">
        <f>((4.2*2.745)+(2.822*1.5)+(2.8*0.75)+(2.21*0.75)+(2.21*1)+(2.145*1.98)+(2.2*0.9)+(2.9*0.75)+(2.735*2.75)+(2.39*0.39)+(0.925*1.225)+(1.98*1.115))*10.764</f>
        <v>451.28904210000002</v>
      </c>
      <c r="E375" s="51">
        <f>3.05*1.525*10.764</f>
        <v>50.066054999999992</v>
      </c>
      <c r="F375" s="19">
        <f t="shared" si="150"/>
        <v>726.99961815000006</v>
      </c>
      <c r="G375" s="147" t="str">
        <f>G374</f>
        <v>2nd, 4th, 6th Floor</v>
      </c>
      <c r="H375" s="148"/>
      <c r="I375" s="38"/>
      <c r="N375" s="2" t="str">
        <f t="shared" ca="1" si="151"/>
        <v>205,..,605</v>
      </c>
      <c r="O375" s="2">
        <f t="shared" ref="O375:P375" ca="1" si="155">O374+1</f>
        <v>205</v>
      </c>
      <c r="P375" s="2">
        <f t="shared" ca="1" si="155"/>
        <v>605</v>
      </c>
    </row>
    <row r="376" spans="1:16" s="2" customFormat="1" x14ac:dyDescent="0.25">
      <c r="A376" s="147" t="str">
        <f t="shared" ca="1" si="149"/>
        <v>206,..,606</v>
      </c>
      <c r="B376" s="148"/>
      <c r="C376" s="49" t="s">
        <v>203</v>
      </c>
      <c r="D376" s="50">
        <f>((4.2*2.745)+(2.822*1.5)+(2.8*0.75)+(2.21*0.75)+(2.21*1)+(2.145*1.98)+(2.2*0.9)+(2.9*0.75)+(2.735*2.75)+(2.39*0.39)+(0.925*1.225)+(1.98*1.115))*10.764</f>
        <v>451.28904210000002</v>
      </c>
      <c r="E376" s="51">
        <f>3.05*1.525*10.764</f>
        <v>50.066054999999992</v>
      </c>
      <c r="F376" s="19">
        <f t="shared" si="150"/>
        <v>726.99961815000006</v>
      </c>
      <c r="G376" s="147" t="str">
        <f>G375</f>
        <v>2nd, 4th, 6th Floor</v>
      </c>
      <c r="H376" s="148"/>
      <c r="I376" s="38"/>
      <c r="N376" s="2" t="str">
        <f t="shared" ca="1" si="151"/>
        <v>206,..,606</v>
      </c>
      <c r="O376" s="2">
        <f t="shared" ref="O376:P376" ca="1" si="156">O375+1</f>
        <v>206</v>
      </c>
      <c r="P376" s="2">
        <f t="shared" ca="1" si="156"/>
        <v>606</v>
      </c>
    </row>
    <row r="377" spans="1:16" s="2" customFormat="1" ht="15.75" customHeight="1" x14ac:dyDescent="0.25">
      <c r="A377" s="188" t="s">
        <v>217</v>
      </c>
      <c r="B377" s="189"/>
      <c r="C377" s="189"/>
      <c r="D377" s="189"/>
      <c r="E377" s="189"/>
      <c r="F377" s="189"/>
      <c r="G377" s="189"/>
      <c r="H377" s="190"/>
      <c r="I377" s="38"/>
    </row>
    <row r="378" spans="1:16" s="2" customFormat="1" ht="15.75" customHeight="1" x14ac:dyDescent="0.25">
      <c r="A378" s="188" t="s">
        <v>214</v>
      </c>
      <c r="B378" s="189"/>
      <c r="C378" s="189"/>
      <c r="D378" s="189"/>
      <c r="E378" s="189"/>
      <c r="F378" s="189"/>
      <c r="G378" s="189"/>
      <c r="H378" s="190"/>
      <c r="I378" s="38"/>
    </row>
    <row r="379" spans="1:16" s="2" customFormat="1" x14ac:dyDescent="0.25">
      <c r="A379" s="147" t="str">
        <f t="shared" ref="A379:A384" ca="1" si="157">N379</f>
        <v>101,..,701</v>
      </c>
      <c r="B379" s="148"/>
      <c r="C379" s="49" t="s">
        <v>203</v>
      </c>
      <c r="D379" s="50">
        <f>((4.2*2.4)+(2.21*0.75)+(2.145*1.98)+(0.9*2)+(2.825*0.75)+(2.94*1.5)+(2.75*2.675)+(2.315*0.45)+(0.925*1.225)+(1.575*1.115))*10.764</f>
        <v>383.20485839999998</v>
      </c>
      <c r="E379" s="50">
        <f>4.499*10.764</f>
        <v>48.427235999999994</v>
      </c>
      <c r="F379" s="19">
        <f t="shared" ref="F379:F384" si="158">D379*(($F$252)+1)+E379</f>
        <v>623.23452359999999</v>
      </c>
      <c r="G379" s="147" t="str">
        <f>A378</f>
        <v>1st, 3rd, 5th, 7th Floor</v>
      </c>
      <c r="H379" s="148"/>
      <c r="I379" s="38"/>
      <c r="N379" s="2" t="str">
        <f t="shared" ref="N379:N384" ca="1" si="159">O379&amp;""&amp;",..,"&amp;""&amp;P379</f>
        <v>101,..,701</v>
      </c>
      <c r="O379" s="2">
        <f ca="1">(SUMPRODUCT(MID(0&amp;(LEFT(A378,SUM(LEN(A378)-LEN(SUBSTITUTE(A378,{"0","1","2"},""))))), LARGE(INDEX(ISNUMBER(--MID((LEFT(A378,SUM(LEN(A378)-LEN(SUBSTITUTE(A378,{"0","1","2"},""))))), ROW(INDIRECT("1:"&amp;LEN((LEFT(A378,SUM(LEN(A378)-LEN(SUBSTITUTE(A378,{"0","1","2"},"")))))))), 1)) * ROW(INDIRECT("1:"&amp;LEN((LEFT(A378,SUM(LEN(A378)-LEN(SUBSTITUTE(A378,{"0","1","2"},"")))))))), 0), ROW(INDIRECT("1:"&amp;LEN((LEFT(A378,SUM(LEN(A378)-LEN(SUBSTITUTE(A378,{"0","1","2"},"")))))))))+1, 1) * 10^ROW(INDIRECT("1:"&amp;LEN((LEFT(A378,SUM(LEN(A378)-LEN(SUBSTITUTE(A378,{"0","1","2"},""))))))))/10))*100+1</f>
        <v>101</v>
      </c>
      <c r="P379" s="2">
        <f ca="1">(SUMPRODUCT(MID(0&amp;(--TRIM(RIGHT(SUBSTITUTE(LEFT(A378,_xlfn.AGGREGATE(16,6,FIND({0,1,2,3,4,5,6,7,8,9},A378,ROW(INDIRECT("1:"&amp;LEN(A378)))),1))," ",REPT(" ",LEN(A378))),LEN(A378)))), LARGE(INDEX(ISNUMBER(--MID((--TRIM(RIGHT(SUBSTITUTE(LEFT(A378,_xlfn.AGGREGATE(16,6,FIND({0,1,2,3,4,5,6,7,8,9},A378,ROW(INDIRECT("1:"&amp;LEN(A378)))),1))," ",REPT(" ",LEN(A378))),LEN(A378)))), ROW(INDIRECT("1:"&amp;LEN((--TRIM(RIGHT(SUBSTITUTE(LEFT(A378,_xlfn.AGGREGATE(16,6,FIND({0,1,2,3,4,5,6,7,8,9},A378,ROW(INDIRECT("1:"&amp;LEN(A378)))),1))," ",REPT(" ",LEN(A378))),LEN(A378))))))), 1)) * ROW(INDIRECT("1:"&amp;LEN((--TRIM(RIGHT(SUBSTITUTE(LEFT(A378,_xlfn.AGGREGATE(16,6,FIND({0,1,2,3,4,5,6,7,8,9},A378,ROW(INDIRECT("1:"&amp;LEN(A378)))),1))," ",REPT(" ",LEN(A378))),LEN(A378))))))), 0), ROW(INDIRECT("1:"&amp;LEN((--TRIM(RIGHT(SUBSTITUTE(LEFT(A378,_xlfn.AGGREGATE(16,6,FIND({0,1,2,3,4,5,6,7,8,9},A378,ROW(INDIRECT("1:"&amp;LEN(A378)))),1))," ",REPT(" ",LEN(A378))),LEN(A378))))))))+1, 1) * 10^ROW(INDIRECT("1:"&amp;LEN((--TRIM(RIGHT(SUBSTITUTE(LEFT(A378,_xlfn.AGGREGATE(16,6,FIND({0,1,2,3,4,5,6,7,8,9},A378,ROW(INDIRECT("1:"&amp;LEN(A378)))),1))," ",REPT(" ",LEN(A378))),LEN(A378)))))))/10))*100+1</f>
        <v>701</v>
      </c>
    </row>
    <row r="380" spans="1:16" s="2" customFormat="1" x14ac:dyDescent="0.25">
      <c r="A380" s="147" t="str">
        <f t="shared" ca="1" si="157"/>
        <v>102,..,702</v>
      </c>
      <c r="B380" s="148"/>
      <c r="C380" s="49" t="s">
        <v>203</v>
      </c>
      <c r="D380" s="50">
        <f>((4.2*2.4)+(2.21*0.75)+(2.145*1.98)+(0.9*2)+(2.825*0.75)+(2.94*1.5)+(2.75*2.675)+(2.315*0.45)+(0.925*1.225)+(1.575*1.115))*10.764</f>
        <v>383.20485839999998</v>
      </c>
      <c r="E380" s="50">
        <f>4.499*10.764</f>
        <v>48.427235999999994</v>
      </c>
      <c r="F380" s="19">
        <f t="shared" si="158"/>
        <v>623.23452359999999</v>
      </c>
      <c r="G380" s="147" t="str">
        <f>G379</f>
        <v>1st, 3rd, 5th, 7th Floor</v>
      </c>
      <c r="H380" s="148"/>
      <c r="I380" s="38"/>
      <c r="N380" s="2" t="str">
        <f t="shared" ca="1" si="159"/>
        <v>102,..,702</v>
      </c>
      <c r="O380" s="2">
        <f t="shared" ref="O380:P380" ca="1" si="160">O379+1</f>
        <v>102</v>
      </c>
      <c r="P380" s="2">
        <f t="shared" ca="1" si="160"/>
        <v>702</v>
      </c>
    </row>
    <row r="381" spans="1:16" s="2" customFormat="1" x14ac:dyDescent="0.25">
      <c r="A381" s="147" t="str">
        <f t="shared" ca="1" si="157"/>
        <v>103,..,703</v>
      </c>
      <c r="B381" s="148"/>
      <c r="C381" s="49" t="s">
        <v>203</v>
      </c>
      <c r="D381" s="50">
        <f>((4.2*2.75)+(2.145*1.98)+(2.21*0.75)+(0.9*2)+(2.825*0.75)+(2.94*1.5)+(2.675*2.75)+(0.45*2.315)+(0.925*1.225)+(1.575*1.115))*10.764</f>
        <v>399.02793839999998</v>
      </c>
      <c r="E381" s="51">
        <f>4.27*10.764</f>
        <v>45.962279999999993</v>
      </c>
      <c r="F381" s="19">
        <f t="shared" si="158"/>
        <v>644.50418759999991</v>
      </c>
      <c r="G381" s="147" t="str">
        <f>G380</f>
        <v>1st, 3rd, 5th, 7th Floor</v>
      </c>
      <c r="H381" s="148"/>
      <c r="I381" s="38"/>
      <c r="N381" s="2" t="str">
        <f t="shared" ca="1" si="159"/>
        <v>103,..,703</v>
      </c>
      <c r="O381" s="2">
        <f t="shared" ref="O381:P381" ca="1" si="161">O380+1</f>
        <v>103</v>
      </c>
      <c r="P381" s="2">
        <f t="shared" ca="1" si="161"/>
        <v>703</v>
      </c>
    </row>
    <row r="382" spans="1:16" s="2" customFormat="1" x14ac:dyDescent="0.25">
      <c r="A382" s="147" t="str">
        <f t="shared" ca="1" si="157"/>
        <v>104,..,704</v>
      </c>
      <c r="B382" s="148"/>
      <c r="C382" s="49" t="s">
        <v>203</v>
      </c>
      <c r="D382" s="50">
        <f>((4.2*2.75)+(2.145*1.98)+(2.21*0.75)+(0.9*2)+(2.825*0.75)+(2.94*1.5)+(2.675*2.75)+(0.45*2.315)+(0.925*1.225)+(1.575*1.115))*10.764</f>
        <v>399.02793839999998</v>
      </c>
      <c r="E382" s="51">
        <f>4.27*10.764</f>
        <v>45.962279999999993</v>
      </c>
      <c r="F382" s="19">
        <f t="shared" si="158"/>
        <v>644.50418759999991</v>
      </c>
      <c r="G382" s="147" t="str">
        <f>G381</f>
        <v>1st, 3rd, 5th, 7th Floor</v>
      </c>
      <c r="H382" s="148"/>
      <c r="I382" s="38"/>
      <c r="N382" s="2" t="str">
        <f t="shared" ca="1" si="159"/>
        <v>104,..,704</v>
      </c>
      <c r="O382" s="2">
        <f t="shared" ref="O382:P382" ca="1" si="162">O381+1</f>
        <v>104</v>
      </c>
      <c r="P382" s="2">
        <f t="shared" ca="1" si="162"/>
        <v>704</v>
      </c>
    </row>
    <row r="383" spans="1:16" s="2" customFormat="1" x14ac:dyDescent="0.25">
      <c r="A383" s="147" t="str">
        <f t="shared" ca="1" si="157"/>
        <v>105,..,705</v>
      </c>
      <c r="B383" s="148"/>
      <c r="C383" s="19" t="s">
        <v>243</v>
      </c>
      <c r="D383" s="50">
        <f>((2.9*4.12)+(1.8*0.45)+(2.4*0.45)+(4.695*0.75)+(1.845*1)+(2.45*1.695)+(2.45*2.6)+(2.85*1)+(2.6*0.9)+(2.775*0.75)+(2.775*1.742)+(2.9*2.75)+(2.045*0.45)+(1.225*1.98)+(1.9*1.25))*10.764</f>
        <v>597.70393020000006</v>
      </c>
      <c r="E383" s="50">
        <f>1.96*1.675*10.764</f>
        <v>35.338211999999999</v>
      </c>
      <c r="F383" s="19">
        <f t="shared" si="158"/>
        <v>931.89410730000009</v>
      </c>
      <c r="G383" s="147" t="str">
        <f>G382</f>
        <v>1st, 3rd, 5th, 7th Floor</v>
      </c>
      <c r="H383" s="148"/>
      <c r="I383" s="38"/>
      <c r="N383" s="2" t="str">
        <f t="shared" ca="1" si="159"/>
        <v>105,..,705</v>
      </c>
      <c r="O383" s="2">
        <f t="shared" ref="O383:P383" ca="1" si="163">O382+1</f>
        <v>105</v>
      </c>
      <c r="P383" s="2">
        <f t="shared" ca="1" si="163"/>
        <v>705</v>
      </c>
    </row>
    <row r="384" spans="1:16" s="2" customFormat="1" x14ac:dyDescent="0.25">
      <c r="A384" s="147" t="str">
        <f t="shared" ca="1" si="157"/>
        <v>106,..,706</v>
      </c>
      <c r="B384" s="148"/>
      <c r="C384" s="19" t="s">
        <v>243</v>
      </c>
      <c r="D384" s="50">
        <f>((2.9*4.12)+(1.8*0.45)+(2.4*0.45)+(4.695*0.75)+(1.845*1)+(2.45*1.695)+(2.45*2.6)+(2.85*1)+(2.6*0.9)+(2.775*0.75)+(2.775*1.742)+(2.9*2.75)+(2.045*0.45)+(1.225*1.98)+(1.9*1.25))*10.764</f>
        <v>597.70393020000006</v>
      </c>
      <c r="E384" s="50">
        <f>1.96*1.675*10.764</f>
        <v>35.338211999999999</v>
      </c>
      <c r="F384" s="19">
        <f t="shared" si="158"/>
        <v>931.89410730000009</v>
      </c>
      <c r="G384" s="147" t="str">
        <f>G383</f>
        <v>1st, 3rd, 5th, 7th Floor</v>
      </c>
      <c r="H384" s="148"/>
      <c r="I384" s="38"/>
      <c r="N384" s="2" t="str">
        <f t="shared" ca="1" si="159"/>
        <v>106,..,706</v>
      </c>
      <c r="O384" s="2">
        <f t="shared" ref="O384:P384" ca="1" si="164">O383+1</f>
        <v>106</v>
      </c>
      <c r="P384" s="2">
        <f t="shared" ca="1" si="164"/>
        <v>706</v>
      </c>
    </row>
    <row r="385" spans="1:16" s="2" customFormat="1" ht="15.75" customHeight="1" x14ac:dyDescent="0.25">
      <c r="A385" s="188" t="s">
        <v>215</v>
      </c>
      <c r="B385" s="189"/>
      <c r="C385" s="189"/>
      <c r="D385" s="189"/>
      <c r="E385" s="189"/>
      <c r="F385" s="189"/>
      <c r="G385" s="189"/>
      <c r="H385" s="190"/>
      <c r="I385" s="38"/>
    </row>
    <row r="386" spans="1:16" s="2" customFormat="1" x14ac:dyDescent="0.25">
      <c r="A386" s="147" t="str">
        <f t="shared" ref="A386:A391" ca="1" si="165">N386</f>
        <v>201,..,601</v>
      </c>
      <c r="B386" s="148"/>
      <c r="C386" s="49" t="s">
        <v>203</v>
      </c>
      <c r="D386" s="50">
        <f>((4.2*2.4)+(2.665*1.5)+(2.665*0.65)+(2.21*0.75)+(2.145*1.98)+(0.9*2)+(2.75*2.675)+(2.315*0.45)+(0.925*1.225)+(1.575*1.115))*10.764</f>
        <v>374.60442239999998</v>
      </c>
      <c r="E386" s="50">
        <f>4.651*10.764</f>
        <v>50.063363999999993</v>
      </c>
      <c r="F386" s="19">
        <f t="shared" ref="F386:F391" si="166">D386*(($F$252)+1)+E386</f>
        <v>611.96999759999994</v>
      </c>
      <c r="G386" s="147" t="str">
        <f>A385</f>
        <v>2nd, 4th, 6th Floor</v>
      </c>
      <c r="H386" s="148"/>
      <c r="I386" s="38"/>
      <c r="N386" s="2" t="str">
        <f t="shared" ref="N386:N391" ca="1" si="167">O386&amp;""&amp;",..,"&amp;""&amp;P386</f>
        <v>201,..,601</v>
      </c>
      <c r="O386" s="2">
        <f ca="1">(SUMPRODUCT(MID(0&amp;(LEFT(A385,SUM(LEN(A385)-LEN(SUBSTITUTE(A385,{"0","1","2"},""))))), LARGE(INDEX(ISNUMBER(--MID((LEFT(A385,SUM(LEN(A385)-LEN(SUBSTITUTE(A385,{"0","1","2"},""))))), ROW(INDIRECT("1:"&amp;LEN((LEFT(A385,SUM(LEN(A385)-LEN(SUBSTITUTE(A385,{"0","1","2"},"")))))))), 1)) * ROW(INDIRECT("1:"&amp;LEN((LEFT(A385,SUM(LEN(A385)-LEN(SUBSTITUTE(A385,{"0","1","2"},"")))))))), 0), ROW(INDIRECT("1:"&amp;LEN((LEFT(A385,SUM(LEN(A385)-LEN(SUBSTITUTE(A385,{"0","1","2"},"")))))))))+1, 1) * 10^ROW(INDIRECT("1:"&amp;LEN((LEFT(A385,SUM(LEN(A385)-LEN(SUBSTITUTE(A385,{"0","1","2"},""))))))))/10))*100+1</f>
        <v>201</v>
      </c>
      <c r="P386" s="2">
        <f ca="1">(SUMPRODUCT(MID(0&amp;(--TRIM(RIGHT(SUBSTITUTE(LEFT(A385,_xlfn.AGGREGATE(16,6,FIND({0,1,2,3,4,5,6,7,8,9},A385,ROW(INDIRECT("1:"&amp;LEN(A385)))),1))," ",REPT(" ",LEN(A385))),LEN(A385)))), LARGE(INDEX(ISNUMBER(--MID((--TRIM(RIGHT(SUBSTITUTE(LEFT(A385,_xlfn.AGGREGATE(16,6,FIND({0,1,2,3,4,5,6,7,8,9},A385,ROW(INDIRECT("1:"&amp;LEN(A385)))),1))," ",REPT(" ",LEN(A385))),LEN(A385)))), ROW(INDIRECT("1:"&amp;LEN((--TRIM(RIGHT(SUBSTITUTE(LEFT(A385,_xlfn.AGGREGATE(16,6,FIND({0,1,2,3,4,5,6,7,8,9},A385,ROW(INDIRECT("1:"&amp;LEN(A385)))),1))," ",REPT(" ",LEN(A385))),LEN(A385))))))), 1)) * ROW(INDIRECT("1:"&amp;LEN((--TRIM(RIGHT(SUBSTITUTE(LEFT(A385,_xlfn.AGGREGATE(16,6,FIND({0,1,2,3,4,5,6,7,8,9},A385,ROW(INDIRECT("1:"&amp;LEN(A385)))),1))," ",REPT(" ",LEN(A385))),LEN(A385))))))), 0), ROW(INDIRECT("1:"&amp;LEN((--TRIM(RIGHT(SUBSTITUTE(LEFT(A385,_xlfn.AGGREGATE(16,6,FIND({0,1,2,3,4,5,6,7,8,9},A385,ROW(INDIRECT("1:"&amp;LEN(A385)))),1))," ",REPT(" ",LEN(A385))),LEN(A385))))))))+1, 1) * 10^ROW(INDIRECT("1:"&amp;LEN((--TRIM(RIGHT(SUBSTITUTE(LEFT(A385,_xlfn.AGGREGATE(16,6,FIND({0,1,2,3,4,5,6,7,8,9},A385,ROW(INDIRECT("1:"&amp;LEN(A385)))),1))," ",REPT(" ",LEN(A385))),LEN(A385)))))))/10))*100+1</f>
        <v>601</v>
      </c>
    </row>
    <row r="387" spans="1:16" s="2" customFormat="1" x14ac:dyDescent="0.25">
      <c r="A387" s="147" t="str">
        <f t="shared" ca="1" si="165"/>
        <v>202,..,602</v>
      </c>
      <c r="B387" s="148"/>
      <c r="C387" s="49" t="s">
        <v>203</v>
      </c>
      <c r="D387" s="50">
        <f>((4.2*2.4)+(2.665*1.5)+(2.665*0.65)+(2.21*0.75)+(2.145*1.98)+(0.9*2)+(2.75*2.675)+(2.315*0.45)+(0.925*1.225)+(1.575*1.115))*10.764</f>
        <v>374.60442239999998</v>
      </c>
      <c r="E387" s="50">
        <f>4.651*10.764</f>
        <v>50.063363999999993</v>
      </c>
      <c r="F387" s="19">
        <f t="shared" si="166"/>
        <v>611.96999759999994</v>
      </c>
      <c r="G387" s="147" t="str">
        <f>G386</f>
        <v>2nd, 4th, 6th Floor</v>
      </c>
      <c r="H387" s="148"/>
      <c r="I387" s="38"/>
      <c r="N387" s="2" t="str">
        <f t="shared" ca="1" si="167"/>
        <v>202,..,602</v>
      </c>
      <c r="O387" s="2">
        <f t="shared" ref="O387:P387" ca="1" si="168">O386+1</f>
        <v>202</v>
      </c>
      <c r="P387" s="2">
        <f t="shared" ca="1" si="168"/>
        <v>602</v>
      </c>
    </row>
    <row r="388" spans="1:16" s="2" customFormat="1" x14ac:dyDescent="0.25">
      <c r="A388" s="147" t="str">
        <f t="shared" ca="1" si="165"/>
        <v>203,..,603</v>
      </c>
      <c r="B388" s="148"/>
      <c r="C388" s="49" t="s">
        <v>203</v>
      </c>
      <c r="D388" s="50">
        <f>((4.2*2.75)+(2.9*1.2917)+(2.9*0.75)+(2.145*1.98)+(2.21*0.75)+(2.21*1)+(0.9*2)+(2.675*2.75)+(0.45*2.315)+(0.925*1.225)+(1.575*1.115))*10.764</f>
        <v>416.27380391999992</v>
      </c>
      <c r="E388" s="51">
        <f>4.65*10.764</f>
        <v>50.052599999999998</v>
      </c>
      <c r="F388" s="19">
        <f t="shared" si="166"/>
        <v>674.46330587999989</v>
      </c>
      <c r="G388" s="147" t="str">
        <f>G387</f>
        <v>2nd, 4th, 6th Floor</v>
      </c>
      <c r="H388" s="148"/>
      <c r="I388" s="38"/>
      <c r="N388" s="2" t="str">
        <f t="shared" ca="1" si="167"/>
        <v>203,..,603</v>
      </c>
      <c r="O388" s="2">
        <f t="shared" ref="O388:P388" ca="1" si="169">O387+1</f>
        <v>203</v>
      </c>
      <c r="P388" s="2">
        <f t="shared" ca="1" si="169"/>
        <v>603</v>
      </c>
    </row>
    <row r="389" spans="1:16" s="2" customFormat="1" x14ac:dyDescent="0.25">
      <c r="A389" s="147" t="str">
        <f t="shared" ca="1" si="165"/>
        <v>204,..,604</v>
      </c>
      <c r="B389" s="148"/>
      <c r="C389" s="49" t="s">
        <v>203</v>
      </c>
      <c r="D389" s="50">
        <f>((4.2*2.75)+(2.9*1.2917)+(2.9*0.75)+(2.145*1.98)+(2.21*0.75)+(2.21*1)+(0.9*2)+(2.675*2.75)+(0.45*2.315)+(0.925*1.225)+(1.575*1.115))*10.764</f>
        <v>416.27380391999992</v>
      </c>
      <c r="E389" s="51">
        <f>4.65*10.764</f>
        <v>50.052599999999998</v>
      </c>
      <c r="F389" s="19">
        <f t="shared" si="166"/>
        <v>674.46330587999989</v>
      </c>
      <c r="G389" s="147" t="str">
        <f>G388</f>
        <v>2nd, 4th, 6th Floor</v>
      </c>
      <c r="H389" s="148"/>
      <c r="I389" s="38"/>
      <c r="N389" s="2" t="str">
        <f t="shared" ca="1" si="167"/>
        <v>204,..,604</v>
      </c>
      <c r="O389" s="2">
        <f t="shared" ref="O389:P389" ca="1" si="170">O388+1</f>
        <v>204</v>
      </c>
      <c r="P389" s="2">
        <f t="shared" ca="1" si="170"/>
        <v>604</v>
      </c>
    </row>
    <row r="390" spans="1:16" s="2" customFormat="1" x14ac:dyDescent="0.25">
      <c r="A390" s="147" t="str">
        <f t="shared" ca="1" si="165"/>
        <v>205,..,605</v>
      </c>
      <c r="B390" s="148"/>
      <c r="C390" s="19" t="s">
        <v>243</v>
      </c>
      <c r="D390" s="50">
        <f>((2.9*4.12)+(2.125*1)+(2.2*0.75)+(1.8*0.45)+(2.4*0.45)+(4.695*0.75)+(1.845*1)+(2.45*1.695)+(2.45*2.6)+(2.85*1)+(2.6*0.9)+(2.9*2.75)+(2.045*0.45)+(1.225*1.98)+(1.9*1.25))*10.764</f>
        <v>563.90174100000013</v>
      </c>
      <c r="E390" s="50">
        <f>4.132*10.764</f>
        <v>44.476847999999997</v>
      </c>
      <c r="F390" s="19">
        <f t="shared" si="166"/>
        <v>890.32945950000021</v>
      </c>
      <c r="G390" s="147" t="str">
        <f>G389</f>
        <v>2nd, 4th, 6th Floor</v>
      </c>
      <c r="H390" s="148"/>
      <c r="I390" s="38"/>
      <c r="N390" s="2" t="str">
        <f t="shared" ca="1" si="167"/>
        <v>205,..,605</v>
      </c>
      <c r="O390" s="2">
        <f t="shared" ref="O390:P390" ca="1" si="171">O389+1</f>
        <v>205</v>
      </c>
      <c r="P390" s="2">
        <f t="shared" ca="1" si="171"/>
        <v>605</v>
      </c>
    </row>
    <row r="391" spans="1:16" s="2" customFormat="1" x14ac:dyDescent="0.25">
      <c r="A391" s="147" t="str">
        <f t="shared" ca="1" si="165"/>
        <v>206,..,606</v>
      </c>
      <c r="B391" s="148"/>
      <c r="C391" s="19" t="s">
        <v>243</v>
      </c>
      <c r="D391" s="50">
        <f>((2.9*4.12)+(2.125*1)+(2.2*0.75)+(1.8*0.45)+(2.4*0.45)+(4.695*0.75)+(1.845*1)+(2.45*1.695)+(2.45*2.6)+(2.85*1)+(2.6*0.9)+(2.9*2.75)+(2.045*0.45)+(1.225*1.98)+(1.9*1.25))*10.764</f>
        <v>563.90174100000013</v>
      </c>
      <c r="E391" s="50">
        <f>4.132*10.764</f>
        <v>44.476847999999997</v>
      </c>
      <c r="F391" s="19">
        <f t="shared" si="166"/>
        <v>890.32945950000021</v>
      </c>
      <c r="G391" s="147" t="str">
        <f>G390</f>
        <v>2nd, 4th, 6th Floor</v>
      </c>
      <c r="H391" s="148"/>
      <c r="I391" s="38"/>
      <c r="N391" s="2" t="str">
        <f t="shared" ca="1" si="167"/>
        <v>206,..,606</v>
      </c>
      <c r="O391" s="2">
        <f t="shared" ref="O391:P391" ca="1" si="172">O390+1</f>
        <v>206</v>
      </c>
      <c r="P391" s="2">
        <f t="shared" ca="1" si="172"/>
        <v>606</v>
      </c>
    </row>
    <row r="392" spans="1:16" s="2" customFormat="1" ht="15.75" customHeight="1" x14ac:dyDescent="0.25">
      <c r="A392" s="188" t="s">
        <v>218</v>
      </c>
      <c r="B392" s="189"/>
      <c r="C392" s="189"/>
      <c r="D392" s="189"/>
      <c r="E392" s="189"/>
      <c r="F392" s="189"/>
      <c r="G392" s="189"/>
      <c r="H392" s="190"/>
      <c r="I392" s="38"/>
    </row>
    <row r="393" spans="1:16" s="2" customFormat="1" ht="15.75" customHeight="1" x14ac:dyDescent="0.25">
      <c r="A393" s="188" t="s">
        <v>214</v>
      </c>
      <c r="B393" s="189"/>
      <c r="C393" s="189"/>
      <c r="D393" s="189"/>
      <c r="E393" s="189"/>
      <c r="F393" s="189"/>
      <c r="G393" s="189"/>
      <c r="H393" s="190"/>
      <c r="I393" s="38"/>
    </row>
    <row r="394" spans="1:16" s="2" customFormat="1" x14ac:dyDescent="0.25">
      <c r="A394" s="147" t="str">
        <f t="shared" ref="A394:A399" ca="1" si="173">N394</f>
        <v>101,..,701</v>
      </c>
      <c r="B394" s="148"/>
      <c r="C394" s="49" t="s">
        <v>203</v>
      </c>
      <c r="D394" s="50">
        <f>((4.2*2.4)+(2.4*0.35)+(2.28*0.75)+(2.28*1)+(2.145*1.98)+(0.91*2)+(2.79*0.75)+(2.79*1)+(2.875*2.75)+(2.315*0.45)+(0.925*1.225)+(1.575*1.115))*10.764</f>
        <v>405.76889339999997</v>
      </c>
      <c r="E394" s="50">
        <f>2.918*1.525*10.764</f>
        <v>47.899261799999998</v>
      </c>
      <c r="F394" s="19">
        <f t="shared" ref="F394:F399" si="174">D394*(($F$252)+1)+E394</f>
        <v>656.5526018999999</v>
      </c>
      <c r="G394" s="147" t="str">
        <f>A393</f>
        <v>1st, 3rd, 5th, 7th Floor</v>
      </c>
      <c r="H394" s="148"/>
      <c r="I394" s="38"/>
      <c r="N394" s="2" t="str">
        <f t="shared" ref="N394:N399" ca="1" si="175">O394&amp;""&amp;",..,"&amp;""&amp;P394</f>
        <v>101,..,701</v>
      </c>
      <c r="O394" s="2">
        <f ca="1">(SUMPRODUCT(MID(0&amp;(LEFT(A393,SUM(LEN(A393)-LEN(SUBSTITUTE(A393,{"0","1","2"},""))))), LARGE(INDEX(ISNUMBER(--MID((LEFT(A393,SUM(LEN(A393)-LEN(SUBSTITUTE(A393,{"0","1","2"},""))))), ROW(INDIRECT("1:"&amp;LEN((LEFT(A393,SUM(LEN(A393)-LEN(SUBSTITUTE(A393,{"0","1","2"},"")))))))), 1)) * ROW(INDIRECT("1:"&amp;LEN((LEFT(A393,SUM(LEN(A393)-LEN(SUBSTITUTE(A393,{"0","1","2"},"")))))))), 0), ROW(INDIRECT("1:"&amp;LEN((LEFT(A393,SUM(LEN(A393)-LEN(SUBSTITUTE(A393,{"0","1","2"},"")))))))))+1, 1) * 10^ROW(INDIRECT("1:"&amp;LEN((LEFT(A393,SUM(LEN(A393)-LEN(SUBSTITUTE(A393,{"0","1","2"},""))))))))/10))*100+1</f>
        <v>101</v>
      </c>
      <c r="P394" s="2">
        <f ca="1">(SUMPRODUCT(MID(0&amp;(--TRIM(RIGHT(SUBSTITUTE(LEFT(A393,_xlfn.AGGREGATE(16,6,FIND({0,1,2,3,4,5,6,7,8,9},A393,ROW(INDIRECT("1:"&amp;LEN(A393)))),1))," ",REPT(" ",LEN(A393))),LEN(A393)))), LARGE(INDEX(ISNUMBER(--MID((--TRIM(RIGHT(SUBSTITUTE(LEFT(A393,_xlfn.AGGREGATE(16,6,FIND({0,1,2,3,4,5,6,7,8,9},A393,ROW(INDIRECT("1:"&amp;LEN(A393)))),1))," ",REPT(" ",LEN(A393))),LEN(A393)))), ROW(INDIRECT("1:"&amp;LEN((--TRIM(RIGHT(SUBSTITUTE(LEFT(A393,_xlfn.AGGREGATE(16,6,FIND({0,1,2,3,4,5,6,7,8,9},A393,ROW(INDIRECT("1:"&amp;LEN(A393)))),1))," ",REPT(" ",LEN(A393))),LEN(A393))))))), 1)) * ROW(INDIRECT("1:"&amp;LEN((--TRIM(RIGHT(SUBSTITUTE(LEFT(A393,_xlfn.AGGREGATE(16,6,FIND({0,1,2,3,4,5,6,7,8,9},A393,ROW(INDIRECT("1:"&amp;LEN(A393)))),1))," ",REPT(" ",LEN(A393))),LEN(A393))))))), 0), ROW(INDIRECT("1:"&amp;LEN((--TRIM(RIGHT(SUBSTITUTE(LEFT(A393,_xlfn.AGGREGATE(16,6,FIND({0,1,2,3,4,5,6,7,8,9},A393,ROW(INDIRECT("1:"&amp;LEN(A393)))),1))," ",REPT(" ",LEN(A393))),LEN(A393))))))))+1, 1) * 10^ROW(INDIRECT("1:"&amp;LEN((--TRIM(RIGHT(SUBSTITUTE(LEFT(A393,_xlfn.AGGREGATE(16,6,FIND({0,1,2,3,4,5,6,7,8,9},A393,ROW(INDIRECT("1:"&amp;LEN(A393)))),1))," ",REPT(" ",LEN(A393))),LEN(A393)))))))/10))*100+1</f>
        <v>701</v>
      </c>
    </row>
    <row r="395" spans="1:16" s="2" customFormat="1" x14ac:dyDescent="0.25">
      <c r="A395" s="147" t="str">
        <f t="shared" ca="1" si="173"/>
        <v>102,..,702</v>
      </c>
      <c r="B395" s="148"/>
      <c r="C395" s="49" t="s">
        <v>203</v>
      </c>
      <c r="D395" s="50">
        <f>((4.2*2.4)+(2.4*0.35)+(2.28*0.75)+(2.28*1)+(2.145*1.98)+(0.91*2)+(2.79*0.75)+(2.79*1)+(2.875*2.75)+(2.315*0.45)+(0.925*1.225)+(1.575*1.115))*10.764</f>
        <v>405.76889339999997</v>
      </c>
      <c r="E395" s="50">
        <f>2.918*1.525*10.764</f>
        <v>47.899261799999998</v>
      </c>
      <c r="F395" s="19">
        <f t="shared" si="174"/>
        <v>656.5526018999999</v>
      </c>
      <c r="G395" s="147" t="str">
        <f>G394</f>
        <v>1st, 3rd, 5th, 7th Floor</v>
      </c>
      <c r="H395" s="148"/>
      <c r="I395" s="38"/>
      <c r="N395" s="2" t="str">
        <f t="shared" ca="1" si="175"/>
        <v>102,..,702</v>
      </c>
      <c r="O395" s="2">
        <f t="shared" ref="O395:P395" ca="1" si="176">O394+1</f>
        <v>102</v>
      </c>
      <c r="P395" s="2">
        <f t="shared" ca="1" si="176"/>
        <v>702</v>
      </c>
    </row>
    <row r="396" spans="1:16" s="2" customFormat="1" x14ac:dyDescent="0.25">
      <c r="A396" s="147" t="str">
        <f t="shared" ca="1" si="173"/>
        <v>103,..,703</v>
      </c>
      <c r="B396" s="148"/>
      <c r="C396" s="19" t="s">
        <v>243</v>
      </c>
      <c r="D396" s="50">
        <f>((2.9*4.57)+(2.45*1.695)+(2.4*0.45)+(1.895*1)+(0.75*4.695)+(2.8*1)+(2.45*2.6)+(0.9*2.6)+(2.775*0.75)+(2.775*1)+(2.9*2.75)+(2.045*0.45)+(1.225*1.98)+(1.9*1.25))*10.764</f>
        <v>580.86849600000005</v>
      </c>
      <c r="E396" s="50">
        <f>2.275*1.525*10.764</f>
        <v>37.344352499999999</v>
      </c>
      <c r="F396" s="19">
        <f t="shared" si="174"/>
        <v>908.64709650000009</v>
      </c>
      <c r="G396" s="147" t="str">
        <f>G395</f>
        <v>1st, 3rd, 5th, 7th Floor</v>
      </c>
      <c r="H396" s="148"/>
      <c r="I396" s="38"/>
      <c r="N396" s="2" t="str">
        <f t="shared" ca="1" si="175"/>
        <v>103,..,703</v>
      </c>
      <c r="O396" s="2">
        <f t="shared" ref="O396:P396" ca="1" si="177">O395+1</f>
        <v>103</v>
      </c>
      <c r="P396" s="2">
        <f t="shared" ca="1" si="177"/>
        <v>703</v>
      </c>
    </row>
    <row r="397" spans="1:16" s="2" customFormat="1" x14ac:dyDescent="0.25">
      <c r="A397" s="147" t="str">
        <f t="shared" ca="1" si="173"/>
        <v>104,..,704</v>
      </c>
      <c r="B397" s="148"/>
      <c r="C397" s="19" t="s">
        <v>243</v>
      </c>
      <c r="D397" s="50">
        <f>((2.9*4.57)+(2.45*1.695)+(2.4*0.45)+(1.895*1)+(0.75*4.695)+(2.8*1)+(2.45*2.6)+(0.9*2.6)+(2.775*0.75)+(2.775*1)+(2.9*2.75)+(2.045*0.45)+(1.225*1.98)+(1.9*1.25))*10.764</f>
        <v>580.86849600000005</v>
      </c>
      <c r="E397" s="50">
        <f>2.275*1.525*10.764</f>
        <v>37.344352499999999</v>
      </c>
      <c r="F397" s="19">
        <f t="shared" si="174"/>
        <v>908.64709650000009</v>
      </c>
      <c r="G397" s="147" t="str">
        <f>G396</f>
        <v>1st, 3rd, 5th, 7th Floor</v>
      </c>
      <c r="H397" s="148"/>
      <c r="I397" s="38"/>
      <c r="N397" s="2" t="str">
        <f t="shared" ca="1" si="175"/>
        <v>104,..,704</v>
      </c>
      <c r="O397" s="2">
        <f t="shared" ref="O397:P397" ca="1" si="178">O396+1</f>
        <v>104</v>
      </c>
      <c r="P397" s="2">
        <f t="shared" ca="1" si="178"/>
        <v>704</v>
      </c>
    </row>
    <row r="398" spans="1:16" s="2" customFormat="1" x14ac:dyDescent="0.25">
      <c r="A398" s="147" t="str">
        <f t="shared" ca="1" si="173"/>
        <v>105,..,705</v>
      </c>
      <c r="B398" s="148"/>
      <c r="C398" s="49" t="s">
        <v>203</v>
      </c>
      <c r="D398" s="50">
        <f>((3.75*2.75)+(1.5*0.45)+(1.584*1.115)+(0.925*1.225)+(0.9*2.2)+(2.28*0.75)+(2.28*1)+(2.145*1.98)+(2.675*2.75)+(2.865*0.75)+(2.865*1)+(2.39*0.45))*10.764</f>
        <v>404.18158013999999</v>
      </c>
      <c r="E398" s="51">
        <f>2.852*1.45*10.764</f>
        <v>44.513445599999997</v>
      </c>
      <c r="F398" s="19">
        <f t="shared" si="174"/>
        <v>650.78581580999992</v>
      </c>
      <c r="G398" s="147" t="str">
        <f>G397</f>
        <v>1st, 3rd, 5th, 7th Floor</v>
      </c>
      <c r="H398" s="148"/>
      <c r="I398" s="38"/>
      <c r="N398" s="2" t="str">
        <f t="shared" ca="1" si="175"/>
        <v>105,..,705</v>
      </c>
      <c r="O398" s="2">
        <f t="shared" ref="O398:P398" ca="1" si="179">O397+1</f>
        <v>105</v>
      </c>
      <c r="P398" s="2">
        <f t="shared" ca="1" si="179"/>
        <v>705</v>
      </c>
    </row>
    <row r="399" spans="1:16" s="2" customFormat="1" x14ac:dyDescent="0.25">
      <c r="A399" s="147" t="str">
        <f t="shared" ca="1" si="173"/>
        <v>106,..,706</v>
      </c>
      <c r="B399" s="148"/>
      <c r="C399" s="49" t="s">
        <v>203</v>
      </c>
      <c r="D399" s="50">
        <f>((3.75*2.75)+(1.5*0.45)+(1.584*1.115)+(0.925*1.225)+(0.9*2.2)+(2.28*0.75)+(2.28*1)+(2.145*1.98)+(2.675*2.75)+(2.865*0.75)+(2.865*1)+(2.39*0.45))*10.764</f>
        <v>404.18158013999999</v>
      </c>
      <c r="E399" s="51">
        <f>2.852*1.45*10.764</f>
        <v>44.513445599999997</v>
      </c>
      <c r="F399" s="19">
        <f t="shared" si="174"/>
        <v>650.78581580999992</v>
      </c>
      <c r="G399" s="147" t="str">
        <f>G398</f>
        <v>1st, 3rd, 5th, 7th Floor</v>
      </c>
      <c r="H399" s="148"/>
      <c r="I399" s="38"/>
      <c r="N399" s="2" t="str">
        <f t="shared" ca="1" si="175"/>
        <v>106,..,706</v>
      </c>
      <c r="O399" s="2">
        <f t="shared" ref="O399:P399" ca="1" si="180">O398+1</f>
        <v>106</v>
      </c>
      <c r="P399" s="2">
        <f t="shared" ca="1" si="180"/>
        <v>706</v>
      </c>
    </row>
    <row r="400" spans="1:16" s="2" customFormat="1" ht="15.75" customHeight="1" x14ac:dyDescent="0.25">
      <c r="A400" s="188" t="s">
        <v>215</v>
      </c>
      <c r="B400" s="189"/>
      <c r="C400" s="189"/>
      <c r="D400" s="189"/>
      <c r="E400" s="189"/>
      <c r="F400" s="189"/>
      <c r="G400" s="189"/>
      <c r="H400" s="190"/>
      <c r="I400" s="38"/>
    </row>
    <row r="401" spans="1:16" s="2" customFormat="1" x14ac:dyDescent="0.25">
      <c r="A401" s="147" t="str">
        <f t="shared" ref="A401:A406" ca="1" si="181">N401</f>
        <v>201,..,601</v>
      </c>
      <c r="B401" s="148"/>
      <c r="C401" s="49" t="s">
        <v>203</v>
      </c>
      <c r="D401" s="50">
        <f>((4.2*2.4)+(2.4*0.35)+(2.515*1.101)+(0.65*2.6)+(2.28*0.75)+(2.28*1)+(2.145*1.98)+(0.91*2)+(2.875*2.75)+(2.315*0.45)+(0.925*1.225)+(1.575*1.115))*10.764</f>
        <v>401.21050085999997</v>
      </c>
      <c r="E401" s="50">
        <f>3.05*1.525*10.764</f>
        <v>50.066054999999992</v>
      </c>
      <c r="F401" s="19">
        <f t="shared" ref="F401:F406" si="182">D401*(($F$252)+1)+E401</f>
        <v>651.88180628999999</v>
      </c>
      <c r="G401" s="147" t="str">
        <f>A400</f>
        <v>2nd, 4th, 6th Floor</v>
      </c>
      <c r="H401" s="148"/>
      <c r="I401" s="38"/>
      <c r="N401" s="2" t="str">
        <f t="shared" ref="N401:N406" ca="1" si="183">O401&amp;""&amp;",..,"&amp;""&amp;P401</f>
        <v>201,..,601</v>
      </c>
      <c r="O401" s="2">
        <f ca="1">(SUMPRODUCT(MID(0&amp;(LEFT(A400,SUM(LEN(A400)-LEN(SUBSTITUTE(A400,{"0","1","2"},""))))), LARGE(INDEX(ISNUMBER(--MID((LEFT(A400,SUM(LEN(A400)-LEN(SUBSTITUTE(A400,{"0","1","2"},""))))), ROW(INDIRECT("1:"&amp;LEN((LEFT(A400,SUM(LEN(A400)-LEN(SUBSTITUTE(A400,{"0","1","2"},"")))))))), 1)) * ROW(INDIRECT("1:"&amp;LEN((LEFT(A400,SUM(LEN(A400)-LEN(SUBSTITUTE(A400,{"0","1","2"},"")))))))), 0), ROW(INDIRECT("1:"&amp;LEN((LEFT(A400,SUM(LEN(A400)-LEN(SUBSTITUTE(A400,{"0","1","2"},"")))))))))+1, 1) * 10^ROW(INDIRECT("1:"&amp;LEN((LEFT(A400,SUM(LEN(A400)-LEN(SUBSTITUTE(A400,{"0","1","2"},""))))))))/10))*100+1</f>
        <v>201</v>
      </c>
      <c r="P401" s="2">
        <f ca="1">(SUMPRODUCT(MID(0&amp;(--TRIM(RIGHT(SUBSTITUTE(LEFT(A400,_xlfn.AGGREGATE(16,6,FIND({0,1,2,3,4,5,6,7,8,9},A400,ROW(INDIRECT("1:"&amp;LEN(A400)))),1))," ",REPT(" ",LEN(A400))),LEN(A400)))), LARGE(INDEX(ISNUMBER(--MID((--TRIM(RIGHT(SUBSTITUTE(LEFT(A400,_xlfn.AGGREGATE(16,6,FIND({0,1,2,3,4,5,6,7,8,9},A400,ROW(INDIRECT("1:"&amp;LEN(A400)))),1))," ",REPT(" ",LEN(A400))),LEN(A400)))), ROW(INDIRECT("1:"&amp;LEN((--TRIM(RIGHT(SUBSTITUTE(LEFT(A400,_xlfn.AGGREGATE(16,6,FIND({0,1,2,3,4,5,6,7,8,9},A400,ROW(INDIRECT("1:"&amp;LEN(A400)))),1))," ",REPT(" ",LEN(A400))),LEN(A400))))))), 1)) * ROW(INDIRECT("1:"&amp;LEN((--TRIM(RIGHT(SUBSTITUTE(LEFT(A400,_xlfn.AGGREGATE(16,6,FIND({0,1,2,3,4,5,6,7,8,9},A400,ROW(INDIRECT("1:"&amp;LEN(A400)))),1))," ",REPT(" ",LEN(A400))),LEN(A400))))))), 0), ROW(INDIRECT("1:"&amp;LEN((--TRIM(RIGHT(SUBSTITUTE(LEFT(A400,_xlfn.AGGREGATE(16,6,FIND({0,1,2,3,4,5,6,7,8,9},A400,ROW(INDIRECT("1:"&amp;LEN(A400)))),1))," ",REPT(" ",LEN(A400))),LEN(A400))))))))+1, 1) * 10^ROW(INDIRECT("1:"&amp;LEN((--TRIM(RIGHT(SUBSTITUTE(LEFT(A400,_xlfn.AGGREGATE(16,6,FIND({0,1,2,3,4,5,6,7,8,9},A400,ROW(INDIRECT("1:"&amp;LEN(A400)))),1))," ",REPT(" ",LEN(A400))),LEN(A400)))))))/10))*100+1</f>
        <v>601</v>
      </c>
    </row>
    <row r="402" spans="1:16" s="2" customFormat="1" x14ac:dyDescent="0.25">
      <c r="A402" s="147" t="str">
        <f t="shared" ca="1" si="181"/>
        <v>202,..,602</v>
      </c>
      <c r="B402" s="148"/>
      <c r="C402" s="49" t="s">
        <v>203</v>
      </c>
      <c r="D402" s="50">
        <f>((4.2*2.4)+(2.4*0.35)+(2.515*1.101)+(0.65*2.6)+(2.28*0.75)+(2.28*1)+(2.145*1.98)+(0.91*2)+(2.875*2.75)+(2.315*0.45)+(0.925*1.225)+(1.575*1.115))*10.764</f>
        <v>401.21050085999997</v>
      </c>
      <c r="E402" s="50">
        <f>3.05*1.525*10.764</f>
        <v>50.066054999999992</v>
      </c>
      <c r="F402" s="19">
        <f t="shared" si="182"/>
        <v>651.88180628999999</v>
      </c>
      <c r="G402" s="147" t="str">
        <f>G401</f>
        <v>2nd, 4th, 6th Floor</v>
      </c>
      <c r="H402" s="148"/>
      <c r="I402" s="38"/>
      <c r="N402" s="2" t="str">
        <f t="shared" ca="1" si="183"/>
        <v>202,..,602</v>
      </c>
      <c r="O402" s="2">
        <f t="shared" ref="O402:P402" ca="1" si="184">O401+1</f>
        <v>202</v>
      </c>
      <c r="P402" s="2">
        <f t="shared" ca="1" si="184"/>
        <v>602</v>
      </c>
    </row>
    <row r="403" spans="1:16" s="2" customFormat="1" x14ac:dyDescent="0.25">
      <c r="A403" s="147" t="str">
        <f t="shared" ca="1" si="181"/>
        <v>203,..,603</v>
      </c>
      <c r="B403" s="148"/>
      <c r="C403" s="19" t="s">
        <v>243</v>
      </c>
      <c r="D403" s="50">
        <f>((2.9*4.57)+(2.275*1.1)+(2.475*0.75)+(2.45*1.695)+(2.4*0.45)+(1.895*1)+(0.75*4.695)+(2.8*1)+(2.45*2.6)+(0.9*2.6)+(2.9*2.75)+(2.045*0.45)+(1.225*1.98)+(1.9*1.25))*10.764</f>
        <v>575.51340600000003</v>
      </c>
      <c r="E403" s="50">
        <f>2.85*1.45*10.764</f>
        <v>44.482230000000001</v>
      </c>
      <c r="F403" s="19">
        <f t="shared" si="182"/>
        <v>907.75233900000001</v>
      </c>
      <c r="G403" s="147" t="str">
        <f>G402</f>
        <v>2nd, 4th, 6th Floor</v>
      </c>
      <c r="H403" s="148"/>
      <c r="I403" s="38"/>
      <c r="N403" s="2" t="str">
        <f t="shared" ca="1" si="183"/>
        <v>203,..,603</v>
      </c>
      <c r="O403" s="2">
        <f t="shared" ref="O403:P403" ca="1" si="185">O402+1</f>
        <v>203</v>
      </c>
      <c r="P403" s="2">
        <f t="shared" ca="1" si="185"/>
        <v>603</v>
      </c>
    </row>
    <row r="404" spans="1:16" s="2" customFormat="1" x14ac:dyDescent="0.25">
      <c r="A404" s="147" t="str">
        <f t="shared" ca="1" si="181"/>
        <v>204,..,604</v>
      </c>
      <c r="B404" s="148"/>
      <c r="C404" s="19" t="s">
        <v>243</v>
      </c>
      <c r="D404" s="50">
        <f>((2.9*4.57)+(2.275*1.1)+(2.475*0.75)+(2.45*1.695)+(2.4*0.45)+(1.895*1)+(0.75*4.695)+(2.8*1)+(2.45*2.6)+(0.9*2.6)+(2.9*2.75)+(2.045*0.45)+(1.225*1.98)+(1.9*1.25))*10.764</f>
        <v>575.51340600000003</v>
      </c>
      <c r="E404" s="50">
        <f>2.85*1.45*10.764</f>
        <v>44.482230000000001</v>
      </c>
      <c r="F404" s="19">
        <f t="shared" si="182"/>
        <v>907.75233900000001</v>
      </c>
      <c r="G404" s="147" t="str">
        <f>G403</f>
        <v>2nd, 4th, 6th Floor</v>
      </c>
      <c r="H404" s="148"/>
      <c r="I404" s="38"/>
      <c r="N404" s="2" t="str">
        <f t="shared" ca="1" si="183"/>
        <v>204,..,604</v>
      </c>
      <c r="O404" s="2">
        <f t="shared" ref="O404:P404" ca="1" si="186">O403+1</f>
        <v>204</v>
      </c>
      <c r="P404" s="2">
        <f t="shared" ca="1" si="186"/>
        <v>604</v>
      </c>
    </row>
    <row r="405" spans="1:16" s="2" customFormat="1" x14ac:dyDescent="0.25">
      <c r="A405" s="147" t="str">
        <f t="shared" ca="1" si="181"/>
        <v>205,..,605</v>
      </c>
      <c r="B405" s="148"/>
      <c r="C405" s="49" t="s">
        <v>203</v>
      </c>
      <c r="D405" s="50">
        <f>((3.75*2.75)+(1.5*0.45)+(2.79*1.217)+(0.65*2.8)+(1.584*1.115)+(0.925*1.225)+(0.9*2.2)+(2.28*0.75)+(2.28*1)+(2.145*1.98)+(2.675*2.75)+(2.39*0.45))*10.764</f>
        <v>406.35246366000001</v>
      </c>
      <c r="E405" s="51">
        <f>3.05*10.764*1.525</f>
        <v>50.066054999999992</v>
      </c>
      <c r="F405" s="19">
        <f t="shared" si="182"/>
        <v>659.59475049000002</v>
      </c>
      <c r="G405" s="147" t="str">
        <f>G404</f>
        <v>2nd, 4th, 6th Floor</v>
      </c>
      <c r="H405" s="148"/>
      <c r="I405" s="38"/>
      <c r="N405" s="2" t="str">
        <f t="shared" ca="1" si="183"/>
        <v>205,..,605</v>
      </c>
      <c r="O405" s="2">
        <f t="shared" ref="O405:P405" ca="1" si="187">O404+1</f>
        <v>205</v>
      </c>
      <c r="P405" s="2">
        <f t="shared" ca="1" si="187"/>
        <v>605</v>
      </c>
    </row>
    <row r="406" spans="1:16" s="2" customFormat="1" x14ac:dyDescent="0.25">
      <c r="A406" s="147" t="str">
        <f t="shared" ca="1" si="181"/>
        <v>206,..,606</v>
      </c>
      <c r="B406" s="148"/>
      <c r="C406" s="49" t="s">
        <v>203</v>
      </c>
      <c r="D406" s="50">
        <f>((3.75*2.75)+(1.5*0.45)+(2.79*1.217)+(0.65*2.8)+(1.584*1.115)+(0.925*1.225)+(0.9*2.2)+(2.28*0.75)+(2.28*1)+(2.145*1.98)+(2.675*2.75)+(2.39*0.45))*10.764</f>
        <v>406.35246366000001</v>
      </c>
      <c r="E406" s="51">
        <f>3.05*10.764*1.525</f>
        <v>50.066054999999992</v>
      </c>
      <c r="F406" s="19">
        <f t="shared" si="182"/>
        <v>659.59475049000002</v>
      </c>
      <c r="G406" s="147" t="str">
        <f>G405</f>
        <v>2nd, 4th, 6th Floor</v>
      </c>
      <c r="H406" s="148"/>
      <c r="I406" s="38"/>
      <c r="N406" s="2" t="str">
        <f t="shared" ca="1" si="183"/>
        <v>206,..,606</v>
      </c>
      <c r="O406" s="2">
        <f t="shared" ref="O406:P406" ca="1" si="188">O405+1</f>
        <v>206</v>
      </c>
      <c r="P406" s="2">
        <f t="shared" ca="1" si="188"/>
        <v>606</v>
      </c>
    </row>
    <row r="407" spans="1:16" s="2" customFormat="1" ht="15.75" customHeight="1" x14ac:dyDescent="0.25">
      <c r="A407" s="188" t="s">
        <v>219</v>
      </c>
      <c r="B407" s="189"/>
      <c r="C407" s="189"/>
      <c r="D407" s="189"/>
      <c r="E407" s="189"/>
      <c r="F407" s="189"/>
      <c r="G407" s="189"/>
      <c r="H407" s="190"/>
      <c r="I407" s="38"/>
    </row>
    <row r="408" spans="1:16" s="2" customFormat="1" ht="15.75" customHeight="1" x14ac:dyDescent="0.25">
      <c r="A408" s="188" t="s">
        <v>214</v>
      </c>
      <c r="B408" s="189"/>
      <c r="C408" s="189"/>
      <c r="D408" s="189"/>
      <c r="E408" s="189"/>
      <c r="F408" s="189"/>
      <c r="G408" s="189"/>
      <c r="H408" s="190"/>
      <c r="I408" s="38"/>
    </row>
    <row r="409" spans="1:16" s="2" customFormat="1" x14ac:dyDescent="0.25">
      <c r="A409" s="147" t="str">
        <f t="shared" ref="A409:A414" ca="1" si="189">N409</f>
        <v>101,..,701</v>
      </c>
      <c r="B409" s="148"/>
      <c r="C409" s="19" t="s">
        <v>243</v>
      </c>
      <c r="D409" s="50">
        <f>((4.2*2.4)+(2.4*0.35)+(2.28*0.75)+(2.28*1)+(2.145*1.98)+(0.91*2)+(2.79*0.75)+(2.79*1)+(2.875*2.75)+(2.315*0.45)+(0.925*1.225)+(1.575*1.115))*10.764</f>
        <v>405.76889339999997</v>
      </c>
      <c r="E409" s="50">
        <f>2.425*1.525*10.764</f>
        <v>39.806617499999994</v>
      </c>
      <c r="F409" s="19">
        <f t="shared" ref="F409:F414" si="190">D409*(($F$252)+1)+E409</f>
        <v>648.45995759999994</v>
      </c>
      <c r="G409" s="147" t="str">
        <f>A408</f>
        <v>1st, 3rd, 5th, 7th Floor</v>
      </c>
      <c r="H409" s="148"/>
      <c r="I409" s="38"/>
      <c r="N409" s="2" t="str">
        <f t="shared" ref="N409:N414" ca="1" si="191">O409&amp;""&amp;",..,"&amp;""&amp;P409</f>
        <v>101,..,701</v>
      </c>
      <c r="O409" s="2">
        <f ca="1">(SUMPRODUCT(MID(0&amp;(LEFT(A408,SUM(LEN(A408)-LEN(SUBSTITUTE(A408,{"0","1","2"},""))))), LARGE(INDEX(ISNUMBER(--MID((LEFT(A408,SUM(LEN(A408)-LEN(SUBSTITUTE(A408,{"0","1","2"},""))))), ROW(INDIRECT("1:"&amp;LEN((LEFT(A408,SUM(LEN(A408)-LEN(SUBSTITUTE(A408,{"0","1","2"},"")))))))), 1)) * ROW(INDIRECT("1:"&amp;LEN((LEFT(A408,SUM(LEN(A408)-LEN(SUBSTITUTE(A408,{"0","1","2"},"")))))))), 0), ROW(INDIRECT("1:"&amp;LEN((LEFT(A408,SUM(LEN(A408)-LEN(SUBSTITUTE(A408,{"0","1","2"},"")))))))))+1, 1) * 10^ROW(INDIRECT("1:"&amp;LEN((LEFT(A408,SUM(LEN(A408)-LEN(SUBSTITUTE(A408,{"0","1","2"},""))))))))/10))*100+1</f>
        <v>101</v>
      </c>
      <c r="P409" s="2">
        <f ca="1">(SUMPRODUCT(MID(0&amp;(--TRIM(RIGHT(SUBSTITUTE(LEFT(A408,_xlfn.AGGREGATE(16,6,FIND({0,1,2,3,4,5,6,7,8,9},A408,ROW(INDIRECT("1:"&amp;LEN(A408)))),1))," ",REPT(" ",LEN(A408))),LEN(A408)))), LARGE(INDEX(ISNUMBER(--MID((--TRIM(RIGHT(SUBSTITUTE(LEFT(A408,_xlfn.AGGREGATE(16,6,FIND({0,1,2,3,4,5,6,7,8,9},A408,ROW(INDIRECT("1:"&amp;LEN(A408)))),1))," ",REPT(" ",LEN(A408))),LEN(A408)))), ROW(INDIRECT("1:"&amp;LEN((--TRIM(RIGHT(SUBSTITUTE(LEFT(A408,_xlfn.AGGREGATE(16,6,FIND({0,1,2,3,4,5,6,7,8,9},A408,ROW(INDIRECT("1:"&amp;LEN(A408)))),1))," ",REPT(" ",LEN(A408))),LEN(A408))))))), 1)) * ROW(INDIRECT("1:"&amp;LEN((--TRIM(RIGHT(SUBSTITUTE(LEFT(A408,_xlfn.AGGREGATE(16,6,FIND({0,1,2,3,4,5,6,7,8,9},A408,ROW(INDIRECT("1:"&amp;LEN(A408)))),1))," ",REPT(" ",LEN(A408))),LEN(A408))))))), 0), ROW(INDIRECT("1:"&amp;LEN((--TRIM(RIGHT(SUBSTITUTE(LEFT(A408,_xlfn.AGGREGATE(16,6,FIND({0,1,2,3,4,5,6,7,8,9},A408,ROW(INDIRECT("1:"&amp;LEN(A408)))),1))," ",REPT(" ",LEN(A408))),LEN(A408))))))))+1, 1) * 10^ROW(INDIRECT("1:"&amp;LEN((--TRIM(RIGHT(SUBSTITUTE(LEFT(A408,_xlfn.AGGREGATE(16,6,FIND({0,1,2,3,4,5,6,7,8,9},A408,ROW(INDIRECT("1:"&amp;LEN(A408)))),1))," ",REPT(" ",LEN(A408))),LEN(A408)))))))/10))*100+1</f>
        <v>701</v>
      </c>
    </row>
    <row r="410" spans="1:16" s="2" customFormat="1" x14ac:dyDescent="0.25">
      <c r="A410" s="147" t="str">
        <f t="shared" ca="1" si="189"/>
        <v>102,..,702</v>
      </c>
      <c r="B410" s="148"/>
      <c r="C410" s="19" t="s">
        <v>243</v>
      </c>
      <c r="D410" s="50">
        <f>((4.2*2.4)+(2.4*0.35)+(2.28*0.75)+(2.28*1)+(2.145*1.98)+(0.91*2)+(2.79*0.75)+(2.79*1)+(2.875*2.75)+(2.315*0.45)+(0.925*1.225)+(1.575*1.115))*10.764</f>
        <v>405.76889339999997</v>
      </c>
      <c r="E410" s="50">
        <f>2.425*1.525*10.764</f>
        <v>39.806617499999994</v>
      </c>
      <c r="F410" s="19">
        <f t="shared" si="190"/>
        <v>648.45995759999994</v>
      </c>
      <c r="G410" s="147" t="str">
        <f>G409</f>
        <v>1st, 3rd, 5th, 7th Floor</v>
      </c>
      <c r="H410" s="148"/>
      <c r="I410" s="38"/>
      <c r="N410" s="2" t="str">
        <f t="shared" ca="1" si="191"/>
        <v>102,..,702</v>
      </c>
      <c r="O410" s="2">
        <f t="shared" ref="O410:P410" ca="1" si="192">O409+1</f>
        <v>102</v>
      </c>
      <c r="P410" s="2">
        <f t="shared" ca="1" si="192"/>
        <v>702</v>
      </c>
    </row>
    <row r="411" spans="1:16" s="2" customFormat="1" x14ac:dyDescent="0.25">
      <c r="A411" s="147" t="str">
        <f t="shared" ca="1" si="189"/>
        <v>103,..,703</v>
      </c>
      <c r="B411" s="148"/>
      <c r="C411" s="19" t="s">
        <v>243</v>
      </c>
      <c r="D411" s="50">
        <f>((2.9*4.12)+(1.8*0.45)+(4.695*0.75)+(1.845*1)+(2.45*1.695)+(1.35*0.9)+(2.85*1.073)+(2.45*2.6)+(2.85*0.75)+(2.85*1)+(2.9*2.75)+(2.12*0.45)+(1.225*1.98)+(1.98*1.25))*10.764</f>
        <v>556.89760620000004</v>
      </c>
      <c r="E411" s="50">
        <f>2.425*1.525*10.764</f>
        <v>39.806617499999994</v>
      </c>
      <c r="F411" s="19">
        <f t="shared" si="190"/>
        <v>875.15302680000002</v>
      </c>
      <c r="G411" s="147" t="str">
        <f>G410</f>
        <v>1st, 3rd, 5th, 7th Floor</v>
      </c>
      <c r="H411" s="148"/>
      <c r="I411" s="38"/>
      <c r="N411" s="2" t="str">
        <f t="shared" ca="1" si="191"/>
        <v>103,..,703</v>
      </c>
      <c r="O411" s="2">
        <f t="shared" ref="O411:P411" ca="1" si="193">O410+1</f>
        <v>103</v>
      </c>
      <c r="P411" s="2">
        <f t="shared" ca="1" si="193"/>
        <v>703</v>
      </c>
    </row>
    <row r="412" spans="1:16" s="2" customFormat="1" x14ac:dyDescent="0.25">
      <c r="A412" s="147" t="str">
        <f t="shared" ca="1" si="189"/>
        <v>104,..,704</v>
      </c>
      <c r="B412" s="148"/>
      <c r="C412" s="19" t="s">
        <v>243</v>
      </c>
      <c r="D412" s="50">
        <f>((2.9*4.12)+(1.8*0.45)+(4.695*0.75)+(1.845*1)+(2.45*1.695)+(1.35*0.9)+(2.85*1.073)+(2.45*2.6)+(2.85*0.75)+(2.85*1)+(2.9*2.75)+(2.12*0.45)+(1.225*1.98)+(1.98*1.25))*10.764</f>
        <v>556.89760620000004</v>
      </c>
      <c r="E412" s="50">
        <f>2.425*1.525*10.764</f>
        <v>39.806617499999994</v>
      </c>
      <c r="F412" s="19">
        <f t="shared" si="190"/>
        <v>875.15302680000002</v>
      </c>
      <c r="G412" s="147" t="str">
        <f>G411</f>
        <v>1st, 3rd, 5th, 7th Floor</v>
      </c>
      <c r="H412" s="148"/>
      <c r="I412" s="38"/>
      <c r="N412" s="2" t="str">
        <f t="shared" ca="1" si="191"/>
        <v>104,..,704</v>
      </c>
      <c r="O412" s="2">
        <f t="shared" ref="O412:P412" ca="1" si="194">O411+1</f>
        <v>104</v>
      </c>
      <c r="P412" s="2">
        <f t="shared" ca="1" si="194"/>
        <v>704</v>
      </c>
    </row>
    <row r="413" spans="1:16" s="2" customFormat="1" x14ac:dyDescent="0.25">
      <c r="A413" s="147" t="str">
        <f t="shared" ca="1" si="189"/>
        <v>105,..,705</v>
      </c>
      <c r="B413" s="148"/>
      <c r="C413" s="49" t="s">
        <v>205</v>
      </c>
      <c r="D413" s="50">
        <f>((2.95*4.57)+(2.4*0.45)+(3.05*0.75)+(3.05*1.116)+(3.052*2.75)+(2.55*1.695)+(2.245*0.75)+(2.915*0.75)+(2.425*1.2)+(2.975*2.816)+(0.45*2.16)+(1.2*2.15)+(1.95*1.25))*10.764</f>
        <v>582.49547460000008</v>
      </c>
      <c r="E413" s="50">
        <f>2.275*1.525*10.764</f>
        <v>37.344352499999999</v>
      </c>
      <c r="F413" s="19">
        <f t="shared" si="190"/>
        <v>911.08756440000013</v>
      </c>
      <c r="G413" s="147" t="str">
        <f>G412</f>
        <v>1st, 3rd, 5th, 7th Floor</v>
      </c>
      <c r="H413" s="148"/>
      <c r="I413" s="38"/>
      <c r="N413" s="2" t="str">
        <f t="shared" ca="1" si="191"/>
        <v>105,..,705</v>
      </c>
      <c r="O413" s="2">
        <f t="shared" ref="O413:P413" ca="1" si="195">O412+1</f>
        <v>105</v>
      </c>
      <c r="P413" s="2">
        <f t="shared" ca="1" si="195"/>
        <v>705</v>
      </c>
    </row>
    <row r="414" spans="1:16" s="2" customFormat="1" x14ac:dyDescent="0.25">
      <c r="A414" s="147" t="str">
        <f t="shared" ca="1" si="189"/>
        <v>106,..,706</v>
      </c>
      <c r="B414" s="148"/>
      <c r="C414" s="49" t="s">
        <v>205</v>
      </c>
      <c r="D414" s="50">
        <f>((2.95*4.57)+(2.4*0.45)+(3.05*0.75)+(3.05*1.116)+(3.052*2.75)+(2.55*1.695)+(2.245*0.75)+(2.915*0.75)+(2.425*1.2)+(2.975*2.816)+(0.45*2.16)+(1.2*2.15)+(1.95*1.25))*10.764</f>
        <v>582.49547460000008</v>
      </c>
      <c r="E414" s="50">
        <f>2.275*1.525*10.764</f>
        <v>37.344352499999999</v>
      </c>
      <c r="F414" s="19">
        <f t="shared" si="190"/>
        <v>911.08756440000013</v>
      </c>
      <c r="G414" s="147" t="str">
        <f>G413</f>
        <v>1st, 3rd, 5th, 7th Floor</v>
      </c>
      <c r="H414" s="148"/>
      <c r="I414" s="38"/>
      <c r="N414" s="2" t="str">
        <f t="shared" ca="1" si="191"/>
        <v>106,..,706</v>
      </c>
      <c r="O414" s="2">
        <f t="shared" ref="O414:P414" ca="1" si="196">O413+1</f>
        <v>106</v>
      </c>
      <c r="P414" s="2">
        <f t="shared" ca="1" si="196"/>
        <v>706</v>
      </c>
    </row>
    <row r="415" spans="1:16" s="2" customFormat="1" ht="15.75" customHeight="1" x14ac:dyDescent="0.25">
      <c r="A415" s="188" t="s">
        <v>215</v>
      </c>
      <c r="B415" s="189"/>
      <c r="C415" s="189"/>
      <c r="D415" s="189"/>
      <c r="E415" s="189"/>
      <c r="F415" s="189"/>
      <c r="G415" s="189"/>
      <c r="H415" s="190"/>
      <c r="I415" s="38"/>
    </row>
    <row r="416" spans="1:16" s="2" customFormat="1" x14ac:dyDescent="0.25">
      <c r="A416" s="147" t="str">
        <f t="shared" ref="A416:A421" ca="1" si="197">N416</f>
        <v>201,..,601</v>
      </c>
      <c r="B416" s="148"/>
      <c r="C416" s="19" t="s">
        <v>243</v>
      </c>
      <c r="D416" s="50">
        <f>((4.2*2.4)+(1.8*0.45)+(1.975*1.55)+(0.75*2.6)+(2.4*0.45)+(4.695*0.75)+(2.145*1.98)+(0.91*2)+(2.9*2.75)+(2.315*0.45)+(0.925*1.225)+(1.575*1.115))*10.764</f>
        <v>414.15135839999999</v>
      </c>
      <c r="E416" s="50">
        <f>2.85*1.45*10.764</f>
        <v>44.482230000000001</v>
      </c>
      <c r="F416" s="19">
        <f t="shared" ref="F416:F421" si="198">D416*(($F$252)+1)+E416</f>
        <v>665.70926759999998</v>
      </c>
      <c r="G416" s="147" t="str">
        <f>A415</f>
        <v>2nd, 4th, 6th Floor</v>
      </c>
      <c r="H416" s="148"/>
      <c r="I416" s="38"/>
      <c r="N416" s="2" t="str">
        <f t="shared" ref="N416:N421" ca="1" si="199">O416&amp;""&amp;",..,"&amp;""&amp;P416</f>
        <v>201,..,601</v>
      </c>
      <c r="O416" s="2">
        <f ca="1">(SUMPRODUCT(MID(0&amp;(LEFT(A415,SUM(LEN(A415)-LEN(SUBSTITUTE(A415,{"0","1","2"},""))))), LARGE(INDEX(ISNUMBER(--MID((LEFT(A415,SUM(LEN(A415)-LEN(SUBSTITUTE(A415,{"0","1","2"},""))))), ROW(INDIRECT("1:"&amp;LEN((LEFT(A415,SUM(LEN(A415)-LEN(SUBSTITUTE(A415,{"0","1","2"},"")))))))), 1)) * ROW(INDIRECT("1:"&amp;LEN((LEFT(A415,SUM(LEN(A415)-LEN(SUBSTITUTE(A415,{"0","1","2"},"")))))))), 0), ROW(INDIRECT("1:"&amp;LEN((LEFT(A415,SUM(LEN(A415)-LEN(SUBSTITUTE(A415,{"0","1","2"},"")))))))))+1, 1) * 10^ROW(INDIRECT("1:"&amp;LEN((LEFT(A415,SUM(LEN(A415)-LEN(SUBSTITUTE(A415,{"0","1","2"},""))))))))/10))*100+1</f>
        <v>201</v>
      </c>
      <c r="P416" s="2">
        <f ca="1">(SUMPRODUCT(MID(0&amp;(--TRIM(RIGHT(SUBSTITUTE(LEFT(A415,_xlfn.AGGREGATE(16,6,FIND({0,1,2,3,4,5,6,7,8,9},A415,ROW(INDIRECT("1:"&amp;LEN(A415)))),1))," ",REPT(" ",LEN(A415))),LEN(A415)))), LARGE(INDEX(ISNUMBER(--MID((--TRIM(RIGHT(SUBSTITUTE(LEFT(A415,_xlfn.AGGREGATE(16,6,FIND({0,1,2,3,4,5,6,7,8,9},A415,ROW(INDIRECT("1:"&amp;LEN(A415)))),1))," ",REPT(" ",LEN(A415))),LEN(A415)))), ROW(INDIRECT("1:"&amp;LEN((--TRIM(RIGHT(SUBSTITUTE(LEFT(A415,_xlfn.AGGREGATE(16,6,FIND({0,1,2,3,4,5,6,7,8,9},A415,ROW(INDIRECT("1:"&amp;LEN(A415)))),1))," ",REPT(" ",LEN(A415))),LEN(A415))))))), 1)) * ROW(INDIRECT("1:"&amp;LEN((--TRIM(RIGHT(SUBSTITUTE(LEFT(A415,_xlfn.AGGREGATE(16,6,FIND({0,1,2,3,4,5,6,7,8,9},A415,ROW(INDIRECT("1:"&amp;LEN(A415)))),1))," ",REPT(" ",LEN(A415))),LEN(A415))))))), 0), ROW(INDIRECT("1:"&amp;LEN((--TRIM(RIGHT(SUBSTITUTE(LEFT(A415,_xlfn.AGGREGATE(16,6,FIND({0,1,2,3,4,5,6,7,8,9},A415,ROW(INDIRECT("1:"&amp;LEN(A415)))),1))," ",REPT(" ",LEN(A415))),LEN(A415))))))))+1, 1) * 10^ROW(INDIRECT("1:"&amp;LEN((--TRIM(RIGHT(SUBSTITUTE(LEFT(A415,_xlfn.AGGREGATE(16,6,FIND({0,1,2,3,4,5,6,7,8,9},A415,ROW(INDIRECT("1:"&amp;LEN(A415)))),1))," ",REPT(" ",LEN(A415))),LEN(A415)))))))/10))*100+1</f>
        <v>601</v>
      </c>
    </row>
    <row r="417" spans="1:16" s="2" customFormat="1" x14ac:dyDescent="0.25">
      <c r="A417" s="147" t="str">
        <f t="shared" ca="1" si="197"/>
        <v>202,..,602</v>
      </c>
      <c r="B417" s="148"/>
      <c r="C417" s="19" t="s">
        <v>243</v>
      </c>
      <c r="D417" s="50">
        <f>((4.2*2.4)+(1.8*0.45)+(1.975*1.55)+(0.75*2.6)+(2.4*0.45)+(4.695*0.75)+(2.145*1.98)+(0.91*2)+(2.9*2.75)+(2.315*0.45)+(0.925*1.225)+(1.575*1.115))*10.764</f>
        <v>414.15135839999999</v>
      </c>
      <c r="E417" s="50">
        <f>2.85*1.45*10.764</f>
        <v>44.482230000000001</v>
      </c>
      <c r="F417" s="19">
        <f t="shared" si="198"/>
        <v>665.70926759999998</v>
      </c>
      <c r="G417" s="147" t="str">
        <f>G416</f>
        <v>2nd, 4th, 6th Floor</v>
      </c>
      <c r="H417" s="148"/>
      <c r="I417" s="38"/>
      <c r="N417" s="2" t="str">
        <f t="shared" ca="1" si="199"/>
        <v>202,..,602</v>
      </c>
      <c r="O417" s="2">
        <f t="shared" ref="O417:P417" ca="1" si="200">O416+1</f>
        <v>202</v>
      </c>
      <c r="P417" s="2">
        <f t="shared" ca="1" si="200"/>
        <v>602</v>
      </c>
    </row>
    <row r="418" spans="1:16" s="2" customFormat="1" x14ac:dyDescent="0.25">
      <c r="A418" s="147" t="str">
        <f t="shared" ca="1" si="197"/>
        <v>203,..,603</v>
      </c>
      <c r="B418" s="148"/>
      <c r="C418" s="19" t="s">
        <v>243</v>
      </c>
      <c r="D418" s="50">
        <f>((2.9*4.12)+(1.8*0.45)+(1.975*1.55)+(2*0.75)+(4.695*0.75)+(1.845*1)+(2.45*1.695)+(1.35*0.9)+(2.85*1.073)+(2.45*2.6)+(2.9*2.75)+(2.12*0.45)+(1.225*1.98)+(1.98*1.25))*10.764</f>
        <v>552.30945120000001</v>
      </c>
      <c r="E418" s="50">
        <f>2.85*10.764*1.525</f>
        <v>46.783034999999998</v>
      </c>
      <c r="F418" s="19">
        <f t="shared" si="198"/>
        <v>875.24721180000006</v>
      </c>
      <c r="G418" s="147" t="str">
        <f>G417</f>
        <v>2nd, 4th, 6th Floor</v>
      </c>
      <c r="H418" s="148"/>
      <c r="I418" s="38"/>
      <c r="N418" s="2" t="str">
        <f t="shared" ca="1" si="199"/>
        <v>203,..,603</v>
      </c>
      <c r="O418" s="2">
        <f t="shared" ref="O418:P418" ca="1" si="201">O417+1</f>
        <v>203</v>
      </c>
      <c r="P418" s="2">
        <f t="shared" ca="1" si="201"/>
        <v>603</v>
      </c>
    </row>
    <row r="419" spans="1:16" s="2" customFormat="1" x14ac:dyDescent="0.25">
      <c r="A419" s="147" t="str">
        <f t="shared" ca="1" si="197"/>
        <v>204,..,604</v>
      </c>
      <c r="B419" s="148"/>
      <c r="C419" s="19" t="s">
        <v>243</v>
      </c>
      <c r="D419" s="50">
        <f>((2.9*4.12)+(1.8*0.45)+(1.975*1.55)+(2*0.75)+(4.695*0.75)+(1.845*1)+(2.45*1.695)+(1.35*0.9)+(2.85*1.073)+(2.45*2.6)+(2.9*2.75)+(2.12*0.45)+(1.225*1.98)+(1.98*1.25))*10.764</f>
        <v>552.30945120000001</v>
      </c>
      <c r="E419" s="50">
        <f>2.85*10.764*1.525</f>
        <v>46.783034999999998</v>
      </c>
      <c r="F419" s="19">
        <f t="shared" si="198"/>
        <v>875.24721180000006</v>
      </c>
      <c r="G419" s="147" t="str">
        <f>G418</f>
        <v>2nd, 4th, 6th Floor</v>
      </c>
      <c r="H419" s="148"/>
      <c r="I419" s="38"/>
      <c r="N419" s="2" t="str">
        <f t="shared" ca="1" si="199"/>
        <v>204,..,604</v>
      </c>
      <c r="O419" s="2">
        <f t="shared" ref="O419:P419" ca="1" si="202">O418+1</f>
        <v>204</v>
      </c>
      <c r="P419" s="2">
        <f t="shared" ca="1" si="202"/>
        <v>604</v>
      </c>
    </row>
    <row r="420" spans="1:16" s="2" customFormat="1" x14ac:dyDescent="0.25">
      <c r="A420" s="147" t="str">
        <f t="shared" ca="1" si="197"/>
        <v>205,..,605</v>
      </c>
      <c r="B420" s="148"/>
      <c r="C420" s="49" t="s">
        <v>205</v>
      </c>
      <c r="D420" s="50">
        <f>((2.95*4.57)+(2.275*1.501)+(2.2*0.75)+(2.4*0.45)+(3.05*0.75)+(3.05*1.116)+(3.052*2.75)+(2.55*1.695)+(2.245*0.75)+(2.975*2.816)+(0.45*2.16)+(1.2*2.15)+(1.95*1.25))*10.764</f>
        <v>582.15667770000005</v>
      </c>
      <c r="E420" s="50">
        <f>3.725*10.764*1.525</f>
        <v>61.146247499999994</v>
      </c>
      <c r="F420" s="19">
        <f t="shared" si="198"/>
        <v>934.38126405000003</v>
      </c>
      <c r="G420" s="147" t="str">
        <f>G419</f>
        <v>2nd, 4th, 6th Floor</v>
      </c>
      <c r="H420" s="148"/>
      <c r="I420" s="38"/>
      <c r="N420" s="2" t="str">
        <f t="shared" ca="1" si="199"/>
        <v>205,..,605</v>
      </c>
      <c r="O420" s="2">
        <f t="shared" ref="O420:P420" ca="1" si="203">O419+1</f>
        <v>205</v>
      </c>
      <c r="P420" s="2">
        <f t="shared" ca="1" si="203"/>
        <v>605</v>
      </c>
    </row>
    <row r="421" spans="1:16" s="2" customFormat="1" x14ac:dyDescent="0.25">
      <c r="A421" s="147" t="str">
        <f t="shared" ca="1" si="197"/>
        <v>206,..,606</v>
      </c>
      <c r="B421" s="148"/>
      <c r="C421" s="49" t="s">
        <v>205</v>
      </c>
      <c r="D421" s="50">
        <f>((2.95*4.57)+(2.275*1.501)+(2.2*0.75)+(2.4*0.45)+(3.05*0.75)+(3.05*1.116)+(3.052*2.75)+(2.55*1.695)+(2.245*0.75)+(2.975*2.816)+(0.45*2.16)+(1.2*2.15)+(1.95*1.25))*10.764</f>
        <v>582.15667770000005</v>
      </c>
      <c r="E421" s="50">
        <f>3.725*10.764*1.525</f>
        <v>61.146247499999994</v>
      </c>
      <c r="F421" s="19">
        <f t="shared" si="198"/>
        <v>934.38126405000003</v>
      </c>
      <c r="G421" s="147" t="str">
        <f>G420</f>
        <v>2nd, 4th, 6th Floor</v>
      </c>
      <c r="H421" s="148"/>
      <c r="I421" s="38"/>
      <c r="N421" s="2" t="str">
        <f t="shared" ca="1" si="199"/>
        <v>206,..,606</v>
      </c>
      <c r="O421" s="2">
        <f t="shared" ref="O421:P421" ca="1" si="204">O420+1</f>
        <v>206</v>
      </c>
      <c r="P421" s="2">
        <f t="shared" ca="1" si="204"/>
        <v>606</v>
      </c>
    </row>
    <row r="422" spans="1:16" s="1" customFormat="1" x14ac:dyDescent="0.25">
      <c r="A422" s="152" t="s">
        <v>77</v>
      </c>
      <c r="B422" s="152"/>
      <c r="C422" s="152"/>
      <c r="D422" s="152"/>
      <c r="E422" s="152"/>
      <c r="F422" s="152"/>
      <c r="G422" s="152"/>
      <c r="H422" s="152"/>
    </row>
    <row r="423" spans="1:16" s="1" customFormat="1" ht="110.25" customHeight="1" x14ac:dyDescent="0.25">
      <c r="A423" s="42">
        <v>1</v>
      </c>
      <c r="B423" s="85" t="s">
        <v>276</v>
      </c>
      <c r="C423" s="86"/>
      <c r="D423" s="86"/>
      <c r="E423" s="86"/>
      <c r="F423" s="86"/>
      <c r="G423" s="86"/>
      <c r="H423" s="87"/>
      <c r="L423" s="1" t="s">
        <v>275</v>
      </c>
    </row>
    <row r="424" spans="1:16" s="1" customFormat="1" x14ac:dyDescent="0.25">
      <c r="A424" s="42">
        <v>2</v>
      </c>
      <c r="B424" s="85" t="s">
        <v>220</v>
      </c>
      <c r="C424" s="86"/>
      <c r="D424" s="86"/>
      <c r="E424" s="86"/>
      <c r="F424" s="86"/>
      <c r="G424" s="86"/>
      <c r="H424" s="87"/>
    </row>
    <row r="425" spans="1:16" s="1" customFormat="1" x14ac:dyDescent="0.25">
      <c r="A425" s="42">
        <v>3</v>
      </c>
      <c r="B425" s="85" t="s">
        <v>158</v>
      </c>
      <c r="C425" s="86"/>
      <c r="D425" s="86"/>
      <c r="E425" s="86"/>
      <c r="F425" s="86"/>
      <c r="G425" s="86"/>
      <c r="H425" s="87"/>
    </row>
    <row r="426" spans="1:16" s="1" customFormat="1" x14ac:dyDescent="0.25">
      <c r="A426" s="42">
        <v>4</v>
      </c>
      <c r="B426" s="85" t="s">
        <v>159</v>
      </c>
      <c r="C426" s="86"/>
      <c r="D426" s="86"/>
      <c r="E426" s="86"/>
      <c r="F426" s="86"/>
      <c r="G426" s="86"/>
      <c r="H426" s="87"/>
    </row>
    <row r="427" spans="1:16" s="1" customFormat="1" x14ac:dyDescent="0.25">
      <c r="A427" s="42">
        <v>5</v>
      </c>
      <c r="B427" s="85" t="s">
        <v>160</v>
      </c>
      <c r="C427" s="86"/>
      <c r="D427" s="86"/>
      <c r="E427" s="86"/>
      <c r="F427" s="86"/>
      <c r="G427" s="86"/>
      <c r="H427" s="87"/>
    </row>
    <row r="428" spans="1:16" s="1" customFormat="1" x14ac:dyDescent="0.25">
      <c r="A428" s="42">
        <v>6</v>
      </c>
      <c r="B428" s="85" t="s">
        <v>161</v>
      </c>
      <c r="C428" s="86"/>
      <c r="D428" s="86"/>
      <c r="E428" s="86"/>
      <c r="F428" s="86"/>
      <c r="G428" s="86"/>
      <c r="H428" s="87"/>
    </row>
    <row r="429" spans="1:16" s="1" customFormat="1" x14ac:dyDescent="0.25">
      <c r="A429" s="42">
        <v>7</v>
      </c>
      <c r="B429" s="85" t="s">
        <v>221</v>
      </c>
      <c r="C429" s="86"/>
      <c r="D429" s="86"/>
      <c r="E429" s="86"/>
      <c r="F429" s="86"/>
      <c r="G429" s="86"/>
      <c r="H429" s="87"/>
    </row>
    <row r="430" spans="1:16" s="1" customFormat="1" ht="32.25" hidden="1" customHeight="1" x14ac:dyDescent="0.25">
      <c r="A430" s="42">
        <v>8</v>
      </c>
      <c r="B430" s="85" t="s">
        <v>254</v>
      </c>
      <c r="C430" s="86"/>
      <c r="D430" s="86"/>
      <c r="E430" s="86"/>
      <c r="F430" s="86"/>
      <c r="G430" s="86"/>
      <c r="H430" s="87"/>
    </row>
    <row r="431" spans="1:16" s="1" customFormat="1" hidden="1" x14ac:dyDescent="0.25">
      <c r="A431" s="42">
        <v>9</v>
      </c>
      <c r="B431" s="85" t="s">
        <v>255</v>
      </c>
      <c r="C431" s="86"/>
      <c r="D431" s="86"/>
      <c r="E431" s="86"/>
      <c r="F431" s="86"/>
      <c r="G431" s="86"/>
      <c r="H431" s="87"/>
    </row>
    <row r="432" spans="1:16" s="1" customFormat="1" x14ac:dyDescent="0.25">
      <c r="A432" s="42">
        <v>8</v>
      </c>
      <c r="B432" s="85" t="s">
        <v>267</v>
      </c>
      <c r="C432" s="86"/>
      <c r="D432" s="86"/>
      <c r="E432" s="86"/>
      <c r="F432" s="86"/>
      <c r="G432" s="86"/>
      <c r="H432" s="87"/>
    </row>
    <row r="433" spans="1:8" s="1" customFormat="1" ht="32.65" customHeight="1" x14ac:dyDescent="0.25">
      <c r="A433" s="42">
        <v>9</v>
      </c>
      <c r="B433" s="85" t="s">
        <v>269</v>
      </c>
      <c r="C433" s="86"/>
      <c r="D433" s="86"/>
      <c r="E433" s="86"/>
      <c r="F433" s="86"/>
      <c r="G433" s="86"/>
      <c r="H433" s="87"/>
    </row>
    <row r="434" spans="1:8" s="1" customFormat="1" ht="32.65" hidden="1" customHeight="1" x14ac:dyDescent="0.25">
      <c r="A434" s="42">
        <v>10</v>
      </c>
      <c r="B434" s="80" t="s">
        <v>268</v>
      </c>
      <c r="C434" s="81"/>
      <c r="D434" s="81"/>
      <c r="E434" s="81"/>
      <c r="F434" s="81"/>
      <c r="G434" s="81"/>
      <c r="H434" s="82"/>
    </row>
    <row r="435" spans="1:8" x14ac:dyDescent="0.25">
      <c r="A435" s="137" t="s">
        <v>70</v>
      </c>
      <c r="B435" s="137"/>
      <c r="C435" s="137"/>
      <c r="D435" s="137"/>
      <c r="E435" s="137"/>
      <c r="F435" s="137"/>
      <c r="G435" s="137"/>
      <c r="H435" s="137"/>
    </row>
    <row r="436" spans="1:8" x14ac:dyDescent="0.25">
      <c r="A436" s="66" t="s">
        <v>71</v>
      </c>
      <c r="B436" s="66"/>
      <c r="C436" s="66"/>
      <c r="D436" s="66"/>
      <c r="E436" s="66"/>
      <c r="F436" s="66"/>
      <c r="G436" s="66"/>
      <c r="H436" s="66"/>
    </row>
    <row r="437" spans="1:8" ht="15.75" customHeight="1" x14ac:dyDescent="0.25">
      <c r="A437" s="89" t="s">
        <v>72</v>
      </c>
      <c r="B437" s="89"/>
      <c r="C437" s="89"/>
      <c r="D437" s="89"/>
      <c r="E437" s="89"/>
      <c r="F437" s="89"/>
      <c r="G437" s="89"/>
      <c r="H437" s="89"/>
    </row>
    <row r="438" spans="1:8" x14ac:dyDescent="0.25">
      <c r="A438" s="66" t="s">
        <v>73</v>
      </c>
      <c r="B438" s="66"/>
      <c r="C438" s="66"/>
      <c r="D438" s="66"/>
      <c r="E438" s="66"/>
      <c r="F438" s="66"/>
      <c r="G438" s="66"/>
      <c r="H438" s="66"/>
    </row>
    <row r="439" spans="1:8" x14ac:dyDescent="0.25">
      <c r="A439" s="66" t="s">
        <v>74</v>
      </c>
      <c r="B439" s="66"/>
      <c r="C439" s="66"/>
      <c r="D439" s="66"/>
      <c r="E439" s="66"/>
      <c r="F439" s="66"/>
      <c r="G439" s="66"/>
      <c r="H439" s="66"/>
    </row>
    <row r="440" spans="1:8" x14ac:dyDescent="0.25">
      <c r="A440" s="66" t="s">
        <v>162</v>
      </c>
      <c r="B440" s="66"/>
      <c r="C440" s="66"/>
      <c r="D440" s="66"/>
      <c r="E440" s="66"/>
      <c r="F440" s="66"/>
      <c r="G440" s="66"/>
      <c r="H440" s="66"/>
    </row>
    <row r="441" spans="1:8" x14ac:dyDescent="0.25">
      <c r="A441" s="127" t="s">
        <v>163</v>
      </c>
      <c r="B441" s="127"/>
      <c r="C441" s="127"/>
      <c r="D441" s="127"/>
      <c r="E441" s="127"/>
      <c r="F441" s="127"/>
      <c r="G441" s="127"/>
      <c r="H441" s="127"/>
    </row>
    <row r="442" spans="1:8" x14ac:dyDescent="0.25">
      <c r="A442" s="150" t="s">
        <v>110</v>
      </c>
      <c r="B442" s="150"/>
      <c r="C442" s="150" t="s">
        <v>274</v>
      </c>
      <c r="D442" s="150"/>
      <c r="E442" s="150" t="s">
        <v>136</v>
      </c>
      <c r="F442" s="150"/>
      <c r="G442" s="150" t="s">
        <v>273</v>
      </c>
      <c r="H442" s="150"/>
    </row>
    <row r="443" spans="1:8" x14ac:dyDescent="0.25">
      <c r="A443" s="149" t="s">
        <v>112</v>
      </c>
      <c r="B443" s="149"/>
      <c r="C443" s="149"/>
      <c r="D443" s="149"/>
      <c r="E443" s="149"/>
      <c r="F443" s="149"/>
      <c r="G443" s="149"/>
      <c r="H443" s="149"/>
    </row>
    <row r="444" spans="1:8" x14ac:dyDescent="0.25">
      <c r="A444" s="149"/>
      <c r="B444" s="149"/>
      <c r="C444" s="149"/>
      <c r="D444" s="149"/>
      <c r="E444" s="149"/>
      <c r="F444" s="149"/>
      <c r="G444" s="149"/>
      <c r="H444" s="149"/>
    </row>
    <row r="445" spans="1:8" x14ac:dyDescent="0.25">
      <c r="A445" s="149"/>
      <c r="B445" s="149"/>
      <c r="C445" s="149"/>
      <c r="D445" s="149"/>
      <c r="E445" s="149"/>
      <c r="F445" s="149"/>
      <c r="G445" s="149"/>
      <c r="H445" s="149"/>
    </row>
    <row r="446" spans="1:8" x14ac:dyDescent="0.25">
      <c r="A446" s="149"/>
      <c r="B446" s="149"/>
      <c r="C446" s="149"/>
      <c r="D446" s="149"/>
      <c r="E446" s="149"/>
      <c r="F446" s="149"/>
      <c r="G446" s="149"/>
      <c r="H446" s="149"/>
    </row>
    <row r="447" spans="1:8" x14ac:dyDescent="0.25">
      <c r="A447" s="14" t="s">
        <v>75</v>
      </c>
      <c r="B447" s="15"/>
      <c r="C447" s="15"/>
      <c r="D447" s="14" t="str">
        <f>E8</f>
        <v>Lakhanis Orchid Woods</v>
      </c>
      <c r="F447" s="15"/>
      <c r="G447" s="15"/>
      <c r="H447" s="15"/>
    </row>
    <row r="448" spans="1:8" x14ac:dyDescent="0.25">
      <c r="A448" s="15"/>
      <c r="B448" s="15"/>
      <c r="C448" s="15"/>
      <c r="D448" s="15"/>
      <c r="E448" s="15"/>
      <c r="F448" s="15"/>
      <c r="G448" s="15"/>
      <c r="H448" s="15"/>
    </row>
    <row r="449" spans="1:8" x14ac:dyDescent="0.25">
      <c r="A449" s="15"/>
      <c r="B449" s="15"/>
      <c r="C449" s="15"/>
      <c r="D449" s="15"/>
      <c r="E449" s="15"/>
      <c r="F449" s="15"/>
      <c r="G449" s="15"/>
      <c r="H449" s="15"/>
    </row>
    <row r="450" spans="1:8" ht="15" customHeight="1" x14ac:dyDescent="0.25"/>
    <row r="490" spans="1:1" x14ac:dyDescent="0.25">
      <c r="A490" s="17" t="s">
        <v>76</v>
      </c>
    </row>
  </sheetData>
  <mergeCells count="816">
    <mergeCell ref="E95:F95"/>
    <mergeCell ref="G95:H95"/>
    <mergeCell ref="A96:B96"/>
    <mergeCell ref="E96:F105"/>
    <mergeCell ref="G96:H105"/>
    <mergeCell ref="A83:B83"/>
    <mergeCell ref="A84:B84"/>
    <mergeCell ref="A101:B101"/>
    <mergeCell ref="A102:B102"/>
    <mergeCell ref="A103:B103"/>
    <mergeCell ref="A98:B98"/>
    <mergeCell ref="A99:B99"/>
    <mergeCell ref="A100:B100"/>
    <mergeCell ref="A95:B95"/>
    <mergeCell ref="A92:B92"/>
    <mergeCell ref="E92:F92"/>
    <mergeCell ref="A93:B93"/>
    <mergeCell ref="C93:H93"/>
    <mergeCell ref="A88:B88"/>
    <mergeCell ref="A89:B89"/>
    <mergeCell ref="A90:B90"/>
    <mergeCell ref="A85:B85"/>
    <mergeCell ref="A86:B86"/>
    <mergeCell ref="A87:B87"/>
    <mergeCell ref="A62:H62"/>
    <mergeCell ref="A63:B63"/>
    <mergeCell ref="E63:F63"/>
    <mergeCell ref="A64:B64"/>
    <mergeCell ref="C64:H64"/>
    <mergeCell ref="A74:B74"/>
    <mergeCell ref="A75:B75"/>
    <mergeCell ref="A76:H76"/>
    <mergeCell ref="A77:B77"/>
    <mergeCell ref="E77:F77"/>
    <mergeCell ref="A71:B71"/>
    <mergeCell ref="A72:B72"/>
    <mergeCell ref="A73:B73"/>
    <mergeCell ref="A68:B68"/>
    <mergeCell ref="A69:B69"/>
    <mergeCell ref="A70:B70"/>
    <mergeCell ref="A65:B65"/>
    <mergeCell ref="E65:F65"/>
    <mergeCell ref="G65:H65"/>
    <mergeCell ref="A66:B66"/>
    <mergeCell ref="E66:F75"/>
    <mergeCell ref="G66:H75"/>
    <mergeCell ref="A67:B67"/>
    <mergeCell ref="A91:H91"/>
    <mergeCell ref="A78:B78"/>
    <mergeCell ref="C78:H78"/>
    <mergeCell ref="A80:B80"/>
    <mergeCell ref="E80:F80"/>
    <mergeCell ref="G80:H80"/>
    <mergeCell ref="A81:B81"/>
    <mergeCell ref="E81:F90"/>
    <mergeCell ref="G81:H90"/>
    <mergeCell ref="A82:B82"/>
    <mergeCell ref="A79:B79"/>
    <mergeCell ref="C79:D79"/>
    <mergeCell ref="E79:F79"/>
    <mergeCell ref="G79:H79"/>
    <mergeCell ref="A97:B97"/>
    <mergeCell ref="A108:B108"/>
    <mergeCell ref="C108:H108"/>
    <mergeCell ref="A109:B109"/>
    <mergeCell ref="E109:F109"/>
    <mergeCell ref="G109:H109"/>
    <mergeCell ref="A104:B104"/>
    <mergeCell ref="A105:B105"/>
    <mergeCell ref="A106:H106"/>
    <mergeCell ref="A107:B107"/>
    <mergeCell ref="E107:F107"/>
    <mergeCell ref="G123:H123"/>
    <mergeCell ref="G124:H133"/>
    <mergeCell ref="A114:B114"/>
    <mergeCell ref="A115:B115"/>
    <mergeCell ref="A116:B116"/>
    <mergeCell ref="A110:B110"/>
    <mergeCell ref="E110:F119"/>
    <mergeCell ref="G110:H119"/>
    <mergeCell ref="A111:B111"/>
    <mergeCell ref="A112:B112"/>
    <mergeCell ref="A113:B113"/>
    <mergeCell ref="A134:H134"/>
    <mergeCell ref="A135:B135"/>
    <mergeCell ref="E135:F135"/>
    <mergeCell ref="A133:B133"/>
    <mergeCell ref="A117:B117"/>
    <mergeCell ref="A118:B118"/>
    <mergeCell ref="A119:B119"/>
    <mergeCell ref="A126:B126"/>
    <mergeCell ref="A127:B127"/>
    <mergeCell ref="A128:B128"/>
    <mergeCell ref="A123:B123"/>
    <mergeCell ref="E123:F123"/>
    <mergeCell ref="A124:B124"/>
    <mergeCell ref="E124:F133"/>
    <mergeCell ref="A125:B125"/>
    <mergeCell ref="A129:B129"/>
    <mergeCell ref="A130:B130"/>
    <mergeCell ref="A131:B131"/>
    <mergeCell ref="A120:H120"/>
    <mergeCell ref="A121:B121"/>
    <mergeCell ref="E121:F121"/>
    <mergeCell ref="A122:B122"/>
    <mergeCell ref="C122:H122"/>
    <mergeCell ref="A132:B132"/>
    <mergeCell ref="B427:H427"/>
    <mergeCell ref="E151:F151"/>
    <mergeCell ref="G151:H151"/>
    <mergeCell ref="A152:B152"/>
    <mergeCell ref="E152:F161"/>
    <mergeCell ref="G152:H161"/>
    <mergeCell ref="A153:B153"/>
    <mergeCell ref="A148:H148"/>
    <mergeCell ref="A149:B149"/>
    <mergeCell ref="E149:F149"/>
    <mergeCell ref="A150:B150"/>
    <mergeCell ref="C150:H150"/>
    <mergeCell ref="E206:F206"/>
    <mergeCell ref="G206:H206"/>
    <mergeCell ref="C207:D207"/>
    <mergeCell ref="E207:F207"/>
    <mergeCell ref="G207:H207"/>
    <mergeCell ref="A408:H408"/>
    <mergeCell ref="A409:B409"/>
    <mergeCell ref="G409:H409"/>
    <mergeCell ref="A410:B410"/>
    <mergeCell ref="G410:H410"/>
    <mergeCell ref="A411:B411"/>
    <mergeCell ref="G411:H411"/>
    <mergeCell ref="B430:H430"/>
    <mergeCell ref="A413:B413"/>
    <mergeCell ref="G413:H413"/>
    <mergeCell ref="A414:B414"/>
    <mergeCell ref="G414:H414"/>
    <mergeCell ref="A415:H415"/>
    <mergeCell ref="A416:B416"/>
    <mergeCell ref="G416:H416"/>
    <mergeCell ref="A417:B417"/>
    <mergeCell ref="G417:H417"/>
    <mergeCell ref="A418:B418"/>
    <mergeCell ref="G418:H418"/>
    <mergeCell ref="A419:B419"/>
    <mergeCell ref="G419:H419"/>
    <mergeCell ref="A420:B420"/>
    <mergeCell ref="G420:H420"/>
    <mergeCell ref="A421:B421"/>
    <mergeCell ref="G421:H421"/>
    <mergeCell ref="B429:H429"/>
    <mergeCell ref="B428:H428"/>
    <mergeCell ref="B423:H423"/>
    <mergeCell ref="B424:H424"/>
    <mergeCell ref="B425:H425"/>
    <mergeCell ref="B426:H426"/>
    <mergeCell ref="A412:B412"/>
    <mergeCell ref="G412:H412"/>
    <mergeCell ref="A403:B403"/>
    <mergeCell ref="G403:H403"/>
    <mergeCell ref="A404:B404"/>
    <mergeCell ref="G404:H404"/>
    <mergeCell ref="A405:B405"/>
    <mergeCell ref="G405:H405"/>
    <mergeCell ref="A406:B406"/>
    <mergeCell ref="G406:H406"/>
    <mergeCell ref="A407:H407"/>
    <mergeCell ref="A398:B398"/>
    <mergeCell ref="G398:H398"/>
    <mergeCell ref="A399:B399"/>
    <mergeCell ref="G399:H399"/>
    <mergeCell ref="A400:H400"/>
    <mergeCell ref="A401:B401"/>
    <mergeCell ref="G401:H401"/>
    <mergeCell ref="A402:B402"/>
    <mergeCell ref="G402:H402"/>
    <mergeCell ref="A393:H393"/>
    <mergeCell ref="A394:B394"/>
    <mergeCell ref="G394:H394"/>
    <mergeCell ref="A395:B395"/>
    <mergeCell ref="G395:H395"/>
    <mergeCell ref="A396:B396"/>
    <mergeCell ref="G396:H396"/>
    <mergeCell ref="A397:B397"/>
    <mergeCell ref="G397:H397"/>
    <mergeCell ref="A388:B388"/>
    <mergeCell ref="G388:H388"/>
    <mergeCell ref="A389:B389"/>
    <mergeCell ref="G389:H389"/>
    <mergeCell ref="A390:B390"/>
    <mergeCell ref="G390:H390"/>
    <mergeCell ref="A391:B391"/>
    <mergeCell ref="G391:H391"/>
    <mergeCell ref="A392:H392"/>
    <mergeCell ref="A383:B383"/>
    <mergeCell ref="G383:H383"/>
    <mergeCell ref="A384:B384"/>
    <mergeCell ref="G384:H384"/>
    <mergeCell ref="A385:H385"/>
    <mergeCell ref="A386:B386"/>
    <mergeCell ref="G386:H386"/>
    <mergeCell ref="A387:B387"/>
    <mergeCell ref="G387:H387"/>
    <mergeCell ref="A378:H378"/>
    <mergeCell ref="A379:B379"/>
    <mergeCell ref="G379:H379"/>
    <mergeCell ref="A380:B380"/>
    <mergeCell ref="G380:H380"/>
    <mergeCell ref="A381:B381"/>
    <mergeCell ref="G381:H381"/>
    <mergeCell ref="A382:B382"/>
    <mergeCell ref="G382:H382"/>
    <mergeCell ref="A373:B373"/>
    <mergeCell ref="G373:H373"/>
    <mergeCell ref="A374:B374"/>
    <mergeCell ref="G374:H374"/>
    <mergeCell ref="A375:B375"/>
    <mergeCell ref="G375:H375"/>
    <mergeCell ref="A376:B376"/>
    <mergeCell ref="G376:H376"/>
    <mergeCell ref="A377:H377"/>
    <mergeCell ref="A368:B368"/>
    <mergeCell ref="G368:H368"/>
    <mergeCell ref="A369:B369"/>
    <mergeCell ref="G369:H369"/>
    <mergeCell ref="A370:H370"/>
    <mergeCell ref="A371:B371"/>
    <mergeCell ref="G371:H371"/>
    <mergeCell ref="A372:B372"/>
    <mergeCell ref="G372:H372"/>
    <mergeCell ref="A363:H363"/>
    <mergeCell ref="A364:B364"/>
    <mergeCell ref="G364:H364"/>
    <mergeCell ref="A365:B365"/>
    <mergeCell ref="G365:H365"/>
    <mergeCell ref="A366:B366"/>
    <mergeCell ref="G366:H366"/>
    <mergeCell ref="A367:B367"/>
    <mergeCell ref="G367:H367"/>
    <mergeCell ref="A358:B358"/>
    <mergeCell ref="G358:H358"/>
    <mergeCell ref="A359:B359"/>
    <mergeCell ref="G359:H359"/>
    <mergeCell ref="A360:B360"/>
    <mergeCell ref="G360:H360"/>
    <mergeCell ref="A361:B361"/>
    <mergeCell ref="G361:H361"/>
    <mergeCell ref="A362:H362"/>
    <mergeCell ref="A353:B353"/>
    <mergeCell ref="G353:H353"/>
    <mergeCell ref="A354:B354"/>
    <mergeCell ref="G354:H354"/>
    <mergeCell ref="A355:H355"/>
    <mergeCell ref="A356:B356"/>
    <mergeCell ref="G356:H356"/>
    <mergeCell ref="A357:B357"/>
    <mergeCell ref="G357:H357"/>
    <mergeCell ref="A348:H348"/>
    <mergeCell ref="A349:B349"/>
    <mergeCell ref="G349:H349"/>
    <mergeCell ref="A350:B350"/>
    <mergeCell ref="G350:H350"/>
    <mergeCell ref="A351:B351"/>
    <mergeCell ref="G351:H351"/>
    <mergeCell ref="A352:B352"/>
    <mergeCell ref="G352:H352"/>
    <mergeCell ref="A343:B343"/>
    <mergeCell ref="G343:H343"/>
    <mergeCell ref="A344:B344"/>
    <mergeCell ref="G344:H344"/>
    <mergeCell ref="A345:B345"/>
    <mergeCell ref="G345:H345"/>
    <mergeCell ref="A346:B346"/>
    <mergeCell ref="G346:H346"/>
    <mergeCell ref="A347:H347"/>
    <mergeCell ref="A338:B338"/>
    <mergeCell ref="G338:H338"/>
    <mergeCell ref="A339:B339"/>
    <mergeCell ref="G339:H339"/>
    <mergeCell ref="A340:H340"/>
    <mergeCell ref="A341:B341"/>
    <mergeCell ref="G341:H341"/>
    <mergeCell ref="A342:B342"/>
    <mergeCell ref="G342:H342"/>
    <mergeCell ref="A333:H333"/>
    <mergeCell ref="A334:B334"/>
    <mergeCell ref="G334:H334"/>
    <mergeCell ref="A335:B335"/>
    <mergeCell ref="G335:H335"/>
    <mergeCell ref="A336:B336"/>
    <mergeCell ref="G336:H336"/>
    <mergeCell ref="A337:B337"/>
    <mergeCell ref="G337:H337"/>
    <mergeCell ref="A330:B330"/>
    <mergeCell ref="G330:H330"/>
    <mergeCell ref="A331:B331"/>
    <mergeCell ref="G331:H331"/>
    <mergeCell ref="A316:B316"/>
    <mergeCell ref="A317:B317"/>
    <mergeCell ref="A332:H332"/>
    <mergeCell ref="A325:H325"/>
    <mergeCell ref="A326:B326"/>
    <mergeCell ref="G326:H326"/>
    <mergeCell ref="A327:B327"/>
    <mergeCell ref="G327:H327"/>
    <mergeCell ref="A328:B328"/>
    <mergeCell ref="G328:H328"/>
    <mergeCell ref="A329:B329"/>
    <mergeCell ref="G329:H329"/>
    <mergeCell ref="A320:B320"/>
    <mergeCell ref="G320:H320"/>
    <mergeCell ref="A321:B321"/>
    <mergeCell ref="G321:H321"/>
    <mergeCell ref="A322:B322"/>
    <mergeCell ref="G322:H322"/>
    <mergeCell ref="A323:B323"/>
    <mergeCell ref="G323:H323"/>
    <mergeCell ref="A324:B324"/>
    <mergeCell ref="G324:H324"/>
    <mergeCell ref="A312:H312"/>
    <mergeCell ref="A313:H313"/>
    <mergeCell ref="L313:M313"/>
    <mergeCell ref="A314:B314"/>
    <mergeCell ref="A315:B315"/>
    <mergeCell ref="A318:H318"/>
    <mergeCell ref="A319:B319"/>
    <mergeCell ref="G319:H319"/>
    <mergeCell ref="G314:H317"/>
    <mergeCell ref="A309:B309"/>
    <mergeCell ref="A310:B310"/>
    <mergeCell ref="A311:B311"/>
    <mergeCell ref="A295:H295"/>
    <mergeCell ref="L295:M295"/>
    <mergeCell ref="A296:B296"/>
    <mergeCell ref="G296:H296"/>
    <mergeCell ref="A297:B297"/>
    <mergeCell ref="G297:H297"/>
    <mergeCell ref="A304:B304"/>
    <mergeCell ref="A305:H305"/>
    <mergeCell ref="A306:B306"/>
    <mergeCell ref="A307:B307"/>
    <mergeCell ref="A308:B308"/>
    <mergeCell ref="A301:B301"/>
    <mergeCell ref="A302:B302"/>
    <mergeCell ref="A303:B303"/>
    <mergeCell ref="G306:H311"/>
    <mergeCell ref="G299:H304"/>
    <mergeCell ref="A294:H294"/>
    <mergeCell ref="A298:H298"/>
    <mergeCell ref="A299:B299"/>
    <mergeCell ref="A300:B300"/>
    <mergeCell ref="A293:B293"/>
    <mergeCell ref="A288:B288"/>
    <mergeCell ref="A289:B289"/>
    <mergeCell ref="A290:B290"/>
    <mergeCell ref="A291:B291"/>
    <mergeCell ref="A292:B292"/>
    <mergeCell ref="G288:H293"/>
    <mergeCell ref="A283:B283"/>
    <mergeCell ref="A284:B284"/>
    <mergeCell ref="A285:B285"/>
    <mergeCell ref="A286:B286"/>
    <mergeCell ref="A287:H287"/>
    <mergeCell ref="A277:B277"/>
    <mergeCell ref="A278:B278"/>
    <mergeCell ref="A279:H279"/>
    <mergeCell ref="A280:H280"/>
    <mergeCell ref="A281:B281"/>
    <mergeCell ref="A282:B282"/>
    <mergeCell ref="G281:H286"/>
    <mergeCell ref="G273:H278"/>
    <mergeCell ref="A275:B275"/>
    <mergeCell ref="A276:B276"/>
    <mergeCell ref="A270:B270"/>
    <mergeCell ref="A271:B271"/>
    <mergeCell ref="A268:B268"/>
    <mergeCell ref="A269:B269"/>
    <mergeCell ref="A272:H272"/>
    <mergeCell ref="A273:B273"/>
    <mergeCell ref="A274:B274"/>
    <mergeCell ref="G266:H271"/>
    <mergeCell ref="A264:H264"/>
    <mergeCell ref="A265:H265"/>
    <mergeCell ref="A266:B266"/>
    <mergeCell ref="A267:B267"/>
    <mergeCell ref="C204:D204"/>
    <mergeCell ref="E204:F204"/>
    <mergeCell ref="G204:H204"/>
    <mergeCell ref="C205:D205"/>
    <mergeCell ref="C198:D198"/>
    <mergeCell ref="E198:F198"/>
    <mergeCell ref="G198:H198"/>
    <mergeCell ref="C199:D199"/>
    <mergeCell ref="E199:F199"/>
    <mergeCell ref="G199:H199"/>
    <mergeCell ref="C200:D200"/>
    <mergeCell ref="E200:F200"/>
    <mergeCell ref="G200:H200"/>
    <mergeCell ref="L247:M247"/>
    <mergeCell ref="A248:B248"/>
    <mergeCell ref="G248:H248"/>
    <mergeCell ref="L248:M248"/>
    <mergeCell ref="A249:B249"/>
    <mergeCell ref="G249:H249"/>
    <mergeCell ref="L249:M249"/>
    <mergeCell ref="G256:H256"/>
    <mergeCell ref="G258:H258"/>
    <mergeCell ref="A258:B258"/>
    <mergeCell ref="A253:H253"/>
    <mergeCell ref="A262:B262"/>
    <mergeCell ref="G262:H262"/>
    <mergeCell ref="A256:B256"/>
    <mergeCell ref="A263:B263"/>
    <mergeCell ref="G263:H263"/>
    <mergeCell ref="A247:B247"/>
    <mergeCell ref="G247:H247"/>
    <mergeCell ref="G257:H257"/>
    <mergeCell ref="G255:H255"/>
    <mergeCell ref="A255:B255"/>
    <mergeCell ref="A250:H250"/>
    <mergeCell ref="A251:A252"/>
    <mergeCell ref="C251:C252"/>
    <mergeCell ref="A261:B261"/>
    <mergeCell ref="G261:H261"/>
    <mergeCell ref="A259:H259"/>
    <mergeCell ref="A260:B260"/>
    <mergeCell ref="G260:H260"/>
    <mergeCell ref="B251:B252"/>
    <mergeCell ref="A254:H254"/>
    <mergeCell ref="L243:M243"/>
    <mergeCell ref="A244:B244"/>
    <mergeCell ref="G244:H244"/>
    <mergeCell ref="L244:M244"/>
    <mergeCell ref="A245:B245"/>
    <mergeCell ref="G245:H245"/>
    <mergeCell ref="L245:M245"/>
    <mergeCell ref="A246:B246"/>
    <mergeCell ref="G246:H246"/>
    <mergeCell ref="L246:M246"/>
    <mergeCell ref="A243:B243"/>
    <mergeCell ref="G243:H243"/>
    <mergeCell ref="L238:M238"/>
    <mergeCell ref="L239:M239"/>
    <mergeCell ref="A240:B240"/>
    <mergeCell ref="G240:H240"/>
    <mergeCell ref="L240:M240"/>
    <mergeCell ref="A241:B241"/>
    <mergeCell ref="G241:H241"/>
    <mergeCell ref="L241:M241"/>
    <mergeCell ref="A242:B242"/>
    <mergeCell ref="G242:H242"/>
    <mergeCell ref="L242:M242"/>
    <mergeCell ref="A239:B239"/>
    <mergeCell ref="G239:H239"/>
    <mergeCell ref="A238:B238"/>
    <mergeCell ref="G238:H238"/>
    <mergeCell ref="L234:M234"/>
    <mergeCell ref="A230:B230"/>
    <mergeCell ref="G230:H230"/>
    <mergeCell ref="L235:M235"/>
    <mergeCell ref="A236:B236"/>
    <mergeCell ref="G236:H236"/>
    <mergeCell ref="L236:M236"/>
    <mergeCell ref="A237:B237"/>
    <mergeCell ref="G237:H237"/>
    <mergeCell ref="L237:M237"/>
    <mergeCell ref="A235:B235"/>
    <mergeCell ref="G235:H235"/>
    <mergeCell ref="A234:B234"/>
    <mergeCell ref="G234:H234"/>
    <mergeCell ref="L229:M229"/>
    <mergeCell ref="A226:B226"/>
    <mergeCell ref="G226:H226"/>
    <mergeCell ref="L230:M230"/>
    <mergeCell ref="A231:H231"/>
    <mergeCell ref="A232:B232"/>
    <mergeCell ref="G232:H232"/>
    <mergeCell ref="L232:M232"/>
    <mergeCell ref="A233:B233"/>
    <mergeCell ref="G233:H233"/>
    <mergeCell ref="L233:M233"/>
    <mergeCell ref="A229:B229"/>
    <mergeCell ref="G229:H229"/>
    <mergeCell ref="L225:M225"/>
    <mergeCell ref="G222:H222"/>
    <mergeCell ref="L226:M226"/>
    <mergeCell ref="A227:B227"/>
    <mergeCell ref="G227:H227"/>
    <mergeCell ref="L227:M227"/>
    <mergeCell ref="A228:B228"/>
    <mergeCell ref="G228:H228"/>
    <mergeCell ref="L228:M228"/>
    <mergeCell ref="A225:B225"/>
    <mergeCell ref="G225:H225"/>
    <mergeCell ref="L222:M222"/>
    <mergeCell ref="A223:B223"/>
    <mergeCell ref="G223:H223"/>
    <mergeCell ref="L223:M223"/>
    <mergeCell ref="A224:B224"/>
    <mergeCell ref="G224:H224"/>
    <mergeCell ref="L224:M224"/>
    <mergeCell ref="A222:B222"/>
    <mergeCell ref="B211:B212"/>
    <mergeCell ref="L221:M221"/>
    <mergeCell ref="L220:M220"/>
    <mergeCell ref="G217:H217"/>
    <mergeCell ref="G215:H215"/>
    <mergeCell ref="G221:H221"/>
    <mergeCell ref="G220:H220"/>
    <mergeCell ref="G216:H216"/>
    <mergeCell ref="G219:H219"/>
    <mergeCell ref="G218:H218"/>
    <mergeCell ref="L219:M219"/>
    <mergeCell ref="L218:M218"/>
    <mergeCell ref="L217:M217"/>
    <mergeCell ref="L216:M216"/>
    <mergeCell ref="L215:M215"/>
    <mergeCell ref="A219:B219"/>
    <mergeCell ref="A211:A212"/>
    <mergeCell ref="A217:B217"/>
    <mergeCell ref="A218:B218"/>
    <mergeCell ref="A216:B216"/>
    <mergeCell ref="G211:H212"/>
    <mergeCell ref="A213:H213"/>
    <mergeCell ref="A214:H214"/>
    <mergeCell ref="E211:E212"/>
    <mergeCell ref="G208:H208"/>
    <mergeCell ref="C208:D208"/>
    <mergeCell ref="E205:F205"/>
    <mergeCell ref="G205:H205"/>
    <mergeCell ref="A206:B206"/>
    <mergeCell ref="C206:D206"/>
    <mergeCell ref="A185:E185"/>
    <mergeCell ref="F185:H185"/>
    <mergeCell ref="A186:E186"/>
    <mergeCell ref="A198:B198"/>
    <mergeCell ref="F187:H187"/>
    <mergeCell ref="C197:D197"/>
    <mergeCell ref="A202:B202"/>
    <mergeCell ref="A203:B203"/>
    <mergeCell ref="A204:B204"/>
    <mergeCell ref="C201:D201"/>
    <mergeCell ref="E201:F201"/>
    <mergeCell ref="G201:H201"/>
    <mergeCell ref="C202:D202"/>
    <mergeCell ref="E202:F202"/>
    <mergeCell ref="G202:H202"/>
    <mergeCell ref="C203:D203"/>
    <mergeCell ref="E203:F203"/>
    <mergeCell ref="G203:H203"/>
    <mergeCell ref="A39:D39"/>
    <mergeCell ref="E39:H39"/>
    <mergeCell ref="F31:H31"/>
    <mergeCell ref="F32:H32"/>
    <mergeCell ref="C30:E30"/>
    <mergeCell ref="F33:H33"/>
    <mergeCell ref="F34:H34"/>
    <mergeCell ref="A36:B36"/>
    <mergeCell ref="E36:F36"/>
    <mergeCell ref="C36:D36"/>
    <mergeCell ref="G36:H36"/>
    <mergeCell ref="F30:H30"/>
    <mergeCell ref="A31:B31"/>
    <mergeCell ref="A30:B30"/>
    <mergeCell ref="C31:E31"/>
    <mergeCell ref="A32:B32"/>
    <mergeCell ref="C32:E32"/>
    <mergeCell ref="A35:H35"/>
    <mergeCell ref="A34:B34"/>
    <mergeCell ref="A38:H38"/>
    <mergeCell ref="C34:E34"/>
    <mergeCell ref="A37:B37"/>
    <mergeCell ref="C37:H37"/>
    <mergeCell ref="E24:H24"/>
    <mergeCell ref="A26:D26"/>
    <mergeCell ref="E26:H26"/>
    <mergeCell ref="A23:D23"/>
    <mergeCell ref="E23:H23"/>
    <mergeCell ref="A27:D27"/>
    <mergeCell ref="E27:H27"/>
    <mergeCell ref="A24:D24"/>
    <mergeCell ref="A33:B33"/>
    <mergeCell ref="C33:E33"/>
    <mergeCell ref="A28:D28"/>
    <mergeCell ref="E28:H28"/>
    <mergeCell ref="A29:D29"/>
    <mergeCell ref="E29:H29"/>
    <mergeCell ref="A25:D25"/>
    <mergeCell ref="E25:H25"/>
    <mergeCell ref="A20:D21"/>
    <mergeCell ref="E20:H21"/>
    <mergeCell ref="E13:H13"/>
    <mergeCell ref="A14:B14"/>
    <mergeCell ref="C14:H14"/>
    <mergeCell ref="C15:H15"/>
    <mergeCell ref="A22:D22"/>
    <mergeCell ref="E22:H22"/>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11:D11"/>
    <mergeCell ref="E11:H11"/>
    <mergeCell ref="A5:D5"/>
    <mergeCell ref="E5:H5"/>
    <mergeCell ref="A6:D6"/>
    <mergeCell ref="E6:H6"/>
    <mergeCell ref="A7:D7"/>
    <mergeCell ref="E7:H7"/>
    <mergeCell ref="A15:B15"/>
    <mergeCell ref="A12:D12"/>
    <mergeCell ref="E12:H12"/>
    <mergeCell ref="A13:D13"/>
    <mergeCell ref="A10:D10"/>
    <mergeCell ref="E10:H10"/>
    <mergeCell ref="A1:H1"/>
    <mergeCell ref="A2:H2"/>
    <mergeCell ref="A3:D3"/>
    <mergeCell ref="E3:H3"/>
    <mergeCell ref="A4:D4"/>
    <mergeCell ref="A8:D8"/>
    <mergeCell ref="E8:H8"/>
    <mergeCell ref="A9:D9"/>
    <mergeCell ref="E9:H9"/>
    <mergeCell ref="E4:H4"/>
    <mergeCell ref="A41:D41"/>
    <mergeCell ref="E41:H41"/>
    <mergeCell ref="E42:H42"/>
    <mergeCell ref="E43:H43"/>
    <mergeCell ref="E44:H44"/>
    <mergeCell ref="A42:D42"/>
    <mergeCell ref="A43:D43"/>
    <mergeCell ref="A44:D44"/>
    <mergeCell ref="A45:H45"/>
    <mergeCell ref="G47:H47"/>
    <mergeCell ref="A48:B49"/>
    <mergeCell ref="A46:B46"/>
    <mergeCell ref="C46:E46"/>
    <mergeCell ref="G46:H46"/>
    <mergeCell ref="G48:H48"/>
    <mergeCell ref="D54:H54"/>
    <mergeCell ref="C48:E48"/>
    <mergeCell ref="A57:C57"/>
    <mergeCell ref="D55:H55"/>
    <mergeCell ref="G52:H52"/>
    <mergeCell ref="C49:H49"/>
    <mergeCell ref="A54:C54"/>
    <mergeCell ref="A55:C55"/>
    <mergeCell ref="C51:E51"/>
    <mergeCell ref="G51:H51"/>
    <mergeCell ref="C50:E50"/>
    <mergeCell ref="G50:H50"/>
    <mergeCell ref="A50:B51"/>
    <mergeCell ref="A47:B47"/>
    <mergeCell ref="C52:E52"/>
    <mergeCell ref="A53:H53"/>
    <mergeCell ref="D211:D212"/>
    <mergeCell ref="A207:B207"/>
    <mergeCell ref="A208:B208"/>
    <mergeCell ref="E192:F192"/>
    <mergeCell ref="A436:H436"/>
    <mergeCell ref="E196:F196"/>
    <mergeCell ref="A61:C61"/>
    <mergeCell ref="D61:H61"/>
    <mergeCell ref="A173:B173"/>
    <mergeCell ref="A174:B174"/>
    <mergeCell ref="A175:B175"/>
    <mergeCell ref="A170:B170"/>
    <mergeCell ref="A171:B171"/>
    <mergeCell ref="A172:B172"/>
    <mergeCell ref="A166:B166"/>
    <mergeCell ref="E166:F175"/>
    <mergeCell ref="G166:H175"/>
    <mergeCell ref="A167:B167"/>
    <mergeCell ref="C178:H178"/>
    <mergeCell ref="F181:H181"/>
    <mergeCell ref="A181:E181"/>
    <mergeCell ref="A188:E188"/>
    <mergeCell ref="A220:B220"/>
    <mergeCell ref="E208:F208"/>
    <mergeCell ref="A221:B221"/>
    <mergeCell ref="A215:B215"/>
    <mergeCell ref="A205:B205"/>
    <mergeCell ref="F184:H184"/>
    <mergeCell ref="A192:B192"/>
    <mergeCell ref="A443:H446"/>
    <mergeCell ref="A442:B442"/>
    <mergeCell ref="E442:F442"/>
    <mergeCell ref="C442:D442"/>
    <mergeCell ref="G442:H442"/>
    <mergeCell ref="A191:H191"/>
    <mergeCell ref="A189:E189"/>
    <mergeCell ref="F189:H189"/>
    <mergeCell ref="A190:E190"/>
    <mergeCell ref="F190:H190"/>
    <mergeCell ref="A197:B197"/>
    <mergeCell ref="A257:B257"/>
    <mergeCell ref="A193:B193"/>
    <mergeCell ref="A438:H438"/>
    <mergeCell ref="A195:H195"/>
    <mergeCell ref="A441:H441"/>
    <mergeCell ref="A439:H439"/>
    <mergeCell ref="A422:H422"/>
    <mergeCell ref="C211:C212"/>
    <mergeCell ref="A435:H435"/>
    <mergeCell ref="A151:B151"/>
    <mergeCell ref="C192:D192"/>
    <mergeCell ref="F183:H183"/>
    <mergeCell ref="F188:H188"/>
    <mergeCell ref="F186:H186"/>
    <mergeCell ref="A60:C60"/>
    <mergeCell ref="D60:H60"/>
    <mergeCell ref="A210:H210"/>
    <mergeCell ref="G192:H192"/>
    <mergeCell ref="A187:E187"/>
    <mergeCell ref="C193:D193"/>
    <mergeCell ref="E193:F193"/>
    <mergeCell ref="A183:E183"/>
    <mergeCell ref="E197:F197"/>
    <mergeCell ref="G197:H197"/>
    <mergeCell ref="A168:B168"/>
    <mergeCell ref="A169:B169"/>
    <mergeCell ref="A164:B164"/>
    <mergeCell ref="C164:H164"/>
    <mergeCell ref="A165:B165"/>
    <mergeCell ref="E165:F165"/>
    <mergeCell ref="G165:H165"/>
    <mergeCell ref="A160:B160"/>
    <mergeCell ref="A136:B136"/>
    <mergeCell ref="C196:D196"/>
    <mergeCell ref="G196:H196"/>
    <mergeCell ref="A180:E180"/>
    <mergeCell ref="A182:E182"/>
    <mergeCell ref="F182:H182"/>
    <mergeCell ref="A176:E176"/>
    <mergeCell ref="F176:H176"/>
    <mergeCell ref="A161:B161"/>
    <mergeCell ref="A162:H162"/>
    <mergeCell ref="A163:B163"/>
    <mergeCell ref="E163:F163"/>
    <mergeCell ref="A184:E184"/>
    <mergeCell ref="C136:H136"/>
    <mergeCell ref="A137:B137"/>
    <mergeCell ref="E137:F137"/>
    <mergeCell ref="G137:H137"/>
    <mergeCell ref="A145:B145"/>
    <mergeCell ref="A146:B146"/>
    <mergeCell ref="A147:B147"/>
    <mergeCell ref="A142:B142"/>
    <mergeCell ref="A143:B143"/>
    <mergeCell ref="A144:B144"/>
    <mergeCell ref="A138:B138"/>
    <mergeCell ref="E138:F147"/>
    <mergeCell ref="G138:H147"/>
    <mergeCell ref="A139:B139"/>
    <mergeCell ref="A140:B140"/>
    <mergeCell ref="A141:B141"/>
    <mergeCell ref="B434:H434"/>
    <mergeCell ref="A156:B156"/>
    <mergeCell ref="B432:H432"/>
    <mergeCell ref="B433:H433"/>
    <mergeCell ref="B431:H431"/>
    <mergeCell ref="E40:H40"/>
    <mergeCell ref="A40:D40"/>
    <mergeCell ref="A440:H440"/>
    <mergeCell ref="A437:H437"/>
    <mergeCell ref="A196:B196"/>
    <mergeCell ref="D251:D252"/>
    <mergeCell ref="E251:E252"/>
    <mergeCell ref="G251:H252"/>
    <mergeCell ref="A199:B199"/>
    <mergeCell ref="A200:B200"/>
    <mergeCell ref="A201:B201"/>
    <mergeCell ref="F180:H180"/>
    <mergeCell ref="A177:H177"/>
    <mergeCell ref="A178:B178"/>
    <mergeCell ref="A179:H179"/>
    <mergeCell ref="G193:H193"/>
    <mergeCell ref="D57:H57"/>
    <mergeCell ref="C47:E47"/>
    <mergeCell ref="A52:B52"/>
    <mergeCell ref="I10:L10"/>
    <mergeCell ref="A94:B94"/>
    <mergeCell ref="C94:D94"/>
    <mergeCell ref="E94:F94"/>
    <mergeCell ref="G94:H94"/>
    <mergeCell ref="A209:B209"/>
    <mergeCell ref="C209:D209"/>
    <mergeCell ref="E209:F209"/>
    <mergeCell ref="G209:H209"/>
    <mergeCell ref="A194:B194"/>
    <mergeCell ref="C194:D194"/>
    <mergeCell ref="E194:F194"/>
    <mergeCell ref="G194:H194"/>
    <mergeCell ref="A58:C58"/>
    <mergeCell ref="A59:C59"/>
    <mergeCell ref="D58:H58"/>
    <mergeCell ref="D59:H59"/>
    <mergeCell ref="D56:H56"/>
    <mergeCell ref="A56:C56"/>
    <mergeCell ref="A157:B157"/>
    <mergeCell ref="A158:B158"/>
    <mergeCell ref="A159:B159"/>
    <mergeCell ref="A154:B154"/>
    <mergeCell ref="A155:B155"/>
  </mergeCells>
  <hyperlinks>
    <hyperlink ref="C37" r:id="rId1" xr:uid="{00000000-0004-0000-0000-000000000000}"/>
  </hyperlinks>
  <printOptions horizontalCentered="1"/>
  <pageMargins left="0.39370078740157483" right="0.39370078740157483" top="0.78740157480314965" bottom="0.78740157480314965" header="0.19685039370078741" footer="0.19685039370078741"/>
  <pageSetup fitToHeight="0" orientation="portrait" r:id="rId2"/>
  <headerFooter>
    <oddHeader>&amp;C&amp;G</oddHeader>
    <oddFooter>&amp;L&amp;"Times New Roman,Bold"&amp;12Ref No: &amp;F&amp;C&amp;G&amp;R&amp;"Times New Roman,Bold"&amp;12                                                 &amp;P</oddFooter>
  </headerFooter>
  <rowBreaks count="5" manualBreakCount="5">
    <brk id="37" max="16383" man="1"/>
    <brk id="61" max="16383" man="1"/>
    <brk id="133" max="16383" man="1"/>
    <brk id="446" max="16383" man="1"/>
    <brk id="48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L36"/>
  <sheetViews>
    <sheetView topLeftCell="A4" workbookViewId="0">
      <selection activeCell="F21" sqref="F21"/>
    </sheetView>
  </sheetViews>
  <sheetFormatPr defaultRowHeight="15" x14ac:dyDescent="0.25"/>
  <cols>
    <col min="2" max="2" width="12.28515625" customWidth="1"/>
  </cols>
  <sheetData>
    <row r="2" spans="1:12" x14ac:dyDescent="0.25">
      <c r="B2" s="3" t="s">
        <v>78</v>
      </c>
      <c r="C2" s="221"/>
      <c r="D2" s="221"/>
    </row>
    <row r="3" spans="1:12" x14ac:dyDescent="0.25">
      <c r="D3" s="4"/>
      <c r="E3" s="4"/>
      <c r="F3" s="4"/>
      <c r="G3" s="4"/>
      <c r="H3" s="4"/>
      <c r="I3" s="4"/>
    </row>
    <row r="4" spans="1:12" x14ac:dyDescent="0.25">
      <c r="A4" s="3" t="s">
        <v>79</v>
      </c>
      <c r="B4" s="5" t="s">
        <v>80</v>
      </c>
      <c r="C4" s="222" t="s">
        <v>81</v>
      </c>
      <c r="D4" s="222"/>
      <c r="E4" s="222"/>
      <c r="F4" s="6"/>
      <c r="G4" s="222" t="s">
        <v>82</v>
      </c>
      <c r="H4" s="222"/>
      <c r="I4" s="222"/>
      <c r="J4" s="222" t="s">
        <v>83</v>
      </c>
      <c r="K4" s="222"/>
      <c r="L4" s="222"/>
    </row>
    <row r="5" spans="1:12" x14ac:dyDescent="0.25">
      <c r="A5" s="3">
        <v>202</v>
      </c>
      <c r="B5" s="5"/>
      <c r="C5" s="5" t="s">
        <v>84</v>
      </c>
      <c r="D5" s="5" t="s">
        <v>85</v>
      </c>
      <c r="E5" s="5" t="s">
        <v>63</v>
      </c>
      <c r="F5" s="5"/>
      <c r="G5" s="5" t="s">
        <v>84</v>
      </c>
      <c r="H5" s="5" t="s">
        <v>85</v>
      </c>
      <c r="I5" s="5" t="s">
        <v>63</v>
      </c>
      <c r="J5" s="5" t="s">
        <v>84</v>
      </c>
      <c r="K5" s="5" t="s">
        <v>85</v>
      </c>
      <c r="L5" s="5" t="s">
        <v>63</v>
      </c>
    </row>
    <row r="6" spans="1:12" x14ac:dyDescent="0.25">
      <c r="B6" s="7" t="s">
        <v>86</v>
      </c>
      <c r="C6" s="7"/>
      <c r="D6" s="7"/>
      <c r="E6" s="7">
        <f>C6*D6</f>
        <v>0</v>
      </c>
      <c r="F6" s="7" t="s">
        <v>87</v>
      </c>
      <c r="G6" s="7"/>
      <c r="H6" s="7"/>
      <c r="I6" s="7">
        <f>G6*H6</f>
        <v>0</v>
      </c>
      <c r="J6" s="7"/>
      <c r="K6" s="7"/>
      <c r="L6" s="7">
        <f>J6*K6</f>
        <v>0</v>
      </c>
    </row>
    <row r="7" spans="1:12" x14ac:dyDescent="0.25">
      <c r="B7" s="7"/>
      <c r="C7" s="7"/>
      <c r="D7" s="7"/>
      <c r="E7" s="7">
        <f t="shared" ref="E7:E33" si="0">C7*D7</f>
        <v>0</v>
      </c>
      <c r="F7" s="7" t="s">
        <v>88</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89</v>
      </c>
      <c r="C9" s="7"/>
      <c r="D9" s="7"/>
      <c r="E9" s="7">
        <f t="shared" si="0"/>
        <v>0</v>
      </c>
      <c r="F9" s="7" t="s">
        <v>87</v>
      </c>
      <c r="G9" s="7"/>
      <c r="H9" s="7"/>
      <c r="I9" s="7">
        <f t="shared" si="1"/>
        <v>0</v>
      </c>
      <c r="J9" s="7"/>
      <c r="K9" s="7"/>
      <c r="L9" s="7">
        <f t="shared" si="2"/>
        <v>0</v>
      </c>
    </row>
    <row r="10" spans="1:12" x14ac:dyDescent="0.25">
      <c r="B10" s="7"/>
      <c r="C10" s="7"/>
      <c r="D10" s="7"/>
      <c r="E10" s="7">
        <f t="shared" si="0"/>
        <v>0</v>
      </c>
      <c r="F10" s="7" t="s">
        <v>88</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90</v>
      </c>
      <c r="C13" s="7"/>
      <c r="D13" s="7"/>
      <c r="E13" s="7">
        <f t="shared" si="0"/>
        <v>0</v>
      </c>
      <c r="F13" s="7" t="s">
        <v>87</v>
      </c>
      <c r="G13" s="7"/>
      <c r="H13" s="7"/>
      <c r="I13" s="7">
        <f t="shared" si="1"/>
        <v>0</v>
      </c>
      <c r="J13" s="7"/>
      <c r="K13" s="7"/>
      <c r="L13" s="7">
        <f t="shared" si="2"/>
        <v>0</v>
      </c>
    </row>
    <row r="14" spans="1:12" x14ac:dyDescent="0.25">
      <c r="B14" s="7"/>
      <c r="C14" s="7"/>
      <c r="D14" s="7"/>
      <c r="E14" s="7">
        <f t="shared" si="0"/>
        <v>0</v>
      </c>
      <c r="F14" s="7" t="s">
        <v>88</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91</v>
      </c>
      <c r="C17" s="7"/>
      <c r="D17" s="7"/>
      <c r="E17" s="7">
        <f t="shared" si="0"/>
        <v>0</v>
      </c>
      <c r="F17" s="7" t="s">
        <v>87</v>
      </c>
      <c r="G17" s="7"/>
      <c r="H17" s="7"/>
      <c r="I17" s="7">
        <f t="shared" si="1"/>
        <v>0</v>
      </c>
      <c r="J17" s="7"/>
      <c r="K17" s="7"/>
      <c r="L17" s="7">
        <f t="shared" si="2"/>
        <v>0</v>
      </c>
    </row>
    <row r="18" spans="2:12" x14ac:dyDescent="0.25">
      <c r="B18" s="7"/>
      <c r="C18" s="7"/>
      <c r="D18" s="7"/>
      <c r="E18" s="7">
        <f t="shared" si="0"/>
        <v>0</v>
      </c>
      <c r="F18" s="7" t="s">
        <v>88</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91</v>
      </c>
      <c r="C20" s="7"/>
      <c r="D20" s="7"/>
      <c r="E20" s="7">
        <f t="shared" si="0"/>
        <v>0</v>
      </c>
      <c r="F20" s="7" t="s">
        <v>87</v>
      </c>
      <c r="G20" s="7"/>
      <c r="H20" s="7"/>
      <c r="I20" s="7">
        <f t="shared" si="1"/>
        <v>0</v>
      </c>
      <c r="J20" s="7"/>
      <c r="K20" s="7"/>
      <c r="L20" s="7">
        <f t="shared" si="2"/>
        <v>0</v>
      </c>
    </row>
    <row r="21" spans="2:12" x14ac:dyDescent="0.25">
      <c r="B21" s="7"/>
      <c r="C21" s="7"/>
      <c r="D21" s="7"/>
      <c r="E21" s="7">
        <f t="shared" si="0"/>
        <v>0</v>
      </c>
      <c r="F21" s="7" t="s">
        <v>88</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92</v>
      </c>
      <c r="C23" s="7"/>
      <c r="D23" s="7"/>
      <c r="E23" s="7">
        <f t="shared" si="0"/>
        <v>0</v>
      </c>
      <c r="F23" s="7" t="s">
        <v>93</v>
      </c>
      <c r="G23" s="7"/>
      <c r="H23" s="7"/>
      <c r="I23" s="7">
        <f t="shared" si="1"/>
        <v>0</v>
      </c>
      <c r="J23" s="7"/>
      <c r="K23" s="7"/>
      <c r="L23" s="7">
        <f t="shared" si="2"/>
        <v>0</v>
      </c>
    </row>
    <row r="24" spans="2:12" x14ac:dyDescent="0.25">
      <c r="B24" s="7" t="s">
        <v>94</v>
      </c>
      <c r="C24" s="7"/>
      <c r="D24" s="7"/>
      <c r="E24" s="7">
        <f t="shared" si="0"/>
        <v>0</v>
      </c>
      <c r="F24" s="7" t="s">
        <v>93</v>
      </c>
      <c r="G24" s="7"/>
      <c r="H24" s="7"/>
      <c r="I24" s="7">
        <f t="shared" si="1"/>
        <v>0</v>
      </c>
      <c r="J24" s="7"/>
      <c r="K24" s="7"/>
      <c r="L24" s="7">
        <f t="shared" si="2"/>
        <v>0</v>
      </c>
    </row>
    <row r="25" spans="2:12" x14ac:dyDescent="0.25">
      <c r="B25" s="7" t="s">
        <v>95</v>
      </c>
      <c r="C25" s="7"/>
      <c r="D25" s="7"/>
      <c r="E25" s="7">
        <f t="shared" si="0"/>
        <v>0</v>
      </c>
      <c r="F25" s="7" t="s">
        <v>93</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96</v>
      </c>
      <c r="C27" s="7"/>
      <c r="D27" s="7"/>
      <c r="E27" s="7">
        <f t="shared" si="0"/>
        <v>0</v>
      </c>
      <c r="F27" s="7"/>
      <c r="G27" s="7"/>
      <c r="H27" s="7"/>
      <c r="I27" s="7">
        <f t="shared" si="1"/>
        <v>0</v>
      </c>
      <c r="J27" s="7"/>
      <c r="K27" s="7"/>
      <c r="L27" s="7">
        <f t="shared" si="2"/>
        <v>0</v>
      </c>
    </row>
    <row r="28" spans="2:12" x14ac:dyDescent="0.25">
      <c r="B28" s="7" t="s">
        <v>97</v>
      </c>
      <c r="C28" s="7"/>
      <c r="D28" s="7"/>
      <c r="E28" s="7">
        <f t="shared" si="0"/>
        <v>0</v>
      </c>
      <c r="F28" s="7"/>
      <c r="G28" s="7"/>
      <c r="H28" s="7"/>
      <c r="I28" s="7">
        <f t="shared" si="1"/>
        <v>0</v>
      </c>
      <c r="J28" s="7"/>
      <c r="K28" s="7"/>
      <c r="L28" s="7">
        <f t="shared" si="2"/>
        <v>0</v>
      </c>
    </row>
    <row r="29" spans="2:12" x14ac:dyDescent="0.25">
      <c r="B29" s="7" t="s">
        <v>98</v>
      </c>
      <c r="C29" s="7"/>
      <c r="D29" s="7"/>
      <c r="E29" s="7">
        <f t="shared" si="0"/>
        <v>0</v>
      </c>
      <c r="F29" s="7"/>
      <c r="G29" s="7"/>
      <c r="H29" s="7"/>
      <c r="I29" s="7">
        <f t="shared" si="1"/>
        <v>0</v>
      </c>
      <c r="J29" s="7"/>
      <c r="K29" s="7"/>
      <c r="L29" s="7">
        <f t="shared" si="2"/>
        <v>0</v>
      </c>
    </row>
    <row r="30" spans="2:12" x14ac:dyDescent="0.25">
      <c r="B30" s="7" t="s">
        <v>99</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64</v>
      </c>
      <c r="C34" s="7"/>
      <c r="D34" s="7">
        <f>E34*10.764</f>
        <v>0</v>
      </c>
      <c r="E34" s="7">
        <f>SUM(E6:E33)</f>
        <v>0</v>
      </c>
      <c r="F34" s="7"/>
      <c r="G34" s="7"/>
      <c r="H34" s="7">
        <f>I34*10.764</f>
        <v>0</v>
      </c>
      <c r="I34" s="7">
        <f>SUM(I6:I33)</f>
        <v>0</v>
      </c>
      <c r="J34" s="7"/>
      <c r="K34" s="7">
        <f>L34*10.764</f>
        <v>0</v>
      </c>
      <c r="L34" s="7">
        <f>SUM(L6:L33)</f>
        <v>0</v>
      </c>
    </row>
    <row r="36" spans="2:12" x14ac:dyDescent="0.25">
      <c r="D36">
        <f>D34+H34</f>
        <v>0</v>
      </c>
      <c r="E36">
        <f>E34+I34</f>
        <v>0</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6"/>
  <sheetViews>
    <sheetView zoomScale="115" zoomScaleNormal="115" workbookViewId="0">
      <selection activeCell="D13" sqref="D13"/>
    </sheetView>
  </sheetViews>
  <sheetFormatPr defaultColWidth="8.7109375" defaultRowHeight="15" x14ac:dyDescent="0.25"/>
  <cols>
    <col min="1" max="1" width="8.7109375" style="24"/>
    <col min="2" max="2" width="22.28515625" style="24" customWidth="1"/>
    <col min="3" max="3" width="37" style="24" customWidth="1"/>
    <col min="4" max="5" width="11.42578125" style="24" customWidth="1"/>
    <col min="6" max="6" width="14" style="24" customWidth="1"/>
    <col min="7" max="7" width="20" style="24" customWidth="1"/>
    <col min="8" max="8" width="16.42578125" style="24" customWidth="1"/>
    <col min="9" max="16384" width="8.7109375" style="24"/>
  </cols>
  <sheetData>
    <row r="1" spans="1:9" ht="15" customHeight="1" x14ac:dyDescent="0.25"/>
    <row r="2" spans="1:9" ht="15" customHeight="1" x14ac:dyDescent="0.25">
      <c r="A2" s="25"/>
      <c r="B2" s="25"/>
      <c r="C2" s="25"/>
      <c r="D2" s="25"/>
      <c r="E2" s="25"/>
      <c r="F2" s="25"/>
      <c r="G2" s="25"/>
      <c r="H2" s="25"/>
    </row>
    <row r="3" spans="1:9" ht="15.75" customHeight="1" x14ac:dyDescent="0.25">
      <c r="A3" s="25"/>
      <c r="B3" s="223" t="s">
        <v>137</v>
      </c>
      <c r="C3" s="223"/>
      <c r="D3" s="223"/>
      <c r="E3" s="223"/>
      <c r="F3" s="223"/>
      <c r="G3" s="223"/>
      <c r="H3" s="223"/>
    </row>
    <row r="4" spans="1:9" x14ac:dyDescent="0.25">
      <c r="A4" s="25"/>
      <c r="B4" s="26" t="s">
        <v>138</v>
      </c>
      <c r="C4" s="26" t="s">
        <v>139</v>
      </c>
      <c r="D4" s="26" t="s">
        <v>79</v>
      </c>
      <c r="E4" s="26" t="s">
        <v>140</v>
      </c>
      <c r="F4" s="26" t="s">
        <v>147</v>
      </c>
      <c r="G4" s="26" t="s">
        <v>148</v>
      </c>
      <c r="H4" s="26" t="s">
        <v>141</v>
      </c>
    </row>
    <row r="5" spans="1:9" ht="15" customHeight="1" x14ac:dyDescent="0.25">
      <c r="A5" s="25"/>
      <c r="B5" s="28" t="s">
        <v>142</v>
      </c>
      <c r="C5" s="29"/>
      <c r="D5" s="28" t="s">
        <v>143</v>
      </c>
      <c r="E5" s="28">
        <v>1106</v>
      </c>
      <c r="F5" s="30">
        <f>E5*1.6</f>
        <v>1769.6000000000001</v>
      </c>
      <c r="G5" s="30">
        <f>H5/F5</f>
        <v>31532.549728752259</v>
      </c>
      <c r="H5" s="31">
        <v>55800000</v>
      </c>
    </row>
    <row r="6" spans="1:9" x14ac:dyDescent="0.25">
      <c r="A6" s="25"/>
      <c r="B6" s="28" t="s">
        <v>142</v>
      </c>
      <c r="C6" s="32"/>
      <c r="D6" s="28"/>
      <c r="E6" s="28"/>
      <c r="F6" s="30">
        <f t="shared" ref="F6:F11" si="0">E6*1.6</f>
        <v>0</v>
      </c>
      <c r="G6" s="30" t="e">
        <f t="shared" ref="G6:G11" si="1">H6/F6</f>
        <v>#DIV/0!</v>
      </c>
      <c r="H6" s="31"/>
    </row>
    <row r="7" spans="1:9" ht="15" customHeight="1" x14ac:dyDescent="0.25">
      <c r="A7" s="25"/>
      <c r="B7" s="28" t="s">
        <v>142</v>
      </c>
      <c r="C7" s="29"/>
      <c r="D7" s="28"/>
      <c r="E7" s="28"/>
      <c r="F7" s="30">
        <f t="shared" si="0"/>
        <v>0</v>
      </c>
      <c r="G7" s="30" t="e">
        <f t="shared" si="1"/>
        <v>#DIV/0!</v>
      </c>
      <c r="H7" s="31"/>
    </row>
    <row r="8" spans="1:9" x14ac:dyDescent="0.25">
      <c r="A8" s="25"/>
      <c r="B8" s="28" t="s">
        <v>142</v>
      </c>
      <c r="C8" s="32"/>
      <c r="D8" s="28"/>
      <c r="E8" s="28"/>
      <c r="F8" s="30">
        <f t="shared" si="0"/>
        <v>0</v>
      </c>
      <c r="G8" s="30" t="e">
        <f t="shared" si="1"/>
        <v>#DIV/0!</v>
      </c>
      <c r="H8" s="31"/>
    </row>
    <row r="9" spans="1:9" ht="15" customHeight="1" x14ac:dyDescent="0.25">
      <c r="A9" s="25"/>
      <c r="B9" s="28" t="s">
        <v>142</v>
      </c>
      <c r="C9" s="32"/>
      <c r="D9" s="28"/>
      <c r="E9" s="28"/>
      <c r="F9" s="30">
        <f t="shared" si="0"/>
        <v>0</v>
      </c>
      <c r="G9" s="30" t="e">
        <f t="shared" si="1"/>
        <v>#DIV/0!</v>
      </c>
      <c r="H9" s="31"/>
    </row>
    <row r="10" spans="1:9" ht="15" customHeight="1" x14ac:dyDescent="0.25">
      <c r="A10" s="25"/>
      <c r="B10" s="28" t="s">
        <v>144</v>
      </c>
      <c r="C10" s="29"/>
      <c r="D10" s="28"/>
      <c r="E10" s="28"/>
      <c r="F10" s="30">
        <f t="shared" si="0"/>
        <v>0</v>
      </c>
      <c r="G10" s="30" t="e">
        <f t="shared" si="1"/>
        <v>#DIV/0!</v>
      </c>
      <c r="H10" s="31"/>
    </row>
    <row r="11" spans="1:9" ht="15" customHeight="1" x14ac:dyDescent="0.25">
      <c r="A11" s="25"/>
      <c r="B11" s="28" t="s">
        <v>144</v>
      </c>
      <c r="C11" s="29"/>
      <c r="D11" s="28"/>
      <c r="E11" s="28"/>
      <c r="F11" s="30">
        <f t="shared" si="0"/>
        <v>0</v>
      </c>
      <c r="G11" s="30" t="e">
        <f t="shared" si="1"/>
        <v>#DIV/0!</v>
      </c>
      <c r="H11" s="31"/>
    </row>
    <row r="12" spans="1:9" ht="15" customHeight="1" x14ac:dyDescent="0.25">
      <c r="A12" s="25"/>
      <c r="B12" s="33" t="s">
        <v>145</v>
      </c>
      <c r="C12" s="28"/>
      <c r="D12" s="28"/>
      <c r="E12" s="28"/>
      <c r="F12" s="28"/>
      <c r="G12" s="34" t="e">
        <f>AVERAGE(G5:G11)</f>
        <v>#DIV/0!</v>
      </c>
      <c r="H12" s="28"/>
    </row>
    <row r="13" spans="1:9" ht="15" customHeight="1" x14ac:dyDescent="0.25">
      <c r="B13" s="33" t="s">
        <v>146</v>
      </c>
      <c r="C13" s="28"/>
      <c r="D13" s="28"/>
      <c r="E13" s="28"/>
      <c r="F13" s="35"/>
      <c r="G13" s="33"/>
      <c r="H13" s="33"/>
      <c r="I13" s="27"/>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
  <sheetViews>
    <sheetView workbookViewId="0">
      <selection activeCell="G16" sqref="G1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2025-09-16T05:45:41Z</cp:lastPrinted>
  <dcterms:created xsi:type="dcterms:W3CDTF">2019-07-16T09:29:46Z</dcterms:created>
  <dcterms:modified xsi:type="dcterms:W3CDTF">2025-09-16T05:47:49Z</dcterms:modified>
</cp:coreProperties>
</file>