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C-51\Downloads\"/>
    </mc:Choice>
  </mc:AlternateContent>
  <bookViews>
    <workbookView xWindow="0" yWindow="0" windowWidth="20490" windowHeight="6855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Report!$A$1:$H$468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4" i="1" l="1"/>
  <c r="D360" i="1" l="1"/>
  <c r="F360" i="1" s="1"/>
  <c r="D359" i="1"/>
  <c r="F359" i="1" s="1"/>
  <c r="D358" i="1"/>
  <c r="F358" i="1" s="1"/>
  <c r="D357" i="1"/>
  <c r="F357" i="1" s="1"/>
  <c r="D351" i="1"/>
  <c r="F351" i="1" s="1"/>
  <c r="D350" i="1"/>
  <c r="F350" i="1" s="1"/>
  <c r="D349" i="1"/>
  <c r="F349" i="1" s="1"/>
  <c r="A349" i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G348" i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D348" i="1"/>
  <c r="F348" i="1" s="1"/>
  <c r="D193" i="1"/>
  <c r="F193" i="1" s="1"/>
  <c r="D192" i="1"/>
  <c r="F192" i="1" s="1"/>
  <c r="D191" i="1"/>
  <c r="F191" i="1" s="1"/>
  <c r="D190" i="1"/>
  <c r="F190" i="1" s="1"/>
  <c r="D189" i="1"/>
  <c r="F189" i="1" s="1"/>
  <c r="D188" i="1"/>
  <c r="F188" i="1" s="1"/>
  <c r="G188" i="1"/>
  <c r="G189" i="1" s="1"/>
  <c r="G190" i="1" s="1"/>
  <c r="G191" i="1" s="1"/>
  <c r="G192" i="1" s="1"/>
  <c r="G193" i="1" s="1"/>
  <c r="D340" i="1"/>
  <c r="F340" i="1" s="1"/>
  <c r="D346" i="1"/>
  <c r="F346" i="1" s="1"/>
  <c r="D345" i="1"/>
  <c r="F345" i="1" s="1"/>
  <c r="D344" i="1"/>
  <c r="F344" i="1" s="1"/>
  <c r="D343" i="1"/>
  <c r="F343" i="1" s="1"/>
  <c r="D342" i="1"/>
  <c r="F342" i="1" s="1"/>
  <c r="D341" i="1"/>
  <c r="F341" i="1" s="1"/>
  <c r="D337" i="1"/>
  <c r="F337" i="1" s="1"/>
  <c r="D336" i="1"/>
  <c r="F336" i="1" s="1"/>
  <c r="D335" i="1"/>
  <c r="F335" i="1" s="1"/>
  <c r="A335" i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G334" i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D334" i="1"/>
  <c r="F334" i="1" s="1"/>
  <c r="D182" i="1"/>
  <c r="F182" i="1" s="1"/>
  <c r="D186" i="1"/>
  <c r="F186" i="1" s="1"/>
  <c r="D185" i="1"/>
  <c r="F185" i="1" s="1"/>
  <c r="D184" i="1"/>
  <c r="F184" i="1" s="1"/>
  <c r="D183" i="1"/>
  <c r="F183" i="1" s="1"/>
  <c r="G181" i="1"/>
  <c r="G182" i="1" s="1"/>
  <c r="G183" i="1" s="1"/>
  <c r="G184" i="1" s="1"/>
  <c r="G185" i="1" s="1"/>
  <c r="G186" i="1" s="1"/>
  <c r="D332" i="1"/>
  <c r="F332" i="1" s="1"/>
  <c r="D331" i="1"/>
  <c r="F331" i="1" s="1"/>
  <c r="D330" i="1"/>
  <c r="F330" i="1" s="1"/>
  <c r="D329" i="1"/>
  <c r="F329" i="1" s="1"/>
  <c r="D328" i="1"/>
  <c r="F328" i="1" s="1"/>
  <c r="D327" i="1"/>
  <c r="F327" i="1" s="1"/>
  <c r="D323" i="1"/>
  <c r="F323" i="1" s="1"/>
  <c r="D322" i="1"/>
  <c r="F322" i="1" s="1"/>
  <c r="D321" i="1"/>
  <c r="F321" i="1" s="1"/>
  <c r="A321" i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G320" i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D320" i="1"/>
  <c r="F320" i="1" s="1"/>
  <c r="D179" i="1"/>
  <c r="F179" i="1" s="1"/>
  <c r="D178" i="1"/>
  <c r="F178" i="1" s="1"/>
  <c r="D177" i="1"/>
  <c r="F177" i="1" s="1"/>
  <c r="D176" i="1"/>
  <c r="F176" i="1" s="1"/>
  <c r="G174" i="1"/>
  <c r="G175" i="1" s="1"/>
  <c r="G176" i="1" s="1"/>
  <c r="G177" i="1" s="1"/>
  <c r="G178" i="1" s="1"/>
  <c r="G179" i="1" s="1"/>
  <c r="D318" i="1"/>
  <c r="F318" i="1" s="1"/>
  <c r="D317" i="1"/>
  <c r="F317" i="1" s="1"/>
  <c r="D316" i="1"/>
  <c r="F316" i="1" s="1"/>
  <c r="D315" i="1"/>
  <c r="F315" i="1" s="1"/>
  <c r="D314" i="1"/>
  <c r="F314" i="1" s="1"/>
  <c r="D313" i="1"/>
  <c r="F313" i="1" s="1"/>
  <c r="D312" i="1"/>
  <c r="F312" i="1" s="1"/>
  <c r="D311" i="1"/>
  <c r="F311" i="1" s="1"/>
  <c r="D310" i="1"/>
  <c r="F310" i="1" s="1"/>
  <c r="D309" i="1"/>
  <c r="F309" i="1" s="1"/>
  <c r="D308" i="1"/>
  <c r="F308" i="1" s="1"/>
  <c r="D307" i="1"/>
  <c r="F307" i="1" s="1"/>
  <c r="A307" i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G306" i="1"/>
  <c r="D306" i="1"/>
  <c r="F306" i="1" s="1"/>
  <c r="D172" i="1"/>
  <c r="F172" i="1" s="1"/>
  <c r="D171" i="1"/>
  <c r="F171" i="1" s="1"/>
  <c r="D170" i="1"/>
  <c r="F170" i="1" s="1"/>
  <c r="D169" i="1"/>
  <c r="F169" i="1" s="1"/>
  <c r="D168" i="1"/>
  <c r="F168" i="1" s="1"/>
  <c r="G167" i="1"/>
  <c r="D167" i="1"/>
  <c r="F167" i="1" s="1"/>
  <c r="I167" i="1" s="1"/>
  <c r="D304" i="1"/>
  <c r="F304" i="1" s="1"/>
  <c r="D303" i="1"/>
  <c r="F303" i="1" s="1"/>
  <c r="D302" i="1"/>
  <c r="F302" i="1" s="1"/>
  <c r="D301" i="1"/>
  <c r="F301" i="1" s="1"/>
  <c r="D300" i="1"/>
  <c r="F300" i="1" s="1"/>
  <c r="D299" i="1"/>
  <c r="F299" i="1" s="1"/>
  <c r="D298" i="1"/>
  <c r="F298" i="1" s="1"/>
  <c r="D297" i="1"/>
  <c r="F297" i="1" s="1"/>
  <c r="D296" i="1"/>
  <c r="F296" i="1" s="1"/>
  <c r="D295" i="1"/>
  <c r="F295" i="1" s="1"/>
  <c r="D294" i="1"/>
  <c r="F294" i="1" s="1"/>
  <c r="D293" i="1"/>
  <c r="F293" i="1" s="1"/>
  <c r="A293" i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G292" i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D292" i="1"/>
  <c r="F292" i="1" s="1"/>
  <c r="D165" i="1"/>
  <c r="F165" i="1" s="1"/>
  <c r="D164" i="1"/>
  <c r="F164" i="1" s="1"/>
  <c r="D163" i="1"/>
  <c r="F163" i="1" s="1"/>
  <c r="D162" i="1"/>
  <c r="F162" i="1" s="1"/>
  <c r="D161" i="1"/>
  <c r="F161" i="1" s="1"/>
  <c r="G160" i="1"/>
  <c r="G161" i="1" s="1"/>
  <c r="G162" i="1" s="1"/>
  <c r="G163" i="1" s="1"/>
  <c r="G164" i="1" s="1"/>
  <c r="G165" i="1" s="1"/>
  <c r="D160" i="1"/>
  <c r="F160" i="1" s="1"/>
  <c r="D290" i="1"/>
  <c r="F290" i="1" s="1"/>
  <c r="D289" i="1"/>
  <c r="F289" i="1" s="1"/>
  <c r="D288" i="1"/>
  <c r="F288" i="1" s="1"/>
  <c r="D287" i="1"/>
  <c r="F287" i="1" s="1"/>
  <c r="D286" i="1"/>
  <c r="F286" i="1" s="1"/>
  <c r="D285" i="1"/>
  <c r="F285" i="1" s="1"/>
  <c r="D284" i="1"/>
  <c r="F284" i="1" s="1"/>
  <c r="D283" i="1"/>
  <c r="F283" i="1" s="1"/>
  <c r="D282" i="1"/>
  <c r="F282" i="1" s="1"/>
  <c r="D281" i="1"/>
  <c r="F281" i="1" s="1"/>
  <c r="D280" i="1"/>
  <c r="F280" i="1" s="1"/>
  <c r="D279" i="1"/>
  <c r="F279" i="1" s="1"/>
  <c r="A279" i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G278" i="1"/>
  <c r="D278" i="1"/>
  <c r="F278" i="1" s="1"/>
  <c r="D276" i="1"/>
  <c r="F276" i="1" s="1"/>
  <c r="D275" i="1"/>
  <c r="F275" i="1" s="1"/>
  <c r="D274" i="1"/>
  <c r="F274" i="1" s="1"/>
  <c r="D273" i="1"/>
  <c r="F273" i="1" s="1"/>
  <c r="D272" i="1"/>
  <c r="F272" i="1" s="1"/>
  <c r="D271" i="1"/>
  <c r="F271" i="1" s="1"/>
  <c r="D270" i="1"/>
  <c r="F270" i="1" s="1"/>
  <c r="D269" i="1"/>
  <c r="F269" i="1" s="1"/>
  <c r="D268" i="1"/>
  <c r="F268" i="1" s="1"/>
  <c r="D267" i="1"/>
  <c r="F267" i="1" s="1"/>
  <c r="D266" i="1"/>
  <c r="F266" i="1" s="1"/>
  <c r="D265" i="1"/>
  <c r="F265" i="1" s="1"/>
  <c r="A265" i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G264" i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D264" i="1"/>
  <c r="F264" i="1" s="1"/>
  <c r="D262" i="1"/>
  <c r="F262" i="1" s="1"/>
  <c r="D261" i="1"/>
  <c r="F261" i="1" s="1"/>
  <c r="D260" i="1"/>
  <c r="F260" i="1" s="1"/>
  <c r="D259" i="1"/>
  <c r="F259" i="1" s="1"/>
  <c r="D258" i="1"/>
  <c r="F258" i="1" s="1"/>
  <c r="D257" i="1"/>
  <c r="F257" i="1" s="1"/>
  <c r="D256" i="1"/>
  <c r="F256" i="1" s="1"/>
  <c r="D255" i="1"/>
  <c r="F255" i="1" s="1"/>
  <c r="D254" i="1"/>
  <c r="F254" i="1" s="1"/>
  <c r="D253" i="1"/>
  <c r="F253" i="1" s="1"/>
  <c r="D252" i="1"/>
  <c r="F252" i="1" s="1"/>
  <c r="D251" i="1"/>
  <c r="F251" i="1" s="1"/>
  <c r="A251" i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G250" i="1"/>
  <c r="D250" i="1"/>
  <c r="F250" i="1" s="1"/>
  <c r="D158" i="1"/>
  <c r="F158" i="1" s="1"/>
  <c r="D157" i="1"/>
  <c r="F157" i="1" s="1"/>
  <c r="D156" i="1"/>
  <c r="F156" i="1" s="1"/>
  <c r="D155" i="1"/>
  <c r="F155" i="1" s="1"/>
  <c r="D154" i="1"/>
  <c r="F154" i="1" s="1"/>
  <c r="G153" i="1"/>
  <c r="D153" i="1"/>
  <c r="F153" i="1" s="1"/>
  <c r="D246" i="1"/>
  <c r="F246" i="1" s="1"/>
  <c r="D247" i="1"/>
  <c r="F247" i="1" s="1"/>
  <c r="D248" i="1"/>
  <c r="F248" i="1" s="1"/>
  <c r="D245" i="1"/>
  <c r="F245" i="1" s="1"/>
  <c r="D244" i="1"/>
  <c r="F244" i="1" s="1"/>
  <c r="D243" i="1"/>
  <c r="F243" i="1" s="1"/>
  <c r="D237" i="1"/>
  <c r="D238" i="1"/>
  <c r="D239" i="1"/>
  <c r="D236" i="1"/>
  <c r="D234" i="1"/>
  <c r="F234" i="1" s="1"/>
  <c r="D151" i="1"/>
  <c r="F151" i="1" s="1"/>
  <c r="D150" i="1"/>
  <c r="F150" i="1" s="1"/>
  <c r="D149" i="1"/>
  <c r="F149" i="1" s="1"/>
  <c r="D148" i="1"/>
  <c r="F148" i="1" s="1"/>
  <c r="G146" i="1"/>
  <c r="G147" i="1" s="1"/>
  <c r="G148" i="1" s="1"/>
  <c r="G149" i="1" s="1"/>
  <c r="G150" i="1" s="1"/>
  <c r="G151" i="1" s="1"/>
  <c r="D233" i="1"/>
  <c r="F233" i="1" s="1"/>
  <c r="D232" i="1"/>
  <c r="F232" i="1" s="1"/>
  <c r="D231" i="1"/>
  <c r="F231" i="1" s="1"/>
  <c r="D230" i="1"/>
  <c r="F230" i="1" s="1"/>
  <c r="D229" i="1"/>
  <c r="F229" i="1" s="1"/>
  <c r="D228" i="1"/>
  <c r="F228" i="1" s="1"/>
  <c r="D227" i="1"/>
  <c r="F227" i="1" s="1"/>
  <c r="D226" i="1"/>
  <c r="F226" i="1" s="1"/>
  <c r="D225" i="1"/>
  <c r="F225" i="1" s="1"/>
  <c r="D224" i="1"/>
  <c r="F224" i="1" s="1"/>
  <c r="D223" i="1"/>
  <c r="F223" i="1" s="1"/>
  <c r="A223" i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G222" i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D222" i="1"/>
  <c r="F222" i="1" s="1"/>
  <c r="D140" i="1"/>
  <c r="F140" i="1" s="1"/>
  <c r="D141" i="1"/>
  <c r="F141" i="1" s="1"/>
  <c r="D142" i="1"/>
  <c r="F142" i="1" s="1"/>
  <c r="D143" i="1"/>
  <c r="F143" i="1" s="1"/>
  <c r="D144" i="1"/>
  <c r="F144" i="1" s="1"/>
  <c r="D139" i="1"/>
  <c r="F139" i="1" s="1"/>
  <c r="I139" i="1" s="1"/>
  <c r="G139" i="1"/>
  <c r="G140" i="1" s="1"/>
  <c r="G141" i="1" s="1"/>
  <c r="G142" i="1" s="1"/>
  <c r="G143" i="1" s="1"/>
  <c r="G144" i="1" s="1"/>
  <c r="D219" i="1"/>
  <c r="F219" i="1" s="1"/>
  <c r="D220" i="1"/>
  <c r="F220" i="1" s="1"/>
  <c r="D218" i="1"/>
  <c r="F218" i="1" s="1"/>
  <c r="D217" i="1"/>
  <c r="F217" i="1" s="1"/>
  <c r="D216" i="1"/>
  <c r="F216" i="1" s="1"/>
  <c r="D215" i="1"/>
  <c r="F215" i="1" s="1"/>
  <c r="D214" i="1"/>
  <c r="F214" i="1" s="1"/>
  <c r="D213" i="1"/>
  <c r="D210" i="1"/>
  <c r="D211" i="1"/>
  <c r="D212" i="1"/>
  <c r="D209" i="1"/>
  <c r="G135" i="1"/>
  <c r="G136" i="1" s="1"/>
  <c r="G137" i="1" s="1"/>
  <c r="E206" i="1"/>
  <c r="E207" i="1"/>
  <c r="D206" i="1"/>
  <c r="D207" i="1"/>
  <c r="E205" i="1"/>
  <c r="D205" i="1"/>
  <c r="E202" i="1"/>
  <c r="I202" i="1"/>
  <c r="D202" i="1"/>
  <c r="D127" i="1"/>
  <c r="F127" i="1" s="1"/>
  <c r="D126" i="1"/>
  <c r="D125" i="1"/>
  <c r="D124" i="1"/>
  <c r="D123" i="1"/>
  <c r="C111" i="1" l="1"/>
  <c r="C108" i="1"/>
  <c r="C113" i="1"/>
  <c r="E113" i="1"/>
  <c r="E114" i="1"/>
  <c r="G111" i="1"/>
  <c r="E112" i="1"/>
  <c r="G114" i="1"/>
  <c r="E108" i="1"/>
  <c r="C112" i="1"/>
  <c r="G112" i="1"/>
  <c r="E111" i="1"/>
  <c r="C114" i="1"/>
  <c r="F206" i="1"/>
  <c r="F207" i="1"/>
  <c r="F205" i="1"/>
  <c r="F202" i="1"/>
  <c r="E27" i="1"/>
  <c r="E115" i="1" l="1"/>
  <c r="C115" i="1"/>
  <c r="A197" i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G196" i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F105" i="1" l="1"/>
  <c r="F124" i="1" l="1"/>
  <c r="F125" i="1"/>
  <c r="F126" i="1"/>
  <c r="F123" i="1"/>
  <c r="G108" i="1" l="1"/>
  <c r="B363" i="1"/>
  <c r="C13" i="1" l="1"/>
  <c r="F239" i="1" l="1"/>
  <c r="F238" i="1"/>
  <c r="F237" i="1"/>
  <c r="F236" i="1"/>
  <c r="F213" i="1"/>
  <c r="F212" i="1"/>
  <c r="F210" i="1"/>
  <c r="F209" i="1"/>
  <c r="F211" i="1"/>
  <c r="G113" i="1" l="1"/>
  <c r="G115" i="1" s="1"/>
  <c r="B364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385" i="1"/>
  <c r="G236" i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09" i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A210" i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G123" i="1"/>
  <c r="G124" i="1" s="1"/>
  <c r="G125" i="1" s="1"/>
  <c r="G126" i="1" s="1"/>
  <c r="G127" i="1" s="1"/>
  <c r="J89" i="1"/>
  <c r="C78" i="1"/>
  <c r="J75" i="1"/>
  <c r="D52" i="1"/>
  <c r="G48" i="1"/>
  <c r="E40" i="1"/>
  <c r="E41" i="1" s="1"/>
  <c r="E24" i="1"/>
  <c r="E22" i="1"/>
  <c r="E7" i="1"/>
  <c r="E3" i="1"/>
  <c r="D58" i="1" s="1"/>
  <c r="H79" i="1"/>
  <c r="H65" i="1"/>
  <c r="J64" i="1" l="1"/>
  <c r="J66" i="1" s="1"/>
  <c r="D89" i="1"/>
  <c r="D90" i="1"/>
  <c r="D91" i="1"/>
  <c r="D85" i="1"/>
  <c r="D86" i="1"/>
  <c r="D87" i="1"/>
  <c r="D88" i="1"/>
  <c r="D84" i="1"/>
  <c r="D77" i="1"/>
  <c r="D75" i="1"/>
  <c r="D74" i="1"/>
  <c r="D73" i="1"/>
  <c r="D71" i="1"/>
  <c r="D70" i="1"/>
  <c r="D76" i="1"/>
  <c r="D72" i="1"/>
  <c r="J68" i="1"/>
  <c r="J69" i="1"/>
  <c r="C68" i="1" s="1"/>
  <c r="J67" i="1"/>
  <c r="J70" i="1"/>
  <c r="J71" i="1" s="1"/>
  <c r="J76" i="1" s="1"/>
  <c r="J84" i="1"/>
  <c r="J85" i="1" s="1"/>
  <c r="J90" i="1" s="1"/>
  <c r="J82" i="1"/>
  <c r="J83" i="1"/>
  <c r="C82" i="1" s="1"/>
  <c r="J81" i="1"/>
  <c r="J86" i="1" l="1"/>
  <c r="J87" i="1" s="1"/>
  <c r="J88" i="1" s="1"/>
  <c r="J72" i="1"/>
  <c r="J73" i="1" s="1"/>
  <c r="J74" i="1" s="1"/>
  <c r="D82" i="1"/>
  <c r="J91" i="1" l="1"/>
  <c r="C83" i="1" s="1"/>
  <c r="E82" i="1" s="1"/>
  <c r="D68" i="1"/>
  <c r="J77" i="1"/>
  <c r="I78" i="1" l="1"/>
  <c r="C80" i="1" s="1"/>
  <c r="D83" i="1"/>
  <c r="G82" i="1"/>
  <c r="J65" i="1"/>
  <c r="G68" i="1"/>
  <c r="D62" i="1" s="1"/>
  <c r="E68" i="1"/>
  <c r="D69" i="1"/>
  <c r="I65" i="1" s="1"/>
  <c r="I66" i="1" l="1"/>
  <c r="I64" i="1" s="1"/>
  <c r="C66" i="1" s="1"/>
  <c r="D63" i="1"/>
  <c r="F63" i="1"/>
</calcChain>
</file>

<file path=xl/sharedStrings.xml><?xml version="1.0" encoding="utf-8"?>
<sst xmlns="http://schemas.openxmlformats.org/spreadsheetml/2006/main" count="735" uniqueCount="253">
  <si>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</si>
  <si>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</si>
  <si>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</si>
  <si>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</si>
  <si>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</si>
  <si>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</si>
  <si>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</si>
  <si>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</si>
  <si>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</si>
  <si>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</si>
  <si>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</si>
  <si>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</si>
  <si>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</si>
  <si>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</si>
  <si>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</si>
  <si>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</si>
  <si>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</si>
  <si>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</si>
  <si>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</si>
  <si>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</si>
  <si>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</si>
  <si>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</si>
  <si>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</si>
  <si>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</si>
  <si>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</si>
  <si>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</si>
  <si>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</si>
  <si>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</si>
  <si>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</si>
  <si>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</si>
  <si>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</si>
  <si>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</si>
  <si>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</si>
  <si>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</si>
  <si>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</si>
  <si>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</si>
  <si>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</si>
  <si>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</si>
  <si>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</si>
  <si>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</si>
  <si>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</si>
  <si>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</si>
  <si>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</si>
  <si>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</si>
  <si>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</si>
  <si>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</si>
  <si>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</si>
  <si>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</si>
  <si>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</si>
  <si>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</si>
  <si>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</si>
  <si>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</si>
  <si>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</si>
  <si>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</si>
  <si>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</si>
  <si>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</si>
  <si>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</si>
  <si>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</si>
  <si>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</si>
  <si>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</si>
  <si>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</si>
  <si>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</si>
  <si>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</si>
  <si>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</si>
  <si>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</si>
  <si>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</si>
  <si>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</si>
  <si>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</si>
  <si>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</si>
  <si>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</si>
  <si>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</si>
  <si>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</si>
  <si>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</si>
  <si>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</si>
  <si>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</si>
  <si>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</si>
  <si>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</si>
  <si>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</si>
  <si>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</si>
  <si>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</si>
  <si>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</si>
  <si>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</si>
  <si>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</si>
  <si>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</si>
  <si>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</si>
  <si>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</si>
  <si>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</si>
  <si>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</si>
  <si>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</si>
  <si>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</si>
  <si>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</si>
  <si>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</si>
  <si>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</si>
  <si>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</si>
  <si>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</si>
  <si>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</si>
  <si>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</si>
  <si>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</si>
  <si>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</si>
  <si>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</si>
  <si>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</si>
  <si>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</si>
  <si>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</si>
  <si>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</si>
  <si>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</si>
  <si>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</si>
  <si>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</si>
  <si>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</si>
  <si>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</si>
  <si>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</si>
  <si>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</si>
  <si>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</si>
  <si>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</si>
  <si>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</si>
  <si>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</si>
  <si>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</si>
  <si>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</si>
  <si>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</si>
  <si>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</si>
  <si>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</si>
  <si>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</si>
  <si>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</si>
  <si>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</si>
  <si>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</si>
  <si>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</si>
  <si>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</si>
  <si>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2nd Floor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</si>
  <si>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</si>
  <si>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</si>
  <si>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</si>
  <si>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</si>
  <si>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</si>
  <si>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</si>
  <si>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</si>
  <si>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</si>
  <si>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</si>
  <si>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</si>
  <si>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</si>
  <si>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</si>
  <si>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</si>
  <si>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</si>
  <si>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</si>
  <si>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</si>
  <si>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</si>
  <si>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</si>
  <si>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</si>
  <si>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</si>
  <si>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</si>
  <si>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</si>
  <si>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</si>
  <si>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</si>
  <si>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</si>
  <si>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</si>
  <si>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</si>
  <si>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</si>
  <si>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</si>
  <si>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</si>
  <si>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</si>
  <si>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</si>
  <si>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</si>
  <si>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</si>
  <si>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</si>
  <si>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</si>
  <si>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</si>
  <si>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</si>
  <si>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</si>
  <si>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</si>
  <si>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</si>
  <si>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</si>
  <si>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</si>
  <si>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</si>
  <si>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</si>
  <si>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Wing - B</t>
  </si>
  <si>
    <t>Ground Floor for Parking</t>
  </si>
  <si>
    <t>Wing - C</t>
  </si>
  <si>
    <t>Ground Floor for Commercial</t>
  </si>
  <si>
    <t>Sale / Rehab Unit</t>
  </si>
  <si>
    <t>Rehab</t>
  </si>
  <si>
    <t xml:space="preserve">Shop </t>
  </si>
  <si>
    <t>1st Floor for Society Office, Kids Area &amp; Meeting Rooms</t>
  </si>
  <si>
    <t>Aanganwadi</t>
  </si>
  <si>
    <t>Balwadi</t>
  </si>
  <si>
    <t>Library</t>
  </si>
  <si>
    <t>Room</t>
  </si>
  <si>
    <t>Welfare Center</t>
  </si>
  <si>
    <t>Snooker Room</t>
  </si>
  <si>
    <t>Games Room</t>
  </si>
  <si>
    <t>Fitness Center</t>
  </si>
  <si>
    <t>-</t>
  </si>
  <si>
    <t>1BHK</t>
  </si>
  <si>
    <t>3rd to 7th Floor</t>
  </si>
  <si>
    <t>8th, 15th &amp; 22nd Floor (Part Refuge Area)</t>
  </si>
  <si>
    <t>Refuge Area</t>
  </si>
  <si>
    <t>Sale</t>
  </si>
  <si>
    <t>9th to 14th, 16th to 21st, 23rd to 26th Floor</t>
  </si>
  <si>
    <t>9th to 14th, 16th &amp; 17th Floor</t>
  </si>
  <si>
    <t>18th Floor</t>
  </si>
  <si>
    <t>19th to 21st &amp; 23rd to 26th Floor</t>
  </si>
  <si>
    <t>27th Floor</t>
  </si>
  <si>
    <t>28th, 30th to 35th, 37th to 38th Floor</t>
  </si>
  <si>
    <t>29th Floor (Part Refuge Area)</t>
  </si>
  <si>
    <t>36th Floor (Part Refuge Area)</t>
  </si>
  <si>
    <t>39th Floor</t>
  </si>
  <si>
    <t>Community Hall</t>
  </si>
  <si>
    <t>Rehab Shop</t>
  </si>
  <si>
    <t>1st Floor for Aanganwadi, Balwadi, Library &amp; Welfare Centre</t>
  </si>
  <si>
    <t>Rehab Flat</t>
  </si>
  <si>
    <t>Sale Flat</t>
  </si>
  <si>
    <t>28th, 30th to 35th, 37th &amp; 38th Floor</t>
  </si>
  <si>
    <t>2nd Floor for Amenities</t>
  </si>
  <si>
    <t>Sale Flats - 411,Rehab Flat - 289, Rehab Shops - 5</t>
  </si>
  <si>
    <t>Axis Goregaon</t>
  </si>
  <si>
    <t>M/s. Infinity Associates</t>
  </si>
  <si>
    <t>Infinity Residences</t>
  </si>
  <si>
    <t>Approved Plans, CC.</t>
  </si>
  <si>
    <t>P51900030602</t>
  </si>
  <si>
    <t>G. D. Ambedkar road</t>
  </si>
  <si>
    <t>Parel</t>
  </si>
  <si>
    <t>Mumbai</t>
  </si>
  <si>
    <t>2KM from Parel Railway Station</t>
  </si>
  <si>
    <t>Parel east</t>
  </si>
  <si>
    <t>Kingston Tower</t>
  </si>
  <si>
    <t>CTS No</t>
  </si>
  <si>
    <t>Kali Temple</t>
  </si>
  <si>
    <t>Open land</t>
  </si>
  <si>
    <t>2 Wings</t>
  </si>
  <si>
    <t>Slum Rehabilitation Authority (SRA)</t>
  </si>
  <si>
    <t>SRA/ENG/FS/PVT/0004/2004/0518/AP/COM</t>
  </si>
  <si>
    <t>FS/PVT/0004/20040518/AP/COM</t>
  </si>
  <si>
    <t>This CC is re- endorsed for Wing - B &amp; C upto top of basment i.e. ground/Stilt level as per approved amended plans dated. 24/03/2022.</t>
  </si>
  <si>
    <t>As per RERA - 31/12/2028</t>
  </si>
  <si>
    <t xml:space="preserve">We considered Gross carpet area = Net carpet. </t>
  </si>
  <si>
    <t>B &amp; C Wing</t>
  </si>
  <si>
    <t>Wing B &amp; C = 4B + G/St + 1st to 39th Floor</t>
  </si>
  <si>
    <t>Wing C = 4B + G/St + 1st to 39th Floor</t>
  </si>
  <si>
    <t>4th to 1st Basement Floor for Parking</t>
  </si>
  <si>
    <t>On Site, we meet Mr. Sachin (9820256551).</t>
  </si>
  <si>
    <t>Library, Community Hall</t>
  </si>
  <si>
    <t xml:space="preserve">Location Link </t>
  </si>
  <si>
    <t>https://goo.gl/maps/FyuPtPbrSnGJt7an6</t>
  </si>
  <si>
    <t>Office No. 1031, Wing J, Akshar Business Park, Plot No. 03 Sector 25, Near APMC Market, 
Vashi, Navi Mumbai, Maharashtra 400703 TEL: 022-46090378/79/8
E mail : vsjcapf@gmail.com. Web site : www.vsjadon.com</t>
  </si>
  <si>
    <t>18000 to 22500</t>
  </si>
  <si>
    <t xml:space="preserve">Sanket </t>
  </si>
  <si>
    <t xml:space="preserve">Cost sheet </t>
  </si>
  <si>
    <t>higher side</t>
  </si>
  <si>
    <t>Wing C</t>
  </si>
  <si>
    <t>Wing B</t>
  </si>
  <si>
    <t>Mr. Karan Misal</t>
  </si>
  <si>
    <t>Wing B = 4B + G/St + 1st to 39th Floor</t>
  </si>
  <si>
    <t>Construction work is in process at the time of Visit. internal photographs was not allowed. (Slow Speed)</t>
  </si>
  <si>
    <t>Gaurav Panchal</t>
  </si>
  <si>
    <t>Construction work goes beyond CC permission, Please provide revised approved CC.</t>
  </si>
  <si>
    <t>184, 2/184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</si>
</sst>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22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8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7" fillId="0" borderId="10" xfId="1" applyFont="1" applyBorder="1" applyProtection="1">
      <protection hidden="1"/>
    </xf>
    <xf numFmtId="0" fontId="7" fillId="0" borderId="0" xfId="1" applyFont="1" applyProtection="1">
      <protection hidden="1"/>
    </xf>
    <xf numFmtId="0" fontId="17" fillId="0" borderId="13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23" fillId="0" borderId="0" xfId="1" applyFont="1"/>
    <xf numFmtId="0" fontId="7" fillId="0" borderId="11" xfId="1" applyFont="1" applyBorder="1" applyProtection="1">
      <protection hidden="1"/>
    </xf>
    <xf numFmtId="0" fontId="7" fillId="0" borderId="12" xfId="1" applyFont="1" applyBorder="1" applyProtection="1">
      <protection hidden="1"/>
    </xf>
    <xf numFmtId="0" fontId="7" fillId="0" borderId="12" xfId="1" applyFont="1" applyBorder="1"/>
    <xf numFmtId="0" fontId="17" fillId="0" borderId="12" xfId="0" applyFont="1" applyBorder="1" applyProtection="1">
      <protection hidden="1"/>
    </xf>
    <xf numFmtId="1" fontId="0" fillId="0" borderId="12" xfId="0" applyNumberFormat="1" applyBorder="1"/>
    <xf numFmtId="1" fontId="0" fillId="0" borderId="12" xfId="0" applyNumberFormat="1" applyBorder="1" applyAlignment="1">
      <alignment horizontal="right"/>
    </xf>
    <xf numFmtId="1" fontId="0" fillId="0" borderId="14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/>
      <protection locked="0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9" fontId="12" fillId="0" borderId="7" xfId="8" applyFont="1" applyFill="1" applyBorder="1" applyAlignment="1" applyProtection="1">
      <alignment horizontal="center" vertical="top" wrapText="1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0" fontId="24" fillId="0" borderId="32" xfId="0" applyFont="1" applyBorder="1"/>
    <xf numFmtId="0" fontId="25" fillId="0" borderId="33" xfId="0" applyFont="1" applyBorder="1"/>
    <xf numFmtId="0" fontId="25" fillId="0" borderId="1" xfId="0" applyFont="1" applyBorder="1"/>
    <xf numFmtId="0" fontId="25" fillId="0" borderId="5" xfId="0" applyFont="1" applyBorder="1"/>
    <xf numFmtId="0" fontId="7" fillId="2" borderId="0" xfId="1" applyFont="1" applyFill="1"/>
    <xf numFmtId="14" fontId="7" fillId="2" borderId="0" xfId="1" applyNumberFormat="1" applyFont="1" applyFill="1"/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7" fillId="0" borderId="4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0" fontId="7" fillId="0" borderId="5" xfId="1" applyFont="1" applyBorder="1" applyAlignment="1" applyProtection="1">
      <alignment horizontal="center" vertical="top"/>
      <protection locked="0"/>
    </xf>
    <xf numFmtId="1" fontId="6" fillId="0" borderId="3" xfId="0" applyNumberFormat="1" applyFont="1" applyBorder="1" applyAlignment="1" applyProtection="1">
      <alignment horizontal="center" vertical="center"/>
      <protection locked="0"/>
    </xf>
    <xf numFmtId="1" fontId="6" fillId="0" borderId="18" xfId="0" applyNumberFormat="1" applyFont="1" applyBorder="1" applyAlignment="1" applyProtection="1">
      <alignment horizontal="center" vertical="center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23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3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2" xfId="1" applyNumberFormat="1" applyFont="1" applyBorder="1" applyAlignment="1" applyProtection="1">
      <alignment horizontal="center" vertical="center" wrapText="1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0" fontId="10" fillId="0" borderId="4" xfId="1" applyFont="1" applyBorder="1" applyAlignment="1" applyProtection="1">
      <alignment horizontal="left" vertical="top"/>
      <protection locked="0"/>
    </xf>
    <xf numFmtId="0" fontId="10" fillId="0" borderId="1" xfId="1" applyFont="1" applyBorder="1" applyAlignment="1" applyProtection="1">
      <alignment horizontal="left"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27" xfId="1" applyNumberFormat="1" applyFont="1" applyBorder="1" applyAlignment="1" applyProtection="1">
      <alignment horizontal="center" vertical="center" wrapText="1"/>
      <protection locked="0"/>
    </xf>
    <xf numFmtId="1" fontId="6" fillId="0" borderId="28" xfId="1" applyNumberFormat="1" applyFont="1" applyBorder="1" applyAlignment="1" applyProtection="1">
      <alignment horizontal="center" vertical="center" wrapText="1"/>
      <protection locked="0"/>
    </xf>
    <xf numFmtId="1" fontId="6" fillId="0" borderId="0" xfId="1" applyNumberFormat="1" applyFont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0" fontId="8" fillId="0" borderId="1" xfId="1" applyFont="1" applyBorder="1" applyAlignment="1" applyProtection="1">
      <alignment horizontal="center" vertical="top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3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0" fontId="12" fillId="0" borderId="8" xfId="1" applyFont="1" applyBorder="1" applyAlignment="1" applyProtection="1">
      <alignment horizontal="left" vertical="top"/>
      <protection locked="0"/>
    </xf>
    <xf numFmtId="0" fontId="12" fillId="0" borderId="23" xfId="1" applyFont="1" applyBorder="1" applyAlignment="1" applyProtection="1">
      <alignment horizontal="left" vertical="top"/>
      <protection locked="0"/>
    </xf>
    <xf numFmtId="0" fontId="12" fillId="0" borderId="9" xfId="1" applyFont="1" applyBorder="1" applyAlignment="1" applyProtection="1">
      <alignment horizontal="left" vertical="top"/>
      <protection locked="0"/>
    </xf>
    <xf numFmtId="9" fontId="7" fillId="0" borderId="19" xfId="8" applyFont="1" applyFill="1" applyBorder="1" applyAlignment="1" applyProtection="1">
      <alignment horizontal="center" vertical="center" wrapText="1"/>
      <protection locked="0"/>
    </xf>
    <xf numFmtId="9" fontId="7" fillId="0" borderId="29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9" fontId="7" fillId="0" borderId="30" xfId="8" applyFont="1" applyFill="1" applyBorder="1" applyAlignment="1" applyProtection="1">
      <alignment horizontal="center" vertical="center" wrapText="1"/>
      <protection locked="0"/>
    </xf>
    <xf numFmtId="9" fontId="7" fillId="0" borderId="14" xfId="8" applyFont="1" applyFill="1" applyBorder="1" applyAlignment="1" applyProtection="1">
      <alignment horizontal="center" vertical="center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1" applyFont="1" applyBorder="1" applyAlignment="1" applyProtection="1">
      <alignment horizontal="left" vertical="top" wrapText="1"/>
      <protection locked="0"/>
    </xf>
    <xf numFmtId="0" fontId="10" fillId="0" borderId="5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8" fillId="0" borderId="18" xfId="1" applyFont="1" applyBorder="1" applyAlignment="1" applyProtection="1">
      <alignment horizontal="left" vertical="top"/>
      <protection locked="0"/>
    </xf>
    <xf numFmtId="0" fontId="8" fillId="0" borderId="18" xfId="1" applyFont="1" applyBorder="1" applyAlignment="1" applyProtection="1">
      <alignment horizontal="center" vertical="top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3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1" xfId="1" applyNumberFormat="1" applyFont="1" applyBorder="1" applyAlignment="1" applyProtection="1">
      <alignment horizontal="center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8" fillId="0" borderId="22" xfId="1" applyNumberFormat="1" applyFont="1" applyBorder="1" applyAlignment="1" applyProtection="1">
      <alignment horizontal="center" vertical="top" wrapText="1"/>
      <protection locked="0"/>
    </xf>
    <xf numFmtId="9" fontId="7" fillId="0" borderId="20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31" xfId="8" applyFont="1" applyFill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9" fontId="12" fillId="0" borderId="19" xfId="8" applyFont="1" applyFill="1" applyBorder="1" applyAlignment="1" applyProtection="1">
      <alignment horizontal="center" vertical="center" wrapText="1"/>
      <protection locked="0"/>
    </xf>
    <xf numFmtId="9" fontId="12" fillId="0" borderId="20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30" xfId="8" applyFont="1" applyFill="1" applyBorder="1" applyAlignment="1" applyProtection="1">
      <alignment horizontal="center" vertical="center" wrapText="1"/>
      <protection locked="0"/>
    </xf>
    <xf numFmtId="9" fontId="12" fillId="0" borderId="31" xfId="8" applyFont="1" applyFill="1" applyBorder="1" applyAlignment="1" applyProtection="1">
      <alignment horizontal="center" vertical="center" wrapText="1"/>
      <protection locked="0"/>
    </xf>
    <xf numFmtId="9" fontId="12" fillId="0" borderId="29" xfId="8" applyFont="1" applyFill="1" applyBorder="1" applyAlignment="1" applyProtection="1">
      <alignment horizontal="center" vertical="center" wrapText="1"/>
      <protection locked="0"/>
    </xf>
    <xf numFmtId="9" fontId="12" fillId="0" borderId="12" xfId="8" applyFont="1" applyFill="1" applyBorder="1" applyAlignment="1" applyProtection="1">
      <alignment horizontal="center" vertical="center" wrapText="1"/>
      <protection locked="0"/>
    </xf>
    <xf numFmtId="9" fontId="12" fillId="0" borderId="14" xfId="8" applyFont="1" applyFill="1" applyBorder="1" applyAlignment="1" applyProtection="1">
      <alignment horizontal="center" vertical="center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26" fillId="0" borderId="8" xfId="10" applyFill="1" applyBorder="1" applyAlignment="1" applyProtection="1">
      <alignment horizontal="left"/>
      <protection locked="0"/>
    </xf>
    <xf numFmtId="0" fontId="7" fillId="0" borderId="23" xfId="1" applyFont="1" applyBorder="1" applyAlignment="1" applyProtection="1">
      <alignment horizontal="left"/>
      <protection locked="0"/>
    </xf>
    <xf numFmtId="0" fontId="7" fillId="0" borderId="9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" fontId="12" fillId="0" borderId="1" xfId="1" applyNumberFormat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6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0" fontId="6" fillId="0" borderId="22" xfId="1" applyFont="1" applyBorder="1" applyAlignment="1" applyProtection="1">
      <alignment horizontal="left" vertical="top" wrapText="1"/>
      <protection locked="0"/>
    </xf>
    <xf numFmtId="14" fontId="6" fillId="0" borderId="9" xfId="1" applyNumberFormat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24" xfId="1" applyFont="1" applyBorder="1" applyAlignment="1" applyProtection="1">
      <alignment horizontal="left" vertical="top" wrapText="1"/>
      <protection locked="0"/>
    </xf>
    <xf numFmtId="0" fontId="13" fillId="0" borderId="17" xfId="1" applyFont="1" applyBorder="1" applyAlignment="1" applyProtection="1">
      <alignment horizontal="left" vertical="top" wrapText="1"/>
      <protection locked="0"/>
    </xf>
    <xf numFmtId="0" fontId="13" fillId="0" borderId="15" xfId="1" applyFont="1" applyBorder="1" applyAlignment="1" applyProtection="1">
      <alignment horizontal="left" vertical="top" wrapText="1"/>
      <protection locked="0"/>
    </xf>
    <xf numFmtId="0" fontId="13" fillId="0" borderId="16" xfId="1" applyFont="1" applyBorder="1" applyAlignment="1" applyProtection="1">
      <alignment horizontal="left" vertical="top" wrapText="1"/>
      <protection locked="0"/>
    </xf>
    <xf numFmtId="0" fontId="13" fillId="0" borderId="25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3" fillId="0" borderId="1" xfId="0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2" fillId="0" borderId="27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/>
      <protection locked="0"/>
    </xf>
    <xf numFmtId="0" fontId="12" fillId="0" borderId="26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/>
      <protection locked="0"/>
    </xf>
    <xf numFmtId="0" fontId="12" fillId="0" borderId="27" xfId="1" applyFont="1" applyBorder="1" applyAlignment="1" applyProtection="1">
      <alignment horizontal="left" vertical="top"/>
      <protection locked="0"/>
    </xf>
    <xf numFmtId="0" fontId="12" fillId="0" borderId="0" xfId="1" applyFont="1" applyAlignment="1" applyProtection="1">
      <alignment horizontal="left" vertical="top"/>
      <protection locked="0"/>
    </xf>
    <xf numFmtId="0" fontId="12" fillId="0" borderId="28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23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10" fillId="0" borderId="24" xfId="1" applyFont="1" applyBorder="1" applyAlignment="1" applyProtection="1">
      <alignment horizontal="left" vertical="top" wrapText="1"/>
      <protection locked="0"/>
    </xf>
    <xf numFmtId="0" fontId="10" fillId="0" borderId="17" xfId="1" applyFont="1" applyBorder="1" applyAlignment="1" applyProtection="1">
      <alignment horizontal="left" vertical="top" wrapText="1"/>
      <protection locked="0"/>
    </xf>
    <xf numFmtId="0" fontId="10" fillId="0" borderId="15" xfId="1" applyFont="1" applyBorder="1" applyAlignment="1" applyProtection="1">
      <alignment horizontal="left" vertical="top" wrapText="1"/>
      <protection locked="0"/>
    </xf>
    <xf numFmtId="0" fontId="10" fillId="0" borderId="16" xfId="1" applyFont="1" applyBorder="1" applyAlignment="1" applyProtection="1">
      <alignment horizontal="left" vertical="top" wrapText="1"/>
      <protection locked="0"/>
    </xf>
    <xf numFmtId="0" fontId="10" fillId="0" borderId="25" xfId="1" applyFont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9.png"/><Relationship Id="rId1" Type="http://schemas.openxmlformats.org/officeDocument/2006/relationships/image" Target="../media/image28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7.png"/><Relationship Id="rId1" Type="http://schemas.openxmlformats.org/officeDocument/2006/relationships/image" Target="../media/image2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446</xdr:row>
      <xdr:rowOff>150914</xdr:rowOff>
    </xdr:from>
    <xdr:to>
      <xdr:col>6</xdr:col>
      <xdr:colOff>661179</xdr:colOff>
      <xdr:row>464</xdr:row>
      <xdr:rowOff>87294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38225" y="87180839"/>
          <a:ext cx="4899804" cy="353683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514350</xdr:colOff>
      <xdr:row>428</xdr:row>
      <xdr:rowOff>9525</xdr:rowOff>
    </xdr:from>
    <xdr:to>
      <xdr:col>7</xdr:col>
      <xdr:colOff>533400</xdr:colOff>
      <xdr:row>446</xdr:row>
      <xdr:rowOff>9076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14350" y="81219675"/>
          <a:ext cx="6134100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4</xdr:col>
      <xdr:colOff>326565</xdr:colOff>
      <xdr:row>434</xdr:row>
      <xdr:rowOff>138025</xdr:rowOff>
    </xdr:from>
    <xdr:to>
      <xdr:col>5</xdr:col>
      <xdr:colOff>273713</xdr:colOff>
      <xdr:row>444</xdr:row>
      <xdr:rowOff>55065</xdr:rowOff>
    </xdr:to>
    <xdr:sp macro="" textlink="">
      <xdr:nvSpPr>
        <xdr:cNvPr id="20" name="TextBox 2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/>
      </xdr:nvSpPr>
      <xdr:spPr>
        <a:xfrm rot="1102230">
          <a:off x="3927015" y="82548325"/>
          <a:ext cx="785348" cy="1917290"/>
        </a:xfrm>
        <a:prstGeom prst="rect">
          <a:avLst/>
        </a:prstGeom>
        <a:noFill/>
        <a:ln w="38100">
          <a:solidFill>
            <a:schemeClr val="accent4">
              <a:lumMod val="60000"/>
              <a:lumOff val="40000"/>
            </a:schemeClr>
          </a:solidFill>
        </a:ln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N"/>
        </a:p>
      </xdr:txBody>
    </xdr:sp>
    <xdr:clientData/>
  </xdr:twoCellAnchor>
  <xdr:twoCellAnchor>
    <xdr:from>
      <xdr:col>3</xdr:col>
      <xdr:colOff>555332</xdr:colOff>
      <xdr:row>433</xdr:row>
      <xdr:rowOff>52003</xdr:rowOff>
    </xdr:from>
    <xdr:to>
      <xdr:col>4</xdr:col>
      <xdr:colOff>411555</xdr:colOff>
      <xdr:row>441</xdr:row>
      <xdr:rowOff>141396</xdr:rowOff>
    </xdr:to>
    <xdr:sp macro="" textlink="">
      <xdr:nvSpPr>
        <xdr:cNvPr id="21" name="TextBox 3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/>
      </xdr:nvSpPr>
      <xdr:spPr>
        <a:xfrm rot="1102230">
          <a:off x="3146132" y="82262278"/>
          <a:ext cx="865873" cy="1689593"/>
        </a:xfrm>
        <a:prstGeom prst="rect">
          <a:avLst/>
        </a:prstGeom>
        <a:noFill/>
        <a:ln w="38100">
          <a:solidFill>
            <a:schemeClr val="accent6">
              <a:lumMod val="75000"/>
            </a:schemeClr>
          </a:solidFill>
        </a:ln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N"/>
        </a:p>
      </xdr:txBody>
    </xdr:sp>
    <xdr:clientData/>
  </xdr:twoCellAnchor>
  <xdr:twoCellAnchor>
    <xdr:from>
      <xdr:col>3</xdr:col>
      <xdr:colOff>528846</xdr:colOff>
      <xdr:row>431</xdr:row>
      <xdr:rowOff>14708</xdr:rowOff>
    </xdr:from>
    <xdr:to>
      <xdr:col>4</xdr:col>
      <xdr:colOff>644768</xdr:colOff>
      <xdr:row>432</xdr:row>
      <xdr:rowOff>191022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/>
      </xdr:nvSpPr>
      <xdr:spPr>
        <a:xfrm>
          <a:off x="2939404" y="79467862"/>
          <a:ext cx="1061095" cy="374141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B Wing </a:t>
          </a:r>
        </a:p>
      </xdr:txBody>
    </xdr:sp>
    <xdr:clientData/>
  </xdr:twoCellAnchor>
  <xdr:twoCellAnchor>
    <xdr:from>
      <xdr:col>4</xdr:col>
      <xdr:colOff>719238</xdr:colOff>
      <xdr:row>433</xdr:row>
      <xdr:rowOff>78482</xdr:rowOff>
    </xdr:from>
    <xdr:to>
      <xdr:col>6</xdr:col>
      <xdr:colOff>161192</xdr:colOff>
      <xdr:row>435</xdr:row>
      <xdr:rowOff>56969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/>
      </xdr:nvSpPr>
      <xdr:spPr>
        <a:xfrm>
          <a:off x="4074969" y="79927290"/>
          <a:ext cx="1009915" cy="374141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C Wing </a:t>
          </a:r>
        </a:p>
      </xdr:txBody>
    </xdr:sp>
    <xdr:clientData/>
  </xdr:twoCellAnchor>
  <xdr:twoCellAnchor>
    <xdr:from>
      <xdr:col>8</xdr:col>
      <xdr:colOff>880714</xdr:colOff>
      <xdr:row>384</xdr:row>
      <xdr:rowOff>140969</xdr:rowOff>
    </xdr:from>
    <xdr:to>
      <xdr:col>16</xdr:col>
      <xdr:colOff>291465</xdr:colOff>
      <xdr:row>425</xdr:row>
      <xdr:rowOff>0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GrpSpPr/>
      </xdr:nvGrpSpPr>
      <xdr:grpSpPr>
        <a:xfrm>
          <a:off x="7405339" y="75979019"/>
          <a:ext cx="5906801" cy="8050531"/>
          <a:chOff x="274924" y="76085699"/>
          <a:chExt cx="5944901" cy="8236950"/>
        </a:xfrm>
      </xdr:grpSpPr>
      <xdr:pic>
        <xdr:nvPicPr>
          <xdr:cNvPr id="18" name="Picture 17" descr="https://vsjcllp.vsjadon.com/upload/insp-220639-1525.jpg">
            <a:extLst>
              <a:ext uri="{FF2B5EF4-FFF2-40B4-BE49-F238E27FC236}">
                <a16:creationId xmlns:a16="http://schemas.microsoft.com/office/drawing/2014/main" xmlns="" id="{00000000-0008-0000-0000-00001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181350" y="82733494"/>
            <a:ext cx="1190625" cy="158915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0" name="Picture 29" descr="https://vsjcllp.vsjadon.com/upload/insp-220639-849.jpg">
            <a:extLst>
              <a:ext uri="{FF2B5EF4-FFF2-40B4-BE49-F238E27FC236}">
                <a16:creationId xmlns:a16="http://schemas.microsoft.com/office/drawing/2014/main" xmlns="" id="{00000000-0008-0000-0000-00001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303749" y="80067149"/>
            <a:ext cx="1933940" cy="258127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2" name="Picture 31" descr="https://vsjcllp.vsjadon.com/upload/insp-220639-871.jpg">
            <a:extLst>
              <a:ext uri="{FF2B5EF4-FFF2-40B4-BE49-F238E27FC236}">
                <a16:creationId xmlns:a16="http://schemas.microsoft.com/office/drawing/2014/main" xmlns="" id="{00000000-0008-0000-0000-00002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74924" y="80067149"/>
            <a:ext cx="1933940" cy="258127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4" name="Picture 33" descr="https://vsjcllp.vsjadon.com/upload/insp-220639-1512.jpg">
            <a:extLst>
              <a:ext uri="{FF2B5EF4-FFF2-40B4-BE49-F238E27FC236}">
                <a16:creationId xmlns:a16="http://schemas.microsoft.com/office/drawing/2014/main" xmlns="" id="{00000000-0008-0000-0000-00002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895474" y="82734150"/>
            <a:ext cx="1189689" cy="158790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5" name="Group 4">
            <a:extLst>
              <a:ext uri="{FF2B5EF4-FFF2-40B4-BE49-F238E27FC236}">
                <a16:creationId xmlns:a16="http://schemas.microsoft.com/office/drawing/2014/main" xmlns="" id="{00000000-0008-0000-0000-000005000000}"/>
              </a:ext>
            </a:extLst>
          </xdr:cNvPr>
          <xdr:cNvGrpSpPr/>
        </xdr:nvGrpSpPr>
        <xdr:grpSpPr>
          <a:xfrm>
            <a:off x="285750" y="76085699"/>
            <a:ext cx="2914650" cy="3890251"/>
            <a:chOff x="285750" y="76085699"/>
            <a:chExt cx="2914650" cy="3890251"/>
          </a:xfrm>
        </xdr:grpSpPr>
        <xdr:pic>
          <xdr:nvPicPr>
            <xdr:cNvPr id="31" name="Picture 30" descr="https://vsjcllp.vsjadon.com/upload/insp-220639-861.jpg">
              <a:extLst>
                <a:ext uri="{FF2B5EF4-FFF2-40B4-BE49-F238E27FC236}">
                  <a16:creationId xmlns:a16="http://schemas.microsoft.com/office/drawing/2014/main" xmlns="" id="{00000000-0008-0000-0000-00001F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85750" y="76085699"/>
              <a:ext cx="2914650" cy="3890251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36" name="TextBox 35">
              <a:extLst>
                <a:ext uri="{FF2B5EF4-FFF2-40B4-BE49-F238E27FC236}">
                  <a16:creationId xmlns:a16="http://schemas.microsoft.com/office/drawing/2014/main" xmlns="" id="{00000000-0008-0000-0000-000024000000}"/>
                </a:ext>
              </a:extLst>
            </xdr:cNvPr>
            <xdr:cNvSpPr txBox="1"/>
          </xdr:nvSpPr>
          <xdr:spPr>
            <a:xfrm>
              <a:off x="323850" y="76504799"/>
              <a:ext cx="892175" cy="39052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IN" sz="1600" b="1">
                  <a:solidFill>
                    <a:srgbClr val="FF0000"/>
                  </a:solidFill>
                </a:rPr>
                <a:t>Wing B</a:t>
              </a:r>
            </a:p>
          </xdr:txBody>
        </xdr:sp>
      </xdr:grpSp>
      <xdr:grpSp>
        <xdr:nvGrpSpPr>
          <xdr:cNvPr id="4" name="Group 3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GrpSpPr/>
        </xdr:nvGrpSpPr>
        <xdr:grpSpPr>
          <a:xfrm>
            <a:off x="3305175" y="76085699"/>
            <a:ext cx="2914650" cy="3890251"/>
            <a:chOff x="3305175" y="76085699"/>
            <a:chExt cx="2914650" cy="3890251"/>
          </a:xfrm>
        </xdr:grpSpPr>
        <xdr:pic>
          <xdr:nvPicPr>
            <xdr:cNvPr id="35" name="Picture 34" descr="https://vsjcllp.vsjadon.com/upload/insp-220639-928.jpg">
              <a:extLst>
                <a:ext uri="{FF2B5EF4-FFF2-40B4-BE49-F238E27FC236}">
                  <a16:creationId xmlns:a16="http://schemas.microsoft.com/office/drawing/2014/main" xmlns="" id="{00000000-0008-0000-0000-000023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305175" y="76085699"/>
              <a:ext cx="2914650" cy="3890251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37" name="TextBox 36">
              <a:extLst>
                <a:ext uri="{FF2B5EF4-FFF2-40B4-BE49-F238E27FC236}">
                  <a16:creationId xmlns:a16="http://schemas.microsoft.com/office/drawing/2014/main" xmlns="" id="{00000000-0008-0000-0000-000025000000}"/>
                </a:ext>
              </a:extLst>
            </xdr:cNvPr>
            <xdr:cNvSpPr txBox="1"/>
          </xdr:nvSpPr>
          <xdr:spPr>
            <a:xfrm>
              <a:off x="5191125" y="76180949"/>
              <a:ext cx="892175" cy="39052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IN" sz="1600" b="1">
                  <a:solidFill>
                    <a:srgbClr val="FF0000"/>
                  </a:solidFill>
                </a:rPr>
                <a:t>Wing C</a:t>
              </a:r>
            </a:p>
          </xdr:txBody>
        </xdr:sp>
      </xdr:grpSp>
    </xdr:grpSp>
    <xdr:clientData/>
  </xdr:twoCellAnchor>
  <xdr:twoCellAnchor editAs="oneCell">
    <xdr:from>
      <xdr:col>13</xdr:col>
      <xdr:colOff>737235</xdr:colOff>
      <xdr:row>404</xdr:row>
      <xdr:rowOff>131444</xdr:rowOff>
    </xdr:from>
    <xdr:to>
      <xdr:col>16</xdr:col>
      <xdr:colOff>369935</xdr:colOff>
      <xdr:row>417</xdr:row>
      <xdr:rowOff>114299</xdr:rowOff>
    </xdr:to>
    <xdr:pic>
      <xdr:nvPicPr>
        <xdr:cNvPr id="38" name="Picture 37" descr="https://vsjcllp.vsjadon.com/upload/insp-220639-851.jpg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778615" y="79105124"/>
          <a:ext cx="1972040" cy="2558415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882015</xdr:colOff>
      <xdr:row>384</xdr:row>
      <xdr:rowOff>30480</xdr:rowOff>
    </xdr:from>
    <xdr:to>
      <xdr:col>16</xdr:col>
      <xdr:colOff>261812</xdr:colOff>
      <xdr:row>421</xdr:row>
      <xdr:rowOff>164297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xmlns="" id="{3C2224D3-4BEF-CDB3-D323-5D3E60C66A39}"/>
            </a:ext>
          </a:extLst>
        </xdr:cNvPr>
        <xdr:cNvGrpSpPr/>
      </xdr:nvGrpSpPr>
      <xdr:grpSpPr>
        <a:xfrm>
          <a:off x="7406640" y="75868530"/>
          <a:ext cx="5875847" cy="7525217"/>
          <a:chOff x="222234" y="270748"/>
          <a:chExt cx="6024437" cy="7454732"/>
        </a:xfrm>
      </xdr:grpSpPr>
      <xdr:pic>
        <xdr:nvPicPr>
          <xdr:cNvPr id="8" name="Picture 7">
            <a:extLst>
              <a:ext uri="{FF2B5EF4-FFF2-40B4-BE49-F238E27FC236}">
                <a16:creationId xmlns:a16="http://schemas.microsoft.com/office/drawing/2014/main" xmlns="" id="{0F8F2530-6985-47BA-CB8D-019B1547A4A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290437" y="3017520"/>
            <a:ext cx="1888031" cy="2520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</xdr:pic>
      <xdr:pic>
        <xdr:nvPicPr>
          <xdr:cNvPr id="9" name="Picture 8">
            <a:extLst>
              <a:ext uri="{FF2B5EF4-FFF2-40B4-BE49-F238E27FC236}">
                <a16:creationId xmlns:a16="http://schemas.microsoft.com/office/drawing/2014/main" xmlns="" id="{DBA67103-D9BA-AB43-777F-B8AEDA088FF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492725" y="5745480"/>
            <a:ext cx="1483453" cy="1980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</xdr:pic>
      <xdr:pic>
        <xdr:nvPicPr>
          <xdr:cNvPr id="10" name="Picture 9">
            <a:extLst>
              <a:ext uri="{FF2B5EF4-FFF2-40B4-BE49-F238E27FC236}">
                <a16:creationId xmlns:a16="http://schemas.microsoft.com/office/drawing/2014/main" xmlns="" id="{15FA9453-FD71-2C26-77A4-1FC7CC684CA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22234" y="289560"/>
            <a:ext cx="1888031" cy="2520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</xdr:pic>
      <xdr:pic>
        <xdr:nvPicPr>
          <xdr:cNvPr id="11" name="Picture 10">
            <a:extLst>
              <a:ext uri="{FF2B5EF4-FFF2-40B4-BE49-F238E27FC236}">
                <a16:creationId xmlns:a16="http://schemas.microsoft.com/office/drawing/2014/main" xmlns="" id="{56853B95-A379-FD68-30F3-255A63150EA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22234" y="3017520"/>
            <a:ext cx="1888031" cy="2520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</xdr:pic>
      <xdr:pic>
        <xdr:nvPicPr>
          <xdr:cNvPr id="12" name="Picture 11">
            <a:extLst>
              <a:ext uri="{FF2B5EF4-FFF2-40B4-BE49-F238E27FC236}">
                <a16:creationId xmlns:a16="http://schemas.microsoft.com/office/drawing/2014/main" xmlns="" id="{0D595483-E413-5CFE-11F1-C7AEA34913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290437" y="289560"/>
            <a:ext cx="1888031" cy="2520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</xdr:pic>
      <xdr:pic>
        <xdr:nvPicPr>
          <xdr:cNvPr id="13" name="Picture 12">
            <a:extLst>
              <a:ext uri="{FF2B5EF4-FFF2-40B4-BE49-F238E27FC236}">
                <a16:creationId xmlns:a16="http://schemas.microsoft.com/office/drawing/2014/main" xmlns="" id="{58F7CBE1-F73F-B046-B7D9-DBAB2198B85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58639" y="289560"/>
            <a:ext cx="1888031" cy="2520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</xdr:pic>
      <xdr:pic>
        <xdr:nvPicPr>
          <xdr:cNvPr id="14" name="Picture 13">
            <a:extLst>
              <a:ext uri="{FF2B5EF4-FFF2-40B4-BE49-F238E27FC236}">
                <a16:creationId xmlns:a16="http://schemas.microsoft.com/office/drawing/2014/main" xmlns="" id="{479B5862-8FA9-2384-33A2-5A53FE41B0E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58640" y="2997360"/>
            <a:ext cx="1888031" cy="2520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</xdr:pic>
      <xdr:pic>
        <xdr:nvPicPr>
          <xdr:cNvPr id="15" name="Picture 14">
            <a:extLst>
              <a:ext uri="{FF2B5EF4-FFF2-40B4-BE49-F238E27FC236}">
                <a16:creationId xmlns:a16="http://schemas.microsoft.com/office/drawing/2014/main" xmlns="" id="{C7C7721D-C9DE-097A-009A-921BF84A929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06984" y="5745480"/>
            <a:ext cx="1483453" cy="1980000"/>
          </a:xfrm>
          <a:prstGeom prst="rect">
            <a:avLst/>
          </a:prstGeom>
          <a:solidFill>
            <a:schemeClr val="tx1"/>
          </a:solidFill>
        </xdr:spPr>
      </xdr:pic>
      <xdr:pic>
        <xdr:nvPicPr>
          <xdr:cNvPr id="16" name="Picture 15">
            <a:extLst>
              <a:ext uri="{FF2B5EF4-FFF2-40B4-BE49-F238E27FC236}">
                <a16:creationId xmlns:a16="http://schemas.microsoft.com/office/drawing/2014/main" xmlns="" id="{BC2DF0E1-7404-B178-C80E-ED97101921F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178466" y="5705160"/>
            <a:ext cx="1483453" cy="1980000"/>
          </a:xfrm>
          <a:prstGeom prst="rect">
            <a:avLst/>
          </a:prstGeom>
          <a:solidFill>
            <a:schemeClr val="tx1"/>
          </a:solidFill>
        </xdr:spPr>
      </xdr:pic>
      <xdr:sp macro="" textlink="">
        <xdr:nvSpPr>
          <xdr:cNvPr id="17" name="TextBox 27">
            <a:extLst>
              <a:ext uri="{FF2B5EF4-FFF2-40B4-BE49-F238E27FC236}">
                <a16:creationId xmlns:a16="http://schemas.microsoft.com/office/drawing/2014/main" xmlns="" id="{300CC5F9-0367-EF06-05DA-9DFD9F0061CB}"/>
              </a:ext>
            </a:extLst>
          </xdr:cNvPr>
          <xdr:cNvSpPr txBox="1"/>
        </xdr:nvSpPr>
        <xdr:spPr>
          <a:xfrm>
            <a:off x="333549" y="640080"/>
            <a:ext cx="314510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B</a:t>
            </a:r>
          </a:p>
        </xdr:txBody>
      </xdr:sp>
      <xdr:sp macro="" textlink="">
        <xdr:nvSpPr>
          <xdr:cNvPr id="33" name="TextBox 28">
            <a:extLst>
              <a:ext uri="{FF2B5EF4-FFF2-40B4-BE49-F238E27FC236}">
                <a16:creationId xmlns:a16="http://schemas.microsoft.com/office/drawing/2014/main" xmlns="" id="{2F474A37-2AC3-011B-7962-4F823CD6C160}"/>
              </a:ext>
            </a:extLst>
          </xdr:cNvPr>
          <xdr:cNvSpPr txBox="1"/>
        </xdr:nvSpPr>
        <xdr:spPr>
          <a:xfrm>
            <a:off x="1395463" y="2965532"/>
            <a:ext cx="306494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C</a:t>
            </a:r>
          </a:p>
        </xdr:txBody>
      </xdr:sp>
      <xdr:sp macro="" textlink="">
        <xdr:nvSpPr>
          <xdr:cNvPr id="39" name="TextBox 29">
            <a:extLst>
              <a:ext uri="{FF2B5EF4-FFF2-40B4-BE49-F238E27FC236}">
                <a16:creationId xmlns:a16="http://schemas.microsoft.com/office/drawing/2014/main" xmlns="" id="{DF568F56-F263-E5CC-D09A-45EF2382D086}"/>
              </a:ext>
            </a:extLst>
          </xdr:cNvPr>
          <xdr:cNvSpPr txBox="1"/>
        </xdr:nvSpPr>
        <xdr:spPr>
          <a:xfrm>
            <a:off x="2364458" y="270748"/>
            <a:ext cx="314510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B</a:t>
            </a:r>
          </a:p>
        </xdr:txBody>
      </xdr:sp>
      <xdr:sp macro="" textlink="">
        <xdr:nvSpPr>
          <xdr:cNvPr id="43" name="TextBox 30">
            <a:extLst>
              <a:ext uri="{FF2B5EF4-FFF2-40B4-BE49-F238E27FC236}">
                <a16:creationId xmlns:a16="http://schemas.microsoft.com/office/drawing/2014/main" xmlns="" id="{88A39998-0ADB-8E74-6CEC-39131EF0108D}"/>
              </a:ext>
            </a:extLst>
          </xdr:cNvPr>
          <xdr:cNvSpPr txBox="1"/>
        </xdr:nvSpPr>
        <xdr:spPr>
          <a:xfrm>
            <a:off x="4861048" y="304800"/>
            <a:ext cx="314510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B</a:t>
            </a:r>
          </a:p>
        </xdr:txBody>
      </xdr:sp>
      <xdr:sp macro="" textlink="">
        <xdr:nvSpPr>
          <xdr:cNvPr id="44" name="TextBox 31">
            <a:extLst>
              <a:ext uri="{FF2B5EF4-FFF2-40B4-BE49-F238E27FC236}">
                <a16:creationId xmlns:a16="http://schemas.microsoft.com/office/drawing/2014/main" xmlns="" id="{475363FE-6E46-0117-0A35-56E1AFF26B9F}"/>
              </a:ext>
            </a:extLst>
          </xdr:cNvPr>
          <xdr:cNvSpPr txBox="1"/>
        </xdr:nvSpPr>
        <xdr:spPr>
          <a:xfrm>
            <a:off x="3377510" y="3401224"/>
            <a:ext cx="306494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C</a:t>
            </a:r>
          </a:p>
        </xdr:txBody>
      </xdr:sp>
    </xdr:grpSp>
    <xdr:clientData/>
  </xdr:twoCellAnchor>
  <xdr:twoCellAnchor>
    <xdr:from>
      <xdr:col>0</xdr:col>
      <xdr:colOff>457200</xdr:colOff>
      <xdr:row>385</xdr:row>
      <xdr:rowOff>190500</xdr:rowOff>
    </xdr:from>
    <xdr:to>
      <xdr:col>7</xdr:col>
      <xdr:colOff>321190</xdr:colOff>
      <xdr:row>423</xdr:row>
      <xdr:rowOff>152400</xdr:rowOff>
    </xdr:to>
    <xdr:grpSp>
      <xdr:nvGrpSpPr>
        <xdr:cNvPr id="40" name="Group 39">
          <a:extLst>
            <a:ext uri="{FF2B5EF4-FFF2-40B4-BE49-F238E27FC236}">
              <a16:creationId xmlns:a16="http://schemas.microsoft.com/office/drawing/2014/main" xmlns="" id="{509D1D6A-8E2F-4EB7-9002-40190DF340FE}"/>
            </a:ext>
          </a:extLst>
        </xdr:cNvPr>
        <xdr:cNvGrpSpPr/>
      </xdr:nvGrpSpPr>
      <xdr:grpSpPr>
        <a:xfrm>
          <a:off x="457200" y="76228575"/>
          <a:ext cx="5559940" cy="7553325"/>
          <a:chOff x="649031" y="400050"/>
          <a:chExt cx="5559940" cy="8203292"/>
        </a:xfrm>
      </xdr:grpSpPr>
      <xdr:grpSp>
        <xdr:nvGrpSpPr>
          <xdr:cNvPr id="41" name="Group 40">
            <a:extLst>
              <a:ext uri="{FF2B5EF4-FFF2-40B4-BE49-F238E27FC236}">
                <a16:creationId xmlns:a16="http://schemas.microsoft.com/office/drawing/2014/main" xmlns="" id="{C44BA6E0-CC96-4030-BF6D-20F591B07050}"/>
              </a:ext>
            </a:extLst>
          </xdr:cNvPr>
          <xdr:cNvGrpSpPr/>
        </xdr:nvGrpSpPr>
        <xdr:grpSpPr>
          <a:xfrm>
            <a:off x="649031" y="400050"/>
            <a:ext cx="5559940" cy="8203292"/>
            <a:chOff x="649031" y="400050"/>
            <a:chExt cx="5559940" cy="8203292"/>
          </a:xfrm>
        </xdr:grpSpPr>
        <xdr:pic>
          <xdr:nvPicPr>
            <xdr:cNvPr id="48" name="Picture 47">
              <a:extLst>
                <a:ext uri="{FF2B5EF4-FFF2-40B4-BE49-F238E27FC236}">
                  <a16:creationId xmlns:a16="http://schemas.microsoft.com/office/drawing/2014/main" xmlns="" id="{95091F1C-0944-4D75-A305-3E671E452E2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9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649031" y="400050"/>
              <a:ext cx="2697187" cy="36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9" name="Picture 48">
              <a:extLst>
                <a:ext uri="{FF2B5EF4-FFF2-40B4-BE49-F238E27FC236}">
                  <a16:creationId xmlns:a16="http://schemas.microsoft.com/office/drawing/2014/main" xmlns="" id="{0DB22791-D866-4EC3-9E22-BF29DF89CC2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0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511784" y="400050"/>
              <a:ext cx="2697187" cy="36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0" name="Picture 49">
              <a:extLst>
                <a:ext uri="{FF2B5EF4-FFF2-40B4-BE49-F238E27FC236}">
                  <a16:creationId xmlns:a16="http://schemas.microsoft.com/office/drawing/2014/main" xmlns="" id="{937A9CF4-7CD0-46C8-87C2-6946CC1815C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1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672971" y="4141696"/>
              <a:ext cx="1753171" cy="23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1" name="Picture 50">
              <a:extLst>
                <a:ext uri="{FF2B5EF4-FFF2-40B4-BE49-F238E27FC236}">
                  <a16:creationId xmlns:a16="http://schemas.microsoft.com/office/drawing/2014/main" xmlns="" id="{7DC96217-FFFD-457F-8A54-4668ED1456B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2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541348" y="4141696"/>
              <a:ext cx="1753172" cy="23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2" name="Picture 51">
              <a:extLst>
                <a:ext uri="{FF2B5EF4-FFF2-40B4-BE49-F238E27FC236}">
                  <a16:creationId xmlns:a16="http://schemas.microsoft.com/office/drawing/2014/main" xmlns="" id="{7D212593-FCEE-49EE-A7E0-D9A37CF1BAB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3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409726" y="4141696"/>
              <a:ext cx="1753172" cy="23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3" name="Picture 52">
              <a:extLst>
                <a:ext uri="{FF2B5EF4-FFF2-40B4-BE49-F238E27FC236}">
                  <a16:creationId xmlns:a16="http://schemas.microsoft.com/office/drawing/2014/main" xmlns="" id="{6EB9FE60-CFE8-4F70-BD2B-4D44F273223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4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862764" y="6623342"/>
              <a:ext cx="1483453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4" name="Picture 53">
              <a:extLst>
                <a:ext uri="{FF2B5EF4-FFF2-40B4-BE49-F238E27FC236}">
                  <a16:creationId xmlns:a16="http://schemas.microsoft.com/office/drawing/2014/main" xmlns="" id="{E9BC2391-66C7-493B-A72A-B41F9DB92FE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5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511784" y="6623342"/>
              <a:ext cx="1483453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sp macro="" textlink="">
        <xdr:nvSpPr>
          <xdr:cNvPr id="42" name="TextBox 259">
            <a:extLst>
              <a:ext uri="{FF2B5EF4-FFF2-40B4-BE49-F238E27FC236}">
                <a16:creationId xmlns:a16="http://schemas.microsoft.com/office/drawing/2014/main" xmlns="" id="{233A13C3-0188-456C-A159-E1CB14E88096}"/>
              </a:ext>
            </a:extLst>
          </xdr:cNvPr>
          <xdr:cNvSpPr txBox="1"/>
        </xdr:nvSpPr>
        <xdr:spPr>
          <a:xfrm>
            <a:off x="1236680" y="442546"/>
            <a:ext cx="865943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B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45" name="TextBox 260">
            <a:extLst>
              <a:ext uri="{FF2B5EF4-FFF2-40B4-BE49-F238E27FC236}">
                <a16:creationId xmlns:a16="http://schemas.microsoft.com/office/drawing/2014/main" xmlns="" id="{97823AA3-C762-4A3F-AE7C-DB4FB5502E43}"/>
              </a:ext>
            </a:extLst>
          </xdr:cNvPr>
          <xdr:cNvSpPr txBox="1"/>
        </xdr:nvSpPr>
        <xdr:spPr>
          <a:xfrm>
            <a:off x="3433459" y="442546"/>
            <a:ext cx="865943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B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46" name="TextBox 261">
            <a:extLst>
              <a:ext uri="{FF2B5EF4-FFF2-40B4-BE49-F238E27FC236}">
                <a16:creationId xmlns:a16="http://schemas.microsoft.com/office/drawing/2014/main" xmlns="" id="{44EFA5E7-7339-45A7-AC9F-5A5D6BFD6386}"/>
              </a:ext>
            </a:extLst>
          </xdr:cNvPr>
          <xdr:cNvSpPr txBox="1"/>
        </xdr:nvSpPr>
        <xdr:spPr>
          <a:xfrm>
            <a:off x="5188348" y="460158"/>
            <a:ext cx="857927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C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47" name="TextBox 262">
            <a:extLst>
              <a:ext uri="{FF2B5EF4-FFF2-40B4-BE49-F238E27FC236}">
                <a16:creationId xmlns:a16="http://schemas.microsoft.com/office/drawing/2014/main" xmlns="" id="{1401C15D-8623-41F8-B50D-6031078743BE}"/>
              </a:ext>
            </a:extLst>
          </xdr:cNvPr>
          <xdr:cNvSpPr txBox="1"/>
        </xdr:nvSpPr>
        <xdr:spPr>
          <a:xfrm>
            <a:off x="1573687" y="4078087"/>
            <a:ext cx="857927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C</a:t>
            </a:r>
            <a:endParaRPr lang="en-IN" b="1">
              <a:solidFill>
                <a:srgbClr val="FF0000"/>
              </a:solidFill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100853</xdr:colOff>
      <xdr:row>14</xdr:row>
      <xdr:rowOff>100853</xdr:rowOff>
    </xdr:from>
    <xdr:to>
      <xdr:col>6</xdr:col>
      <xdr:colOff>105419</xdr:colOff>
      <xdr:row>33</xdr:row>
      <xdr:rowOff>81353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3559" y="2779059"/>
          <a:ext cx="6403125" cy="36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36</xdr:row>
      <xdr:rowOff>0</xdr:rowOff>
    </xdr:from>
    <xdr:to>
      <xdr:col>6</xdr:col>
      <xdr:colOff>4567</xdr:colOff>
      <xdr:row>54</xdr:row>
      <xdr:rowOff>171000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7" y="6869206"/>
          <a:ext cx="6403125" cy="3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FyuPtPbrSnGJt7an6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27"/>
  <sheetViews>
    <sheetView tabSelected="1" view="pageBreakPreview" zoomScaleNormal="100" zoomScaleSheetLayoutView="100" workbookViewId="0">
      <selection activeCell="K11" sqref="K11"/>
    </sheetView>
  </sheetViews>
  <sheetFormatPr defaultColWidth="9.140625" defaultRowHeight="15.75" x14ac:dyDescent="0.25"/>
  <cols>
    <col min="1" max="1" width="11.42578125" style="43" customWidth="1"/>
    <col min="2" max="2" width="12" style="43" customWidth="1"/>
    <col min="3" max="3" width="12.7109375" style="43" customWidth="1"/>
    <col min="4" max="4" width="14.140625" style="43" customWidth="1"/>
    <col min="5" max="7" width="11.7109375" style="43" customWidth="1"/>
    <col min="8" max="8" width="12.42578125" style="43" customWidth="1"/>
    <col min="9" max="9" width="17.42578125" style="23" customWidth="1"/>
    <col min="10" max="10" width="11.42578125" style="23" customWidth="1"/>
    <col min="11" max="11" width="10.5703125" style="23" bestFit="1" customWidth="1"/>
    <col min="12" max="12" width="12" style="23" bestFit="1" customWidth="1"/>
    <col min="13" max="13" width="11.85546875" style="23" customWidth="1"/>
    <col min="14" max="14" width="12.5703125" style="23" customWidth="1"/>
    <col min="15" max="15" width="9.85546875" style="23" customWidth="1"/>
    <col min="16" max="16" width="11.7109375" style="23" customWidth="1"/>
    <col min="17" max="247" width="9.140625" style="23"/>
    <col min="248" max="248" width="8.7109375" style="23" customWidth="1"/>
    <col min="249" max="249" width="9.85546875" style="23" customWidth="1"/>
    <col min="250" max="250" width="14.42578125" style="23" customWidth="1"/>
    <col min="251" max="251" width="7.28515625" style="23" customWidth="1"/>
    <col min="252" max="252" width="5.5703125" style="23" customWidth="1"/>
    <col min="253" max="253" width="9" style="23" customWidth="1"/>
    <col min="254" max="255" width="9.85546875" style="23" customWidth="1"/>
    <col min="256" max="256" width="11.140625" style="23" customWidth="1"/>
    <col min="257" max="257" width="2.85546875" style="23" customWidth="1"/>
    <col min="258" max="258" width="3.5703125" style="23" customWidth="1"/>
    <col min="259" max="503" width="9.140625" style="23"/>
    <col min="504" max="504" width="8.7109375" style="23" customWidth="1"/>
    <col min="505" max="505" width="9.85546875" style="23" customWidth="1"/>
    <col min="506" max="506" width="14.42578125" style="23" customWidth="1"/>
    <col min="507" max="507" width="7.28515625" style="23" customWidth="1"/>
    <col min="508" max="508" width="5.5703125" style="23" customWidth="1"/>
    <col min="509" max="509" width="9" style="23" customWidth="1"/>
    <col min="510" max="511" width="9.85546875" style="23" customWidth="1"/>
    <col min="512" max="512" width="11.140625" style="23" customWidth="1"/>
    <col min="513" max="513" width="2.85546875" style="23" customWidth="1"/>
    <col min="514" max="514" width="3.5703125" style="23" customWidth="1"/>
    <col min="515" max="759" width="9.140625" style="23"/>
    <col min="760" max="760" width="8.7109375" style="23" customWidth="1"/>
    <col min="761" max="761" width="9.85546875" style="23" customWidth="1"/>
    <col min="762" max="762" width="14.42578125" style="23" customWidth="1"/>
    <col min="763" max="763" width="7.28515625" style="23" customWidth="1"/>
    <col min="764" max="764" width="5.5703125" style="23" customWidth="1"/>
    <col min="765" max="765" width="9" style="23" customWidth="1"/>
    <col min="766" max="767" width="9.85546875" style="23" customWidth="1"/>
    <col min="768" max="768" width="11.140625" style="23" customWidth="1"/>
    <col min="769" max="769" width="2.85546875" style="23" customWidth="1"/>
    <col min="770" max="770" width="3.5703125" style="23" customWidth="1"/>
    <col min="771" max="1015" width="9.140625" style="23"/>
    <col min="1016" max="1016" width="8.7109375" style="23" customWidth="1"/>
    <col min="1017" max="1017" width="9.85546875" style="23" customWidth="1"/>
    <col min="1018" max="1018" width="14.42578125" style="23" customWidth="1"/>
    <col min="1019" max="1019" width="7.28515625" style="23" customWidth="1"/>
    <col min="1020" max="1020" width="5.5703125" style="23" customWidth="1"/>
    <col min="1021" max="1021" width="9" style="23" customWidth="1"/>
    <col min="1022" max="1023" width="9.85546875" style="23" customWidth="1"/>
    <col min="1024" max="1024" width="11.140625" style="23" customWidth="1"/>
    <col min="1025" max="1025" width="2.85546875" style="23" customWidth="1"/>
    <col min="1026" max="1026" width="3.5703125" style="23" customWidth="1"/>
    <col min="1027" max="1271" width="9.140625" style="23"/>
    <col min="1272" max="1272" width="8.7109375" style="23" customWidth="1"/>
    <col min="1273" max="1273" width="9.85546875" style="23" customWidth="1"/>
    <col min="1274" max="1274" width="14.42578125" style="23" customWidth="1"/>
    <col min="1275" max="1275" width="7.28515625" style="23" customWidth="1"/>
    <col min="1276" max="1276" width="5.5703125" style="23" customWidth="1"/>
    <col min="1277" max="1277" width="9" style="23" customWidth="1"/>
    <col min="1278" max="1279" width="9.85546875" style="23" customWidth="1"/>
    <col min="1280" max="1280" width="11.140625" style="23" customWidth="1"/>
    <col min="1281" max="1281" width="2.85546875" style="23" customWidth="1"/>
    <col min="1282" max="1282" width="3.5703125" style="23" customWidth="1"/>
    <col min="1283" max="1527" width="9.140625" style="23"/>
    <col min="1528" max="1528" width="8.7109375" style="23" customWidth="1"/>
    <col min="1529" max="1529" width="9.85546875" style="23" customWidth="1"/>
    <col min="1530" max="1530" width="14.42578125" style="23" customWidth="1"/>
    <col min="1531" max="1531" width="7.28515625" style="23" customWidth="1"/>
    <col min="1532" max="1532" width="5.5703125" style="23" customWidth="1"/>
    <col min="1533" max="1533" width="9" style="23" customWidth="1"/>
    <col min="1534" max="1535" width="9.85546875" style="23" customWidth="1"/>
    <col min="1536" max="1536" width="11.140625" style="23" customWidth="1"/>
    <col min="1537" max="1537" width="2.85546875" style="23" customWidth="1"/>
    <col min="1538" max="1538" width="3.5703125" style="23" customWidth="1"/>
    <col min="1539" max="1783" width="9.140625" style="23"/>
    <col min="1784" max="1784" width="8.7109375" style="23" customWidth="1"/>
    <col min="1785" max="1785" width="9.85546875" style="23" customWidth="1"/>
    <col min="1786" max="1786" width="14.42578125" style="23" customWidth="1"/>
    <col min="1787" max="1787" width="7.28515625" style="23" customWidth="1"/>
    <col min="1788" max="1788" width="5.5703125" style="23" customWidth="1"/>
    <col min="1789" max="1789" width="9" style="23" customWidth="1"/>
    <col min="1790" max="1791" width="9.85546875" style="23" customWidth="1"/>
    <col min="1792" max="1792" width="11.140625" style="23" customWidth="1"/>
    <col min="1793" max="1793" width="2.85546875" style="23" customWidth="1"/>
    <col min="1794" max="1794" width="3.5703125" style="23" customWidth="1"/>
    <col min="1795" max="2039" width="9.140625" style="23"/>
    <col min="2040" max="2040" width="8.7109375" style="23" customWidth="1"/>
    <col min="2041" max="2041" width="9.85546875" style="23" customWidth="1"/>
    <col min="2042" max="2042" width="14.42578125" style="23" customWidth="1"/>
    <col min="2043" max="2043" width="7.28515625" style="23" customWidth="1"/>
    <col min="2044" max="2044" width="5.5703125" style="23" customWidth="1"/>
    <col min="2045" max="2045" width="9" style="23" customWidth="1"/>
    <col min="2046" max="2047" width="9.85546875" style="23" customWidth="1"/>
    <col min="2048" max="2048" width="11.140625" style="23" customWidth="1"/>
    <col min="2049" max="2049" width="2.85546875" style="23" customWidth="1"/>
    <col min="2050" max="2050" width="3.5703125" style="23" customWidth="1"/>
    <col min="2051" max="2295" width="9.140625" style="23"/>
    <col min="2296" max="2296" width="8.7109375" style="23" customWidth="1"/>
    <col min="2297" max="2297" width="9.85546875" style="23" customWidth="1"/>
    <col min="2298" max="2298" width="14.42578125" style="23" customWidth="1"/>
    <col min="2299" max="2299" width="7.28515625" style="23" customWidth="1"/>
    <col min="2300" max="2300" width="5.5703125" style="23" customWidth="1"/>
    <col min="2301" max="2301" width="9" style="23" customWidth="1"/>
    <col min="2302" max="2303" width="9.85546875" style="23" customWidth="1"/>
    <col min="2304" max="2304" width="11.140625" style="23" customWidth="1"/>
    <col min="2305" max="2305" width="2.85546875" style="23" customWidth="1"/>
    <col min="2306" max="2306" width="3.5703125" style="23" customWidth="1"/>
    <col min="2307" max="2551" width="9.140625" style="23"/>
    <col min="2552" max="2552" width="8.7109375" style="23" customWidth="1"/>
    <col min="2553" max="2553" width="9.85546875" style="23" customWidth="1"/>
    <col min="2554" max="2554" width="14.42578125" style="23" customWidth="1"/>
    <col min="2555" max="2555" width="7.28515625" style="23" customWidth="1"/>
    <col min="2556" max="2556" width="5.5703125" style="23" customWidth="1"/>
    <col min="2557" max="2557" width="9" style="23" customWidth="1"/>
    <col min="2558" max="2559" width="9.85546875" style="23" customWidth="1"/>
    <col min="2560" max="2560" width="11.140625" style="23" customWidth="1"/>
    <col min="2561" max="2561" width="2.85546875" style="23" customWidth="1"/>
    <col min="2562" max="2562" width="3.5703125" style="23" customWidth="1"/>
    <col min="2563" max="2807" width="9.140625" style="23"/>
    <col min="2808" max="2808" width="8.7109375" style="23" customWidth="1"/>
    <col min="2809" max="2809" width="9.85546875" style="23" customWidth="1"/>
    <col min="2810" max="2810" width="14.42578125" style="23" customWidth="1"/>
    <col min="2811" max="2811" width="7.28515625" style="23" customWidth="1"/>
    <col min="2812" max="2812" width="5.5703125" style="23" customWidth="1"/>
    <col min="2813" max="2813" width="9" style="23" customWidth="1"/>
    <col min="2814" max="2815" width="9.85546875" style="23" customWidth="1"/>
    <col min="2816" max="2816" width="11.140625" style="23" customWidth="1"/>
    <col min="2817" max="2817" width="2.85546875" style="23" customWidth="1"/>
    <col min="2818" max="2818" width="3.5703125" style="23" customWidth="1"/>
    <col min="2819" max="3063" width="9.140625" style="23"/>
    <col min="3064" max="3064" width="8.7109375" style="23" customWidth="1"/>
    <col min="3065" max="3065" width="9.85546875" style="23" customWidth="1"/>
    <col min="3066" max="3066" width="14.42578125" style="23" customWidth="1"/>
    <col min="3067" max="3067" width="7.28515625" style="23" customWidth="1"/>
    <col min="3068" max="3068" width="5.5703125" style="23" customWidth="1"/>
    <col min="3069" max="3069" width="9" style="23" customWidth="1"/>
    <col min="3070" max="3071" width="9.85546875" style="23" customWidth="1"/>
    <col min="3072" max="3072" width="11.140625" style="23" customWidth="1"/>
    <col min="3073" max="3073" width="2.85546875" style="23" customWidth="1"/>
    <col min="3074" max="3074" width="3.5703125" style="23" customWidth="1"/>
    <col min="3075" max="3319" width="9.140625" style="23"/>
    <col min="3320" max="3320" width="8.7109375" style="23" customWidth="1"/>
    <col min="3321" max="3321" width="9.85546875" style="23" customWidth="1"/>
    <col min="3322" max="3322" width="14.42578125" style="23" customWidth="1"/>
    <col min="3323" max="3323" width="7.28515625" style="23" customWidth="1"/>
    <col min="3324" max="3324" width="5.5703125" style="23" customWidth="1"/>
    <col min="3325" max="3325" width="9" style="23" customWidth="1"/>
    <col min="3326" max="3327" width="9.85546875" style="23" customWidth="1"/>
    <col min="3328" max="3328" width="11.140625" style="23" customWidth="1"/>
    <col min="3329" max="3329" width="2.85546875" style="23" customWidth="1"/>
    <col min="3330" max="3330" width="3.5703125" style="23" customWidth="1"/>
    <col min="3331" max="3575" width="9.140625" style="23"/>
    <col min="3576" max="3576" width="8.7109375" style="23" customWidth="1"/>
    <col min="3577" max="3577" width="9.85546875" style="23" customWidth="1"/>
    <col min="3578" max="3578" width="14.42578125" style="23" customWidth="1"/>
    <col min="3579" max="3579" width="7.28515625" style="23" customWidth="1"/>
    <col min="3580" max="3580" width="5.5703125" style="23" customWidth="1"/>
    <col min="3581" max="3581" width="9" style="23" customWidth="1"/>
    <col min="3582" max="3583" width="9.85546875" style="23" customWidth="1"/>
    <col min="3584" max="3584" width="11.140625" style="23" customWidth="1"/>
    <col min="3585" max="3585" width="2.85546875" style="23" customWidth="1"/>
    <col min="3586" max="3586" width="3.5703125" style="23" customWidth="1"/>
    <col min="3587" max="3831" width="9.140625" style="23"/>
    <col min="3832" max="3832" width="8.7109375" style="23" customWidth="1"/>
    <col min="3833" max="3833" width="9.85546875" style="23" customWidth="1"/>
    <col min="3834" max="3834" width="14.42578125" style="23" customWidth="1"/>
    <col min="3835" max="3835" width="7.28515625" style="23" customWidth="1"/>
    <col min="3836" max="3836" width="5.5703125" style="23" customWidth="1"/>
    <col min="3837" max="3837" width="9" style="23" customWidth="1"/>
    <col min="3838" max="3839" width="9.85546875" style="23" customWidth="1"/>
    <col min="3840" max="3840" width="11.140625" style="23" customWidth="1"/>
    <col min="3841" max="3841" width="2.85546875" style="23" customWidth="1"/>
    <col min="3842" max="3842" width="3.5703125" style="23" customWidth="1"/>
    <col min="3843" max="4087" width="9.140625" style="23"/>
    <col min="4088" max="4088" width="8.7109375" style="23" customWidth="1"/>
    <col min="4089" max="4089" width="9.85546875" style="23" customWidth="1"/>
    <col min="4090" max="4090" width="14.42578125" style="23" customWidth="1"/>
    <col min="4091" max="4091" width="7.28515625" style="23" customWidth="1"/>
    <col min="4092" max="4092" width="5.5703125" style="23" customWidth="1"/>
    <col min="4093" max="4093" width="9" style="23" customWidth="1"/>
    <col min="4094" max="4095" width="9.85546875" style="23" customWidth="1"/>
    <col min="4096" max="4096" width="11.140625" style="23" customWidth="1"/>
    <col min="4097" max="4097" width="2.85546875" style="23" customWidth="1"/>
    <col min="4098" max="4098" width="3.5703125" style="23" customWidth="1"/>
    <col min="4099" max="4343" width="9.140625" style="23"/>
    <col min="4344" max="4344" width="8.7109375" style="23" customWidth="1"/>
    <col min="4345" max="4345" width="9.85546875" style="23" customWidth="1"/>
    <col min="4346" max="4346" width="14.42578125" style="23" customWidth="1"/>
    <col min="4347" max="4347" width="7.28515625" style="23" customWidth="1"/>
    <col min="4348" max="4348" width="5.5703125" style="23" customWidth="1"/>
    <col min="4349" max="4349" width="9" style="23" customWidth="1"/>
    <col min="4350" max="4351" width="9.85546875" style="23" customWidth="1"/>
    <col min="4352" max="4352" width="11.140625" style="23" customWidth="1"/>
    <col min="4353" max="4353" width="2.85546875" style="23" customWidth="1"/>
    <col min="4354" max="4354" width="3.5703125" style="23" customWidth="1"/>
    <col min="4355" max="4599" width="9.140625" style="23"/>
    <col min="4600" max="4600" width="8.7109375" style="23" customWidth="1"/>
    <col min="4601" max="4601" width="9.85546875" style="23" customWidth="1"/>
    <col min="4602" max="4602" width="14.42578125" style="23" customWidth="1"/>
    <col min="4603" max="4603" width="7.28515625" style="23" customWidth="1"/>
    <col min="4604" max="4604" width="5.5703125" style="23" customWidth="1"/>
    <col min="4605" max="4605" width="9" style="23" customWidth="1"/>
    <col min="4606" max="4607" width="9.85546875" style="23" customWidth="1"/>
    <col min="4608" max="4608" width="11.140625" style="23" customWidth="1"/>
    <col min="4609" max="4609" width="2.85546875" style="23" customWidth="1"/>
    <col min="4610" max="4610" width="3.5703125" style="23" customWidth="1"/>
    <col min="4611" max="4855" width="9.140625" style="23"/>
    <col min="4856" max="4856" width="8.7109375" style="23" customWidth="1"/>
    <col min="4857" max="4857" width="9.85546875" style="23" customWidth="1"/>
    <col min="4858" max="4858" width="14.42578125" style="23" customWidth="1"/>
    <col min="4859" max="4859" width="7.28515625" style="23" customWidth="1"/>
    <col min="4860" max="4860" width="5.5703125" style="23" customWidth="1"/>
    <col min="4861" max="4861" width="9" style="23" customWidth="1"/>
    <col min="4862" max="4863" width="9.85546875" style="23" customWidth="1"/>
    <col min="4864" max="4864" width="11.140625" style="23" customWidth="1"/>
    <col min="4865" max="4865" width="2.85546875" style="23" customWidth="1"/>
    <col min="4866" max="4866" width="3.5703125" style="23" customWidth="1"/>
    <col min="4867" max="5111" width="9.140625" style="23"/>
    <col min="5112" max="5112" width="8.7109375" style="23" customWidth="1"/>
    <col min="5113" max="5113" width="9.85546875" style="23" customWidth="1"/>
    <col min="5114" max="5114" width="14.42578125" style="23" customWidth="1"/>
    <col min="5115" max="5115" width="7.28515625" style="23" customWidth="1"/>
    <col min="5116" max="5116" width="5.5703125" style="23" customWidth="1"/>
    <col min="5117" max="5117" width="9" style="23" customWidth="1"/>
    <col min="5118" max="5119" width="9.85546875" style="23" customWidth="1"/>
    <col min="5120" max="5120" width="11.140625" style="23" customWidth="1"/>
    <col min="5121" max="5121" width="2.85546875" style="23" customWidth="1"/>
    <col min="5122" max="5122" width="3.5703125" style="23" customWidth="1"/>
    <col min="5123" max="5367" width="9.140625" style="23"/>
    <col min="5368" max="5368" width="8.7109375" style="23" customWidth="1"/>
    <col min="5369" max="5369" width="9.85546875" style="23" customWidth="1"/>
    <col min="5370" max="5370" width="14.42578125" style="23" customWidth="1"/>
    <col min="5371" max="5371" width="7.28515625" style="23" customWidth="1"/>
    <col min="5372" max="5372" width="5.5703125" style="23" customWidth="1"/>
    <col min="5373" max="5373" width="9" style="23" customWidth="1"/>
    <col min="5374" max="5375" width="9.85546875" style="23" customWidth="1"/>
    <col min="5376" max="5376" width="11.140625" style="23" customWidth="1"/>
    <col min="5377" max="5377" width="2.85546875" style="23" customWidth="1"/>
    <col min="5378" max="5378" width="3.5703125" style="23" customWidth="1"/>
    <col min="5379" max="5623" width="9.140625" style="23"/>
    <col min="5624" max="5624" width="8.7109375" style="23" customWidth="1"/>
    <col min="5625" max="5625" width="9.85546875" style="23" customWidth="1"/>
    <col min="5626" max="5626" width="14.42578125" style="23" customWidth="1"/>
    <col min="5627" max="5627" width="7.28515625" style="23" customWidth="1"/>
    <col min="5628" max="5628" width="5.5703125" style="23" customWidth="1"/>
    <col min="5629" max="5629" width="9" style="23" customWidth="1"/>
    <col min="5630" max="5631" width="9.85546875" style="23" customWidth="1"/>
    <col min="5632" max="5632" width="11.140625" style="23" customWidth="1"/>
    <col min="5633" max="5633" width="2.85546875" style="23" customWidth="1"/>
    <col min="5634" max="5634" width="3.5703125" style="23" customWidth="1"/>
    <col min="5635" max="5879" width="9.140625" style="23"/>
    <col min="5880" max="5880" width="8.7109375" style="23" customWidth="1"/>
    <col min="5881" max="5881" width="9.85546875" style="23" customWidth="1"/>
    <col min="5882" max="5882" width="14.42578125" style="23" customWidth="1"/>
    <col min="5883" max="5883" width="7.28515625" style="23" customWidth="1"/>
    <col min="5884" max="5884" width="5.5703125" style="23" customWidth="1"/>
    <col min="5885" max="5885" width="9" style="23" customWidth="1"/>
    <col min="5886" max="5887" width="9.85546875" style="23" customWidth="1"/>
    <col min="5888" max="5888" width="11.140625" style="23" customWidth="1"/>
    <col min="5889" max="5889" width="2.85546875" style="23" customWidth="1"/>
    <col min="5890" max="5890" width="3.5703125" style="23" customWidth="1"/>
    <col min="5891" max="6135" width="9.140625" style="23"/>
    <col min="6136" max="6136" width="8.7109375" style="23" customWidth="1"/>
    <col min="6137" max="6137" width="9.85546875" style="23" customWidth="1"/>
    <col min="6138" max="6138" width="14.42578125" style="23" customWidth="1"/>
    <col min="6139" max="6139" width="7.28515625" style="23" customWidth="1"/>
    <col min="6140" max="6140" width="5.5703125" style="23" customWidth="1"/>
    <col min="6141" max="6141" width="9" style="23" customWidth="1"/>
    <col min="6142" max="6143" width="9.85546875" style="23" customWidth="1"/>
    <col min="6144" max="6144" width="11.140625" style="23" customWidth="1"/>
    <col min="6145" max="6145" width="2.85546875" style="23" customWidth="1"/>
    <col min="6146" max="6146" width="3.5703125" style="23" customWidth="1"/>
    <col min="6147" max="6391" width="9.140625" style="23"/>
    <col min="6392" max="6392" width="8.7109375" style="23" customWidth="1"/>
    <col min="6393" max="6393" width="9.85546875" style="23" customWidth="1"/>
    <col min="6394" max="6394" width="14.42578125" style="23" customWidth="1"/>
    <col min="6395" max="6395" width="7.28515625" style="23" customWidth="1"/>
    <col min="6396" max="6396" width="5.5703125" style="23" customWidth="1"/>
    <col min="6397" max="6397" width="9" style="23" customWidth="1"/>
    <col min="6398" max="6399" width="9.85546875" style="23" customWidth="1"/>
    <col min="6400" max="6400" width="11.140625" style="23" customWidth="1"/>
    <col min="6401" max="6401" width="2.85546875" style="23" customWidth="1"/>
    <col min="6402" max="6402" width="3.5703125" style="23" customWidth="1"/>
    <col min="6403" max="6647" width="9.140625" style="23"/>
    <col min="6648" max="6648" width="8.7109375" style="23" customWidth="1"/>
    <col min="6649" max="6649" width="9.85546875" style="23" customWidth="1"/>
    <col min="6650" max="6650" width="14.42578125" style="23" customWidth="1"/>
    <col min="6651" max="6651" width="7.28515625" style="23" customWidth="1"/>
    <col min="6652" max="6652" width="5.5703125" style="23" customWidth="1"/>
    <col min="6653" max="6653" width="9" style="23" customWidth="1"/>
    <col min="6654" max="6655" width="9.85546875" style="23" customWidth="1"/>
    <col min="6656" max="6656" width="11.140625" style="23" customWidth="1"/>
    <col min="6657" max="6657" width="2.85546875" style="23" customWidth="1"/>
    <col min="6658" max="6658" width="3.5703125" style="23" customWidth="1"/>
    <col min="6659" max="6903" width="9.140625" style="23"/>
    <col min="6904" max="6904" width="8.7109375" style="23" customWidth="1"/>
    <col min="6905" max="6905" width="9.85546875" style="23" customWidth="1"/>
    <col min="6906" max="6906" width="14.42578125" style="23" customWidth="1"/>
    <col min="6907" max="6907" width="7.28515625" style="23" customWidth="1"/>
    <col min="6908" max="6908" width="5.5703125" style="23" customWidth="1"/>
    <col min="6909" max="6909" width="9" style="23" customWidth="1"/>
    <col min="6910" max="6911" width="9.85546875" style="23" customWidth="1"/>
    <col min="6912" max="6912" width="11.140625" style="23" customWidth="1"/>
    <col min="6913" max="6913" width="2.85546875" style="23" customWidth="1"/>
    <col min="6914" max="6914" width="3.5703125" style="23" customWidth="1"/>
    <col min="6915" max="7159" width="9.140625" style="23"/>
    <col min="7160" max="7160" width="8.7109375" style="23" customWidth="1"/>
    <col min="7161" max="7161" width="9.85546875" style="23" customWidth="1"/>
    <col min="7162" max="7162" width="14.42578125" style="23" customWidth="1"/>
    <col min="7163" max="7163" width="7.28515625" style="23" customWidth="1"/>
    <col min="7164" max="7164" width="5.5703125" style="23" customWidth="1"/>
    <col min="7165" max="7165" width="9" style="23" customWidth="1"/>
    <col min="7166" max="7167" width="9.85546875" style="23" customWidth="1"/>
    <col min="7168" max="7168" width="11.140625" style="23" customWidth="1"/>
    <col min="7169" max="7169" width="2.85546875" style="23" customWidth="1"/>
    <col min="7170" max="7170" width="3.5703125" style="23" customWidth="1"/>
    <col min="7171" max="7415" width="9.140625" style="23"/>
    <col min="7416" max="7416" width="8.7109375" style="23" customWidth="1"/>
    <col min="7417" max="7417" width="9.85546875" style="23" customWidth="1"/>
    <col min="7418" max="7418" width="14.42578125" style="23" customWidth="1"/>
    <col min="7419" max="7419" width="7.28515625" style="23" customWidth="1"/>
    <col min="7420" max="7420" width="5.5703125" style="23" customWidth="1"/>
    <col min="7421" max="7421" width="9" style="23" customWidth="1"/>
    <col min="7422" max="7423" width="9.85546875" style="23" customWidth="1"/>
    <col min="7424" max="7424" width="11.140625" style="23" customWidth="1"/>
    <col min="7425" max="7425" width="2.85546875" style="23" customWidth="1"/>
    <col min="7426" max="7426" width="3.5703125" style="23" customWidth="1"/>
    <col min="7427" max="7671" width="9.140625" style="23"/>
    <col min="7672" max="7672" width="8.7109375" style="23" customWidth="1"/>
    <col min="7673" max="7673" width="9.85546875" style="23" customWidth="1"/>
    <col min="7674" max="7674" width="14.42578125" style="23" customWidth="1"/>
    <col min="7675" max="7675" width="7.28515625" style="23" customWidth="1"/>
    <col min="7676" max="7676" width="5.5703125" style="23" customWidth="1"/>
    <col min="7677" max="7677" width="9" style="23" customWidth="1"/>
    <col min="7678" max="7679" width="9.85546875" style="23" customWidth="1"/>
    <col min="7680" max="7680" width="11.140625" style="23" customWidth="1"/>
    <col min="7681" max="7681" width="2.85546875" style="23" customWidth="1"/>
    <col min="7682" max="7682" width="3.5703125" style="23" customWidth="1"/>
    <col min="7683" max="7927" width="9.140625" style="23"/>
    <col min="7928" max="7928" width="8.7109375" style="23" customWidth="1"/>
    <col min="7929" max="7929" width="9.85546875" style="23" customWidth="1"/>
    <col min="7930" max="7930" width="14.42578125" style="23" customWidth="1"/>
    <col min="7931" max="7931" width="7.28515625" style="23" customWidth="1"/>
    <col min="7932" max="7932" width="5.5703125" style="23" customWidth="1"/>
    <col min="7933" max="7933" width="9" style="23" customWidth="1"/>
    <col min="7934" max="7935" width="9.85546875" style="23" customWidth="1"/>
    <col min="7936" max="7936" width="11.140625" style="23" customWidth="1"/>
    <col min="7937" max="7937" width="2.85546875" style="23" customWidth="1"/>
    <col min="7938" max="7938" width="3.5703125" style="23" customWidth="1"/>
    <col min="7939" max="8183" width="9.140625" style="23"/>
    <col min="8184" max="8184" width="8.7109375" style="23" customWidth="1"/>
    <col min="8185" max="8185" width="9.85546875" style="23" customWidth="1"/>
    <col min="8186" max="8186" width="14.42578125" style="23" customWidth="1"/>
    <col min="8187" max="8187" width="7.28515625" style="23" customWidth="1"/>
    <col min="8188" max="8188" width="5.5703125" style="23" customWidth="1"/>
    <col min="8189" max="8189" width="9" style="23" customWidth="1"/>
    <col min="8190" max="8191" width="9.85546875" style="23" customWidth="1"/>
    <col min="8192" max="8192" width="11.140625" style="23" customWidth="1"/>
    <col min="8193" max="8193" width="2.85546875" style="23" customWidth="1"/>
    <col min="8194" max="8194" width="3.5703125" style="23" customWidth="1"/>
    <col min="8195" max="8439" width="9.140625" style="23"/>
    <col min="8440" max="8440" width="8.7109375" style="23" customWidth="1"/>
    <col min="8441" max="8441" width="9.85546875" style="23" customWidth="1"/>
    <col min="8442" max="8442" width="14.42578125" style="23" customWidth="1"/>
    <col min="8443" max="8443" width="7.28515625" style="23" customWidth="1"/>
    <col min="8444" max="8444" width="5.5703125" style="23" customWidth="1"/>
    <col min="8445" max="8445" width="9" style="23" customWidth="1"/>
    <col min="8446" max="8447" width="9.85546875" style="23" customWidth="1"/>
    <col min="8448" max="8448" width="11.140625" style="23" customWidth="1"/>
    <col min="8449" max="8449" width="2.85546875" style="23" customWidth="1"/>
    <col min="8450" max="8450" width="3.5703125" style="23" customWidth="1"/>
    <col min="8451" max="8695" width="9.140625" style="23"/>
    <col min="8696" max="8696" width="8.7109375" style="23" customWidth="1"/>
    <col min="8697" max="8697" width="9.85546875" style="23" customWidth="1"/>
    <col min="8698" max="8698" width="14.42578125" style="23" customWidth="1"/>
    <col min="8699" max="8699" width="7.28515625" style="23" customWidth="1"/>
    <col min="8700" max="8700" width="5.5703125" style="23" customWidth="1"/>
    <col min="8701" max="8701" width="9" style="23" customWidth="1"/>
    <col min="8702" max="8703" width="9.85546875" style="23" customWidth="1"/>
    <col min="8704" max="8704" width="11.140625" style="23" customWidth="1"/>
    <col min="8705" max="8705" width="2.85546875" style="23" customWidth="1"/>
    <col min="8706" max="8706" width="3.5703125" style="23" customWidth="1"/>
    <col min="8707" max="8951" width="9.140625" style="23"/>
    <col min="8952" max="8952" width="8.7109375" style="23" customWidth="1"/>
    <col min="8953" max="8953" width="9.85546875" style="23" customWidth="1"/>
    <col min="8954" max="8954" width="14.42578125" style="23" customWidth="1"/>
    <col min="8955" max="8955" width="7.28515625" style="23" customWidth="1"/>
    <col min="8956" max="8956" width="5.5703125" style="23" customWidth="1"/>
    <col min="8957" max="8957" width="9" style="23" customWidth="1"/>
    <col min="8958" max="8959" width="9.85546875" style="23" customWidth="1"/>
    <col min="8960" max="8960" width="11.140625" style="23" customWidth="1"/>
    <col min="8961" max="8961" width="2.85546875" style="23" customWidth="1"/>
    <col min="8962" max="8962" width="3.5703125" style="23" customWidth="1"/>
    <col min="8963" max="9207" width="9.140625" style="23"/>
    <col min="9208" max="9208" width="8.7109375" style="23" customWidth="1"/>
    <col min="9209" max="9209" width="9.85546875" style="23" customWidth="1"/>
    <col min="9210" max="9210" width="14.42578125" style="23" customWidth="1"/>
    <col min="9211" max="9211" width="7.28515625" style="23" customWidth="1"/>
    <col min="9212" max="9212" width="5.5703125" style="23" customWidth="1"/>
    <col min="9213" max="9213" width="9" style="23" customWidth="1"/>
    <col min="9214" max="9215" width="9.85546875" style="23" customWidth="1"/>
    <col min="9216" max="9216" width="11.140625" style="23" customWidth="1"/>
    <col min="9217" max="9217" width="2.85546875" style="23" customWidth="1"/>
    <col min="9218" max="9218" width="3.5703125" style="23" customWidth="1"/>
    <col min="9219" max="9463" width="9.140625" style="23"/>
    <col min="9464" max="9464" width="8.7109375" style="23" customWidth="1"/>
    <col min="9465" max="9465" width="9.85546875" style="23" customWidth="1"/>
    <col min="9466" max="9466" width="14.42578125" style="23" customWidth="1"/>
    <col min="9467" max="9467" width="7.28515625" style="23" customWidth="1"/>
    <col min="9468" max="9468" width="5.5703125" style="23" customWidth="1"/>
    <col min="9469" max="9469" width="9" style="23" customWidth="1"/>
    <col min="9470" max="9471" width="9.85546875" style="23" customWidth="1"/>
    <col min="9472" max="9472" width="11.140625" style="23" customWidth="1"/>
    <col min="9473" max="9473" width="2.85546875" style="23" customWidth="1"/>
    <col min="9474" max="9474" width="3.5703125" style="23" customWidth="1"/>
    <col min="9475" max="9719" width="9.140625" style="23"/>
    <col min="9720" max="9720" width="8.7109375" style="23" customWidth="1"/>
    <col min="9721" max="9721" width="9.85546875" style="23" customWidth="1"/>
    <col min="9722" max="9722" width="14.42578125" style="23" customWidth="1"/>
    <col min="9723" max="9723" width="7.28515625" style="23" customWidth="1"/>
    <col min="9724" max="9724" width="5.5703125" style="23" customWidth="1"/>
    <col min="9725" max="9725" width="9" style="23" customWidth="1"/>
    <col min="9726" max="9727" width="9.85546875" style="23" customWidth="1"/>
    <col min="9728" max="9728" width="11.140625" style="23" customWidth="1"/>
    <col min="9729" max="9729" width="2.85546875" style="23" customWidth="1"/>
    <col min="9730" max="9730" width="3.5703125" style="23" customWidth="1"/>
    <col min="9731" max="9975" width="9.140625" style="23"/>
    <col min="9976" max="9976" width="8.7109375" style="23" customWidth="1"/>
    <col min="9977" max="9977" width="9.85546875" style="23" customWidth="1"/>
    <col min="9978" max="9978" width="14.42578125" style="23" customWidth="1"/>
    <col min="9979" max="9979" width="7.28515625" style="23" customWidth="1"/>
    <col min="9980" max="9980" width="5.5703125" style="23" customWidth="1"/>
    <col min="9981" max="9981" width="9" style="23" customWidth="1"/>
    <col min="9982" max="9983" width="9.85546875" style="23" customWidth="1"/>
    <col min="9984" max="9984" width="11.140625" style="23" customWidth="1"/>
    <col min="9985" max="9985" width="2.85546875" style="23" customWidth="1"/>
    <col min="9986" max="9986" width="3.5703125" style="23" customWidth="1"/>
    <col min="9987" max="10231" width="9.140625" style="23"/>
    <col min="10232" max="10232" width="8.7109375" style="23" customWidth="1"/>
    <col min="10233" max="10233" width="9.85546875" style="23" customWidth="1"/>
    <col min="10234" max="10234" width="14.42578125" style="23" customWidth="1"/>
    <col min="10235" max="10235" width="7.28515625" style="23" customWidth="1"/>
    <col min="10236" max="10236" width="5.5703125" style="23" customWidth="1"/>
    <col min="10237" max="10237" width="9" style="23" customWidth="1"/>
    <col min="10238" max="10239" width="9.85546875" style="23" customWidth="1"/>
    <col min="10240" max="10240" width="11.140625" style="23" customWidth="1"/>
    <col min="10241" max="10241" width="2.85546875" style="23" customWidth="1"/>
    <col min="10242" max="10242" width="3.5703125" style="23" customWidth="1"/>
    <col min="10243" max="10487" width="9.140625" style="23"/>
    <col min="10488" max="10488" width="8.7109375" style="23" customWidth="1"/>
    <col min="10489" max="10489" width="9.85546875" style="23" customWidth="1"/>
    <col min="10490" max="10490" width="14.42578125" style="23" customWidth="1"/>
    <col min="10491" max="10491" width="7.28515625" style="23" customWidth="1"/>
    <col min="10492" max="10492" width="5.5703125" style="23" customWidth="1"/>
    <col min="10493" max="10493" width="9" style="23" customWidth="1"/>
    <col min="10494" max="10495" width="9.85546875" style="23" customWidth="1"/>
    <col min="10496" max="10496" width="11.140625" style="23" customWidth="1"/>
    <col min="10497" max="10497" width="2.85546875" style="23" customWidth="1"/>
    <col min="10498" max="10498" width="3.5703125" style="23" customWidth="1"/>
    <col min="10499" max="10743" width="9.140625" style="23"/>
    <col min="10744" max="10744" width="8.7109375" style="23" customWidth="1"/>
    <col min="10745" max="10745" width="9.85546875" style="23" customWidth="1"/>
    <col min="10746" max="10746" width="14.42578125" style="23" customWidth="1"/>
    <col min="10747" max="10747" width="7.28515625" style="23" customWidth="1"/>
    <col min="10748" max="10748" width="5.5703125" style="23" customWidth="1"/>
    <col min="10749" max="10749" width="9" style="23" customWidth="1"/>
    <col min="10750" max="10751" width="9.85546875" style="23" customWidth="1"/>
    <col min="10752" max="10752" width="11.140625" style="23" customWidth="1"/>
    <col min="10753" max="10753" width="2.85546875" style="23" customWidth="1"/>
    <col min="10754" max="10754" width="3.5703125" style="23" customWidth="1"/>
    <col min="10755" max="10999" width="9.140625" style="23"/>
    <col min="11000" max="11000" width="8.7109375" style="23" customWidth="1"/>
    <col min="11001" max="11001" width="9.85546875" style="23" customWidth="1"/>
    <col min="11002" max="11002" width="14.42578125" style="23" customWidth="1"/>
    <col min="11003" max="11003" width="7.28515625" style="23" customWidth="1"/>
    <col min="11004" max="11004" width="5.5703125" style="23" customWidth="1"/>
    <col min="11005" max="11005" width="9" style="23" customWidth="1"/>
    <col min="11006" max="11007" width="9.85546875" style="23" customWidth="1"/>
    <col min="11008" max="11008" width="11.140625" style="23" customWidth="1"/>
    <col min="11009" max="11009" width="2.85546875" style="23" customWidth="1"/>
    <col min="11010" max="11010" width="3.5703125" style="23" customWidth="1"/>
    <col min="11011" max="11255" width="9.140625" style="23"/>
    <col min="11256" max="11256" width="8.7109375" style="23" customWidth="1"/>
    <col min="11257" max="11257" width="9.85546875" style="23" customWidth="1"/>
    <col min="11258" max="11258" width="14.42578125" style="23" customWidth="1"/>
    <col min="11259" max="11259" width="7.28515625" style="23" customWidth="1"/>
    <col min="11260" max="11260" width="5.5703125" style="23" customWidth="1"/>
    <col min="11261" max="11261" width="9" style="23" customWidth="1"/>
    <col min="11262" max="11263" width="9.85546875" style="23" customWidth="1"/>
    <col min="11264" max="11264" width="11.140625" style="23" customWidth="1"/>
    <col min="11265" max="11265" width="2.85546875" style="23" customWidth="1"/>
    <col min="11266" max="11266" width="3.5703125" style="23" customWidth="1"/>
    <col min="11267" max="11511" width="9.140625" style="23"/>
    <col min="11512" max="11512" width="8.7109375" style="23" customWidth="1"/>
    <col min="11513" max="11513" width="9.85546875" style="23" customWidth="1"/>
    <col min="11514" max="11514" width="14.42578125" style="23" customWidth="1"/>
    <col min="11515" max="11515" width="7.28515625" style="23" customWidth="1"/>
    <col min="11516" max="11516" width="5.5703125" style="23" customWidth="1"/>
    <col min="11517" max="11517" width="9" style="23" customWidth="1"/>
    <col min="11518" max="11519" width="9.85546875" style="23" customWidth="1"/>
    <col min="11520" max="11520" width="11.140625" style="23" customWidth="1"/>
    <col min="11521" max="11521" width="2.85546875" style="23" customWidth="1"/>
    <col min="11522" max="11522" width="3.5703125" style="23" customWidth="1"/>
    <col min="11523" max="11767" width="9.140625" style="23"/>
    <col min="11768" max="11768" width="8.7109375" style="23" customWidth="1"/>
    <col min="11769" max="11769" width="9.85546875" style="23" customWidth="1"/>
    <col min="11770" max="11770" width="14.42578125" style="23" customWidth="1"/>
    <col min="11771" max="11771" width="7.28515625" style="23" customWidth="1"/>
    <col min="11772" max="11772" width="5.5703125" style="23" customWidth="1"/>
    <col min="11773" max="11773" width="9" style="23" customWidth="1"/>
    <col min="11774" max="11775" width="9.85546875" style="23" customWidth="1"/>
    <col min="11776" max="11776" width="11.140625" style="23" customWidth="1"/>
    <col min="11777" max="11777" width="2.85546875" style="23" customWidth="1"/>
    <col min="11778" max="11778" width="3.5703125" style="23" customWidth="1"/>
    <col min="11779" max="12023" width="9.140625" style="23"/>
    <col min="12024" max="12024" width="8.7109375" style="23" customWidth="1"/>
    <col min="12025" max="12025" width="9.85546875" style="23" customWidth="1"/>
    <col min="12026" max="12026" width="14.42578125" style="23" customWidth="1"/>
    <col min="12027" max="12027" width="7.28515625" style="23" customWidth="1"/>
    <col min="12028" max="12028" width="5.5703125" style="23" customWidth="1"/>
    <col min="12029" max="12029" width="9" style="23" customWidth="1"/>
    <col min="12030" max="12031" width="9.85546875" style="23" customWidth="1"/>
    <col min="12032" max="12032" width="11.140625" style="23" customWidth="1"/>
    <col min="12033" max="12033" width="2.85546875" style="23" customWidth="1"/>
    <col min="12034" max="12034" width="3.5703125" style="23" customWidth="1"/>
    <col min="12035" max="12279" width="9.140625" style="23"/>
    <col min="12280" max="12280" width="8.7109375" style="23" customWidth="1"/>
    <col min="12281" max="12281" width="9.85546875" style="23" customWidth="1"/>
    <col min="12282" max="12282" width="14.42578125" style="23" customWidth="1"/>
    <col min="12283" max="12283" width="7.28515625" style="23" customWidth="1"/>
    <col min="12284" max="12284" width="5.5703125" style="23" customWidth="1"/>
    <col min="12285" max="12285" width="9" style="23" customWidth="1"/>
    <col min="12286" max="12287" width="9.85546875" style="23" customWidth="1"/>
    <col min="12288" max="12288" width="11.140625" style="23" customWidth="1"/>
    <col min="12289" max="12289" width="2.85546875" style="23" customWidth="1"/>
    <col min="12290" max="12290" width="3.5703125" style="23" customWidth="1"/>
    <col min="12291" max="12535" width="9.140625" style="23"/>
    <col min="12536" max="12536" width="8.7109375" style="23" customWidth="1"/>
    <col min="12537" max="12537" width="9.85546875" style="23" customWidth="1"/>
    <col min="12538" max="12538" width="14.42578125" style="23" customWidth="1"/>
    <col min="12539" max="12539" width="7.28515625" style="23" customWidth="1"/>
    <col min="12540" max="12540" width="5.5703125" style="23" customWidth="1"/>
    <col min="12541" max="12541" width="9" style="23" customWidth="1"/>
    <col min="12542" max="12543" width="9.85546875" style="23" customWidth="1"/>
    <col min="12544" max="12544" width="11.140625" style="23" customWidth="1"/>
    <col min="12545" max="12545" width="2.85546875" style="23" customWidth="1"/>
    <col min="12546" max="12546" width="3.5703125" style="23" customWidth="1"/>
    <col min="12547" max="12791" width="9.140625" style="23"/>
    <col min="12792" max="12792" width="8.7109375" style="23" customWidth="1"/>
    <col min="12793" max="12793" width="9.85546875" style="23" customWidth="1"/>
    <col min="12794" max="12794" width="14.42578125" style="23" customWidth="1"/>
    <col min="12795" max="12795" width="7.28515625" style="23" customWidth="1"/>
    <col min="12796" max="12796" width="5.5703125" style="23" customWidth="1"/>
    <col min="12797" max="12797" width="9" style="23" customWidth="1"/>
    <col min="12798" max="12799" width="9.85546875" style="23" customWidth="1"/>
    <col min="12800" max="12800" width="11.140625" style="23" customWidth="1"/>
    <col min="12801" max="12801" width="2.85546875" style="23" customWidth="1"/>
    <col min="12802" max="12802" width="3.5703125" style="23" customWidth="1"/>
    <col min="12803" max="13047" width="9.140625" style="23"/>
    <col min="13048" max="13048" width="8.7109375" style="23" customWidth="1"/>
    <col min="13049" max="13049" width="9.85546875" style="23" customWidth="1"/>
    <col min="13050" max="13050" width="14.42578125" style="23" customWidth="1"/>
    <col min="13051" max="13051" width="7.28515625" style="23" customWidth="1"/>
    <col min="13052" max="13052" width="5.5703125" style="23" customWidth="1"/>
    <col min="13053" max="13053" width="9" style="23" customWidth="1"/>
    <col min="13054" max="13055" width="9.85546875" style="23" customWidth="1"/>
    <col min="13056" max="13056" width="11.140625" style="23" customWidth="1"/>
    <col min="13057" max="13057" width="2.85546875" style="23" customWidth="1"/>
    <col min="13058" max="13058" width="3.5703125" style="23" customWidth="1"/>
    <col min="13059" max="13303" width="9.140625" style="23"/>
    <col min="13304" max="13304" width="8.7109375" style="23" customWidth="1"/>
    <col min="13305" max="13305" width="9.85546875" style="23" customWidth="1"/>
    <col min="13306" max="13306" width="14.42578125" style="23" customWidth="1"/>
    <col min="13307" max="13307" width="7.28515625" style="23" customWidth="1"/>
    <col min="13308" max="13308" width="5.5703125" style="23" customWidth="1"/>
    <col min="13309" max="13309" width="9" style="23" customWidth="1"/>
    <col min="13310" max="13311" width="9.85546875" style="23" customWidth="1"/>
    <col min="13312" max="13312" width="11.140625" style="23" customWidth="1"/>
    <col min="13313" max="13313" width="2.85546875" style="23" customWidth="1"/>
    <col min="13314" max="13314" width="3.5703125" style="23" customWidth="1"/>
    <col min="13315" max="13559" width="9.140625" style="23"/>
    <col min="13560" max="13560" width="8.7109375" style="23" customWidth="1"/>
    <col min="13561" max="13561" width="9.85546875" style="23" customWidth="1"/>
    <col min="13562" max="13562" width="14.42578125" style="23" customWidth="1"/>
    <col min="13563" max="13563" width="7.28515625" style="23" customWidth="1"/>
    <col min="13564" max="13564" width="5.5703125" style="23" customWidth="1"/>
    <col min="13565" max="13565" width="9" style="23" customWidth="1"/>
    <col min="13566" max="13567" width="9.85546875" style="23" customWidth="1"/>
    <col min="13568" max="13568" width="11.140625" style="23" customWidth="1"/>
    <col min="13569" max="13569" width="2.85546875" style="23" customWidth="1"/>
    <col min="13570" max="13570" width="3.5703125" style="23" customWidth="1"/>
    <col min="13571" max="13815" width="9.140625" style="23"/>
    <col min="13816" max="13816" width="8.7109375" style="23" customWidth="1"/>
    <col min="13817" max="13817" width="9.85546875" style="23" customWidth="1"/>
    <col min="13818" max="13818" width="14.42578125" style="23" customWidth="1"/>
    <col min="13819" max="13819" width="7.28515625" style="23" customWidth="1"/>
    <col min="13820" max="13820" width="5.5703125" style="23" customWidth="1"/>
    <col min="13821" max="13821" width="9" style="23" customWidth="1"/>
    <col min="13822" max="13823" width="9.85546875" style="23" customWidth="1"/>
    <col min="13824" max="13824" width="11.140625" style="23" customWidth="1"/>
    <col min="13825" max="13825" width="2.85546875" style="23" customWidth="1"/>
    <col min="13826" max="13826" width="3.5703125" style="23" customWidth="1"/>
    <col min="13827" max="14071" width="9.140625" style="23"/>
    <col min="14072" max="14072" width="8.7109375" style="23" customWidth="1"/>
    <col min="14073" max="14073" width="9.85546875" style="23" customWidth="1"/>
    <col min="14074" max="14074" width="14.42578125" style="23" customWidth="1"/>
    <col min="14075" max="14075" width="7.28515625" style="23" customWidth="1"/>
    <col min="14076" max="14076" width="5.5703125" style="23" customWidth="1"/>
    <col min="14077" max="14077" width="9" style="23" customWidth="1"/>
    <col min="14078" max="14079" width="9.85546875" style="23" customWidth="1"/>
    <col min="14080" max="14080" width="11.140625" style="23" customWidth="1"/>
    <col min="14081" max="14081" width="2.85546875" style="23" customWidth="1"/>
    <col min="14082" max="14082" width="3.5703125" style="23" customWidth="1"/>
    <col min="14083" max="14327" width="9.140625" style="23"/>
    <col min="14328" max="14328" width="8.7109375" style="23" customWidth="1"/>
    <col min="14329" max="14329" width="9.85546875" style="23" customWidth="1"/>
    <col min="14330" max="14330" width="14.42578125" style="23" customWidth="1"/>
    <col min="14331" max="14331" width="7.28515625" style="23" customWidth="1"/>
    <col min="14332" max="14332" width="5.5703125" style="23" customWidth="1"/>
    <col min="14333" max="14333" width="9" style="23" customWidth="1"/>
    <col min="14334" max="14335" width="9.85546875" style="23" customWidth="1"/>
    <col min="14336" max="14336" width="11.140625" style="23" customWidth="1"/>
    <col min="14337" max="14337" width="2.85546875" style="23" customWidth="1"/>
    <col min="14338" max="14338" width="3.5703125" style="23" customWidth="1"/>
    <col min="14339" max="14583" width="9.140625" style="23"/>
    <col min="14584" max="14584" width="8.7109375" style="23" customWidth="1"/>
    <col min="14585" max="14585" width="9.85546875" style="23" customWidth="1"/>
    <col min="14586" max="14586" width="14.42578125" style="23" customWidth="1"/>
    <col min="14587" max="14587" width="7.28515625" style="23" customWidth="1"/>
    <col min="14588" max="14588" width="5.5703125" style="23" customWidth="1"/>
    <col min="14589" max="14589" width="9" style="23" customWidth="1"/>
    <col min="14590" max="14591" width="9.85546875" style="23" customWidth="1"/>
    <col min="14592" max="14592" width="11.140625" style="23" customWidth="1"/>
    <col min="14593" max="14593" width="2.85546875" style="23" customWidth="1"/>
    <col min="14594" max="14594" width="3.5703125" style="23" customWidth="1"/>
    <col min="14595" max="14839" width="9.140625" style="23"/>
    <col min="14840" max="14840" width="8.7109375" style="23" customWidth="1"/>
    <col min="14841" max="14841" width="9.85546875" style="23" customWidth="1"/>
    <col min="14842" max="14842" width="14.42578125" style="23" customWidth="1"/>
    <col min="14843" max="14843" width="7.28515625" style="23" customWidth="1"/>
    <col min="14844" max="14844" width="5.5703125" style="23" customWidth="1"/>
    <col min="14845" max="14845" width="9" style="23" customWidth="1"/>
    <col min="14846" max="14847" width="9.85546875" style="23" customWidth="1"/>
    <col min="14848" max="14848" width="11.140625" style="23" customWidth="1"/>
    <col min="14849" max="14849" width="2.85546875" style="23" customWidth="1"/>
    <col min="14850" max="14850" width="3.5703125" style="23" customWidth="1"/>
    <col min="14851" max="15095" width="9.140625" style="23"/>
    <col min="15096" max="15096" width="8.7109375" style="23" customWidth="1"/>
    <col min="15097" max="15097" width="9.85546875" style="23" customWidth="1"/>
    <col min="15098" max="15098" width="14.42578125" style="23" customWidth="1"/>
    <col min="15099" max="15099" width="7.28515625" style="23" customWidth="1"/>
    <col min="15100" max="15100" width="5.5703125" style="23" customWidth="1"/>
    <col min="15101" max="15101" width="9" style="23" customWidth="1"/>
    <col min="15102" max="15103" width="9.85546875" style="23" customWidth="1"/>
    <col min="15104" max="15104" width="11.140625" style="23" customWidth="1"/>
    <col min="15105" max="15105" width="2.85546875" style="23" customWidth="1"/>
    <col min="15106" max="15106" width="3.5703125" style="23" customWidth="1"/>
    <col min="15107" max="15351" width="9.140625" style="23"/>
    <col min="15352" max="15352" width="8.7109375" style="23" customWidth="1"/>
    <col min="15353" max="15353" width="9.85546875" style="23" customWidth="1"/>
    <col min="15354" max="15354" width="14.42578125" style="23" customWidth="1"/>
    <col min="15355" max="15355" width="7.28515625" style="23" customWidth="1"/>
    <col min="15356" max="15356" width="5.5703125" style="23" customWidth="1"/>
    <col min="15357" max="15357" width="9" style="23" customWidth="1"/>
    <col min="15358" max="15359" width="9.85546875" style="23" customWidth="1"/>
    <col min="15360" max="15360" width="11.140625" style="23" customWidth="1"/>
    <col min="15361" max="15361" width="2.85546875" style="23" customWidth="1"/>
    <col min="15362" max="15362" width="3.5703125" style="23" customWidth="1"/>
    <col min="15363" max="15607" width="9.140625" style="23"/>
    <col min="15608" max="15608" width="8.7109375" style="23" customWidth="1"/>
    <col min="15609" max="15609" width="9.85546875" style="23" customWidth="1"/>
    <col min="15610" max="15610" width="14.42578125" style="23" customWidth="1"/>
    <col min="15611" max="15611" width="7.28515625" style="23" customWidth="1"/>
    <col min="15612" max="15612" width="5.5703125" style="23" customWidth="1"/>
    <col min="15613" max="15613" width="9" style="23" customWidth="1"/>
    <col min="15614" max="15615" width="9.85546875" style="23" customWidth="1"/>
    <col min="15616" max="15616" width="11.140625" style="23" customWidth="1"/>
    <col min="15617" max="15617" width="2.85546875" style="23" customWidth="1"/>
    <col min="15618" max="15618" width="3.5703125" style="23" customWidth="1"/>
    <col min="15619" max="15863" width="9.140625" style="23"/>
    <col min="15864" max="15864" width="8.7109375" style="23" customWidth="1"/>
    <col min="15865" max="15865" width="9.85546875" style="23" customWidth="1"/>
    <col min="15866" max="15866" width="14.42578125" style="23" customWidth="1"/>
    <col min="15867" max="15867" width="7.28515625" style="23" customWidth="1"/>
    <col min="15868" max="15868" width="5.5703125" style="23" customWidth="1"/>
    <col min="15869" max="15869" width="9" style="23" customWidth="1"/>
    <col min="15870" max="15871" width="9.85546875" style="23" customWidth="1"/>
    <col min="15872" max="15872" width="11.140625" style="23" customWidth="1"/>
    <col min="15873" max="15873" width="2.85546875" style="23" customWidth="1"/>
    <col min="15874" max="15874" width="3.5703125" style="23" customWidth="1"/>
    <col min="15875" max="16119" width="9.140625" style="23"/>
    <col min="16120" max="16120" width="8.7109375" style="23" customWidth="1"/>
    <col min="16121" max="16121" width="9.85546875" style="23" customWidth="1"/>
    <col min="16122" max="16122" width="14.42578125" style="23" customWidth="1"/>
    <col min="16123" max="16123" width="7.28515625" style="23" customWidth="1"/>
    <col min="16124" max="16124" width="5.5703125" style="23" customWidth="1"/>
    <col min="16125" max="16125" width="9" style="23" customWidth="1"/>
    <col min="16126" max="16127" width="9.85546875" style="23" customWidth="1"/>
    <col min="16128" max="16128" width="11.140625" style="23" customWidth="1"/>
    <col min="16129" max="16129" width="2.85546875" style="23" customWidth="1"/>
    <col min="16130" max="16130" width="3.5703125" style="23" customWidth="1"/>
    <col min="16131" max="16384" width="9.140625" style="23"/>
  </cols>
  <sheetData>
    <row r="1" spans="1:8" ht="46.5" customHeight="1" x14ac:dyDescent="0.25">
      <c r="A1" s="168" t="s">
        <v>240</v>
      </c>
      <c r="B1" s="168"/>
      <c r="C1" s="168"/>
      <c r="D1" s="168"/>
      <c r="E1" s="168"/>
      <c r="F1" s="168"/>
      <c r="G1" s="168"/>
      <c r="H1" s="168"/>
    </row>
    <row r="2" spans="1:8" ht="16.5" customHeight="1" x14ac:dyDescent="0.25">
      <c r="A2" s="96" t="s">
        <v>0</v>
      </c>
      <c r="B2" s="96"/>
      <c r="C2" s="96"/>
      <c r="D2" s="96"/>
      <c r="E2" s="96"/>
      <c r="F2" s="96"/>
      <c r="G2" s="96"/>
      <c r="H2" s="96"/>
    </row>
    <row r="3" spans="1:8" x14ac:dyDescent="0.25">
      <c r="A3" s="165" t="s">
        <v>1</v>
      </c>
      <c r="B3" s="165"/>
      <c r="C3" s="165"/>
      <c r="D3" s="165"/>
      <c r="E3" s="165" t="str">
        <f ca="1">TEXT(TODAY(),"DD/MM/YYYY")</f>
        <v>17/09/2025</v>
      </c>
      <c r="F3" s="165"/>
      <c r="G3" s="165"/>
      <c r="H3" s="165"/>
    </row>
    <row r="4" spans="1:8" ht="15" customHeight="1" x14ac:dyDescent="0.25">
      <c r="A4" s="165" t="s">
        <v>2</v>
      </c>
      <c r="B4" s="165"/>
      <c r="C4" s="165"/>
      <c r="D4" s="165"/>
      <c r="E4" s="165" t="s">
        <v>211</v>
      </c>
      <c r="F4" s="165"/>
      <c r="G4" s="165"/>
      <c r="H4" s="165"/>
    </row>
    <row r="5" spans="1:8" x14ac:dyDescent="0.25">
      <c r="A5" s="165" t="s">
        <v>3</v>
      </c>
      <c r="B5" s="165"/>
      <c r="C5" s="165"/>
      <c r="D5" s="165"/>
      <c r="E5" s="167">
        <v>45908</v>
      </c>
      <c r="F5" s="167"/>
      <c r="G5" s="167"/>
      <c r="H5" s="167"/>
    </row>
    <row r="6" spans="1:8" ht="16.5" customHeight="1" x14ac:dyDescent="0.25">
      <c r="A6" s="165" t="s">
        <v>4</v>
      </c>
      <c r="B6" s="165"/>
      <c r="C6" s="165"/>
      <c r="D6" s="165"/>
      <c r="E6" s="165" t="s">
        <v>212</v>
      </c>
      <c r="F6" s="165"/>
      <c r="G6" s="165"/>
      <c r="H6" s="165"/>
    </row>
    <row r="7" spans="1:8" ht="15" customHeight="1" x14ac:dyDescent="0.25">
      <c r="A7" s="165" t="s">
        <v>5</v>
      </c>
      <c r="B7" s="165"/>
      <c r="C7" s="165"/>
      <c r="D7" s="165"/>
      <c r="E7" s="165" t="str">
        <f>E6</f>
        <v>M/s. Infinity Associates</v>
      </c>
      <c r="F7" s="165"/>
      <c r="G7" s="165"/>
      <c r="H7" s="165"/>
    </row>
    <row r="8" spans="1:8" x14ac:dyDescent="0.25">
      <c r="A8" s="165" t="s">
        <v>6</v>
      </c>
      <c r="B8" s="165"/>
      <c r="C8" s="165"/>
      <c r="D8" s="165"/>
      <c r="E8" s="169" t="s">
        <v>213</v>
      </c>
      <c r="F8" s="169"/>
      <c r="G8" s="169"/>
      <c r="H8" s="169"/>
    </row>
    <row r="9" spans="1:8" x14ac:dyDescent="0.25">
      <c r="A9" s="165" t="s">
        <v>129</v>
      </c>
      <c r="B9" s="165"/>
      <c r="C9" s="165"/>
      <c r="D9" s="165"/>
      <c r="E9" s="165">
        <v>9833290876</v>
      </c>
      <c r="F9" s="165"/>
      <c r="G9" s="165"/>
      <c r="H9" s="165"/>
    </row>
    <row r="10" spans="1:8" x14ac:dyDescent="0.25">
      <c r="A10" s="165" t="s">
        <v>7</v>
      </c>
      <c r="B10" s="165"/>
      <c r="C10" s="165"/>
      <c r="D10" s="165"/>
      <c r="E10" s="165" t="s">
        <v>232</v>
      </c>
      <c r="F10" s="165"/>
      <c r="G10" s="165"/>
      <c r="H10" s="165"/>
    </row>
    <row r="11" spans="1:8" x14ac:dyDescent="0.25">
      <c r="A11" s="165" t="s">
        <v>8</v>
      </c>
      <c r="B11" s="165"/>
      <c r="C11" s="165"/>
      <c r="D11" s="165"/>
      <c r="E11" s="160" t="s">
        <v>214</v>
      </c>
      <c r="F11" s="160"/>
      <c r="G11" s="160"/>
      <c r="H11" s="160"/>
    </row>
    <row r="12" spans="1:8" x14ac:dyDescent="0.25">
      <c r="A12" s="165" t="s">
        <v>9</v>
      </c>
      <c r="B12" s="165"/>
      <c r="C12" s="165"/>
      <c r="D12" s="165"/>
      <c r="E12" s="160" t="s">
        <v>215</v>
      </c>
      <c r="F12" s="165"/>
      <c r="G12" s="165"/>
      <c r="H12" s="165"/>
    </row>
    <row r="13" spans="1:8" ht="35.25" customHeight="1" x14ac:dyDescent="0.25">
      <c r="A13" s="160" t="s">
        <v>10</v>
      </c>
      <c r="B13" s="160"/>
      <c r="C13" s="160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 - ",(IF(OR(G17="",G17="NA"),"",G17)),".")</f>
        <v>Infinity Residences, CTS No.184, 2/184, near Kingston Tower, G. D. Ambedkar road, Parel, Parel east, Mumbai, Mumbai - 400033.</v>
      </c>
      <c r="D13" s="160"/>
      <c r="E13" s="160"/>
      <c r="F13" s="160"/>
      <c r="G13" s="160"/>
      <c r="H13" s="160"/>
    </row>
    <row r="14" spans="1:8" x14ac:dyDescent="0.25">
      <c r="A14" s="160" t="s">
        <v>222</v>
      </c>
      <c r="B14" s="160"/>
      <c r="C14" s="160" t="s">
        <v>252</v>
      </c>
      <c r="D14" s="160"/>
      <c r="E14" s="160"/>
      <c r="F14" s="160"/>
      <c r="G14" s="160"/>
      <c r="H14" s="160"/>
    </row>
    <row r="15" spans="1:8" ht="15.75" customHeight="1" x14ac:dyDescent="0.25">
      <c r="A15" s="160" t="s">
        <v>11</v>
      </c>
      <c r="B15" s="160"/>
      <c r="C15" s="165" t="s">
        <v>216</v>
      </c>
      <c r="D15" s="165"/>
      <c r="E15" s="164" t="s">
        <v>77</v>
      </c>
      <c r="F15" s="164"/>
      <c r="G15" s="160" t="s">
        <v>217</v>
      </c>
      <c r="H15" s="160"/>
    </row>
    <row r="16" spans="1:8" x14ac:dyDescent="0.25">
      <c r="A16" s="165" t="s">
        <v>13</v>
      </c>
      <c r="B16" s="165"/>
      <c r="C16" s="160" t="s">
        <v>220</v>
      </c>
      <c r="D16" s="160"/>
      <c r="E16" s="164" t="s">
        <v>12</v>
      </c>
      <c r="F16" s="164"/>
      <c r="G16" s="166" t="s">
        <v>218</v>
      </c>
      <c r="H16" s="166"/>
    </row>
    <row r="17" spans="1:8" x14ac:dyDescent="0.25">
      <c r="A17" s="112" t="s">
        <v>78</v>
      </c>
      <c r="B17" s="112"/>
      <c r="C17" s="160" t="s">
        <v>218</v>
      </c>
      <c r="D17" s="160"/>
      <c r="E17" s="164" t="s">
        <v>14</v>
      </c>
      <c r="F17" s="164"/>
      <c r="G17" s="160">
        <v>400033</v>
      </c>
      <c r="H17" s="160"/>
    </row>
    <row r="18" spans="1:8" ht="32.25" customHeight="1" x14ac:dyDescent="0.25">
      <c r="A18" s="112" t="s">
        <v>130</v>
      </c>
      <c r="B18" s="112"/>
      <c r="C18" s="160" t="s">
        <v>221</v>
      </c>
      <c r="D18" s="160"/>
      <c r="E18" s="164" t="s">
        <v>15</v>
      </c>
      <c r="F18" s="164"/>
      <c r="G18" s="160" t="s">
        <v>219</v>
      </c>
      <c r="H18" s="160"/>
    </row>
    <row r="19" spans="1:8" ht="15" customHeight="1" x14ac:dyDescent="0.25">
      <c r="A19" s="164" t="s">
        <v>81</v>
      </c>
      <c r="B19" s="164"/>
      <c r="C19" s="164"/>
      <c r="D19" s="164"/>
      <c r="E19" s="165" t="s">
        <v>16</v>
      </c>
      <c r="F19" s="165"/>
      <c r="G19" s="165"/>
      <c r="H19" s="165"/>
    </row>
    <row r="20" spans="1:8" ht="18.75" customHeight="1" x14ac:dyDescent="0.25">
      <c r="A20" s="164"/>
      <c r="B20" s="164"/>
      <c r="C20" s="164"/>
      <c r="D20" s="164"/>
      <c r="E20" s="165"/>
      <c r="F20" s="165"/>
      <c r="G20" s="165"/>
      <c r="H20" s="165"/>
    </row>
    <row r="21" spans="1:8" ht="15" customHeight="1" x14ac:dyDescent="0.25">
      <c r="A21" s="164" t="s">
        <v>17</v>
      </c>
      <c r="B21" s="164"/>
      <c r="C21" s="164"/>
      <c r="D21" s="164"/>
      <c r="E21" s="160" t="s">
        <v>18</v>
      </c>
      <c r="F21" s="160"/>
      <c r="G21" s="160"/>
      <c r="H21" s="160"/>
    </row>
    <row r="22" spans="1:8" ht="15" customHeight="1" x14ac:dyDescent="0.25">
      <c r="A22" s="112" t="s">
        <v>19</v>
      </c>
      <c r="B22" s="112"/>
      <c r="C22" s="112"/>
      <c r="D22" s="112"/>
      <c r="E22" s="160" t="str">
        <f>IF(AND(G16="Mumbai"),"Upper Class","Middle Class")</f>
        <v>Upper Class</v>
      </c>
      <c r="F22" s="160"/>
      <c r="G22" s="160"/>
      <c r="H22" s="160"/>
    </row>
    <row r="23" spans="1:8" x14ac:dyDescent="0.25">
      <c r="A23" s="112" t="s">
        <v>20</v>
      </c>
      <c r="B23" s="112"/>
      <c r="C23" s="112"/>
      <c r="D23" s="112"/>
      <c r="E23" s="160" t="s">
        <v>21</v>
      </c>
      <c r="F23" s="160"/>
      <c r="G23" s="160"/>
      <c r="H23" s="160"/>
    </row>
    <row r="24" spans="1:8" ht="15.75" customHeight="1" x14ac:dyDescent="0.25">
      <c r="A24" s="112" t="s">
        <v>22</v>
      </c>
      <c r="B24" s="112"/>
      <c r="C24" s="112"/>
      <c r="D24" s="112"/>
      <c r="E24" s="160" t="str">
        <f>IF(AND(G16="Mumbai"),"Developed","Developing")</f>
        <v>Developed</v>
      </c>
      <c r="F24" s="160"/>
      <c r="G24" s="160"/>
      <c r="H24" s="160"/>
    </row>
    <row r="25" spans="1:8" x14ac:dyDescent="0.25">
      <c r="A25" s="112" t="s">
        <v>23</v>
      </c>
      <c r="B25" s="112"/>
      <c r="C25" s="112"/>
      <c r="D25" s="112"/>
      <c r="E25" s="160" t="s">
        <v>24</v>
      </c>
      <c r="F25" s="160"/>
      <c r="G25" s="160"/>
      <c r="H25" s="160"/>
    </row>
    <row r="26" spans="1:8" ht="15.75" customHeight="1" x14ac:dyDescent="0.25">
      <c r="A26" s="112" t="s">
        <v>86</v>
      </c>
      <c r="B26" s="112"/>
      <c r="C26" s="112"/>
      <c r="D26" s="112"/>
      <c r="E26" s="160" t="s">
        <v>87</v>
      </c>
      <c r="F26" s="160"/>
      <c r="G26" s="160"/>
      <c r="H26" s="160"/>
    </row>
    <row r="27" spans="1:8" ht="15" customHeight="1" x14ac:dyDescent="0.25">
      <c r="A27" s="112" t="s">
        <v>35</v>
      </c>
      <c r="B27" s="112"/>
      <c r="C27" s="112"/>
      <c r="D27" s="112"/>
      <c r="E27" s="160" t="str">
        <f>IF(AND(ISNUMBER(SEARCH("Flat",D53)),ISNUMBER(SEARCH("Shop",D53)),ISNUMBER(SEARCH("Office",D53))),"Residential + Commercial",IF(AND(ISNUMBER(SEARCH("Flat",D53)),ISNUMBER(SEARCH("Shop",D53))),"Residential + Commercial",IF(AND(ISNUMBER(SEARCH("Flat",D53)),ISNUMBER(SEARCH("Office",D53))),"Residential + Commercial",IF(AND(ISNUMBER(SEARCH("Shop",D53)),ISNUMBER(SEARCH("Office",D53))),"Commercial",IF(ISNUMBER(SEARCH("Shop",D53)),"Commercial",IF(ISNUMBER(SEARCH("Office",D53)),"Commercial",IF(ISNUMBER(SEARCH("Flat",D53)),"Residentail")))))))</f>
        <v>Residential + Commercial</v>
      </c>
      <c r="F27" s="160"/>
      <c r="G27" s="160"/>
      <c r="H27" s="160"/>
    </row>
    <row r="28" spans="1:8" ht="15.75" customHeight="1" x14ac:dyDescent="0.25">
      <c r="A28" s="112" t="s">
        <v>98</v>
      </c>
      <c r="B28" s="112"/>
      <c r="C28" s="112"/>
      <c r="D28" s="112"/>
      <c r="E28" s="160" t="s">
        <v>36</v>
      </c>
      <c r="F28" s="160"/>
      <c r="G28" s="160"/>
      <c r="H28" s="160"/>
    </row>
    <row r="29" spans="1:8" s="24" customFormat="1" x14ac:dyDescent="0.25">
      <c r="A29" s="155" t="s">
        <v>99</v>
      </c>
      <c r="B29" s="155"/>
      <c r="C29" s="151" t="s">
        <v>29</v>
      </c>
      <c r="D29" s="151"/>
      <c r="E29" s="151"/>
      <c r="F29" s="151" t="s">
        <v>31</v>
      </c>
      <c r="G29" s="151"/>
      <c r="H29" s="151"/>
    </row>
    <row r="30" spans="1:8" s="24" customFormat="1" x14ac:dyDescent="0.25">
      <c r="A30" s="154" t="s">
        <v>25</v>
      </c>
      <c r="B30" s="154" t="s">
        <v>30</v>
      </c>
      <c r="C30" s="150" t="s">
        <v>30</v>
      </c>
      <c r="D30" s="150"/>
      <c r="E30" s="150"/>
      <c r="F30" s="150" t="s">
        <v>223</v>
      </c>
      <c r="G30" s="150"/>
      <c r="H30" s="150"/>
    </row>
    <row r="31" spans="1:8" x14ac:dyDescent="0.25">
      <c r="A31" s="154" t="s">
        <v>26</v>
      </c>
      <c r="B31" s="154" t="s">
        <v>30</v>
      </c>
      <c r="C31" s="150" t="s">
        <v>30</v>
      </c>
      <c r="D31" s="150"/>
      <c r="E31" s="150"/>
      <c r="F31" s="150" t="s">
        <v>216</v>
      </c>
      <c r="G31" s="150"/>
      <c r="H31" s="150"/>
    </row>
    <row r="32" spans="1:8" s="24" customFormat="1" x14ac:dyDescent="0.25">
      <c r="A32" s="154" t="s">
        <v>28</v>
      </c>
      <c r="B32" s="154" t="s">
        <v>30</v>
      </c>
      <c r="C32" s="150" t="s">
        <v>30</v>
      </c>
      <c r="D32" s="150"/>
      <c r="E32" s="150"/>
      <c r="F32" s="150" t="s">
        <v>221</v>
      </c>
      <c r="G32" s="150"/>
      <c r="H32" s="150"/>
    </row>
    <row r="33" spans="1:8" x14ac:dyDescent="0.25">
      <c r="A33" s="154" t="s">
        <v>27</v>
      </c>
      <c r="B33" s="154" t="s">
        <v>30</v>
      </c>
      <c r="C33" s="150" t="s">
        <v>30</v>
      </c>
      <c r="D33" s="150"/>
      <c r="E33" s="150"/>
      <c r="F33" s="150" t="s">
        <v>224</v>
      </c>
      <c r="G33" s="150"/>
      <c r="H33" s="150"/>
    </row>
    <row r="34" spans="1:8" x14ac:dyDescent="0.25">
      <c r="A34" s="112" t="s">
        <v>32</v>
      </c>
      <c r="B34" s="112"/>
      <c r="C34" s="112"/>
      <c r="D34" s="112"/>
      <c r="E34" s="112"/>
      <c r="F34" s="112"/>
      <c r="G34" s="112"/>
      <c r="H34" s="112"/>
    </row>
    <row r="35" spans="1:8" ht="15.75" customHeight="1" x14ac:dyDescent="0.25">
      <c r="A35" s="96" t="s">
        <v>33</v>
      </c>
      <c r="B35" s="96"/>
      <c r="C35" s="152">
        <v>18.993479199999999</v>
      </c>
      <c r="D35" s="152"/>
      <c r="E35" s="96" t="s">
        <v>34</v>
      </c>
      <c r="F35" s="96"/>
      <c r="G35" s="153">
        <v>72.8426489</v>
      </c>
      <c r="H35" s="153"/>
    </row>
    <row r="36" spans="1:8" ht="15.75" customHeight="1" x14ac:dyDescent="0.25">
      <c r="A36" s="96" t="s">
        <v>238</v>
      </c>
      <c r="B36" s="96"/>
      <c r="C36" s="157" t="s">
        <v>239</v>
      </c>
      <c r="D36" s="158"/>
      <c r="E36" s="158"/>
      <c r="F36" s="158"/>
      <c r="G36" s="158"/>
      <c r="H36" s="159"/>
    </row>
    <row r="37" spans="1:8" x14ac:dyDescent="0.25">
      <c r="A37" s="156" t="s">
        <v>37</v>
      </c>
      <c r="B37" s="156"/>
      <c r="C37" s="156"/>
      <c r="D37" s="156"/>
      <c r="E37" s="156"/>
      <c r="F37" s="156"/>
      <c r="G37" s="156"/>
      <c r="H37" s="156"/>
    </row>
    <row r="38" spans="1:8" x14ac:dyDescent="0.25">
      <c r="A38" s="112" t="s">
        <v>38</v>
      </c>
      <c r="B38" s="112"/>
      <c r="C38" s="112"/>
      <c r="D38" s="112"/>
      <c r="E38" s="149">
        <v>3444.71</v>
      </c>
      <c r="F38" s="149"/>
      <c r="G38" s="149"/>
      <c r="H38" s="149"/>
    </row>
    <row r="39" spans="1:8" x14ac:dyDescent="0.25">
      <c r="A39" s="112" t="s">
        <v>39</v>
      </c>
      <c r="B39" s="112"/>
      <c r="C39" s="112"/>
      <c r="D39" s="112"/>
      <c r="E39" s="162">
        <v>4</v>
      </c>
      <c r="F39" s="162"/>
      <c r="G39" s="162"/>
      <c r="H39" s="162"/>
    </row>
    <row r="40" spans="1:8" x14ac:dyDescent="0.25">
      <c r="A40" s="112" t="s">
        <v>40</v>
      </c>
      <c r="B40" s="112"/>
      <c r="C40" s="112"/>
      <c r="D40" s="112"/>
      <c r="E40" s="162">
        <f>E42/E38-E39</f>
        <v>3.1573456110964342</v>
      </c>
      <c r="F40" s="162"/>
      <c r="G40" s="162"/>
      <c r="H40" s="162"/>
    </row>
    <row r="41" spans="1:8" x14ac:dyDescent="0.25">
      <c r="A41" s="112" t="s">
        <v>41</v>
      </c>
      <c r="B41" s="112"/>
      <c r="C41" s="112"/>
      <c r="D41" s="112"/>
      <c r="E41" s="162">
        <f>E39+E40</f>
        <v>7.1573456110964342</v>
      </c>
      <c r="F41" s="162"/>
      <c r="G41" s="162"/>
      <c r="H41" s="162"/>
    </row>
    <row r="42" spans="1:8" x14ac:dyDescent="0.25">
      <c r="A42" s="112" t="s">
        <v>97</v>
      </c>
      <c r="B42" s="112"/>
      <c r="C42" s="112"/>
      <c r="D42" s="112"/>
      <c r="E42" s="163">
        <v>24654.98</v>
      </c>
      <c r="F42" s="163"/>
      <c r="G42" s="163"/>
      <c r="H42" s="163"/>
    </row>
    <row r="43" spans="1:8" x14ac:dyDescent="0.25">
      <c r="A43" s="165" t="s">
        <v>42</v>
      </c>
      <c r="B43" s="165"/>
      <c r="C43" s="165"/>
      <c r="D43" s="165"/>
      <c r="E43" s="165" t="s">
        <v>225</v>
      </c>
      <c r="F43" s="165"/>
      <c r="G43" s="165"/>
      <c r="H43" s="165"/>
    </row>
    <row r="44" spans="1:8" x14ac:dyDescent="0.25">
      <c r="A44" s="156" t="s">
        <v>43</v>
      </c>
      <c r="B44" s="156"/>
      <c r="C44" s="156"/>
      <c r="D44" s="156"/>
      <c r="E44" s="156"/>
      <c r="F44" s="156"/>
      <c r="G44" s="156"/>
      <c r="H44" s="156"/>
    </row>
    <row r="45" spans="1:8" ht="33.75" customHeight="1" x14ac:dyDescent="0.25">
      <c r="A45" s="74" t="s">
        <v>159</v>
      </c>
      <c r="B45" s="76"/>
      <c r="C45" s="100" t="s">
        <v>226</v>
      </c>
      <c r="D45" s="101"/>
      <c r="E45" s="101"/>
      <c r="F45" s="101"/>
      <c r="G45" s="101"/>
      <c r="H45" s="102"/>
    </row>
    <row r="46" spans="1:8" ht="31.5" customHeight="1" x14ac:dyDescent="0.25">
      <c r="A46" s="74" t="s">
        <v>44</v>
      </c>
      <c r="B46" s="76"/>
      <c r="C46" s="74" t="s">
        <v>227</v>
      </c>
      <c r="D46" s="75"/>
      <c r="E46" s="76"/>
      <c r="F46" s="20" t="s">
        <v>45</v>
      </c>
      <c r="G46" s="175">
        <v>44644</v>
      </c>
      <c r="H46" s="76"/>
    </row>
    <row r="47" spans="1:8" ht="31.5" customHeight="1" x14ac:dyDescent="0.25">
      <c r="A47" s="74" t="s">
        <v>46</v>
      </c>
      <c r="B47" s="76"/>
      <c r="C47" s="74" t="s">
        <v>227</v>
      </c>
      <c r="D47" s="75"/>
      <c r="E47" s="76"/>
      <c r="F47" s="20" t="s">
        <v>45</v>
      </c>
      <c r="G47" s="175">
        <v>44644</v>
      </c>
      <c r="H47" s="76"/>
    </row>
    <row r="48" spans="1:8" s="25" customFormat="1" ht="15.75" customHeight="1" x14ac:dyDescent="0.25">
      <c r="A48" s="176" t="s">
        <v>163</v>
      </c>
      <c r="B48" s="177"/>
      <c r="C48" s="74" t="s">
        <v>228</v>
      </c>
      <c r="D48" s="75"/>
      <c r="E48" s="76"/>
      <c r="F48" s="20" t="s">
        <v>45</v>
      </c>
      <c r="G48" s="175">
        <f>G47</f>
        <v>44644</v>
      </c>
      <c r="H48" s="180"/>
    </row>
    <row r="49" spans="1:14" s="25" customFormat="1" ht="33.75" customHeight="1" x14ac:dyDescent="0.25">
      <c r="A49" s="178"/>
      <c r="B49" s="179"/>
      <c r="C49" s="74" t="s">
        <v>229</v>
      </c>
      <c r="D49" s="75"/>
      <c r="E49" s="75"/>
      <c r="F49" s="75"/>
      <c r="G49" s="75"/>
      <c r="H49" s="76"/>
    </row>
    <row r="50" spans="1:14" x14ac:dyDescent="0.25">
      <c r="A50" s="209" t="s">
        <v>47</v>
      </c>
      <c r="B50" s="210"/>
      <c r="C50" s="209" t="s">
        <v>112</v>
      </c>
      <c r="D50" s="211"/>
      <c r="E50" s="210"/>
      <c r="F50" s="54" t="s">
        <v>45</v>
      </c>
      <c r="G50" s="213" t="s">
        <v>30</v>
      </c>
      <c r="H50" s="214"/>
    </row>
    <row r="51" spans="1:14" x14ac:dyDescent="0.25">
      <c r="A51" s="212" t="s">
        <v>49</v>
      </c>
      <c r="B51" s="212"/>
      <c r="C51" s="212"/>
      <c r="D51" s="212"/>
      <c r="E51" s="212"/>
      <c r="F51" s="212"/>
      <c r="G51" s="212"/>
      <c r="H51" s="212"/>
    </row>
    <row r="52" spans="1:14" x14ac:dyDescent="0.25">
      <c r="A52" s="164" t="s">
        <v>96</v>
      </c>
      <c r="B52" s="164"/>
      <c r="C52" s="164"/>
      <c r="D52" s="112">
        <f>E42</f>
        <v>24654.98</v>
      </c>
      <c r="E52" s="112"/>
      <c r="F52" s="112"/>
      <c r="G52" s="112"/>
      <c r="H52" s="112"/>
    </row>
    <row r="53" spans="1:14" x14ac:dyDescent="0.25">
      <c r="A53" s="160" t="s">
        <v>50</v>
      </c>
      <c r="B53" s="165"/>
      <c r="C53" s="165"/>
      <c r="D53" s="165" t="s">
        <v>210</v>
      </c>
      <c r="E53" s="165"/>
      <c r="F53" s="165"/>
      <c r="G53" s="165"/>
      <c r="H53" s="165"/>
      <c r="I53" s="26"/>
    </row>
    <row r="54" spans="1:14" x14ac:dyDescent="0.25">
      <c r="A54" s="172" t="s">
        <v>51</v>
      </c>
      <c r="B54" s="173"/>
      <c r="C54" s="174"/>
      <c r="D54" s="170" t="s">
        <v>233</v>
      </c>
      <c r="E54" s="171"/>
      <c r="F54" s="171"/>
      <c r="G54" s="171"/>
      <c r="H54" s="171"/>
    </row>
    <row r="55" spans="1:14" ht="15.75" customHeight="1" x14ac:dyDescent="0.25">
      <c r="A55" s="172" t="s">
        <v>94</v>
      </c>
      <c r="B55" s="173"/>
      <c r="C55" s="173"/>
      <c r="D55" s="203" t="s">
        <v>248</v>
      </c>
      <c r="E55" s="204"/>
      <c r="F55" s="204"/>
      <c r="G55" s="204"/>
      <c r="H55" s="205"/>
    </row>
    <row r="56" spans="1:14" ht="15.75" customHeight="1" x14ac:dyDescent="0.25">
      <c r="A56" s="201"/>
      <c r="B56" s="202"/>
      <c r="C56" s="202"/>
      <c r="D56" s="206" t="s">
        <v>234</v>
      </c>
      <c r="E56" s="207"/>
      <c r="F56" s="207"/>
      <c r="G56" s="207"/>
      <c r="H56" s="208"/>
    </row>
    <row r="57" spans="1:14" ht="15.75" customHeight="1" x14ac:dyDescent="0.25">
      <c r="A57" s="112" t="s">
        <v>48</v>
      </c>
      <c r="B57" s="112"/>
      <c r="C57" s="112"/>
      <c r="D57" s="160" t="s">
        <v>230</v>
      </c>
      <c r="E57" s="160"/>
      <c r="F57" s="160"/>
      <c r="G57" s="160"/>
      <c r="H57" s="160"/>
      <c r="J57" s="27"/>
      <c r="K57" s="26"/>
      <c r="N57" s="26"/>
    </row>
    <row r="58" spans="1:14" ht="15.75" customHeight="1" x14ac:dyDescent="0.25">
      <c r="A58" s="112" t="s">
        <v>92</v>
      </c>
      <c r="B58" s="112"/>
      <c r="C58" s="112"/>
      <c r="D58" s="161" t="str">
        <f>(IF(G50="NA","60 Years After Completion",IF(G50&lt;&gt;"NA",""&amp;60-ROUNDDOWN((E3-G50)/360,0)&amp;" Years"," ")))</f>
        <v>60 Years After Completion</v>
      </c>
      <c r="E58" s="161"/>
      <c r="F58" s="161"/>
      <c r="G58" s="161"/>
      <c r="H58" s="161"/>
      <c r="N58" s="26"/>
    </row>
    <row r="59" spans="1:14" ht="15.75" customHeight="1" x14ac:dyDescent="0.25">
      <c r="A59" s="112" t="s">
        <v>93</v>
      </c>
      <c r="B59" s="112"/>
      <c r="C59" s="112"/>
      <c r="D59" s="160" t="s">
        <v>24</v>
      </c>
      <c r="E59" s="160"/>
      <c r="F59" s="160"/>
      <c r="G59" s="160"/>
      <c r="H59" s="160"/>
      <c r="J59" s="16"/>
      <c r="K59" s="16"/>
    </row>
    <row r="60" spans="1:14" ht="15" customHeight="1" x14ac:dyDescent="0.25">
      <c r="A60" s="112" t="s">
        <v>79</v>
      </c>
      <c r="B60" s="112"/>
      <c r="C60" s="112"/>
      <c r="D60" s="160" t="s">
        <v>237</v>
      </c>
      <c r="E60" s="164"/>
      <c r="F60" s="164"/>
      <c r="G60" s="164"/>
      <c r="H60" s="164"/>
    </row>
    <row r="61" spans="1:14" x14ac:dyDescent="0.25">
      <c r="A61" s="164" t="s">
        <v>156</v>
      </c>
      <c r="B61" s="164"/>
      <c r="C61" s="164"/>
      <c r="D61" s="164" t="s">
        <v>30</v>
      </c>
      <c r="E61" s="164"/>
      <c r="F61" s="164"/>
      <c r="G61" s="164"/>
      <c r="H61" s="164"/>
      <c r="I61" s="28"/>
      <c r="J61" s="28"/>
      <c r="K61" s="28"/>
      <c r="L61" s="28"/>
      <c r="M61" s="28"/>
      <c r="N61" s="28"/>
    </row>
    <row r="62" spans="1:14" ht="15.75" customHeight="1" x14ac:dyDescent="0.25">
      <c r="A62" s="190" t="s">
        <v>91</v>
      </c>
      <c r="B62" s="190"/>
      <c r="C62" s="190"/>
      <c r="D62" s="170" t="str">
        <f ca="1">(IF(G68&gt;95%,"Nothing",IF(G68&gt;0%,"Cement, Aggregate, Steel, etc",IF(G68=0%,"Work not yet Started"))))</f>
        <v>Cement, Aggregate, Steel, etc</v>
      </c>
      <c r="E62" s="170"/>
      <c r="F62" s="170"/>
      <c r="G62" s="170"/>
      <c r="H62" s="170"/>
      <c r="J62" s="16"/>
    </row>
    <row r="63" spans="1:14" ht="33.75" customHeight="1" thickBot="1" x14ac:dyDescent="0.3">
      <c r="A63" s="189" t="s">
        <v>125</v>
      </c>
      <c r="B63" s="189"/>
      <c r="C63" s="189"/>
      <c r="D63" s="170" t="str">
        <f ca="1">(IF(D62="Nothing","Yes",IF(D62="Cement, Aggregate, Steel, etc","Under Construction",IF(D62="Work not yet Started","Work not yet Started"))))</f>
        <v>Under Construction</v>
      </c>
      <c r="E63" s="170"/>
      <c r="F63" s="170" t="str">
        <f ca="1">(IF(D62="Nothing","Yes",IF(D62="Cement, Aggregate, Steel, etc","Under Construction",IF(D62="Work not yet Started","Work not yet Started"))))</f>
        <v>Under Construction</v>
      </c>
      <c r="G63" s="170"/>
      <c r="H63" s="170"/>
    </row>
    <row r="64" spans="1:14" ht="15.75" customHeight="1" x14ac:dyDescent="0.25">
      <c r="A64" s="182" t="s">
        <v>148</v>
      </c>
      <c r="B64" s="183"/>
      <c r="C64" s="184" t="str">
        <f>D55</f>
        <v>Wing B = 4B + G/St + 1st to 39th Floor</v>
      </c>
      <c r="D64" s="185"/>
      <c r="E64" s="185"/>
      <c r="F64" s="185"/>
      <c r="G64" s="185"/>
      <c r="H64" s="186"/>
      <c r="I64" s="58" t="str">
        <f ca="1">IF(D77=100%,"All work Completed. Possession granted to the Building.",IF(D76=100%,"All work Completed, Waiting for OC",I65&amp;""&amp;I66&amp;""&amp;J65&amp;""&amp;J64&amp;" "&amp;J66))</f>
        <v>Excavation, Plinth Completed, RCC upto 30 Slab, Brickwork upto 25 Floor, Internal Plaster upto 14 Floor, External Plaster upto 11 Floor, Flooring upto 4 Floor Completed</v>
      </c>
      <c r="J64" s="59" t="str">
        <f ca="1">(IF(C70=(D65+F65+H65),"",IF(C70&gt;0,", RCC upto "&amp;C70&amp;" Slab","")))&amp;(IF(C71=H65,"",IF(C71&gt;0,", Brickwork upto "&amp;C71&amp;" Floor","")))&amp;(IF(C72=H65,"",IF(C72&gt;0,", Internal Plaster upto "&amp;C72&amp;" Floor","")))&amp;(IF(C73=H65,"",IF(C73&gt;0,", External Plaster upto "&amp;C73&amp;" Floor","")))&amp;(IF(C74=H65,"",IF(C74&gt;0,", Flooring upto "&amp;C74&amp;" Floor","")))&amp;(IF(C75=H65,"",IF(C75&gt;0,", Painting upto "&amp;C75&amp;" Floor","")))&amp;(IF(C76=H65,"",IF(C76&gt;0,", Finishing upto "&amp;C76&amp;" Floor","")))&amp;(IF(C77=H65,"",IF(C77&gt;0,", Possession upto "&amp;C77&amp;" Floor","")))</f>
        <v>, RCC upto 30 Slab, Brickwork upto 25 Floor, Internal Plaster upto 14 Floor, External Plaster upto 11 Floor, Flooring upto 4 Floor</v>
      </c>
    </row>
    <row r="65" spans="1:10" x14ac:dyDescent="0.25">
      <c r="A65" s="18" t="s">
        <v>150</v>
      </c>
      <c r="B65" s="56">
        <v>4</v>
      </c>
      <c r="C65" s="56" t="s">
        <v>76</v>
      </c>
      <c r="D65" s="56">
        <v>1</v>
      </c>
      <c r="E65" s="56" t="s">
        <v>75</v>
      </c>
      <c r="F65" s="56">
        <v>0</v>
      </c>
      <c r="G65" s="56" t="s">
        <v>85</v>
      </c>
      <c r="H65" s="19">
        <f ca="1">--TRIM(RIGHT(SUBSTITUTE(LEFT(C64,_xlfn.AGGREGATE(16,6,FIND({0,1,2,3,4,5,6,7,8,9},C64,ROW(INDIRECT("1:"&amp;LEN(C64)))),1))," ",REPT(" ",LEN(C64))),LEN(C64)))</f>
        <v>39</v>
      </c>
      <c r="I65" s="60" t="str">
        <f ca="1">IF(D68=100%,"Excavation","")&amp;IF(D69=100%,", Plinth","")&amp;IF(D70=100%,", RCC Slab","")&amp;IF(D71=100%,", Brickwork","")&amp;IF(D72=100%,", Internal Plaster","")&amp;IF(D73=100%,", External Plaster","")&amp;IF(D74=100%,", Flooring","")&amp;IF(D75=100%,", Painting","")&amp;IF(D76=100%,", Building common Amenities","")</f>
        <v>Excavation, Plinth</v>
      </c>
      <c r="J65" s="61" t="str">
        <f ca="1">(IF(C68=0,"Work not yet Started.",IF(D68=25%,"Piling work in process",IF(D68=50%,"Excavation work in process",IF(D68=100%,"","0")))))&amp;(IF(C69=0%,"",IF(C69=J70,", Footing work is process",IF(C69=J71,", Footing work Completed",IF(C69=J72,", 1st Basement Completed",IF(C69=J73,", 1st &amp; 2nd Basement Completed",IF(C69=J74,", 1st to 3rd Basement Completed",IF(C69=J75,", 1st to 4th Basement Completed",IF(C69=J76,", Plinth work is process",IF(C69=J77,"","0"))))))))))</f>
        <v/>
      </c>
    </row>
    <row r="66" spans="1:10" ht="48" customHeight="1" x14ac:dyDescent="0.25">
      <c r="A66" s="181" t="s">
        <v>95</v>
      </c>
      <c r="B66" s="169"/>
      <c r="C66" s="187" t="str">
        <f ca="1">(IF($G$50="NA",I64,"All work Completed. OC Received."))</f>
        <v>Excavation, Plinth Completed, RCC upto 30 Slab, Brickwork upto 25 Floor, Internal Plaster upto 14 Floor, External Plaster upto 11 Floor, Flooring upto 4 Floor Completed</v>
      </c>
      <c r="D66" s="187"/>
      <c r="E66" s="187"/>
      <c r="F66" s="187"/>
      <c r="G66" s="187"/>
      <c r="H66" s="188"/>
      <c r="I66" s="60" t="str">
        <f ca="1">IF(I65&lt;&gt;""," Completed","")</f>
        <v xml:space="preserve"> Completed</v>
      </c>
      <c r="J66" s="61" t="str">
        <f ca="1">IF(J64&lt;&gt;"","Completed","")</f>
        <v>Completed</v>
      </c>
    </row>
    <row r="67" spans="1:10" ht="15.75" customHeight="1" x14ac:dyDescent="0.25">
      <c r="A67" s="126" t="s">
        <v>52</v>
      </c>
      <c r="B67" s="127"/>
      <c r="C67" s="53" t="s">
        <v>147</v>
      </c>
      <c r="D67" s="53" t="s">
        <v>88</v>
      </c>
      <c r="E67" s="127" t="s">
        <v>90</v>
      </c>
      <c r="F67" s="127"/>
      <c r="G67" s="127" t="s">
        <v>89</v>
      </c>
      <c r="H67" s="191"/>
      <c r="I67" s="14" t="s">
        <v>149</v>
      </c>
      <c r="J67" s="31">
        <f ca="1">H65*25%</f>
        <v>9.75</v>
      </c>
    </row>
    <row r="68" spans="1:10" x14ac:dyDescent="0.25">
      <c r="A68" s="126" t="s">
        <v>136</v>
      </c>
      <c r="B68" s="127"/>
      <c r="C68" s="48">
        <f ca="1">J69</f>
        <v>39</v>
      </c>
      <c r="D68" s="49">
        <f ca="1">((100/H65)*C68)/100</f>
        <v>1.0000000000000002</v>
      </c>
      <c r="E68" s="137">
        <f ca="1">(((C69/H65*10)+(40/(D65+F65+H65)*C70)+(7.5/(H65)*C71)+(7.5/(H65)*C72)+(10/H65*C73)+(10/H65*C74)+(5/H65*C75)+(5/H65*C76)+(5/H65*C77))/100)</f>
        <v>0.51346153846153841</v>
      </c>
      <c r="F68" s="138"/>
      <c r="G68" s="137">
        <f ca="1">((((C68/H65)*20)+((C69/H65)*25)+(30/(H65+F65+D65)*C70)+(5/H65*C71)+(5/H65*C72)+(5/H65*C73)+(5/H65*C74)+(0/H65*C75)+(0/H65*C76)+(5/H65*C77))/100)</f>
        <v>0.74423076923076925</v>
      </c>
      <c r="H68" s="143"/>
      <c r="I68" s="14" t="s">
        <v>106</v>
      </c>
      <c r="J68" s="32">
        <f ca="1">H65*50%</f>
        <v>19.5</v>
      </c>
    </row>
    <row r="69" spans="1:10" x14ac:dyDescent="0.25">
      <c r="A69" s="126" t="s">
        <v>53</v>
      </c>
      <c r="B69" s="127"/>
      <c r="C69" s="48">
        <v>39</v>
      </c>
      <c r="D69" s="49">
        <f ca="1">((100/H65)*C69)/100</f>
        <v>1.0000000000000002</v>
      </c>
      <c r="E69" s="139"/>
      <c r="F69" s="140"/>
      <c r="G69" s="139"/>
      <c r="H69" s="144"/>
      <c r="I69" s="14" t="s">
        <v>107</v>
      </c>
      <c r="J69" s="32">
        <f ca="1">H65</f>
        <v>39</v>
      </c>
    </row>
    <row r="70" spans="1:10" ht="15.75" customHeight="1" x14ac:dyDescent="0.25">
      <c r="A70" s="126" t="s">
        <v>137</v>
      </c>
      <c r="B70" s="127"/>
      <c r="C70" s="53">
        <v>30</v>
      </c>
      <c r="D70" s="49">
        <f ca="1">((100/(D65+F65+H65))*C70)/100</f>
        <v>0.75</v>
      </c>
      <c r="E70" s="139"/>
      <c r="F70" s="140"/>
      <c r="G70" s="139"/>
      <c r="H70" s="144"/>
      <c r="I70" s="14" t="s">
        <v>108</v>
      </c>
      <c r="J70" s="33">
        <f ca="1">(IF(B65&gt;1,(H65/(B65+2)),H65/4))</f>
        <v>6.5</v>
      </c>
    </row>
    <row r="71" spans="1:10" ht="15.75" customHeight="1" x14ac:dyDescent="0.25">
      <c r="A71" s="126" t="s">
        <v>144</v>
      </c>
      <c r="B71" s="127" t="s">
        <v>138</v>
      </c>
      <c r="C71" s="53">
        <v>25</v>
      </c>
      <c r="D71" s="49">
        <f ca="1">((100/H65)*C71)/100</f>
        <v>0.64102564102564097</v>
      </c>
      <c r="E71" s="139"/>
      <c r="F71" s="140"/>
      <c r="G71" s="139"/>
      <c r="H71" s="144"/>
      <c r="I71" s="14" t="s">
        <v>109</v>
      </c>
      <c r="J71" s="33">
        <f ca="1">(IF(B65&gt;1,(H65/(B65+2)+J70),H65/4+J70))</f>
        <v>13</v>
      </c>
    </row>
    <row r="72" spans="1:10" ht="15.75" customHeight="1" x14ac:dyDescent="0.25">
      <c r="A72" s="126" t="s">
        <v>145</v>
      </c>
      <c r="B72" s="127" t="s">
        <v>138</v>
      </c>
      <c r="C72" s="53">
        <v>14</v>
      </c>
      <c r="D72" s="49">
        <f ca="1">((100/H65)*C72)/100</f>
        <v>0.35897435897435898</v>
      </c>
      <c r="E72" s="139"/>
      <c r="F72" s="140"/>
      <c r="G72" s="139"/>
      <c r="H72" s="144"/>
      <c r="I72" s="14" t="s">
        <v>154</v>
      </c>
      <c r="J72" s="33">
        <f ca="1">(IF(B65&gt;1,(H65/(B65+2)+J71),0))</f>
        <v>19.5</v>
      </c>
    </row>
    <row r="73" spans="1:10" ht="15" customHeight="1" x14ac:dyDescent="0.25">
      <c r="A73" s="126" t="s">
        <v>143</v>
      </c>
      <c r="B73" s="127" t="s">
        <v>140</v>
      </c>
      <c r="C73" s="53">
        <v>11</v>
      </c>
      <c r="D73" s="49">
        <f ca="1">((100/(H65))*C73)/100</f>
        <v>0.2820512820512821</v>
      </c>
      <c r="E73" s="139"/>
      <c r="F73" s="140"/>
      <c r="G73" s="139"/>
      <c r="H73" s="144"/>
      <c r="I73" s="14" t="s">
        <v>151</v>
      </c>
      <c r="J73" s="33">
        <f ca="1">(IF(B65&gt;2,(H65/(B65+2)+J72),0))</f>
        <v>26</v>
      </c>
    </row>
    <row r="74" spans="1:10" ht="15.75" customHeight="1" x14ac:dyDescent="0.25">
      <c r="A74" s="126" t="s">
        <v>139</v>
      </c>
      <c r="B74" s="127" t="s">
        <v>139</v>
      </c>
      <c r="C74" s="53">
        <v>4</v>
      </c>
      <c r="D74" s="49">
        <f ca="1">((100/H65)*C74)/100</f>
        <v>0.10256410256410257</v>
      </c>
      <c r="E74" s="139"/>
      <c r="F74" s="140"/>
      <c r="G74" s="139"/>
      <c r="H74" s="144"/>
      <c r="I74" s="14" t="s">
        <v>152</v>
      </c>
      <c r="J74" s="34">
        <f ca="1">(IF(B65&gt;3,(H65/(B65+2)+J73),0))</f>
        <v>32.5</v>
      </c>
    </row>
    <row r="75" spans="1:10" ht="15.75" customHeight="1" x14ac:dyDescent="0.25">
      <c r="A75" s="126" t="s">
        <v>146</v>
      </c>
      <c r="B75" s="127"/>
      <c r="C75" s="53">
        <v>0</v>
      </c>
      <c r="D75" s="49">
        <f ca="1">((100/H65)*C75)/100</f>
        <v>0</v>
      </c>
      <c r="E75" s="139"/>
      <c r="F75" s="140"/>
      <c r="G75" s="139"/>
      <c r="H75" s="144"/>
      <c r="I75" s="14" t="s">
        <v>153</v>
      </c>
      <c r="J75" s="33">
        <f>(IF(B65&gt;4,(H65/(B65+2)+J74),0))</f>
        <v>0</v>
      </c>
    </row>
    <row r="76" spans="1:10" ht="15.75" customHeight="1" x14ac:dyDescent="0.25">
      <c r="A76" s="126" t="s">
        <v>141</v>
      </c>
      <c r="B76" s="127" t="s">
        <v>141</v>
      </c>
      <c r="C76" s="53">
        <v>0</v>
      </c>
      <c r="D76" s="49">
        <f ca="1">((100/(H65))*C76)/100</f>
        <v>0</v>
      </c>
      <c r="E76" s="139"/>
      <c r="F76" s="140"/>
      <c r="G76" s="139"/>
      <c r="H76" s="144"/>
      <c r="I76" s="14" t="s">
        <v>155</v>
      </c>
      <c r="J76" s="33">
        <f>(IF(B65=1,(H65/(B65+3)+J71),IF(B65=0,(H65/4+J71),IF(B65&gt;1,0))))</f>
        <v>0</v>
      </c>
    </row>
    <row r="77" spans="1:10" ht="16.5" thickBot="1" x14ac:dyDescent="0.3">
      <c r="A77" s="146" t="s">
        <v>142</v>
      </c>
      <c r="B77" s="147"/>
      <c r="C77" s="57">
        <v>0</v>
      </c>
      <c r="D77" s="50">
        <f ca="1">((100/(H65))*C77)/100</f>
        <v>0</v>
      </c>
      <c r="E77" s="141"/>
      <c r="F77" s="142"/>
      <c r="G77" s="141"/>
      <c r="H77" s="145"/>
      <c r="I77" s="17" t="s">
        <v>110</v>
      </c>
      <c r="J77" s="35">
        <f ca="1">(IF(B65&gt;1.5,(H65/(B65+2)+J71+MAX(0,J72-J71)+MAX(0,J73-J72)+MAX(0,J74-J73)+MAX(0,J75-J74)+MAX(0,J76-J75)),IF(B65=1,(H65/(B65+3)+J76),IF(B65=0,H65/4+J76))))</f>
        <v>39</v>
      </c>
    </row>
    <row r="78" spans="1:10" ht="15.75" customHeight="1" x14ac:dyDescent="0.25">
      <c r="A78" s="216" t="s">
        <v>148</v>
      </c>
      <c r="B78" s="217"/>
      <c r="C78" s="218" t="str">
        <f>D56</f>
        <v>Wing C = 4B + G/St + 1st to 39th Floor</v>
      </c>
      <c r="D78" s="219"/>
      <c r="E78" s="219"/>
      <c r="F78" s="219"/>
      <c r="G78" s="219"/>
      <c r="H78" s="220"/>
      <c r="I78" s="15" t="str">
        <f ca="1">(IF(E82&gt;99%,"All work completed. Please provide OC.",IF(E82&gt;89.8%,"Plinth, RCC, Brick, Plaster, Flooring, Painting work Completed. Finishing work is in process.",IF(E82&lt;94%,(IF(C82=0,"Work not yet Started.",IF(D82=25%,"Piling work in process",IF(D82=50%,"Excavation work in process",IF(D82=100%,"Excavation work Completed. ","0")))&amp;(IF(C83=0%,"",IF(C83=J84,"Footing work is process",IF(C83=J85,"Footing work Completed",IF(C83=J86,"1st Basement Completed",IF(C83=J87,"1st &amp; 2nd Basement Completed",IF(C83=J88,"1st to 3rd Basement Completed",IF(C83=J89,"1st to 4th Basement Completed",IF(C83=J90,"Plinth work is process",IF(C83=J91,"Plinth work completed","0")))))))))))&amp;(IF(C84=(D79+F79+H79),", RCC Slab Completed",IF(C84&gt;0,", RCC upto "&amp;C84&amp;" Slab Completed",""))&amp;(IF(C85=H79,", Brickwork Completed",IF(C85&gt;0,", Brickwork upto "&amp;C85&amp;" Floor Completed",""))&amp;(IF(C86=H79,", Internal Plaster Completed",IF(C86&gt;0,", Internal Plaster upto "&amp;C86&amp;" Floor Completed",""))&amp;(IF(C87=H79,", External Plaster Completed",IF(C87&gt;0,", External Plaster upto "&amp;C87&amp;" Floor Completed",""))&amp;(IF(C88=H79,", Flooring Completed",IF(C88&gt;0,", Flooring upto "&amp;C88&amp;" Floor Completed",""))&amp;(IF(C89=H79,", Painting Completed",IF(C89&gt;0,", Painting upto "&amp;C89&amp;" Floor Completed",""))&amp;(IF(C90&gt;0,", Finishing upto "&amp;C90&amp;" Floor Completed","")&amp;(IF(C84&gt;0.5,".",""))))))))))))))</f>
        <v>Excavation work Completed. Plinth work completed, RCC upto 30 Slab Completed, Brickwork upto 27 Floor Completed, Internal Plaster upto 20 Floor Completed, External Plaster upto 11 Floor Completed, Flooring upto 6 Floor Completed.</v>
      </c>
      <c r="J78" s="29"/>
    </row>
    <row r="79" spans="1:10" x14ac:dyDescent="0.25">
      <c r="A79" s="66" t="s">
        <v>150</v>
      </c>
      <c r="B79" s="67">
        <v>4</v>
      </c>
      <c r="C79" s="67" t="s">
        <v>76</v>
      </c>
      <c r="D79" s="67">
        <v>1</v>
      </c>
      <c r="E79" s="67" t="s">
        <v>75</v>
      </c>
      <c r="F79" s="67">
        <v>0</v>
      </c>
      <c r="G79" s="67" t="s">
        <v>85</v>
      </c>
      <c r="H79" s="68">
        <f ca="1">--TRIM(RIGHT(SUBSTITUTE(LEFT(C78,_xlfn.AGGREGATE(16,6,FIND({0,1,2,3,4,5,6,7,8,9},C78,ROW(INDIRECT("1:"&amp;LEN(C78)))),1))," ",REPT(" ",LEN(C78))),LEN(C78)))</f>
        <v>39</v>
      </c>
      <c r="I79" s="16"/>
      <c r="J79" s="30"/>
    </row>
    <row r="80" spans="1:10" ht="67.900000000000006" customHeight="1" x14ac:dyDescent="0.25">
      <c r="A80" s="86" t="s">
        <v>95</v>
      </c>
      <c r="B80" s="87"/>
      <c r="C80" s="116" t="str">
        <f ca="1">(IF($G$50="NA",I78,"All work Completed. OC Received."))</f>
        <v>Excavation work Completed. Plinth work completed, RCC upto 30 Slab Completed, Brickwork upto 27 Floor Completed, Internal Plaster upto 20 Floor Completed, External Plaster upto 11 Floor Completed, Flooring upto 6 Floor Completed.</v>
      </c>
      <c r="D80" s="116"/>
      <c r="E80" s="116"/>
      <c r="F80" s="116"/>
      <c r="G80" s="116"/>
      <c r="H80" s="117"/>
      <c r="I80" s="16" t="s">
        <v>111</v>
      </c>
      <c r="J80" s="30"/>
    </row>
    <row r="81" spans="1:13" ht="15.75" customHeight="1" x14ac:dyDescent="0.25">
      <c r="A81" s="109" t="s">
        <v>52</v>
      </c>
      <c r="B81" s="110"/>
      <c r="C81" s="64" t="s">
        <v>147</v>
      </c>
      <c r="D81" s="64" t="s">
        <v>88</v>
      </c>
      <c r="E81" s="110" t="s">
        <v>90</v>
      </c>
      <c r="F81" s="110"/>
      <c r="G81" s="110" t="s">
        <v>89</v>
      </c>
      <c r="H81" s="118"/>
      <c r="I81" s="14" t="s">
        <v>149</v>
      </c>
      <c r="J81" s="31">
        <f ca="1">H79*25%</f>
        <v>9.75</v>
      </c>
    </row>
    <row r="82" spans="1:13" x14ac:dyDescent="0.25">
      <c r="A82" s="109" t="s">
        <v>136</v>
      </c>
      <c r="B82" s="110"/>
      <c r="C82" s="64">
        <f ca="1">J83</f>
        <v>39</v>
      </c>
      <c r="D82" s="21">
        <f ca="1">((100/H79)*C82)/100</f>
        <v>1.0000000000000002</v>
      </c>
      <c r="E82" s="103">
        <f ca="1">(((C83/H79*10)+(40/(D79+F79+H79)*C84)+(7.5/(H79)*C85)+(7.5/(H79)*C86)+(10/H79*C87)+(10/H79*C88)+(5/H79*C89)+(5/H79*C90)+(5/H79*C91))/100)</f>
        <v>0.53397435897435896</v>
      </c>
      <c r="F82" s="132"/>
      <c r="G82" s="103">
        <f ca="1">((((C82/H79)*20)+((C83/H79)*25)+(30/(H79+F79+D79)*C84)+(5/H79*C85)+(5/H79*C86)+(5/H79*C87)+(5/H79*C88)+(0/H79*C89)+(0/H79*C90)+(5/H79*C91))/100)</f>
        <v>0.75705128205128214</v>
      </c>
      <c r="H82" s="104"/>
      <c r="I82" s="14" t="s">
        <v>106</v>
      </c>
      <c r="J82" s="32">
        <f ca="1">H79*50%</f>
        <v>19.5</v>
      </c>
    </row>
    <row r="83" spans="1:13" x14ac:dyDescent="0.25">
      <c r="A83" s="109" t="s">
        <v>53</v>
      </c>
      <c r="B83" s="110"/>
      <c r="C83" s="64">
        <f ca="1">J91</f>
        <v>39</v>
      </c>
      <c r="D83" s="21">
        <f ca="1">((100/H79)*C83)/100</f>
        <v>1.0000000000000002</v>
      </c>
      <c r="E83" s="105"/>
      <c r="F83" s="133"/>
      <c r="G83" s="105"/>
      <c r="H83" s="106"/>
      <c r="I83" s="14" t="s">
        <v>107</v>
      </c>
      <c r="J83" s="32">
        <f ca="1">H79</f>
        <v>39</v>
      </c>
    </row>
    <row r="84" spans="1:13" ht="15.75" customHeight="1" x14ac:dyDescent="0.25">
      <c r="A84" s="109" t="s">
        <v>137</v>
      </c>
      <c r="B84" s="110"/>
      <c r="C84" s="64">
        <v>30</v>
      </c>
      <c r="D84" s="21">
        <f ca="1">((100/(D79+F79+H79))*C84)/100</f>
        <v>0.75</v>
      </c>
      <c r="E84" s="105"/>
      <c r="F84" s="133"/>
      <c r="G84" s="105"/>
      <c r="H84" s="106"/>
      <c r="I84" s="14" t="s">
        <v>108</v>
      </c>
      <c r="J84" s="33">
        <f ca="1">(IF(B79&gt;1,(H79/(B79+2)),H79/4))</f>
        <v>6.5</v>
      </c>
    </row>
    <row r="85" spans="1:13" ht="15.75" customHeight="1" x14ac:dyDescent="0.25">
      <c r="A85" s="109" t="s">
        <v>144</v>
      </c>
      <c r="B85" s="110" t="s">
        <v>138</v>
      </c>
      <c r="C85" s="64">
        <v>27</v>
      </c>
      <c r="D85" s="21">
        <f ca="1">((100/H79)*C85)/100</f>
        <v>0.6923076923076924</v>
      </c>
      <c r="E85" s="105"/>
      <c r="F85" s="133"/>
      <c r="G85" s="105"/>
      <c r="H85" s="106"/>
      <c r="I85" s="14" t="s">
        <v>109</v>
      </c>
      <c r="J85" s="33">
        <f ca="1">(IF(B79&gt;1,(H79/(B79+2)+J84),H79/4+J84))</f>
        <v>13</v>
      </c>
    </row>
    <row r="86" spans="1:13" ht="15.75" customHeight="1" x14ac:dyDescent="0.25">
      <c r="A86" s="109" t="s">
        <v>145</v>
      </c>
      <c r="B86" s="110" t="s">
        <v>138</v>
      </c>
      <c r="C86" s="64">
        <v>20</v>
      </c>
      <c r="D86" s="21">
        <f ca="1">((100/H79)*C86)/100</f>
        <v>0.51282051282051289</v>
      </c>
      <c r="E86" s="105"/>
      <c r="F86" s="133"/>
      <c r="G86" s="105"/>
      <c r="H86" s="106"/>
      <c r="I86" s="14" t="s">
        <v>154</v>
      </c>
      <c r="J86" s="33">
        <f ca="1">(IF(B79&gt;1,(H79/(B79+2)+J85),0))</f>
        <v>19.5</v>
      </c>
    </row>
    <row r="87" spans="1:13" ht="15" customHeight="1" x14ac:dyDescent="0.25">
      <c r="A87" s="109" t="s">
        <v>143</v>
      </c>
      <c r="B87" s="110" t="s">
        <v>140</v>
      </c>
      <c r="C87" s="64">
        <v>11</v>
      </c>
      <c r="D87" s="21">
        <f ca="1">((100/(H79))*C87)/100</f>
        <v>0.2820512820512821</v>
      </c>
      <c r="E87" s="105"/>
      <c r="F87" s="133"/>
      <c r="G87" s="105"/>
      <c r="H87" s="106"/>
      <c r="I87" s="14" t="s">
        <v>151</v>
      </c>
      <c r="J87" s="33">
        <f ca="1">(IF(B79&gt;2,(H79/(B79+2)+J86),0))</f>
        <v>26</v>
      </c>
    </row>
    <row r="88" spans="1:13" ht="15.75" customHeight="1" x14ac:dyDescent="0.25">
      <c r="A88" s="109" t="s">
        <v>139</v>
      </c>
      <c r="B88" s="110" t="s">
        <v>139</v>
      </c>
      <c r="C88" s="64">
        <v>6</v>
      </c>
      <c r="D88" s="21">
        <f ca="1">((100/H79)*C88)/100</f>
        <v>0.15384615384615385</v>
      </c>
      <c r="E88" s="105"/>
      <c r="F88" s="133"/>
      <c r="G88" s="105"/>
      <c r="H88" s="106"/>
      <c r="I88" s="14" t="s">
        <v>152</v>
      </c>
      <c r="J88" s="34">
        <f ca="1">(IF(B79&gt;3,(H79/(B79+2)+J87),0))</f>
        <v>32.5</v>
      </c>
    </row>
    <row r="89" spans="1:13" ht="15.75" customHeight="1" x14ac:dyDescent="0.25">
      <c r="A89" s="109" t="s">
        <v>146</v>
      </c>
      <c r="B89" s="110"/>
      <c r="C89" s="64">
        <v>0</v>
      </c>
      <c r="D89" s="21">
        <f ca="1">((100/H79)*C89)/100</f>
        <v>0</v>
      </c>
      <c r="E89" s="105"/>
      <c r="F89" s="133"/>
      <c r="G89" s="105"/>
      <c r="H89" s="106"/>
      <c r="I89" s="14" t="s">
        <v>153</v>
      </c>
      <c r="J89" s="33">
        <f>(IF(B79&gt;4,(H79/(B79+2)+J88),0))</f>
        <v>0</v>
      </c>
    </row>
    <row r="90" spans="1:13" ht="15.75" customHeight="1" x14ac:dyDescent="0.25">
      <c r="A90" s="109" t="s">
        <v>141</v>
      </c>
      <c r="B90" s="110" t="s">
        <v>141</v>
      </c>
      <c r="C90" s="64">
        <v>0</v>
      </c>
      <c r="D90" s="21">
        <f ca="1">((100/(H79))*C90)/100</f>
        <v>0</v>
      </c>
      <c r="E90" s="105"/>
      <c r="F90" s="133"/>
      <c r="G90" s="105"/>
      <c r="H90" s="106"/>
      <c r="I90" s="14" t="s">
        <v>155</v>
      </c>
      <c r="J90" s="33">
        <f>(IF(B79=1,(H79/(B79+3)+J85),IF(B79=0,(H79/4+J85),IF(B79&gt;1,0))))</f>
        <v>0</v>
      </c>
    </row>
    <row r="91" spans="1:13" ht="16.5" thickBot="1" x14ac:dyDescent="0.3">
      <c r="A91" s="135" t="s">
        <v>142</v>
      </c>
      <c r="B91" s="136"/>
      <c r="C91" s="65">
        <v>0</v>
      </c>
      <c r="D91" s="22">
        <f ca="1">((100/(H79))*C91)/100</f>
        <v>0</v>
      </c>
      <c r="E91" s="107"/>
      <c r="F91" s="134"/>
      <c r="G91" s="107"/>
      <c r="H91" s="108"/>
      <c r="I91" s="17" t="s">
        <v>110</v>
      </c>
      <c r="J91" s="35">
        <f ca="1">(IF(B79&gt;1.5,(H79/(B79+2)+J85+MAX(0,J86-J85)+MAX(0,J87-J86)+MAX(0,J88-J87)+MAX(0,J89-J88)+MAX(0,J90-J89)),IF(B79=1,(H79/(B79+3)+J90),IF(B79=0,H79/4+J90))))</f>
        <v>39</v>
      </c>
    </row>
    <row r="92" spans="1:13" x14ac:dyDescent="0.25">
      <c r="A92" s="119" t="s">
        <v>165</v>
      </c>
      <c r="B92" s="119"/>
      <c r="C92" s="119"/>
      <c r="D92" s="119"/>
      <c r="E92" s="119"/>
      <c r="F92" s="120" t="s">
        <v>170</v>
      </c>
      <c r="G92" s="120"/>
      <c r="H92" s="120"/>
    </row>
    <row r="93" spans="1:13" x14ac:dyDescent="0.25">
      <c r="A93" s="112" t="s">
        <v>168</v>
      </c>
      <c r="B93" s="112"/>
      <c r="C93" s="112"/>
      <c r="D93" s="112"/>
      <c r="E93" s="112"/>
      <c r="F93" s="111">
        <v>22500</v>
      </c>
      <c r="G93" s="111"/>
      <c r="H93" s="111"/>
      <c r="I93" s="62" t="s">
        <v>241</v>
      </c>
      <c r="J93" s="62" t="s">
        <v>242</v>
      </c>
      <c r="K93" s="62" t="s">
        <v>243</v>
      </c>
      <c r="L93" s="63">
        <v>45100</v>
      </c>
      <c r="M93" s="62" t="s">
        <v>244</v>
      </c>
    </row>
    <row r="94" spans="1:13" x14ac:dyDescent="0.25">
      <c r="A94" s="112" t="s">
        <v>167</v>
      </c>
      <c r="B94" s="112"/>
      <c r="C94" s="112"/>
      <c r="D94" s="112"/>
      <c r="E94" s="112"/>
      <c r="F94" s="111">
        <v>28000</v>
      </c>
      <c r="G94" s="111"/>
      <c r="H94" s="111"/>
    </row>
    <row r="95" spans="1:13" hidden="1" x14ac:dyDescent="0.25">
      <c r="A95" s="112" t="s">
        <v>169</v>
      </c>
      <c r="B95" s="112"/>
      <c r="C95" s="112"/>
      <c r="D95" s="112"/>
      <c r="E95" s="112"/>
      <c r="F95" s="111"/>
      <c r="G95" s="111"/>
      <c r="H95" s="111"/>
    </row>
    <row r="96" spans="1:13" s="36" customFormat="1" hidden="1" x14ac:dyDescent="0.25">
      <c r="A96" s="112" t="s">
        <v>166</v>
      </c>
      <c r="B96" s="112"/>
      <c r="C96" s="112"/>
      <c r="D96" s="112"/>
      <c r="E96" s="112"/>
      <c r="F96" s="111"/>
      <c r="G96" s="111"/>
      <c r="H96" s="111"/>
    </row>
    <row r="97" spans="1:8" s="36" customFormat="1" hidden="1" x14ac:dyDescent="0.25">
      <c r="A97" s="112" t="s">
        <v>100</v>
      </c>
      <c r="B97" s="112"/>
      <c r="C97" s="112"/>
      <c r="D97" s="112"/>
      <c r="E97" s="112"/>
      <c r="F97" s="111"/>
      <c r="G97" s="111"/>
      <c r="H97" s="111"/>
    </row>
    <row r="98" spans="1:8" s="36" customFormat="1" hidden="1" x14ac:dyDescent="0.25">
      <c r="A98" s="112" t="s">
        <v>101</v>
      </c>
      <c r="B98" s="112"/>
      <c r="C98" s="112"/>
      <c r="D98" s="112"/>
      <c r="E98" s="112"/>
      <c r="F98" s="111"/>
      <c r="G98" s="111"/>
      <c r="H98" s="111"/>
    </row>
    <row r="99" spans="1:8" s="36" customFormat="1" hidden="1" x14ac:dyDescent="0.25">
      <c r="A99" s="112" t="s">
        <v>171</v>
      </c>
      <c r="B99" s="112"/>
      <c r="C99" s="112"/>
      <c r="D99" s="112"/>
      <c r="E99" s="112"/>
      <c r="F99" s="111"/>
      <c r="G99" s="111"/>
      <c r="H99" s="111"/>
    </row>
    <row r="100" spans="1:8" s="36" customFormat="1" hidden="1" x14ac:dyDescent="0.25">
      <c r="A100" s="112" t="s">
        <v>102</v>
      </c>
      <c r="B100" s="112"/>
      <c r="C100" s="112"/>
      <c r="D100" s="112"/>
      <c r="E100" s="112"/>
      <c r="F100" s="111"/>
      <c r="G100" s="111"/>
      <c r="H100" s="111"/>
    </row>
    <row r="101" spans="1:8" s="36" customFormat="1" hidden="1" x14ac:dyDescent="0.25">
      <c r="A101" s="112" t="s">
        <v>103</v>
      </c>
      <c r="B101" s="112"/>
      <c r="C101" s="112"/>
      <c r="D101" s="112"/>
      <c r="E101" s="112"/>
      <c r="F101" s="111"/>
      <c r="G101" s="111"/>
      <c r="H101" s="111"/>
    </row>
    <row r="102" spans="1:8" s="36" customFormat="1" hidden="1" x14ac:dyDescent="0.25">
      <c r="A102" s="112" t="s">
        <v>104</v>
      </c>
      <c r="B102" s="112"/>
      <c r="C102" s="112"/>
      <c r="D102" s="112"/>
      <c r="E102" s="112"/>
      <c r="F102" s="111"/>
      <c r="G102" s="111"/>
      <c r="H102" s="111"/>
    </row>
    <row r="103" spans="1:8" s="36" customFormat="1" hidden="1" x14ac:dyDescent="0.25">
      <c r="A103" s="112" t="s">
        <v>105</v>
      </c>
      <c r="B103" s="112"/>
      <c r="C103" s="112"/>
      <c r="D103" s="112"/>
      <c r="E103" s="112"/>
      <c r="F103" s="111"/>
      <c r="G103" s="111"/>
      <c r="H103" s="111"/>
    </row>
    <row r="104" spans="1:8" x14ac:dyDescent="0.25">
      <c r="A104" s="112" t="s">
        <v>54</v>
      </c>
      <c r="B104" s="112"/>
      <c r="C104" s="112"/>
      <c r="D104" s="112"/>
      <c r="E104" s="112"/>
      <c r="F104" s="111">
        <v>800000</v>
      </c>
      <c r="G104" s="111"/>
      <c r="H104" s="111"/>
    </row>
    <row r="105" spans="1:8" s="37" customFormat="1" x14ac:dyDescent="0.25">
      <c r="A105" s="156" t="s">
        <v>55</v>
      </c>
      <c r="B105" s="156"/>
      <c r="C105" s="156"/>
      <c r="D105" s="156"/>
      <c r="E105" s="156"/>
      <c r="F105" s="111">
        <f>F93*0.8</f>
        <v>18000</v>
      </c>
      <c r="G105" s="111"/>
      <c r="H105" s="111"/>
    </row>
    <row r="106" spans="1:8" s="38" customFormat="1" ht="15.75" customHeight="1" x14ac:dyDescent="0.25">
      <c r="A106" s="194" t="s">
        <v>80</v>
      </c>
      <c r="B106" s="194"/>
      <c r="C106" s="194"/>
      <c r="D106" s="194"/>
      <c r="E106" s="194"/>
      <c r="F106" s="194"/>
      <c r="G106" s="194"/>
      <c r="H106" s="194"/>
    </row>
    <row r="107" spans="1:8" s="38" customFormat="1" ht="15.75" customHeight="1" x14ac:dyDescent="0.25">
      <c r="A107" s="115" t="s">
        <v>56</v>
      </c>
      <c r="B107" s="115"/>
      <c r="C107" s="148" t="s">
        <v>83</v>
      </c>
      <c r="D107" s="148"/>
      <c r="E107" s="197" t="s">
        <v>57</v>
      </c>
      <c r="F107" s="197"/>
      <c r="G107" s="115" t="s">
        <v>58</v>
      </c>
      <c r="H107" s="115"/>
    </row>
    <row r="108" spans="1:8" s="38" customFormat="1" x14ac:dyDescent="0.25">
      <c r="A108" s="45" t="s">
        <v>245</v>
      </c>
      <c r="B108" s="45" t="s">
        <v>204</v>
      </c>
      <c r="C108" s="198">
        <f>COUNT(D123:D127)</f>
        <v>5</v>
      </c>
      <c r="D108" s="93"/>
      <c r="E108" s="94">
        <f>SUM(D123:D127)</f>
        <v>702.45863999999995</v>
      </c>
      <c r="F108" s="199"/>
      <c r="G108" s="94">
        <f>SUM(F123:F127)</f>
        <v>1123.9338240000002</v>
      </c>
      <c r="H108" s="199"/>
    </row>
    <row r="109" spans="1:8" s="38" customFormat="1" x14ac:dyDescent="0.25">
      <c r="A109" s="194" t="s">
        <v>74</v>
      </c>
      <c r="B109" s="194"/>
      <c r="C109" s="194"/>
      <c r="D109" s="194"/>
      <c r="E109" s="194"/>
      <c r="F109" s="194"/>
      <c r="G109" s="194"/>
      <c r="H109" s="194"/>
    </row>
    <row r="110" spans="1:8" s="38" customFormat="1" ht="15.75" customHeight="1" x14ac:dyDescent="0.25">
      <c r="A110" s="115" t="s">
        <v>56</v>
      </c>
      <c r="B110" s="115"/>
      <c r="C110" s="148" t="s">
        <v>83</v>
      </c>
      <c r="D110" s="148"/>
      <c r="E110" s="197" t="s">
        <v>57</v>
      </c>
      <c r="F110" s="197"/>
      <c r="G110" s="115" t="s">
        <v>58</v>
      </c>
      <c r="H110" s="115"/>
    </row>
    <row r="111" spans="1:8" s="38" customFormat="1" x14ac:dyDescent="0.25">
      <c r="A111" s="69" t="s">
        <v>246</v>
      </c>
      <c r="B111" s="47" t="s">
        <v>206</v>
      </c>
      <c r="C111" s="93">
        <f>COUNT(D139:D144)*5+COUNT(D155:D156)*16</f>
        <v>62</v>
      </c>
      <c r="D111" s="93"/>
      <c r="E111" s="94">
        <f>SUM(D139:D144)*5+SUM(D155:D156)*16</f>
        <v>18606.219839999998</v>
      </c>
      <c r="F111" s="94"/>
      <c r="G111" s="94">
        <f>SUM(F139:F144)*5+SUM(F155:F156)*16</f>
        <v>28839.640751999996</v>
      </c>
      <c r="H111" s="94"/>
    </row>
    <row r="112" spans="1:8" s="38" customFormat="1" x14ac:dyDescent="0.25">
      <c r="A112" s="70"/>
      <c r="B112" s="47" t="s">
        <v>207</v>
      </c>
      <c r="C112" s="93">
        <f>COUNT(D148:D151)*3+COUNT(D153:D154,D157:D158)*16+COUNT(D160:D165)+COUNT(D167:D172)*9+COUNT(D176:D179)+COUNT(D182:D186)+COUNT(D188:D193)</f>
        <v>151</v>
      </c>
      <c r="D112" s="93"/>
      <c r="E112" s="94">
        <f>SUM(D148:D151)*3+SUM(D153:D154,D157:D158)*16+SUM(D160:D165)+SUM(D167:D172)*9+SUM(D176:D179)+SUM(D182:D186)+SUM(D188:D193)</f>
        <v>45140.620823999991</v>
      </c>
      <c r="F112" s="94"/>
      <c r="G112" s="94">
        <f>SUM(F148:F151)*3+SUM(F153:F154,F157:F158)*16+SUM(F160:F165)+SUM(F167:F172)*9+SUM(F176:F179)+SUM(F182:F186)+SUM(F188:F193)</f>
        <v>69967.962277199986</v>
      </c>
      <c r="H112" s="94"/>
    </row>
    <row r="113" spans="1:14" s="38" customFormat="1" x14ac:dyDescent="0.25">
      <c r="A113" s="69" t="s">
        <v>245</v>
      </c>
      <c r="B113" s="47" t="s">
        <v>206</v>
      </c>
      <c r="C113" s="93">
        <f>COUNT(D209:D220)+COUNT(D222:D234)*5+COUNT(D236:D239,D243:D248)*3+COUNT(D264:D267,D276)+COUNT(D278:D290)*8+COUNT(D292:D296,D299:D304)</f>
        <v>227</v>
      </c>
      <c r="D113" s="93"/>
      <c r="E113" s="94">
        <f>SUM(D209:D220)+SUM(D222:D234)*5+SUM(D236:D239,D243:D248)*3+SUM(D264:D267,D276)+SUM(D278:D290)*8+SUM(D292:D296,D299:D304)</f>
        <v>67738.662529199981</v>
      </c>
      <c r="F113" s="94"/>
      <c r="G113" s="94">
        <f>SUM(F209:F220)+SUM(F222:F234)*5+SUM(F236:F239,F243:F248)*3+SUM(F264:F267,F276)+SUM(F278:F290)*8+SUM(F292:F296,F299:F304)</f>
        <v>104994.92692026</v>
      </c>
      <c r="H113" s="94"/>
    </row>
    <row r="114" spans="1:14" s="38" customFormat="1" x14ac:dyDescent="0.25">
      <c r="A114" s="70"/>
      <c r="B114" s="47" t="s">
        <v>207</v>
      </c>
      <c r="C114" s="93">
        <f>COUNT(D250:D262)*8+COUNT(D268:D275)+COUNT(D297:D298)+COUNT(D306:D318)*9+COUNT(D320:D323,D327:D332)+COUNT(D334:D337,D340:D346)+COUNT(D348:D351,D357:D360)</f>
        <v>260</v>
      </c>
      <c r="D114" s="93"/>
      <c r="E114" s="94">
        <f>SUM(D250:D262)*8+SUM(D268:D275)+SUM(D297:D298)+SUM(D306:D318)*9+SUM(D320:D323,D327:D332)+SUM(D334:D337,D340:D346)+SUM(D348:D351,D357:D360)</f>
        <v>77587.364088000002</v>
      </c>
      <c r="F114" s="94"/>
      <c r="G114" s="94">
        <f>SUM(F250:F262)*8+SUM(F268:F275)+SUM(F297:F298)+SUM(F306:F318)*9+SUM(F320:F323,F327:F332)+SUM(F334:F337,F340:F346)+SUM(F348:F351,F357:F360)</f>
        <v>120260.4143364</v>
      </c>
      <c r="H114" s="94"/>
    </row>
    <row r="115" spans="1:14" s="38" customFormat="1" x14ac:dyDescent="0.25">
      <c r="A115" s="194" t="s">
        <v>158</v>
      </c>
      <c r="B115" s="194"/>
      <c r="C115" s="148">
        <f>SUM(C111:D114)</f>
        <v>700</v>
      </c>
      <c r="D115" s="148"/>
      <c r="E115" s="200">
        <f>SUM(E111:F114)</f>
        <v>209072.86728119999</v>
      </c>
      <c r="F115" s="197"/>
      <c r="G115" s="115">
        <f>SUM(G111:H114)</f>
        <v>324062.94428585999</v>
      </c>
      <c r="H115" s="115"/>
    </row>
    <row r="116" spans="1:14" s="37" customFormat="1" x14ac:dyDescent="0.25">
      <c r="A116" s="96" t="s">
        <v>59</v>
      </c>
      <c r="B116" s="96"/>
      <c r="C116" s="96"/>
      <c r="D116" s="96"/>
      <c r="E116" s="96"/>
      <c r="F116" s="96"/>
      <c r="G116" s="96"/>
      <c r="H116" s="96"/>
    </row>
    <row r="117" spans="1:14" x14ac:dyDescent="0.25">
      <c r="A117" s="96" t="s">
        <v>60</v>
      </c>
      <c r="B117" s="96"/>
      <c r="C117" s="96"/>
      <c r="D117" s="96"/>
      <c r="E117" s="96"/>
      <c r="F117" s="96"/>
      <c r="G117" s="96"/>
      <c r="H117" s="96"/>
    </row>
    <row r="118" spans="1:14" ht="47.25" customHeight="1" x14ac:dyDescent="0.25">
      <c r="A118" s="113" t="s">
        <v>127</v>
      </c>
      <c r="B118" s="113" t="s">
        <v>176</v>
      </c>
      <c r="C118" s="113" t="s">
        <v>61</v>
      </c>
      <c r="D118" s="113" t="s">
        <v>62</v>
      </c>
      <c r="E118" s="128" t="s">
        <v>164</v>
      </c>
      <c r="F118" s="52" t="s">
        <v>157</v>
      </c>
      <c r="G118" s="124" t="s">
        <v>64</v>
      </c>
      <c r="H118" s="130"/>
    </row>
    <row r="119" spans="1:14" s="40" customFormat="1" x14ac:dyDescent="0.25">
      <c r="A119" s="114"/>
      <c r="B119" s="114"/>
      <c r="C119" s="114"/>
      <c r="D119" s="114"/>
      <c r="E119" s="129"/>
      <c r="F119" s="13">
        <v>0.6</v>
      </c>
      <c r="G119" s="125"/>
      <c r="H119" s="131"/>
    </row>
    <row r="120" spans="1:14" x14ac:dyDescent="0.25">
      <c r="A120" s="96" t="s">
        <v>174</v>
      </c>
      <c r="B120" s="96"/>
      <c r="C120" s="96"/>
      <c r="D120" s="96"/>
      <c r="E120" s="96"/>
      <c r="F120" s="96"/>
      <c r="G120" s="96"/>
      <c r="H120" s="96"/>
    </row>
    <row r="121" spans="1:14" x14ac:dyDescent="0.25">
      <c r="A121" s="96" t="s">
        <v>235</v>
      </c>
      <c r="B121" s="96"/>
      <c r="C121" s="96"/>
      <c r="D121" s="96"/>
      <c r="E121" s="96"/>
      <c r="F121" s="96"/>
      <c r="G121" s="96"/>
      <c r="H121" s="96"/>
    </row>
    <row r="122" spans="1:14" s="40" customFormat="1" x14ac:dyDescent="0.25">
      <c r="A122" s="77" t="s">
        <v>175</v>
      </c>
      <c r="B122" s="78"/>
      <c r="C122" s="78"/>
      <c r="D122" s="78"/>
      <c r="E122" s="78"/>
      <c r="F122" s="78"/>
      <c r="G122" s="78"/>
      <c r="H122" s="79"/>
      <c r="J122" s="39"/>
    </row>
    <row r="123" spans="1:14" s="40" customFormat="1" x14ac:dyDescent="0.25">
      <c r="A123" s="55">
        <v>1</v>
      </c>
      <c r="B123" s="55" t="s">
        <v>177</v>
      </c>
      <c r="C123" s="55" t="s">
        <v>178</v>
      </c>
      <c r="D123" s="55">
        <f>(11.07)*10.764</f>
        <v>119.15747999999999</v>
      </c>
      <c r="E123" s="55">
        <v>0</v>
      </c>
      <c r="F123" s="55">
        <f>(D123+E123)*(($F$119)+1)</f>
        <v>190.65196800000001</v>
      </c>
      <c r="G123" s="71" t="str">
        <f>A122</f>
        <v>Ground Floor for Commercial</v>
      </c>
      <c r="H123" s="73"/>
      <c r="I123" s="39"/>
      <c r="L123" s="95"/>
      <c r="M123" s="95"/>
      <c r="N123" s="39"/>
    </row>
    <row r="124" spans="1:14" s="40" customFormat="1" x14ac:dyDescent="0.25">
      <c r="A124" s="55">
        <v>2</v>
      </c>
      <c r="B124" s="55" t="s">
        <v>177</v>
      </c>
      <c r="C124" s="55" t="s">
        <v>178</v>
      </c>
      <c r="D124" s="55">
        <f>(20.92)*10.764</f>
        <v>225.18288000000001</v>
      </c>
      <c r="E124" s="55">
        <v>0</v>
      </c>
      <c r="F124" s="55">
        <f t="shared" ref="F124:F126" si="0">(D124+E124)*(($F$119)+1)</f>
        <v>360.29260800000003</v>
      </c>
      <c r="G124" s="71" t="str">
        <f t="shared" ref="G124:G127" si="1">G123</f>
        <v>Ground Floor for Commercial</v>
      </c>
      <c r="H124" s="73"/>
      <c r="I124" s="39"/>
      <c r="L124" s="95"/>
      <c r="M124" s="95"/>
      <c r="N124" s="39"/>
    </row>
    <row r="125" spans="1:14" s="40" customFormat="1" x14ac:dyDescent="0.25">
      <c r="A125" s="55">
        <v>3</v>
      </c>
      <c r="B125" s="55" t="s">
        <v>177</v>
      </c>
      <c r="C125" s="55" t="s">
        <v>178</v>
      </c>
      <c r="D125" s="55">
        <f>(10.32)*10.764</f>
        <v>111.08448</v>
      </c>
      <c r="E125" s="55">
        <v>0</v>
      </c>
      <c r="F125" s="55">
        <f t="shared" si="0"/>
        <v>177.73516800000002</v>
      </c>
      <c r="G125" s="71" t="str">
        <f t="shared" si="1"/>
        <v>Ground Floor for Commercial</v>
      </c>
      <c r="H125" s="73"/>
      <c r="I125" s="39"/>
      <c r="L125" s="95"/>
      <c r="M125" s="95"/>
      <c r="N125" s="39"/>
    </row>
    <row r="126" spans="1:14" s="40" customFormat="1" x14ac:dyDescent="0.25">
      <c r="A126" s="55">
        <v>4</v>
      </c>
      <c r="B126" s="55" t="s">
        <v>177</v>
      </c>
      <c r="C126" s="55" t="s">
        <v>178</v>
      </c>
      <c r="D126" s="55">
        <f>(11.18)*10.764</f>
        <v>120.34151999999999</v>
      </c>
      <c r="E126" s="55">
        <v>0</v>
      </c>
      <c r="F126" s="55">
        <f t="shared" si="0"/>
        <v>192.54643199999998</v>
      </c>
      <c r="G126" s="71" t="str">
        <f t="shared" si="1"/>
        <v>Ground Floor for Commercial</v>
      </c>
      <c r="H126" s="73"/>
      <c r="I126" s="39"/>
      <c r="L126" s="95"/>
      <c r="M126" s="95"/>
      <c r="N126" s="39"/>
    </row>
    <row r="127" spans="1:14" s="40" customFormat="1" x14ac:dyDescent="0.25">
      <c r="A127" s="55">
        <v>5</v>
      </c>
      <c r="B127" s="55" t="s">
        <v>177</v>
      </c>
      <c r="C127" s="55" t="s">
        <v>178</v>
      </c>
      <c r="D127" s="55">
        <f>(11.77)*10.764</f>
        <v>126.69227999999998</v>
      </c>
      <c r="E127" s="55">
        <v>0</v>
      </c>
      <c r="F127" s="55">
        <f t="shared" ref="F127" si="2">(D127+E127)*(($F$119)+1)</f>
        <v>202.70764799999998</v>
      </c>
      <c r="G127" s="71" t="str">
        <f t="shared" si="1"/>
        <v>Ground Floor for Commercial</v>
      </c>
      <c r="H127" s="73"/>
      <c r="I127" s="39"/>
      <c r="L127" s="95"/>
      <c r="M127" s="95"/>
      <c r="N127" s="39"/>
    </row>
    <row r="128" spans="1:14" ht="47.25" customHeight="1" x14ac:dyDescent="0.25">
      <c r="A128" s="124" t="s">
        <v>128</v>
      </c>
      <c r="B128" s="124" t="s">
        <v>176</v>
      </c>
      <c r="C128" s="113" t="s">
        <v>61</v>
      </c>
      <c r="D128" s="113" t="s">
        <v>62</v>
      </c>
      <c r="E128" s="128" t="s">
        <v>63</v>
      </c>
      <c r="F128" s="52" t="s">
        <v>157</v>
      </c>
      <c r="G128" s="124" t="s">
        <v>64</v>
      </c>
      <c r="H128" s="130"/>
      <c r="I128" s="39"/>
    </row>
    <row r="129" spans="1:14" s="40" customFormat="1" x14ac:dyDescent="0.25">
      <c r="A129" s="125"/>
      <c r="B129" s="125"/>
      <c r="C129" s="114"/>
      <c r="D129" s="114"/>
      <c r="E129" s="129"/>
      <c r="F129" s="13">
        <v>0.55000000000000004</v>
      </c>
      <c r="G129" s="125"/>
      <c r="H129" s="131"/>
      <c r="I129" s="39"/>
    </row>
    <row r="130" spans="1:14" x14ac:dyDescent="0.25">
      <c r="A130" s="96" t="s">
        <v>172</v>
      </c>
      <c r="B130" s="96"/>
      <c r="C130" s="96"/>
      <c r="D130" s="96"/>
      <c r="E130" s="96"/>
      <c r="F130" s="96"/>
      <c r="G130" s="96"/>
      <c r="H130" s="96"/>
    </row>
    <row r="131" spans="1:14" x14ac:dyDescent="0.25">
      <c r="A131" s="96" t="s">
        <v>235</v>
      </c>
      <c r="B131" s="96"/>
      <c r="C131" s="96"/>
      <c r="D131" s="96"/>
      <c r="E131" s="96"/>
      <c r="F131" s="96"/>
      <c r="G131" s="96"/>
      <c r="H131" s="96"/>
    </row>
    <row r="132" spans="1:14" x14ac:dyDescent="0.25">
      <c r="A132" s="96" t="s">
        <v>173</v>
      </c>
      <c r="B132" s="96"/>
      <c r="C132" s="96"/>
      <c r="D132" s="96"/>
      <c r="E132" s="96"/>
      <c r="F132" s="96"/>
      <c r="G132" s="96"/>
      <c r="H132" s="96"/>
    </row>
    <row r="133" spans="1:14" x14ac:dyDescent="0.25">
      <c r="A133" s="96" t="s">
        <v>179</v>
      </c>
      <c r="B133" s="96"/>
      <c r="C133" s="96"/>
      <c r="D133" s="96"/>
      <c r="E133" s="96"/>
      <c r="F133" s="96"/>
      <c r="G133" s="96"/>
      <c r="H133" s="96"/>
    </row>
    <row r="134" spans="1:14" s="40" customFormat="1" x14ac:dyDescent="0.25">
      <c r="A134" s="89" t="s">
        <v>209</v>
      </c>
      <c r="B134" s="89"/>
      <c r="C134" s="89"/>
      <c r="D134" s="89"/>
      <c r="E134" s="89"/>
      <c r="F134" s="89"/>
      <c r="G134" s="89"/>
      <c r="H134" s="89"/>
      <c r="I134" s="39"/>
      <c r="L134" s="95"/>
      <c r="M134" s="95"/>
    </row>
    <row r="135" spans="1:14" s="40" customFormat="1" hidden="1" x14ac:dyDescent="0.25">
      <c r="A135" s="55">
        <v>1</v>
      </c>
      <c r="B135" s="55" t="s">
        <v>188</v>
      </c>
      <c r="C135" s="71" t="s">
        <v>185</v>
      </c>
      <c r="D135" s="72"/>
      <c r="E135" s="72"/>
      <c r="F135" s="73"/>
      <c r="G135" s="88" t="str">
        <f>A134</f>
        <v>2nd Floor for Amenities</v>
      </c>
      <c r="H135" s="88"/>
      <c r="I135" s="39"/>
      <c r="N135" s="39"/>
    </row>
    <row r="136" spans="1:14" s="40" customFormat="1" hidden="1" x14ac:dyDescent="0.25">
      <c r="A136" s="55">
        <v>2</v>
      </c>
      <c r="B136" s="55" t="s">
        <v>188</v>
      </c>
      <c r="C136" s="71" t="s">
        <v>186</v>
      </c>
      <c r="D136" s="72"/>
      <c r="E136" s="72"/>
      <c r="F136" s="73"/>
      <c r="G136" s="88" t="str">
        <f>G135</f>
        <v>2nd Floor for Amenities</v>
      </c>
      <c r="H136" s="88"/>
      <c r="I136" s="39"/>
      <c r="N136" s="39"/>
    </row>
    <row r="137" spans="1:14" s="40" customFormat="1" hidden="1" x14ac:dyDescent="0.25">
      <c r="A137" s="55">
        <v>3</v>
      </c>
      <c r="B137" s="55" t="s">
        <v>188</v>
      </c>
      <c r="C137" s="71" t="s">
        <v>187</v>
      </c>
      <c r="D137" s="72"/>
      <c r="E137" s="72"/>
      <c r="F137" s="73"/>
      <c r="G137" s="88" t="str">
        <f>G136</f>
        <v>2nd Floor for Amenities</v>
      </c>
      <c r="H137" s="88"/>
      <c r="I137" s="39"/>
      <c r="N137" s="39"/>
    </row>
    <row r="138" spans="1:14" s="40" customFormat="1" x14ac:dyDescent="0.25">
      <c r="A138" s="77" t="s">
        <v>190</v>
      </c>
      <c r="B138" s="78"/>
      <c r="C138" s="78"/>
      <c r="D138" s="78"/>
      <c r="E138" s="78"/>
      <c r="F138" s="78"/>
      <c r="G138" s="78"/>
      <c r="H138" s="79"/>
      <c r="I138" s="39"/>
    </row>
    <row r="139" spans="1:14" s="40" customFormat="1" x14ac:dyDescent="0.25">
      <c r="A139" s="55">
        <v>1</v>
      </c>
      <c r="B139" s="55" t="s">
        <v>177</v>
      </c>
      <c r="C139" s="55" t="s">
        <v>189</v>
      </c>
      <c r="D139" s="55">
        <f>(27.88)*10.764</f>
        <v>300.10031999999995</v>
      </c>
      <c r="E139" s="55">
        <v>0</v>
      </c>
      <c r="F139" s="55">
        <f t="shared" ref="F139:F144" si="3">D139*(($F$129)+1)+(IF(E139&lt;101,E139,IF(E139&lt;201,E139/2,IF(E139&lt;=301,E139/3,E139/4))))</f>
        <v>465.15549599999991</v>
      </c>
      <c r="G139" s="71" t="str">
        <f>A138</f>
        <v>3rd to 7th Floor</v>
      </c>
      <c r="H139" s="73"/>
      <c r="I139" s="39">
        <f>8500000/F139</f>
        <v>18273.459247700692</v>
      </c>
    </row>
    <row r="140" spans="1:14" s="40" customFormat="1" x14ac:dyDescent="0.25">
      <c r="A140" s="55">
        <v>2</v>
      </c>
      <c r="B140" s="55" t="s">
        <v>177</v>
      </c>
      <c r="C140" s="55" t="s">
        <v>189</v>
      </c>
      <c r="D140" s="55">
        <f t="shared" ref="D140:D144" si="4">(27.88)*10.764</f>
        <v>300.10031999999995</v>
      </c>
      <c r="E140" s="55">
        <v>0</v>
      </c>
      <c r="F140" s="55">
        <f t="shared" si="3"/>
        <v>465.15549599999991</v>
      </c>
      <c r="G140" s="71" t="str">
        <f>G139</f>
        <v>3rd to 7th Floor</v>
      </c>
      <c r="H140" s="73"/>
      <c r="I140" s="39"/>
    </row>
    <row r="141" spans="1:14" s="40" customFormat="1" x14ac:dyDescent="0.25">
      <c r="A141" s="55">
        <v>3</v>
      </c>
      <c r="B141" s="55" t="s">
        <v>177</v>
      </c>
      <c r="C141" s="55" t="s">
        <v>189</v>
      </c>
      <c r="D141" s="55">
        <f t="shared" si="4"/>
        <v>300.10031999999995</v>
      </c>
      <c r="E141" s="55">
        <v>0</v>
      </c>
      <c r="F141" s="55">
        <f t="shared" si="3"/>
        <v>465.15549599999991</v>
      </c>
      <c r="G141" s="71" t="str">
        <f>G140</f>
        <v>3rd to 7th Floor</v>
      </c>
      <c r="H141" s="73"/>
      <c r="I141" s="39"/>
    </row>
    <row r="142" spans="1:14" s="40" customFormat="1" x14ac:dyDescent="0.25">
      <c r="A142" s="55">
        <v>4</v>
      </c>
      <c r="B142" s="55" t="s">
        <v>177</v>
      </c>
      <c r="C142" s="55" t="s">
        <v>189</v>
      </c>
      <c r="D142" s="55">
        <f t="shared" si="4"/>
        <v>300.10031999999995</v>
      </c>
      <c r="E142" s="55">
        <v>0</v>
      </c>
      <c r="F142" s="55">
        <f t="shared" si="3"/>
        <v>465.15549599999991</v>
      </c>
      <c r="G142" s="71" t="str">
        <f>G141</f>
        <v>3rd to 7th Floor</v>
      </c>
      <c r="H142" s="73"/>
      <c r="I142" s="39"/>
    </row>
    <row r="143" spans="1:14" s="40" customFormat="1" x14ac:dyDescent="0.25">
      <c r="A143" s="55">
        <v>5</v>
      </c>
      <c r="B143" s="55" t="s">
        <v>177</v>
      </c>
      <c r="C143" s="55" t="s">
        <v>189</v>
      </c>
      <c r="D143" s="55">
        <f t="shared" si="4"/>
        <v>300.10031999999995</v>
      </c>
      <c r="E143" s="55">
        <v>0</v>
      </c>
      <c r="F143" s="55">
        <f t="shared" si="3"/>
        <v>465.15549599999991</v>
      </c>
      <c r="G143" s="71" t="str">
        <f>G142</f>
        <v>3rd to 7th Floor</v>
      </c>
      <c r="H143" s="73"/>
      <c r="I143" s="39"/>
    </row>
    <row r="144" spans="1:14" s="40" customFormat="1" x14ac:dyDescent="0.25">
      <c r="A144" s="55">
        <v>6</v>
      </c>
      <c r="B144" s="55" t="s">
        <v>177</v>
      </c>
      <c r="C144" s="55" t="s">
        <v>189</v>
      </c>
      <c r="D144" s="55">
        <f t="shared" si="4"/>
        <v>300.10031999999995</v>
      </c>
      <c r="E144" s="55">
        <v>0</v>
      </c>
      <c r="F144" s="55">
        <f t="shared" si="3"/>
        <v>465.15549599999991</v>
      </c>
      <c r="G144" s="71" t="str">
        <f>G143</f>
        <v>3rd to 7th Floor</v>
      </c>
      <c r="H144" s="73"/>
      <c r="I144" s="39"/>
    </row>
    <row r="145" spans="1:9" s="40" customFormat="1" ht="15.75" customHeight="1" x14ac:dyDescent="0.25">
      <c r="A145" s="77" t="s">
        <v>191</v>
      </c>
      <c r="B145" s="78"/>
      <c r="C145" s="78"/>
      <c r="D145" s="78"/>
      <c r="E145" s="78"/>
      <c r="F145" s="78"/>
      <c r="G145" s="78"/>
      <c r="H145" s="79"/>
      <c r="I145" s="39"/>
    </row>
    <row r="146" spans="1:9" s="40" customFormat="1" x14ac:dyDescent="0.25">
      <c r="A146" s="55">
        <v>1</v>
      </c>
      <c r="B146" s="55" t="s">
        <v>188</v>
      </c>
      <c r="C146" s="80" t="s">
        <v>192</v>
      </c>
      <c r="D146" s="81"/>
      <c r="E146" s="81"/>
      <c r="F146" s="82"/>
      <c r="G146" s="71" t="str">
        <f>A145</f>
        <v>8th, 15th &amp; 22nd Floor (Part Refuge Area)</v>
      </c>
      <c r="H146" s="73"/>
      <c r="I146" s="39"/>
    </row>
    <row r="147" spans="1:9" s="40" customFormat="1" x14ac:dyDescent="0.25">
      <c r="A147" s="55">
        <v>2</v>
      </c>
      <c r="B147" s="55" t="s">
        <v>188</v>
      </c>
      <c r="C147" s="83"/>
      <c r="D147" s="84"/>
      <c r="E147" s="84"/>
      <c r="F147" s="85"/>
      <c r="G147" s="71" t="str">
        <f>G146</f>
        <v>8th, 15th &amp; 22nd Floor (Part Refuge Area)</v>
      </c>
      <c r="H147" s="73"/>
      <c r="I147" s="39"/>
    </row>
    <row r="148" spans="1:9" s="40" customFormat="1" ht="15.75" customHeight="1" x14ac:dyDescent="0.25">
      <c r="A148" s="55">
        <v>3</v>
      </c>
      <c r="B148" s="55" t="s">
        <v>193</v>
      </c>
      <c r="C148" s="55" t="s">
        <v>189</v>
      </c>
      <c r="D148" s="55">
        <f>(27.88)*10.764</f>
        <v>300.10031999999995</v>
      </c>
      <c r="E148" s="55">
        <v>0</v>
      </c>
      <c r="F148" s="55">
        <f>D148*(($F$129)+1)+(IF(E148&lt;101,E148,IF(E148&lt;201,E148/2,IF(E148&lt;=301,E148/3,E148/4))))</f>
        <v>465.15549599999991</v>
      </c>
      <c r="G148" s="71" t="str">
        <f>G147</f>
        <v>8th, 15th &amp; 22nd Floor (Part Refuge Area)</v>
      </c>
      <c r="H148" s="73"/>
      <c r="I148" s="39"/>
    </row>
    <row r="149" spans="1:9" s="40" customFormat="1" ht="15.75" customHeight="1" x14ac:dyDescent="0.25">
      <c r="A149" s="55">
        <v>4</v>
      </c>
      <c r="B149" s="55" t="s">
        <v>193</v>
      </c>
      <c r="C149" s="55" t="s">
        <v>189</v>
      </c>
      <c r="D149" s="55">
        <f>(27.88)*10.764</f>
        <v>300.10031999999995</v>
      </c>
      <c r="E149" s="55">
        <v>0</v>
      </c>
      <c r="F149" s="55">
        <f>D149*(($F$129)+1)+(IF(E149&lt;101,E149,IF(E149&lt;201,E149/2,IF(E149&lt;=301,E149/3,E149/4))))</f>
        <v>465.15549599999991</v>
      </c>
      <c r="G149" s="71" t="str">
        <f>G148</f>
        <v>8th, 15th &amp; 22nd Floor (Part Refuge Area)</v>
      </c>
      <c r="H149" s="73"/>
      <c r="I149" s="39"/>
    </row>
    <row r="150" spans="1:9" s="40" customFormat="1" ht="15.75" customHeight="1" x14ac:dyDescent="0.25">
      <c r="A150" s="55">
        <v>5</v>
      </c>
      <c r="B150" s="55" t="s">
        <v>193</v>
      </c>
      <c r="C150" s="55" t="s">
        <v>189</v>
      </c>
      <c r="D150" s="55">
        <f>(3.65*2.55+0.95*1.95+2.85*2.1+1.95*1.1+2.6+3.15+2.5*0.34)*10.764</f>
        <v>278.67995999999999</v>
      </c>
      <c r="E150" s="55">
        <v>0</v>
      </c>
      <c r="F150" s="55">
        <f>D150*(($F$129)+1)+(IF(E150&lt;101,E150,IF(E150&lt;201,E150/2,IF(E150&lt;=301,E150/3,E150/4))))</f>
        <v>431.95393799999999</v>
      </c>
      <c r="G150" s="71" t="str">
        <f>G149</f>
        <v>8th, 15th &amp; 22nd Floor (Part Refuge Area)</v>
      </c>
      <c r="H150" s="73"/>
      <c r="I150" s="39"/>
    </row>
    <row r="151" spans="1:9" s="40" customFormat="1" ht="15.75" customHeight="1" x14ac:dyDescent="0.25">
      <c r="A151" s="55">
        <v>6</v>
      </c>
      <c r="B151" s="55" t="s">
        <v>193</v>
      </c>
      <c r="C151" s="55" t="s">
        <v>189</v>
      </c>
      <c r="D151" s="55">
        <f>(3.65*2.55+0.95*1.95+2.85*2.1+1.95*1.1+2.6+3.15+2.5*0.34)*10.764</f>
        <v>278.67995999999999</v>
      </c>
      <c r="E151" s="55">
        <v>0</v>
      </c>
      <c r="F151" s="55">
        <f>D151*(($F$129)+1)+(IF(E151&lt;101,E151,IF(E151&lt;201,E151/2,IF(E151&lt;=301,E151/3,E151/4))))</f>
        <v>431.95393799999999</v>
      </c>
      <c r="G151" s="71" t="str">
        <f>G150</f>
        <v>8th, 15th &amp; 22nd Floor (Part Refuge Area)</v>
      </c>
      <c r="H151" s="73"/>
      <c r="I151" s="39"/>
    </row>
    <row r="152" spans="1:9" s="40" customFormat="1" x14ac:dyDescent="0.25">
      <c r="A152" s="77" t="s">
        <v>194</v>
      </c>
      <c r="B152" s="78"/>
      <c r="C152" s="78"/>
      <c r="D152" s="78"/>
      <c r="E152" s="78"/>
      <c r="F152" s="78"/>
      <c r="G152" s="78"/>
      <c r="H152" s="79"/>
      <c r="I152" s="39"/>
    </row>
    <row r="153" spans="1:9" s="40" customFormat="1" ht="15.75" customHeight="1" x14ac:dyDescent="0.25">
      <c r="A153" s="55">
        <v>1</v>
      </c>
      <c r="B153" s="55" t="s">
        <v>193</v>
      </c>
      <c r="C153" s="55" t="s">
        <v>189</v>
      </c>
      <c r="D153" s="55">
        <f>(27.88)*10.764</f>
        <v>300.10031999999995</v>
      </c>
      <c r="E153" s="55">
        <v>0</v>
      </c>
      <c r="F153" s="55">
        <f t="shared" ref="F153:F158" si="5">D153*(($F$129)+1)+(IF(E153&lt;101,E153,IF(E153&lt;201,E153/2,IF(E153&lt;=301,E153/3,E153/4))))</f>
        <v>465.15549599999991</v>
      </c>
      <c r="G153" s="80" t="str">
        <f>A152</f>
        <v>9th to 14th, 16th to 21st, 23rd to 26th Floor</v>
      </c>
      <c r="H153" s="82"/>
      <c r="I153" s="39"/>
    </row>
    <row r="154" spans="1:9" s="40" customFormat="1" ht="15.75" customHeight="1" x14ac:dyDescent="0.25">
      <c r="A154" s="55">
        <v>2</v>
      </c>
      <c r="B154" s="55" t="s">
        <v>193</v>
      </c>
      <c r="C154" s="55" t="s">
        <v>189</v>
      </c>
      <c r="D154" s="55">
        <f t="shared" ref="D154:D158" si="6">(27.88)*10.764</f>
        <v>300.10031999999995</v>
      </c>
      <c r="E154" s="55">
        <v>0</v>
      </c>
      <c r="F154" s="55">
        <f t="shared" si="5"/>
        <v>465.15549599999991</v>
      </c>
      <c r="G154" s="90"/>
      <c r="H154" s="91"/>
      <c r="I154" s="39"/>
    </row>
    <row r="155" spans="1:9" s="40" customFormat="1" ht="15.75" customHeight="1" x14ac:dyDescent="0.25">
      <c r="A155" s="55">
        <v>3</v>
      </c>
      <c r="B155" s="55" t="s">
        <v>177</v>
      </c>
      <c r="C155" s="55" t="s">
        <v>189</v>
      </c>
      <c r="D155" s="55">
        <f t="shared" si="6"/>
        <v>300.10031999999995</v>
      </c>
      <c r="E155" s="55">
        <v>0</v>
      </c>
      <c r="F155" s="55">
        <f t="shared" si="5"/>
        <v>465.15549599999991</v>
      </c>
      <c r="G155" s="90"/>
      <c r="H155" s="91"/>
      <c r="I155" s="39"/>
    </row>
    <row r="156" spans="1:9" s="40" customFormat="1" ht="15.75" customHeight="1" x14ac:dyDescent="0.25">
      <c r="A156" s="55">
        <v>4</v>
      </c>
      <c r="B156" s="55" t="s">
        <v>177</v>
      </c>
      <c r="C156" s="55" t="s">
        <v>189</v>
      </c>
      <c r="D156" s="55">
        <f t="shared" si="6"/>
        <v>300.10031999999995</v>
      </c>
      <c r="E156" s="55">
        <v>0</v>
      </c>
      <c r="F156" s="55">
        <f t="shared" si="5"/>
        <v>465.15549599999991</v>
      </c>
      <c r="G156" s="90"/>
      <c r="H156" s="91"/>
      <c r="I156" s="39"/>
    </row>
    <row r="157" spans="1:9" s="40" customFormat="1" ht="15.75" customHeight="1" x14ac:dyDescent="0.25">
      <c r="A157" s="55">
        <v>5</v>
      </c>
      <c r="B157" s="55" t="s">
        <v>193</v>
      </c>
      <c r="C157" s="55" t="s">
        <v>189</v>
      </c>
      <c r="D157" s="55">
        <f t="shared" si="6"/>
        <v>300.10031999999995</v>
      </c>
      <c r="E157" s="55">
        <v>0</v>
      </c>
      <c r="F157" s="55">
        <f t="shared" si="5"/>
        <v>465.15549599999991</v>
      </c>
      <c r="G157" s="90"/>
      <c r="H157" s="91"/>
      <c r="I157" s="39"/>
    </row>
    <row r="158" spans="1:9" s="40" customFormat="1" ht="15.75" customHeight="1" x14ac:dyDescent="0.25">
      <c r="A158" s="55">
        <v>6</v>
      </c>
      <c r="B158" s="55" t="s">
        <v>193</v>
      </c>
      <c r="C158" s="55" t="s">
        <v>189</v>
      </c>
      <c r="D158" s="55">
        <f t="shared" si="6"/>
        <v>300.10031999999995</v>
      </c>
      <c r="E158" s="55">
        <v>0</v>
      </c>
      <c r="F158" s="55">
        <f t="shared" si="5"/>
        <v>465.15549599999991</v>
      </c>
      <c r="G158" s="83"/>
      <c r="H158" s="85"/>
      <c r="I158" s="39"/>
    </row>
    <row r="159" spans="1:9" s="40" customFormat="1" x14ac:dyDescent="0.25">
      <c r="A159" s="77" t="s">
        <v>198</v>
      </c>
      <c r="B159" s="78"/>
      <c r="C159" s="78"/>
      <c r="D159" s="78"/>
      <c r="E159" s="78"/>
      <c r="F159" s="78"/>
      <c r="G159" s="78"/>
      <c r="H159" s="79"/>
      <c r="I159" s="39"/>
    </row>
    <row r="160" spans="1:9" s="40" customFormat="1" x14ac:dyDescent="0.25">
      <c r="A160" s="55">
        <v>1</v>
      </c>
      <c r="B160" s="55" t="s">
        <v>193</v>
      </c>
      <c r="C160" s="55" t="s">
        <v>189</v>
      </c>
      <c r="D160" s="55">
        <f>(27.88)*10.764</f>
        <v>300.10031999999995</v>
      </c>
      <c r="E160" s="55">
        <v>0</v>
      </c>
      <c r="F160" s="55">
        <f t="shared" ref="F160:F165" si="7">D160*(($F$129)+1)+(IF(E160&lt;101,E160,IF(E160&lt;201,E160/2,IF(E160&lt;=301,E160/3,E160/4))))</f>
        <v>465.15549599999991</v>
      </c>
      <c r="G160" s="71" t="str">
        <f>A159</f>
        <v>27th Floor</v>
      </c>
      <c r="H160" s="73"/>
      <c r="I160" s="39"/>
    </row>
    <row r="161" spans="1:9" s="40" customFormat="1" x14ac:dyDescent="0.25">
      <c r="A161" s="55">
        <v>2</v>
      </c>
      <c r="B161" s="55" t="s">
        <v>193</v>
      </c>
      <c r="C161" s="55" t="s">
        <v>189</v>
      </c>
      <c r="D161" s="55">
        <f t="shared" ref="D161:D165" si="8">(27.88)*10.764</f>
        <v>300.10031999999995</v>
      </c>
      <c r="E161" s="55">
        <v>0</v>
      </c>
      <c r="F161" s="55">
        <f t="shared" si="7"/>
        <v>465.15549599999991</v>
      </c>
      <c r="G161" s="71" t="str">
        <f>G160</f>
        <v>27th Floor</v>
      </c>
      <c r="H161" s="73"/>
      <c r="I161" s="39"/>
    </row>
    <row r="162" spans="1:9" s="40" customFormat="1" x14ac:dyDescent="0.25">
      <c r="A162" s="55">
        <v>3</v>
      </c>
      <c r="B162" s="55" t="s">
        <v>193</v>
      </c>
      <c r="C162" s="55" t="s">
        <v>189</v>
      </c>
      <c r="D162" s="55">
        <f t="shared" si="8"/>
        <v>300.10031999999995</v>
      </c>
      <c r="E162" s="55">
        <v>0</v>
      </c>
      <c r="F162" s="55">
        <f t="shared" si="7"/>
        <v>465.15549599999991</v>
      </c>
      <c r="G162" s="71" t="str">
        <f>G161</f>
        <v>27th Floor</v>
      </c>
      <c r="H162" s="73"/>
      <c r="I162" s="39"/>
    </row>
    <row r="163" spans="1:9" s="40" customFormat="1" x14ac:dyDescent="0.25">
      <c r="A163" s="55">
        <v>4</v>
      </c>
      <c r="B163" s="55" t="s">
        <v>193</v>
      </c>
      <c r="C163" s="55" t="s">
        <v>189</v>
      </c>
      <c r="D163" s="55">
        <f t="shared" si="8"/>
        <v>300.10031999999995</v>
      </c>
      <c r="E163" s="55">
        <v>0</v>
      </c>
      <c r="F163" s="55">
        <f t="shared" si="7"/>
        <v>465.15549599999991</v>
      </c>
      <c r="G163" s="71" t="str">
        <f>G162</f>
        <v>27th Floor</v>
      </c>
      <c r="H163" s="73"/>
      <c r="I163" s="39"/>
    </row>
    <row r="164" spans="1:9" s="40" customFormat="1" x14ac:dyDescent="0.25">
      <c r="A164" s="55">
        <v>5</v>
      </c>
      <c r="B164" s="55" t="s">
        <v>193</v>
      </c>
      <c r="C164" s="55" t="s">
        <v>189</v>
      </c>
      <c r="D164" s="55">
        <f t="shared" si="8"/>
        <v>300.10031999999995</v>
      </c>
      <c r="E164" s="55">
        <v>0</v>
      </c>
      <c r="F164" s="55">
        <f t="shared" si="7"/>
        <v>465.15549599999991</v>
      </c>
      <c r="G164" s="71" t="str">
        <f>G163</f>
        <v>27th Floor</v>
      </c>
      <c r="H164" s="73"/>
      <c r="I164" s="39"/>
    </row>
    <row r="165" spans="1:9" s="40" customFormat="1" x14ac:dyDescent="0.25">
      <c r="A165" s="55">
        <v>6</v>
      </c>
      <c r="B165" s="55" t="s">
        <v>193</v>
      </c>
      <c r="C165" s="55" t="s">
        <v>189</v>
      </c>
      <c r="D165" s="55">
        <f t="shared" si="8"/>
        <v>300.10031999999995</v>
      </c>
      <c r="E165" s="55">
        <v>0</v>
      </c>
      <c r="F165" s="55">
        <f t="shared" si="7"/>
        <v>465.15549599999991</v>
      </c>
      <c r="G165" s="71" t="str">
        <f>G164</f>
        <v>27th Floor</v>
      </c>
      <c r="H165" s="73"/>
      <c r="I165" s="39"/>
    </row>
    <row r="166" spans="1:9" s="40" customFormat="1" x14ac:dyDescent="0.25">
      <c r="A166" s="77" t="s">
        <v>208</v>
      </c>
      <c r="B166" s="78"/>
      <c r="C166" s="78"/>
      <c r="D166" s="78"/>
      <c r="E166" s="78"/>
      <c r="F166" s="78"/>
      <c r="G166" s="78"/>
      <c r="H166" s="79"/>
      <c r="I166" s="39"/>
    </row>
    <row r="167" spans="1:9" s="40" customFormat="1" ht="15.75" customHeight="1" x14ac:dyDescent="0.25">
      <c r="A167" s="55">
        <v>1</v>
      </c>
      <c r="B167" s="55" t="s">
        <v>193</v>
      </c>
      <c r="C167" s="55" t="s">
        <v>189</v>
      </c>
      <c r="D167" s="55">
        <f>(27.88)*10.764</f>
        <v>300.10031999999995</v>
      </c>
      <c r="E167" s="55">
        <v>0</v>
      </c>
      <c r="F167" s="55">
        <f t="shared" ref="F167:F172" si="9">D167*(($F$129)+1)+(IF(E167&lt;101,E167,IF(E167&lt;201,E167/2,IF(E167&lt;=301,E167/3,E167/4))))</f>
        <v>465.15549599999991</v>
      </c>
      <c r="G167" s="80" t="str">
        <f>A166</f>
        <v>28th, 30th to 35th, 37th &amp; 38th Floor</v>
      </c>
      <c r="H167" s="82"/>
      <c r="I167" s="39">
        <f>7500000/F167</f>
        <v>16123.640512677081</v>
      </c>
    </row>
    <row r="168" spans="1:9" s="40" customFormat="1" ht="15.75" customHeight="1" x14ac:dyDescent="0.25">
      <c r="A168" s="55">
        <v>2</v>
      </c>
      <c r="B168" s="55" t="s">
        <v>193</v>
      </c>
      <c r="C168" s="55" t="s">
        <v>189</v>
      </c>
      <c r="D168" s="55">
        <f t="shared" ref="D168:D172" si="10">(27.88)*10.764</f>
        <v>300.10031999999995</v>
      </c>
      <c r="E168" s="55">
        <v>0</v>
      </c>
      <c r="F168" s="55">
        <f t="shared" si="9"/>
        <v>465.15549599999991</v>
      </c>
      <c r="G168" s="90"/>
      <c r="H168" s="91"/>
      <c r="I168" s="39"/>
    </row>
    <row r="169" spans="1:9" s="40" customFormat="1" ht="15.75" customHeight="1" x14ac:dyDescent="0.25">
      <c r="A169" s="55">
        <v>3</v>
      </c>
      <c r="B169" s="55" t="s">
        <v>193</v>
      </c>
      <c r="C169" s="55" t="s">
        <v>189</v>
      </c>
      <c r="D169" s="55">
        <f t="shared" si="10"/>
        <v>300.10031999999995</v>
      </c>
      <c r="E169" s="55">
        <v>0</v>
      </c>
      <c r="F169" s="55">
        <f t="shared" si="9"/>
        <v>465.15549599999991</v>
      </c>
      <c r="G169" s="90"/>
      <c r="H169" s="91"/>
      <c r="I169" s="39"/>
    </row>
    <row r="170" spans="1:9" s="40" customFormat="1" ht="15.75" customHeight="1" x14ac:dyDescent="0.25">
      <c r="A170" s="55">
        <v>4</v>
      </c>
      <c r="B170" s="55" t="s">
        <v>193</v>
      </c>
      <c r="C170" s="55" t="s">
        <v>189</v>
      </c>
      <c r="D170" s="55">
        <f t="shared" si="10"/>
        <v>300.10031999999995</v>
      </c>
      <c r="E170" s="55">
        <v>0</v>
      </c>
      <c r="F170" s="55">
        <f t="shared" si="9"/>
        <v>465.15549599999991</v>
      </c>
      <c r="G170" s="90"/>
      <c r="H170" s="91"/>
      <c r="I170" s="39"/>
    </row>
    <row r="171" spans="1:9" s="40" customFormat="1" ht="15.75" customHeight="1" x14ac:dyDescent="0.25">
      <c r="A171" s="55">
        <v>5</v>
      </c>
      <c r="B171" s="55" t="s">
        <v>193</v>
      </c>
      <c r="C171" s="55" t="s">
        <v>189</v>
      </c>
      <c r="D171" s="55">
        <f t="shared" si="10"/>
        <v>300.10031999999995</v>
      </c>
      <c r="E171" s="55">
        <v>0</v>
      </c>
      <c r="F171" s="55">
        <f t="shared" si="9"/>
        <v>465.15549599999991</v>
      </c>
      <c r="G171" s="90"/>
      <c r="H171" s="91"/>
      <c r="I171" s="39"/>
    </row>
    <row r="172" spans="1:9" s="40" customFormat="1" ht="15.75" customHeight="1" x14ac:dyDescent="0.25">
      <c r="A172" s="55">
        <v>6</v>
      </c>
      <c r="B172" s="55" t="s">
        <v>193</v>
      </c>
      <c r="C172" s="55" t="s">
        <v>189</v>
      </c>
      <c r="D172" s="55">
        <f t="shared" si="10"/>
        <v>300.10031999999995</v>
      </c>
      <c r="E172" s="55">
        <v>0</v>
      </c>
      <c r="F172" s="55">
        <f t="shared" si="9"/>
        <v>465.15549599999991</v>
      </c>
      <c r="G172" s="83"/>
      <c r="H172" s="85"/>
      <c r="I172" s="39"/>
    </row>
    <row r="173" spans="1:9" s="40" customFormat="1" x14ac:dyDescent="0.25">
      <c r="A173" s="77" t="s">
        <v>200</v>
      </c>
      <c r="B173" s="78"/>
      <c r="C173" s="78"/>
      <c r="D173" s="78"/>
      <c r="E173" s="78"/>
      <c r="F173" s="78"/>
      <c r="G173" s="78"/>
      <c r="H173" s="79"/>
      <c r="I173" s="39"/>
    </row>
    <row r="174" spans="1:9" s="40" customFormat="1" x14ac:dyDescent="0.25">
      <c r="A174" s="55">
        <v>1</v>
      </c>
      <c r="B174" s="55" t="s">
        <v>188</v>
      </c>
      <c r="C174" s="80" t="s">
        <v>192</v>
      </c>
      <c r="D174" s="81"/>
      <c r="E174" s="81"/>
      <c r="F174" s="82"/>
      <c r="G174" s="71" t="str">
        <f>A173</f>
        <v>29th Floor (Part Refuge Area)</v>
      </c>
      <c r="H174" s="73"/>
      <c r="I174" s="39"/>
    </row>
    <row r="175" spans="1:9" s="40" customFormat="1" x14ac:dyDescent="0.25">
      <c r="A175" s="55">
        <v>2</v>
      </c>
      <c r="B175" s="55" t="s">
        <v>188</v>
      </c>
      <c r="C175" s="83"/>
      <c r="D175" s="84"/>
      <c r="E175" s="84"/>
      <c r="F175" s="85"/>
      <c r="G175" s="71" t="str">
        <f>G174</f>
        <v>29th Floor (Part Refuge Area)</v>
      </c>
      <c r="H175" s="73"/>
      <c r="I175" s="39"/>
    </row>
    <row r="176" spans="1:9" s="40" customFormat="1" x14ac:dyDescent="0.25">
      <c r="A176" s="55">
        <v>3</v>
      </c>
      <c r="B176" s="55" t="s">
        <v>193</v>
      </c>
      <c r="C176" s="55" t="s">
        <v>189</v>
      </c>
      <c r="D176" s="55">
        <f t="shared" ref="D176:D177" si="11">(27.88)*10.764</f>
        <v>300.10031999999995</v>
      </c>
      <c r="E176" s="55">
        <v>0</v>
      </c>
      <c r="F176" s="55">
        <f>D176*(($F$129)+1)+(IF(E176&lt;101,E176,IF(E176&lt;201,E176/2,IF(E176&lt;=301,E176/3,E176/4))))</f>
        <v>465.15549599999991</v>
      </c>
      <c r="G176" s="71" t="str">
        <f>G175</f>
        <v>29th Floor (Part Refuge Area)</v>
      </c>
      <c r="H176" s="73"/>
      <c r="I176" s="39"/>
    </row>
    <row r="177" spans="1:9" s="40" customFormat="1" x14ac:dyDescent="0.25">
      <c r="A177" s="55">
        <v>4</v>
      </c>
      <c r="B177" s="55" t="s">
        <v>193</v>
      </c>
      <c r="C177" s="55" t="s">
        <v>189</v>
      </c>
      <c r="D177" s="55">
        <f t="shared" si="11"/>
        <v>300.10031999999995</v>
      </c>
      <c r="E177" s="55">
        <v>0</v>
      </c>
      <c r="F177" s="55">
        <f>D177*(($F$129)+1)+(IF(E177&lt;101,E177,IF(E177&lt;201,E177/2,IF(E177&lt;=301,E177/3,E177/4))))</f>
        <v>465.15549599999991</v>
      </c>
      <c r="G177" s="71" t="str">
        <f>G176</f>
        <v>29th Floor (Part Refuge Area)</v>
      </c>
      <c r="H177" s="73"/>
      <c r="I177" s="39"/>
    </row>
    <row r="178" spans="1:9" s="40" customFormat="1" x14ac:dyDescent="0.25">
      <c r="A178" s="55">
        <v>5</v>
      </c>
      <c r="B178" s="55" t="s">
        <v>193</v>
      </c>
      <c r="C178" s="55" t="s">
        <v>189</v>
      </c>
      <c r="D178" s="55">
        <f>(3.65*2.6+0.95*1.95+2.85*2.1+2.5*0.34+1.95*1.1+2.06*3.15)*10.764</f>
        <v>288.59898600000002</v>
      </c>
      <c r="E178" s="55">
        <v>0</v>
      </c>
      <c r="F178" s="55">
        <f>D178*(($F$129)+1)+(IF(E178&lt;101,E178,IF(E178&lt;201,E178/2,IF(E178&lt;=301,E178/3,E178/4))))</f>
        <v>447.32842830000004</v>
      </c>
      <c r="G178" s="71" t="str">
        <f>G177</f>
        <v>29th Floor (Part Refuge Area)</v>
      </c>
      <c r="H178" s="73"/>
      <c r="I178" s="39"/>
    </row>
    <row r="179" spans="1:9" s="40" customFormat="1" x14ac:dyDescent="0.25">
      <c r="A179" s="55">
        <v>6</v>
      </c>
      <c r="B179" s="55" t="s">
        <v>193</v>
      </c>
      <c r="C179" s="55" t="s">
        <v>189</v>
      </c>
      <c r="D179" s="55">
        <f>(3.65*2.6+0.95*1.95+2.85*2.1+2.5*0.34+1.95*1.1+2.06*3.15)*10.764</f>
        <v>288.59898600000002</v>
      </c>
      <c r="E179" s="55">
        <v>0</v>
      </c>
      <c r="F179" s="55">
        <f>D179*(($F$129)+1)+(IF(E179&lt;101,E179,IF(E179&lt;201,E179/2,IF(E179&lt;=301,E179/3,E179/4))))</f>
        <v>447.32842830000004</v>
      </c>
      <c r="G179" s="71" t="str">
        <f>G178</f>
        <v>29th Floor (Part Refuge Area)</v>
      </c>
      <c r="H179" s="73"/>
      <c r="I179" s="39"/>
    </row>
    <row r="180" spans="1:9" s="40" customFormat="1" x14ac:dyDescent="0.25">
      <c r="A180" s="77" t="s">
        <v>201</v>
      </c>
      <c r="B180" s="78"/>
      <c r="C180" s="78"/>
      <c r="D180" s="78"/>
      <c r="E180" s="78"/>
      <c r="F180" s="78"/>
      <c r="G180" s="78"/>
      <c r="H180" s="79"/>
      <c r="I180" s="39"/>
    </row>
    <row r="181" spans="1:9" s="40" customFormat="1" x14ac:dyDescent="0.25">
      <c r="A181" s="55">
        <v>1</v>
      </c>
      <c r="B181" s="55" t="s">
        <v>188</v>
      </c>
      <c r="C181" s="71" t="s">
        <v>192</v>
      </c>
      <c r="D181" s="72"/>
      <c r="E181" s="72"/>
      <c r="F181" s="73"/>
      <c r="G181" s="71" t="str">
        <f>A180</f>
        <v>36th Floor (Part Refuge Area)</v>
      </c>
      <c r="H181" s="73"/>
      <c r="I181" s="39"/>
    </row>
    <row r="182" spans="1:9" s="40" customFormat="1" x14ac:dyDescent="0.25">
      <c r="A182" s="55">
        <v>2</v>
      </c>
      <c r="B182" s="55" t="s">
        <v>193</v>
      </c>
      <c r="C182" s="55" t="s">
        <v>189</v>
      </c>
      <c r="D182" s="55">
        <f t="shared" ref="D182:D184" si="12">(27.88)*10.764</f>
        <v>300.10031999999995</v>
      </c>
      <c r="E182" s="55">
        <v>0</v>
      </c>
      <c r="F182" s="55">
        <f>D182*(($F$129)+1)+(IF(E182&lt;101,E182,IF(E182&lt;201,E182/2,IF(E182&lt;=301,E182/3,E182/4))))</f>
        <v>465.15549599999991</v>
      </c>
      <c r="G182" s="71" t="str">
        <f>G181</f>
        <v>36th Floor (Part Refuge Area)</v>
      </c>
      <c r="H182" s="73"/>
      <c r="I182" s="39"/>
    </row>
    <row r="183" spans="1:9" s="40" customFormat="1" x14ac:dyDescent="0.25">
      <c r="A183" s="55">
        <v>3</v>
      </c>
      <c r="B183" s="55" t="s">
        <v>193</v>
      </c>
      <c r="C183" s="55" t="s">
        <v>189</v>
      </c>
      <c r="D183" s="55">
        <f t="shared" si="12"/>
        <v>300.10031999999995</v>
      </c>
      <c r="E183" s="55">
        <v>0</v>
      </c>
      <c r="F183" s="55">
        <f>D183*(($F$129)+1)+(IF(E183&lt;101,E183,IF(E183&lt;201,E183/2,IF(E183&lt;=301,E183/3,E183/4))))</f>
        <v>465.15549599999991</v>
      </c>
      <c r="G183" s="71" t="str">
        <f>G182</f>
        <v>36th Floor (Part Refuge Area)</v>
      </c>
      <c r="H183" s="73"/>
      <c r="I183" s="39"/>
    </row>
    <row r="184" spans="1:9" s="40" customFormat="1" x14ac:dyDescent="0.25">
      <c r="A184" s="55">
        <v>4</v>
      </c>
      <c r="B184" s="55" t="s">
        <v>193</v>
      </c>
      <c r="C184" s="55" t="s">
        <v>189</v>
      </c>
      <c r="D184" s="55">
        <f t="shared" si="12"/>
        <v>300.10031999999995</v>
      </c>
      <c r="E184" s="55">
        <v>0</v>
      </c>
      <c r="F184" s="55">
        <f>D184*(($F$129)+1)+(IF(E184&lt;101,E184,IF(E184&lt;201,E184/2,IF(E184&lt;=301,E184/3,E184/4))))</f>
        <v>465.15549599999991</v>
      </c>
      <c r="G184" s="71" t="str">
        <f>G183</f>
        <v>36th Floor (Part Refuge Area)</v>
      </c>
      <c r="H184" s="73"/>
      <c r="I184" s="39"/>
    </row>
    <row r="185" spans="1:9" s="40" customFormat="1" x14ac:dyDescent="0.25">
      <c r="A185" s="55">
        <v>5</v>
      </c>
      <c r="B185" s="55" t="s">
        <v>193</v>
      </c>
      <c r="C185" s="55" t="s">
        <v>189</v>
      </c>
      <c r="D185" s="55">
        <f>(3.65*2.6+0.95*1.95+2.85*2.1+2.5*0.34+1.95*1.1+2.06*3.15)*10.764</f>
        <v>288.59898600000002</v>
      </c>
      <c r="E185" s="55">
        <v>0</v>
      </c>
      <c r="F185" s="55">
        <f>D185*(($F$129)+1)+(IF(E185&lt;101,E185,IF(E185&lt;201,E185/2,IF(E185&lt;=301,E185/3,E185/4))))</f>
        <v>447.32842830000004</v>
      </c>
      <c r="G185" s="71" t="str">
        <f>G184</f>
        <v>36th Floor (Part Refuge Area)</v>
      </c>
      <c r="H185" s="73"/>
      <c r="I185" s="39"/>
    </row>
    <row r="186" spans="1:9" s="40" customFormat="1" x14ac:dyDescent="0.25">
      <c r="A186" s="55">
        <v>6</v>
      </c>
      <c r="B186" s="55" t="s">
        <v>193</v>
      </c>
      <c r="C186" s="55" t="s">
        <v>189</v>
      </c>
      <c r="D186" s="55">
        <f>(3.65*2.6+0.95*1.95+2.85*2.1+2.5*0.34+1.95*1.1+2.06*3.15)*10.764</f>
        <v>288.59898600000002</v>
      </c>
      <c r="E186" s="55">
        <v>0</v>
      </c>
      <c r="F186" s="55">
        <f>D186*(($F$129)+1)+(IF(E186&lt;101,E186,IF(E186&lt;201,E186/2,IF(E186&lt;=301,E186/3,E186/4))))</f>
        <v>447.32842830000004</v>
      </c>
      <c r="G186" s="71" t="str">
        <f>G185</f>
        <v>36th Floor (Part Refuge Area)</v>
      </c>
      <c r="H186" s="73"/>
      <c r="I186" s="39"/>
    </row>
    <row r="187" spans="1:9" s="40" customFormat="1" x14ac:dyDescent="0.25">
      <c r="A187" s="77" t="s">
        <v>202</v>
      </c>
      <c r="B187" s="78"/>
      <c r="C187" s="78"/>
      <c r="D187" s="78"/>
      <c r="E187" s="78"/>
      <c r="F187" s="78"/>
      <c r="G187" s="78"/>
      <c r="H187" s="79"/>
      <c r="I187" s="39"/>
    </row>
    <row r="188" spans="1:9" s="40" customFormat="1" x14ac:dyDescent="0.25">
      <c r="A188" s="55">
        <v>1</v>
      </c>
      <c r="B188" s="55" t="s">
        <v>193</v>
      </c>
      <c r="C188" s="55" t="s">
        <v>189</v>
      </c>
      <c r="D188" s="55">
        <f>(27.88)*10.764</f>
        <v>300.10031999999995</v>
      </c>
      <c r="E188" s="55">
        <v>0</v>
      </c>
      <c r="F188" s="55">
        <f t="shared" ref="F188:F193" si="13">D188*(($F$129)+1)+(IF(E188&lt;101,E188,IF(E188&lt;201,E188/2,IF(E188&lt;=301,E188/3,E188/4))))</f>
        <v>465.15549599999991</v>
      </c>
      <c r="G188" s="71" t="str">
        <f>A187</f>
        <v>39th Floor</v>
      </c>
      <c r="H188" s="73"/>
      <c r="I188" s="39"/>
    </row>
    <row r="189" spans="1:9" s="40" customFormat="1" x14ac:dyDescent="0.25">
      <c r="A189" s="55">
        <v>2</v>
      </c>
      <c r="B189" s="55" t="s">
        <v>193</v>
      </c>
      <c r="C189" s="55" t="s">
        <v>189</v>
      </c>
      <c r="D189" s="55">
        <f t="shared" ref="D189:D193" si="14">(27.88)*10.764</f>
        <v>300.10031999999995</v>
      </c>
      <c r="E189" s="55">
        <v>0</v>
      </c>
      <c r="F189" s="55">
        <f t="shared" si="13"/>
        <v>465.15549599999991</v>
      </c>
      <c r="G189" s="71" t="str">
        <f>G188</f>
        <v>39th Floor</v>
      </c>
      <c r="H189" s="73"/>
      <c r="I189" s="39"/>
    </row>
    <row r="190" spans="1:9" s="40" customFormat="1" x14ac:dyDescent="0.25">
      <c r="A190" s="55">
        <v>3</v>
      </c>
      <c r="B190" s="55" t="s">
        <v>193</v>
      </c>
      <c r="C190" s="55" t="s">
        <v>189</v>
      </c>
      <c r="D190" s="55">
        <f t="shared" si="14"/>
        <v>300.10031999999995</v>
      </c>
      <c r="E190" s="55">
        <v>0</v>
      </c>
      <c r="F190" s="55">
        <f t="shared" si="13"/>
        <v>465.15549599999991</v>
      </c>
      <c r="G190" s="71" t="str">
        <f>G189</f>
        <v>39th Floor</v>
      </c>
      <c r="H190" s="73"/>
      <c r="I190" s="39"/>
    </row>
    <row r="191" spans="1:9" s="40" customFormat="1" x14ac:dyDescent="0.25">
      <c r="A191" s="55">
        <v>4</v>
      </c>
      <c r="B191" s="55" t="s">
        <v>193</v>
      </c>
      <c r="C191" s="55" t="s">
        <v>189</v>
      </c>
      <c r="D191" s="55">
        <f t="shared" si="14"/>
        <v>300.10031999999995</v>
      </c>
      <c r="E191" s="55">
        <v>0</v>
      </c>
      <c r="F191" s="55">
        <f t="shared" si="13"/>
        <v>465.15549599999991</v>
      </c>
      <c r="G191" s="71" t="str">
        <f>G190</f>
        <v>39th Floor</v>
      </c>
      <c r="H191" s="73"/>
      <c r="I191" s="39"/>
    </row>
    <row r="192" spans="1:9" s="40" customFormat="1" x14ac:dyDescent="0.25">
      <c r="A192" s="55">
        <v>5</v>
      </c>
      <c r="B192" s="55" t="s">
        <v>193</v>
      </c>
      <c r="C192" s="55" t="s">
        <v>189</v>
      </c>
      <c r="D192" s="55">
        <f t="shared" si="14"/>
        <v>300.10031999999995</v>
      </c>
      <c r="E192" s="55">
        <v>0</v>
      </c>
      <c r="F192" s="55">
        <f t="shared" si="13"/>
        <v>465.15549599999991</v>
      </c>
      <c r="G192" s="71" t="str">
        <f>G191</f>
        <v>39th Floor</v>
      </c>
      <c r="H192" s="73"/>
      <c r="I192" s="39"/>
    </row>
    <row r="193" spans="1:14" s="40" customFormat="1" x14ac:dyDescent="0.25">
      <c r="A193" s="55">
        <v>6</v>
      </c>
      <c r="B193" s="55" t="s">
        <v>193</v>
      </c>
      <c r="C193" s="55" t="s">
        <v>189</v>
      </c>
      <c r="D193" s="55">
        <f t="shared" si="14"/>
        <v>300.10031999999995</v>
      </c>
      <c r="E193" s="55">
        <v>0</v>
      </c>
      <c r="F193" s="55">
        <f t="shared" si="13"/>
        <v>465.15549599999991</v>
      </c>
      <c r="G193" s="71" t="str">
        <f>G192</f>
        <v>39th Floor</v>
      </c>
      <c r="H193" s="73"/>
      <c r="I193" s="39"/>
    </row>
    <row r="194" spans="1:14" x14ac:dyDescent="0.25">
      <c r="A194" s="96" t="s">
        <v>174</v>
      </c>
      <c r="B194" s="96"/>
      <c r="C194" s="96"/>
      <c r="D194" s="96"/>
      <c r="E194" s="96"/>
      <c r="F194" s="96"/>
      <c r="G194" s="96"/>
      <c r="H194" s="96"/>
    </row>
    <row r="195" spans="1:14" s="40" customFormat="1" x14ac:dyDescent="0.25">
      <c r="A195" s="77" t="s">
        <v>205</v>
      </c>
      <c r="B195" s="78"/>
      <c r="C195" s="78"/>
      <c r="D195" s="78"/>
      <c r="E195" s="78"/>
      <c r="F195" s="78"/>
      <c r="G195" s="78"/>
      <c r="H195" s="79"/>
      <c r="J195" s="39"/>
    </row>
    <row r="196" spans="1:14" s="40" customFormat="1" hidden="1" x14ac:dyDescent="0.25">
      <c r="A196" s="55">
        <v>1</v>
      </c>
      <c r="B196" s="55" t="s">
        <v>188</v>
      </c>
      <c r="C196" s="80" t="s">
        <v>180</v>
      </c>
      <c r="D196" s="81"/>
      <c r="E196" s="81"/>
      <c r="F196" s="82"/>
      <c r="G196" s="71" t="str">
        <f>A195</f>
        <v>1st Floor for Aanganwadi, Balwadi, Library &amp; Welfare Centre</v>
      </c>
      <c r="H196" s="73"/>
      <c r="I196" s="39"/>
      <c r="L196" s="95"/>
      <c r="M196" s="95"/>
      <c r="N196" s="39"/>
    </row>
    <row r="197" spans="1:14" s="40" customFormat="1" hidden="1" x14ac:dyDescent="0.25">
      <c r="A197" s="55">
        <f t="shared" ref="A197:A207" si="15">A196+1</f>
        <v>2</v>
      </c>
      <c r="B197" s="55" t="s">
        <v>188</v>
      </c>
      <c r="C197" s="83"/>
      <c r="D197" s="84"/>
      <c r="E197" s="84"/>
      <c r="F197" s="85"/>
      <c r="G197" s="71" t="str">
        <f t="shared" ref="G197:G207" si="16">G196</f>
        <v>1st Floor for Aanganwadi, Balwadi, Library &amp; Welfare Centre</v>
      </c>
      <c r="H197" s="73"/>
      <c r="I197" s="39"/>
      <c r="L197" s="95"/>
      <c r="M197" s="95"/>
      <c r="N197" s="39"/>
    </row>
    <row r="198" spans="1:14" s="40" customFormat="1" hidden="1" x14ac:dyDescent="0.25">
      <c r="A198" s="55">
        <f t="shared" si="15"/>
        <v>3</v>
      </c>
      <c r="B198" s="55" t="s">
        <v>188</v>
      </c>
      <c r="C198" s="80" t="s">
        <v>181</v>
      </c>
      <c r="D198" s="81"/>
      <c r="E198" s="81"/>
      <c r="F198" s="82"/>
      <c r="G198" s="71" t="str">
        <f t="shared" si="16"/>
        <v>1st Floor for Aanganwadi, Balwadi, Library &amp; Welfare Centre</v>
      </c>
      <c r="H198" s="73"/>
      <c r="I198" s="39"/>
      <c r="L198" s="95"/>
      <c r="M198" s="95"/>
      <c r="N198" s="39"/>
    </row>
    <row r="199" spans="1:14" s="40" customFormat="1" hidden="1" x14ac:dyDescent="0.25">
      <c r="A199" s="55">
        <f t="shared" si="15"/>
        <v>4</v>
      </c>
      <c r="B199" s="55" t="s">
        <v>188</v>
      </c>
      <c r="C199" s="83"/>
      <c r="D199" s="84"/>
      <c r="E199" s="84"/>
      <c r="F199" s="85"/>
      <c r="G199" s="71" t="str">
        <f t="shared" si="16"/>
        <v>1st Floor for Aanganwadi, Balwadi, Library &amp; Welfare Centre</v>
      </c>
      <c r="H199" s="73"/>
      <c r="I199" s="39"/>
      <c r="L199" s="95"/>
      <c r="M199" s="95"/>
      <c r="N199" s="39"/>
    </row>
    <row r="200" spans="1:14" s="40" customFormat="1" hidden="1" x14ac:dyDescent="0.25">
      <c r="A200" s="55">
        <f t="shared" si="15"/>
        <v>5</v>
      </c>
      <c r="B200" s="55" t="s">
        <v>188</v>
      </c>
      <c r="C200" s="80" t="s">
        <v>182</v>
      </c>
      <c r="D200" s="81"/>
      <c r="E200" s="81"/>
      <c r="F200" s="82"/>
      <c r="G200" s="71" t="str">
        <f t="shared" si="16"/>
        <v>1st Floor for Aanganwadi, Balwadi, Library &amp; Welfare Centre</v>
      </c>
      <c r="H200" s="73"/>
      <c r="I200" s="39"/>
      <c r="L200" s="95"/>
      <c r="M200" s="95"/>
      <c r="N200" s="39"/>
    </row>
    <row r="201" spans="1:14" s="40" customFormat="1" hidden="1" x14ac:dyDescent="0.25">
      <c r="A201" s="55">
        <f t="shared" si="15"/>
        <v>6</v>
      </c>
      <c r="B201" s="55" t="s">
        <v>188</v>
      </c>
      <c r="C201" s="83"/>
      <c r="D201" s="84"/>
      <c r="E201" s="84"/>
      <c r="F201" s="85"/>
      <c r="G201" s="71" t="str">
        <f t="shared" si="16"/>
        <v>1st Floor for Aanganwadi, Balwadi, Library &amp; Welfare Centre</v>
      </c>
      <c r="H201" s="73"/>
      <c r="I201" s="39"/>
      <c r="L201" s="95"/>
      <c r="M201" s="95"/>
      <c r="N201" s="39"/>
    </row>
    <row r="202" spans="1:14" s="40" customFormat="1" hidden="1" x14ac:dyDescent="0.25">
      <c r="A202" s="55">
        <f t="shared" si="15"/>
        <v>7</v>
      </c>
      <c r="B202" s="55" t="s">
        <v>188</v>
      </c>
      <c r="C202" s="55" t="s">
        <v>183</v>
      </c>
      <c r="D202" s="55">
        <f>(20.02)*10.764</f>
        <v>215.49527999999998</v>
      </c>
      <c r="E202" s="55">
        <f>(1.6*2.4+1.6*2.4)*10.764</f>
        <v>82.667519999999996</v>
      </c>
      <c r="F202" s="55">
        <f>D202*(($F$129)+1)+(IF(E202&lt;101,E202,IF(E202&lt;201,E202/2,IF(E202&lt;=301,E202/3,E202/4))))</f>
        <v>416.685204</v>
      </c>
      <c r="G202" s="71" t="str">
        <f t="shared" si="16"/>
        <v>1st Floor for Aanganwadi, Balwadi, Library &amp; Welfare Centre</v>
      </c>
      <c r="H202" s="73"/>
      <c r="I202" s="39">
        <f>(3.56*2.4+2.15*2.3+1.25*1.2+2.4*1.26+1.95*0.95)*10.764</f>
        <v>213.83224200000001</v>
      </c>
      <c r="L202" s="95"/>
      <c r="M202" s="95"/>
      <c r="N202" s="39"/>
    </row>
    <row r="203" spans="1:14" s="40" customFormat="1" hidden="1" x14ac:dyDescent="0.25">
      <c r="A203" s="55">
        <f t="shared" si="15"/>
        <v>8</v>
      </c>
      <c r="B203" s="55" t="s">
        <v>188</v>
      </c>
      <c r="C203" s="80" t="s">
        <v>184</v>
      </c>
      <c r="D203" s="81"/>
      <c r="E203" s="81"/>
      <c r="F203" s="82"/>
      <c r="G203" s="71" t="str">
        <f t="shared" si="16"/>
        <v>1st Floor for Aanganwadi, Balwadi, Library &amp; Welfare Centre</v>
      </c>
      <c r="H203" s="73"/>
      <c r="I203" s="39"/>
      <c r="L203" s="95"/>
      <c r="M203" s="95"/>
      <c r="N203" s="39"/>
    </row>
    <row r="204" spans="1:14" s="40" customFormat="1" hidden="1" x14ac:dyDescent="0.25">
      <c r="A204" s="55">
        <f t="shared" si="15"/>
        <v>9</v>
      </c>
      <c r="B204" s="55" t="s">
        <v>188</v>
      </c>
      <c r="C204" s="83"/>
      <c r="D204" s="84"/>
      <c r="E204" s="84"/>
      <c r="F204" s="85"/>
      <c r="G204" s="71" t="str">
        <f t="shared" si="16"/>
        <v>1st Floor for Aanganwadi, Balwadi, Library &amp; Welfare Centre</v>
      </c>
      <c r="H204" s="73"/>
      <c r="I204" s="39"/>
      <c r="L204" s="95"/>
      <c r="M204" s="95"/>
      <c r="N204" s="39"/>
    </row>
    <row r="205" spans="1:14" s="40" customFormat="1" hidden="1" x14ac:dyDescent="0.25">
      <c r="A205" s="55">
        <f t="shared" si="15"/>
        <v>10</v>
      </c>
      <c r="B205" s="55" t="s">
        <v>188</v>
      </c>
      <c r="C205" s="55" t="s">
        <v>183</v>
      </c>
      <c r="D205" s="55">
        <f>(20.02)*10.764</f>
        <v>215.49527999999998</v>
      </c>
      <c r="E205" s="55">
        <f>(2.4*1.6+2.4*1.6)*10.764</f>
        <v>82.667519999999996</v>
      </c>
      <c r="F205" s="55">
        <f>D205*(($F$129)+1)+(IF(E205&lt;101,E205,IF(E205&lt;201,E205/2,IF(E205&lt;=301,E205/3,E205/4))))</f>
        <v>416.685204</v>
      </c>
      <c r="G205" s="71" t="str">
        <f t="shared" si="16"/>
        <v>1st Floor for Aanganwadi, Balwadi, Library &amp; Welfare Centre</v>
      </c>
      <c r="H205" s="73"/>
      <c r="I205" s="39"/>
      <c r="L205" s="95"/>
      <c r="M205" s="95"/>
      <c r="N205" s="39"/>
    </row>
    <row r="206" spans="1:14" s="40" customFormat="1" hidden="1" x14ac:dyDescent="0.25">
      <c r="A206" s="55">
        <f t="shared" si="15"/>
        <v>11</v>
      </c>
      <c r="B206" s="55" t="s">
        <v>188</v>
      </c>
      <c r="C206" s="55" t="s">
        <v>183</v>
      </c>
      <c r="D206" s="55">
        <f t="shared" ref="D206:D207" si="17">(20.02)*10.764</f>
        <v>215.49527999999998</v>
      </c>
      <c r="E206" s="55">
        <f t="shared" ref="E206:E207" si="18">(2.4*1.6+2.4*1.6)*10.764</f>
        <v>82.667519999999996</v>
      </c>
      <c r="F206" s="55">
        <f>D206*(($F$129)+1)+(IF(E206&lt;101,E206,IF(E206&lt;201,E206/2,IF(E206&lt;=301,E206/3,E206/4))))</f>
        <v>416.685204</v>
      </c>
      <c r="G206" s="71" t="str">
        <f t="shared" si="16"/>
        <v>1st Floor for Aanganwadi, Balwadi, Library &amp; Welfare Centre</v>
      </c>
      <c r="H206" s="73"/>
      <c r="I206" s="39"/>
      <c r="L206" s="95"/>
      <c r="M206" s="95"/>
      <c r="N206" s="39"/>
    </row>
    <row r="207" spans="1:14" s="40" customFormat="1" hidden="1" x14ac:dyDescent="0.25">
      <c r="A207" s="55">
        <f t="shared" si="15"/>
        <v>12</v>
      </c>
      <c r="B207" s="55" t="s">
        <v>188</v>
      </c>
      <c r="C207" s="55" t="s">
        <v>183</v>
      </c>
      <c r="D207" s="55">
        <f t="shared" si="17"/>
        <v>215.49527999999998</v>
      </c>
      <c r="E207" s="55">
        <f t="shared" si="18"/>
        <v>82.667519999999996</v>
      </c>
      <c r="F207" s="55">
        <f>D207*(($F$129)+1)+(IF(E207&lt;101,E207,IF(E207&lt;201,E207/2,IF(E207&lt;=301,E207/3,E207/4))))</f>
        <v>416.685204</v>
      </c>
      <c r="G207" s="71" t="str">
        <f t="shared" si="16"/>
        <v>1st Floor for Aanganwadi, Balwadi, Library &amp; Welfare Centre</v>
      </c>
      <c r="H207" s="73"/>
      <c r="I207" s="39"/>
      <c r="L207" s="95"/>
      <c r="M207" s="95"/>
      <c r="N207" s="39"/>
    </row>
    <row r="208" spans="1:14" s="40" customFormat="1" x14ac:dyDescent="0.25">
      <c r="A208" s="89" t="s">
        <v>126</v>
      </c>
      <c r="B208" s="89"/>
      <c r="C208" s="89"/>
      <c r="D208" s="89"/>
      <c r="E208" s="89"/>
      <c r="F208" s="89"/>
      <c r="G208" s="89"/>
      <c r="H208" s="89"/>
      <c r="I208" s="39"/>
      <c r="L208" s="95"/>
      <c r="M208" s="95"/>
    </row>
    <row r="209" spans="1:14" s="40" customFormat="1" x14ac:dyDescent="0.25">
      <c r="A209" s="55">
        <v>1</v>
      </c>
      <c r="B209" s="55" t="s">
        <v>177</v>
      </c>
      <c r="C209" s="55" t="s">
        <v>189</v>
      </c>
      <c r="D209" s="55">
        <f>(2.4*5.2+0.95*1.95+2.4*2.9+1.2*1.25+2.3*2.15)*10.764</f>
        <v>298.56644999999997</v>
      </c>
      <c r="E209" s="55">
        <v>0</v>
      </c>
      <c r="F209" s="55">
        <f t="shared" ref="F209:F210" si="19">D209*(($F$129)+1)+(IF(E209&lt;101,E209,IF(E209&lt;201,E209/2,IF(E209&lt;=301,E209/3,E209/4))))</f>
        <v>462.77799749999997</v>
      </c>
      <c r="G209" s="88" t="str">
        <f>A208</f>
        <v>2nd Floor</v>
      </c>
      <c r="H209" s="88"/>
      <c r="I209" s="39"/>
      <c r="N209" s="39"/>
    </row>
    <row r="210" spans="1:14" s="40" customFormat="1" x14ac:dyDescent="0.25">
      <c r="A210" s="55">
        <f t="shared" ref="A210:A220" si="20">A209+1</f>
        <v>2</v>
      </c>
      <c r="B210" s="55" t="s">
        <v>177</v>
      </c>
      <c r="C210" s="55" t="s">
        <v>189</v>
      </c>
      <c r="D210" s="55">
        <f t="shared" ref="D210:D215" si="21">(2.4*5.2+0.95*1.95+2.4*2.9+1.2*1.25+2.3*2.15)*10.764</f>
        <v>298.56644999999997</v>
      </c>
      <c r="E210" s="55">
        <v>0</v>
      </c>
      <c r="F210" s="55">
        <f t="shared" si="19"/>
        <v>462.77799749999997</v>
      </c>
      <c r="G210" s="88" t="str">
        <f t="shared" ref="G210:G220" si="22">G209</f>
        <v>2nd Floor</v>
      </c>
      <c r="H210" s="88"/>
      <c r="I210" s="39"/>
      <c r="N210" s="39"/>
    </row>
    <row r="211" spans="1:14" s="40" customFormat="1" x14ac:dyDescent="0.25">
      <c r="A211" s="55">
        <f t="shared" si="20"/>
        <v>3</v>
      </c>
      <c r="B211" s="55" t="s">
        <v>177</v>
      </c>
      <c r="C211" s="55" t="s">
        <v>189</v>
      </c>
      <c r="D211" s="55">
        <f t="shared" si="21"/>
        <v>298.56644999999997</v>
      </c>
      <c r="E211" s="55">
        <v>0</v>
      </c>
      <c r="F211" s="55">
        <f t="shared" ref="F211:F220" si="23">D211*(($F$129)+1)+(IF(E211&lt;101,E211,IF(E211&lt;201,E211/2,IF(E211&lt;=301,E211/3,E211/4))))</f>
        <v>462.77799749999997</v>
      </c>
      <c r="G211" s="88" t="str">
        <f t="shared" si="22"/>
        <v>2nd Floor</v>
      </c>
      <c r="H211" s="88"/>
      <c r="I211" s="39"/>
      <c r="N211" s="39"/>
    </row>
    <row r="212" spans="1:14" s="40" customFormat="1" x14ac:dyDescent="0.25">
      <c r="A212" s="55">
        <f t="shared" si="20"/>
        <v>4</v>
      </c>
      <c r="B212" s="55" t="s">
        <v>177</v>
      </c>
      <c r="C212" s="55" t="s">
        <v>189</v>
      </c>
      <c r="D212" s="55">
        <f t="shared" si="21"/>
        <v>298.56644999999997</v>
      </c>
      <c r="E212" s="55">
        <v>0</v>
      </c>
      <c r="F212" s="55">
        <f t="shared" si="23"/>
        <v>462.77799749999997</v>
      </c>
      <c r="G212" s="88" t="str">
        <f t="shared" si="22"/>
        <v>2nd Floor</v>
      </c>
      <c r="H212" s="88"/>
      <c r="I212" s="39"/>
      <c r="N212" s="39"/>
    </row>
    <row r="213" spans="1:14" s="40" customFormat="1" x14ac:dyDescent="0.25">
      <c r="A213" s="55">
        <f t="shared" si="20"/>
        <v>5</v>
      </c>
      <c r="B213" s="55" t="s">
        <v>177</v>
      </c>
      <c r="C213" s="55" t="s">
        <v>189</v>
      </c>
      <c r="D213" s="55">
        <f t="shared" si="21"/>
        <v>298.56644999999997</v>
      </c>
      <c r="E213" s="55">
        <v>0</v>
      </c>
      <c r="F213" s="55">
        <f t="shared" si="23"/>
        <v>462.77799749999997</v>
      </c>
      <c r="G213" s="88" t="str">
        <f t="shared" si="22"/>
        <v>2nd Floor</v>
      </c>
      <c r="H213" s="88"/>
      <c r="I213" s="39"/>
      <c r="N213" s="39"/>
    </row>
    <row r="214" spans="1:14" s="40" customFormat="1" x14ac:dyDescent="0.25">
      <c r="A214" s="55">
        <f t="shared" si="20"/>
        <v>6</v>
      </c>
      <c r="B214" s="55" t="s">
        <v>177</v>
      </c>
      <c r="C214" s="55" t="s">
        <v>189</v>
      </c>
      <c r="D214" s="55">
        <f t="shared" si="21"/>
        <v>298.56644999999997</v>
      </c>
      <c r="E214" s="55">
        <v>0</v>
      </c>
      <c r="F214" s="55">
        <f t="shared" si="23"/>
        <v>462.77799749999997</v>
      </c>
      <c r="G214" s="88" t="str">
        <f t="shared" si="22"/>
        <v>2nd Floor</v>
      </c>
      <c r="H214" s="88"/>
      <c r="I214" s="39"/>
      <c r="N214" s="39"/>
    </row>
    <row r="215" spans="1:14" s="40" customFormat="1" x14ac:dyDescent="0.25">
      <c r="A215" s="55">
        <f t="shared" si="20"/>
        <v>7</v>
      </c>
      <c r="B215" s="55" t="s">
        <v>177</v>
      </c>
      <c r="C215" s="55" t="s">
        <v>189</v>
      </c>
      <c r="D215" s="55">
        <f t="shared" si="21"/>
        <v>298.56644999999997</v>
      </c>
      <c r="E215" s="55">
        <v>0</v>
      </c>
      <c r="F215" s="55">
        <f t="shared" si="23"/>
        <v>462.77799749999997</v>
      </c>
      <c r="G215" s="88" t="str">
        <f t="shared" si="22"/>
        <v>2nd Floor</v>
      </c>
      <c r="H215" s="88"/>
      <c r="I215" s="39"/>
      <c r="N215" s="39"/>
    </row>
    <row r="216" spans="1:14" s="40" customFormat="1" x14ac:dyDescent="0.25">
      <c r="A216" s="55">
        <f t="shared" si="20"/>
        <v>8</v>
      </c>
      <c r="B216" s="55" t="s">
        <v>177</v>
      </c>
      <c r="C216" s="55" t="s">
        <v>189</v>
      </c>
      <c r="D216" s="55">
        <f>(2.4*5.05+0.95*1.95+2.6*2+1.2*1.25+2.52*2.73)*10.764</f>
        <v>296.57080439999999</v>
      </c>
      <c r="E216" s="55">
        <v>0</v>
      </c>
      <c r="F216" s="55">
        <f t="shared" si="23"/>
        <v>459.68474681999999</v>
      </c>
      <c r="G216" s="88" t="str">
        <f t="shared" si="22"/>
        <v>2nd Floor</v>
      </c>
      <c r="H216" s="88"/>
      <c r="I216" s="39"/>
      <c r="N216" s="39"/>
    </row>
    <row r="217" spans="1:14" s="40" customFormat="1" x14ac:dyDescent="0.25">
      <c r="A217" s="55">
        <f t="shared" si="20"/>
        <v>9</v>
      </c>
      <c r="B217" s="55" t="s">
        <v>177</v>
      </c>
      <c r="C217" s="55" t="s">
        <v>189</v>
      </c>
      <c r="D217" s="55">
        <f>(2.4*5.2+2.3*2.15+0.95*1.95+2.4*2.9+1.2*1.25)*10.764</f>
        <v>298.56644999999997</v>
      </c>
      <c r="E217" s="55">
        <v>0</v>
      </c>
      <c r="F217" s="55">
        <f t="shared" si="23"/>
        <v>462.77799749999997</v>
      </c>
      <c r="G217" s="88" t="str">
        <f t="shared" si="22"/>
        <v>2nd Floor</v>
      </c>
      <c r="H217" s="88"/>
      <c r="I217" s="39"/>
      <c r="N217" s="39"/>
    </row>
    <row r="218" spans="1:14" s="40" customFormat="1" x14ac:dyDescent="0.25">
      <c r="A218" s="55">
        <f t="shared" si="20"/>
        <v>10</v>
      </c>
      <c r="B218" s="55" t="s">
        <v>177</v>
      </c>
      <c r="C218" s="55" t="s">
        <v>189</v>
      </c>
      <c r="D218" s="55">
        <f>(2.4*5.2+2.3*2.15+0.95*1.95+2.4*2.9+1.2*1.25)*10.764</f>
        <v>298.56644999999997</v>
      </c>
      <c r="E218" s="55">
        <v>0</v>
      </c>
      <c r="F218" s="55">
        <f t="shared" si="23"/>
        <v>462.77799749999997</v>
      </c>
      <c r="G218" s="88" t="str">
        <f t="shared" si="22"/>
        <v>2nd Floor</v>
      </c>
      <c r="H218" s="88"/>
      <c r="I218" s="39"/>
      <c r="N218" s="39"/>
    </row>
    <row r="219" spans="1:14" s="40" customFormat="1" x14ac:dyDescent="0.25">
      <c r="A219" s="55">
        <f t="shared" si="20"/>
        <v>11</v>
      </c>
      <c r="B219" s="55" t="s">
        <v>177</v>
      </c>
      <c r="C219" s="55" t="s">
        <v>189</v>
      </c>
      <c r="D219" s="55">
        <f t="shared" ref="D219:D220" si="24">(2.4*5.2+2.3*2.15+0.95*1.95+2.4*2.9+1.2*1.25)*10.764</f>
        <v>298.56644999999997</v>
      </c>
      <c r="E219" s="55">
        <v>0</v>
      </c>
      <c r="F219" s="55">
        <f t="shared" si="23"/>
        <v>462.77799749999997</v>
      </c>
      <c r="G219" s="88" t="str">
        <f t="shared" si="22"/>
        <v>2nd Floor</v>
      </c>
      <c r="H219" s="88"/>
      <c r="I219" s="39"/>
      <c r="N219" s="39"/>
    </row>
    <row r="220" spans="1:14" s="40" customFormat="1" x14ac:dyDescent="0.25">
      <c r="A220" s="55">
        <f t="shared" si="20"/>
        <v>12</v>
      </c>
      <c r="B220" s="55" t="s">
        <v>177</v>
      </c>
      <c r="C220" s="55" t="s">
        <v>189</v>
      </c>
      <c r="D220" s="55">
        <f t="shared" si="24"/>
        <v>298.56644999999997</v>
      </c>
      <c r="E220" s="55">
        <v>0</v>
      </c>
      <c r="F220" s="55">
        <f t="shared" si="23"/>
        <v>462.77799749999997</v>
      </c>
      <c r="G220" s="88" t="str">
        <f t="shared" si="22"/>
        <v>2nd Floor</v>
      </c>
      <c r="H220" s="88"/>
      <c r="I220" s="39"/>
      <c r="N220" s="39"/>
    </row>
    <row r="221" spans="1:14" s="40" customFormat="1" x14ac:dyDescent="0.25">
      <c r="A221" s="89" t="s">
        <v>190</v>
      </c>
      <c r="B221" s="89"/>
      <c r="C221" s="89"/>
      <c r="D221" s="89"/>
      <c r="E221" s="89"/>
      <c r="F221" s="89"/>
      <c r="G221" s="89"/>
      <c r="H221" s="89"/>
      <c r="I221" s="39"/>
      <c r="L221" s="95"/>
      <c r="M221" s="95"/>
    </row>
    <row r="222" spans="1:14" s="40" customFormat="1" x14ac:dyDescent="0.25">
      <c r="A222" s="55">
        <v>1</v>
      </c>
      <c r="B222" s="55" t="s">
        <v>177</v>
      </c>
      <c r="C222" s="55" t="s">
        <v>189</v>
      </c>
      <c r="D222" s="55">
        <f>(2.4*5.2+0.95*1.95+2.4*2.9+1.2*1.25+2.3*2.15)*10.764</f>
        <v>298.56644999999997</v>
      </c>
      <c r="E222" s="55">
        <v>0</v>
      </c>
      <c r="F222" s="55">
        <f t="shared" ref="F222:F223" si="25">D222*(($F$129)+1)+(IF(E222&lt;101,E222,IF(E222&lt;201,E222/2,IF(E222&lt;=301,E222/3,E222/4))))</f>
        <v>462.77799749999997</v>
      </c>
      <c r="G222" s="88" t="str">
        <f>A221</f>
        <v>3rd to 7th Floor</v>
      </c>
      <c r="H222" s="88"/>
      <c r="I222" s="39"/>
      <c r="N222" s="39"/>
    </row>
    <row r="223" spans="1:14" s="40" customFormat="1" x14ac:dyDescent="0.25">
      <c r="A223" s="55">
        <f t="shared" ref="A223:A234" si="26">A222+1</f>
        <v>2</v>
      </c>
      <c r="B223" s="55" t="s">
        <v>177</v>
      </c>
      <c r="C223" s="55" t="s">
        <v>189</v>
      </c>
      <c r="D223" s="55">
        <f t="shared" ref="D223:D228" si="27">(2.4*5.2+0.95*1.95+2.4*2.9+1.2*1.25+2.3*2.15)*10.764</f>
        <v>298.56644999999997</v>
      </c>
      <c r="E223" s="55">
        <v>0</v>
      </c>
      <c r="F223" s="55">
        <f t="shared" si="25"/>
        <v>462.77799749999997</v>
      </c>
      <c r="G223" s="88" t="str">
        <f t="shared" ref="G223:G234" si="28">G222</f>
        <v>3rd to 7th Floor</v>
      </c>
      <c r="H223" s="88"/>
      <c r="I223" s="39"/>
      <c r="N223" s="39"/>
    </row>
    <row r="224" spans="1:14" s="40" customFormat="1" x14ac:dyDescent="0.25">
      <c r="A224" s="55">
        <f t="shared" si="26"/>
        <v>3</v>
      </c>
      <c r="B224" s="55" t="s">
        <v>177</v>
      </c>
      <c r="C224" s="55" t="s">
        <v>189</v>
      </c>
      <c r="D224" s="55">
        <f t="shared" si="27"/>
        <v>298.56644999999997</v>
      </c>
      <c r="E224" s="55">
        <v>0</v>
      </c>
      <c r="F224" s="55">
        <f t="shared" ref="F224:F234" si="29">D224*(($F$129)+1)+(IF(E224&lt;101,E224,IF(E224&lt;201,E224/2,IF(E224&lt;=301,E224/3,E224/4))))</f>
        <v>462.77799749999997</v>
      </c>
      <c r="G224" s="88" t="str">
        <f t="shared" si="28"/>
        <v>3rd to 7th Floor</v>
      </c>
      <c r="H224" s="88"/>
      <c r="I224" s="39"/>
      <c r="N224" s="39"/>
    </row>
    <row r="225" spans="1:14" s="40" customFormat="1" x14ac:dyDescent="0.25">
      <c r="A225" s="55">
        <f t="shared" si="26"/>
        <v>4</v>
      </c>
      <c r="B225" s="55" t="s">
        <v>177</v>
      </c>
      <c r="C225" s="55" t="s">
        <v>189</v>
      </c>
      <c r="D225" s="55">
        <f t="shared" si="27"/>
        <v>298.56644999999997</v>
      </c>
      <c r="E225" s="55">
        <v>0</v>
      </c>
      <c r="F225" s="55">
        <f t="shared" si="29"/>
        <v>462.77799749999997</v>
      </c>
      <c r="G225" s="88" t="str">
        <f t="shared" si="28"/>
        <v>3rd to 7th Floor</v>
      </c>
      <c r="H225" s="88"/>
      <c r="I225" s="39"/>
      <c r="N225" s="39"/>
    </row>
    <row r="226" spans="1:14" s="40" customFormat="1" x14ac:dyDescent="0.25">
      <c r="A226" s="55">
        <f t="shared" si="26"/>
        <v>5</v>
      </c>
      <c r="B226" s="55" t="s">
        <v>177</v>
      </c>
      <c r="C226" s="55" t="s">
        <v>189</v>
      </c>
      <c r="D226" s="55">
        <f t="shared" si="27"/>
        <v>298.56644999999997</v>
      </c>
      <c r="E226" s="55">
        <v>0</v>
      </c>
      <c r="F226" s="55">
        <f t="shared" si="29"/>
        <v>462.77799749999997</v>
      </c>
      <c r="G226" s="88" t="str">
        <f t="shared" si="28"/>
        <v>3rd to 7th Floor</v>
      </c>
      <c r="H226" s="88"/>
      <c r="I226" s="39"/>
      <c r="N226" s="39"/>
    </row>
    <row r="227" spans="1:14" s="40" customFormat="1" x14ac:dyDescent="0.25">
      <c r="A227" s="55">
        <f t="shared" si="26"/>
        <v>6</v>
      </c>
      <c r="B227" s="55" t="s">
        <v>177</v>
      </c>
      <c r="C227" s="55" t="s">
        <v>189</v>
      </c>
      <c r="D227" s="55">
        <f t="shared" si="27"/>
        <v>298.56644999999997</v>
      </c>
      <c r="E227" s="55">
        <v>0</v>
      </c>
      <c r="F227" s="55">
        <f t="shared" si="29"/>
        <v>462.77799749999997</v>
      </c>
      <c r="G227" s="88" t="str">
        <f t="shared" si="28"/>
        <v>3rd to 7th Floor</v>
      </c>
      <c r="H227" s="88"/>
      <c r="I227" s="39"/>
      <c r="N227" s="39"/>
    </row>
    <row r="228" spans="1:14" s="40" customFormat="1" x14ac:dyDescent="0.25">
      <c r="A228" s="55">
        <f t="shared" si="26"/>
        <v>7</v>
      </c>
      <c r="B228" s="55" t="s">
        <v>177</v>
      </c>
      <c r="C228" s="55" t="s">
        <v>189</v>
      </c>
      <c r="D228" s="55">
        <f t="shared" si="27"/>
        <v>298.56644999999997</v>
      </c>
      <c r="E228" s="55">
        <v>0</v>
      </c>
      <c r="F228" s="55">
        <f t="shared" si="29"/>
        <v>462.77799749999997</v>
      </c>
      <c r="G228" s="88" t="str">
        <f t="shared" si="28"/>
        <v>3rd to 7th Floor</v>
      </c>
      <c r="H228" s="88"/>
      <c r="I228" s="39"/>
      <c r="N228" s="39"/>
    </row>
    <row r="229" spans="1:14" s="40" customFormat="1" x14ac:dyDescent="0.25">
      <c r="A229" s="55">
        <f t="shared" si="26"/>
        <v>8</v>
      </c>
      <c r="B229" s="55" t="s">
        <v>177</v>
      </c>
      <c r="C229" s="55" t="s">
        <v>189</v>
      </c>
      <c r="D229" s="55">
        <f>(2.4*5.05+0.95*1.95+2.6*2+1.2*1.25+2.52*2.73)*10.764</f>
        <v>296.57080439999999</v>
      </c>
      <c r="E229" s="55">
        <v>0</v>
      </c>
      <c r="F229" s="55">
        <f t="shared" si="29"/>
        <v>459.68474681999999</v>
      </c>
      <c r="G229" s="88" t="str">
        <f t="shared" si="28"/>
        <v>3rd to 7th Floor</v>
      </c>
      <c r="H229" s="88"/>
      <c r="I229" s="39"/>
      <c r="N229" s="39"/>
    </row>
    <row r="230" spans="1:14" s="40" customFormat="1" x14ac:dyDescent="0.25">
      <c r="A230" s="55">
        <f t="shared" si="26"/>
        <v>9</v>
      </c>
      <c r="B230" s="55" t="s">
        <v>177</v>
      </c>
      <c r="C230" s="55" t="s">
        <v>189</v>
      </c>
      <c r="D230" s="55">
        <f>(2.4*5.2+2.3*2.15+0.95*1.95+2.4*2.9+1.2*1.25)*10.764</f>
        <v>298.56644999999997</v>
      </c>
      <c r="E230" s="55">
        <v>0</v>
      </c>
      <c r="F230" s="55">
        <f t="shared" si="29"/>
        <v>462.77799749999997</v>
      </c>
      <c r="G230" s="88" t="str">
        <f t="shared" si="28"/>
        <v>3rd to 7th Floor</v>
      </c>
      <c r="H230" s="88"/>
      <c r="I230" s="39"/>
      <c r="N230" s="39"/>
    </row>
    <row r="231" spans="1:14" s="40" customFormat="1" x14ac:dyDescent="0.25">
      <c r="A231" s="55">
        <f t="shared" si="26"/>
        <v>10</v>
      </c>
      <c r="B231" s="55" t="s">
        <v>177</v>
      </c>
      <c r="C231" s="55" t="s">
        <v>189</v>
      </c>
      <c r="D231" s="55">
        <f>(2.4*5.2+2.3*2.15+0.95*1.95+2.4*2.9+1.2*1.25)*10.764</f>
        <v>298.56644999999997</v>
      </c>
      <c r="E231" s="55">
        <v>0</v>
      </c>
      <c r="F231" s="55">
        <f t="shared" si="29"/>
        <v>462.77799749999997</v>
      </c>
      <c r="G231" s="88" t="str">
        <f t="shared" si="28"/>
        <v>3rd to 7th Floor</v>
      </c>
      <c r="H231" s="88"/>
      <c r="I231" s="39"/>
      <c r="N231" s="39"/>
    </row>
    <row r="232" spans="1:14" s="40" customFormat="1" x14ac:dyDescent="0.25">
      <c r="A232" s="55">
        <f t="shared" si="26"/>
        <v>11</v>
      </c>
      <c r="B232" s="55" t="s">
        <v>177</v>
      </c>
      <c r="C232" s="55" t="s">
        <v>189</v>
      </c>
      <c r="D232" s="55">
        <f t="shared" ref="D232:D234" si="30">(2.4*5.2+2.3*2.15+0.95*1.95+2.4*2.9+1.2*1.25)*10.764</f>
        <v>298.56644999999997</v>
      </c>
      <c r="E232" s="55">
        <v>0</v>
      </c>
      <c r="F232" s="55">
        <f t="shared" si="29"/>
        <v>462.77799749999997</v>
      </c>
      <c r="G232" s="88" t="str">
        <f t="shared" si="28"/>
        <v>3rd to 7th Floor</v>
      </c>
      <c r="H232" s="88"/>
      <c r="I232" s="39"/>
      <c r="N232" s="39"/>
    </row>
    <row r="233" spans="1:14" s="40" customFormat="1" x14ac:dyDescent="0.25">
      <c r="A233" s="55">
        <f t="shared" si="26"/>
        <v>12</v>
      </c>
      <c r="B233" s="55" t="s">
        <v>177</v>
      </c>
      <c r="C233" s="55" t="s">
        <v>189</v>
      </c>
      <c r="D233" s="55">
        <f t="shared" si="30"/>
        <v>298.56644999999997</v>
      </c>
      <c r="E233" s="55">
        <v>0</v>
      </c>
      <c r="F233" s="55">
        <f t="shared" si="29"/>
        <v>462.77799749999997</v>
      </c>
      <c r="G233" s="88" t="str">
        <f t="shared" si="28"/>
        <v>3rd to 7th Floor</v>
      </c>
      <c r="H233" s="88"/>
      <c r="I233" s="39"/>
      <c r="N233" s="39"/>
    </row>
    <row r="234" spans="1:14" s="40" customFormat="1" x14ac:dyDescent="0.25">
      <c r="A234" s="55">
        <f t="shared" si="26"/>
        <v>13</v>
      </c>
      <c r="B234" s="55" t="s">
        <v>177</v>
      </c>
      <c r="C234" s="55" t="s">
        <v>189</v>
      </c>
      <c r="D234" s="55">
        <f t="shared" si="30"/>
        <v>298.56644999999997</v>
      </c>
      <c r="E234" s="55">
        <v>0</v>
      </c>
      <c r="F234" s="55">
        <f t="shared" si="29"/>
        <v>462.77799749999997</v>
      </c>
      <c r="G234" s="88" t="str">
        <f t="shared" si="28"/>
        <v>3rd to 7th Floor</v>
      </c>
      <c r="H234" s="88"/>
      <c r="I234" s="39"/>
      <c r="N234" s="39"/>
    </row>
    <row r="235" spans="1:14" s="40" customFormat="1" ht="15.75" customHeight="1" x14ac:dyDescent="0.25">
      <c r="A235" s="77" t="s">
        <v>191</v>
      </c>
      <c r="B235" s="78"/>
      <c r="C235" s="78"/>
      <c r="D235" s="78"/>
      <c r="E235" s="78"/>
      <c r="F235" s="78"/>
      <c r="G235" s="78"/>
      <c r="H235" s="79"/>
      <c r="I235" s="39"/>
    </row>
    <row r="236" spans="1:14" s="40" customFormat="1" x14ac:dyDescent="0.25">
      <c r="A236" s="55">
        <v>1</v>
      </c>
      <c r="B236" s="55" t="s">
        <v>177</v>
      </c>
      <c r="C236" s="55" t="s">
        <v>189</v>
      </c>
      <c r="D236" s="55">
        <f>(2.4*5.2+2.3*2.15+0.95*1.95+2.4*2.9+1.2*1.25)*10.764</f>
        <v>298.56644999999997</v>
      </c>
      <c r="E236" s="55">
        <v>0</v>
      </c>
      <c r="F236" s="55">
        <f>D236*(($F$129)+1)+(IF(E236&lt;101,E236,IF(E236&lt;201,E236/2,IF(E236&lt;=301,E236/3,E236/4))))</f>
        <v>462.77799749999997</v>
      </c>
      <c r="G236" s="71" t="str">
        <f>A235</f>
        <v>8th, 15th &amp; 22nd Floor (Part Refuge Area)</v>
      </c>
      <c r="H236" s="73"/>
      <c r="I236" s="39"/>
    </row>
    <row r="237" spans="1:14" s="40" customFormat="1" x14ac:dyDescent="0.25">
      <c r="A237" s="55">
        <v>2</v>
      </c>
      <c r="B237" s="55" t="s">
        <v>177</v>
      </c>
      <c r="C237" s="55" t="s">
        <v>189</v>
      </c>
      <c r="D237" s="55">
        <f t="shared" ref="D237:D239" si="31">(2.4*5.2+2.3*2.15+0.95*1.95+2.4*2.9+1.2*1.25)*10.764</f>
        <v>298.56644999999997</v>
      </c>
      <c r="E237" s="55">
        <v>0</v>
      </c>
      <c r="F237" s="55">
        <f>D237*(($F$129)+1)+(IF(E237&lt;101,E237,IF(E237&lt;201,E237/2,IF(E237&lt;=301,E237/3,E237/4))))</f>
        <v>462.77799749999997</v>
      </c>
      <c r="G237" s="71" t="str">
        <f t="shared" ref="G237:G248" si="32">G236</f>
        <v>8th, 15th &amp; 22nd Floor (Part Refuge Area)</v>
      </c>
      <c r="H237" s="73"/>
      <c r="I237" s="39"/>
    </row>
    <row r="238" spans="1:14" s="40" customFormat="1" ht="15.75" customHeight="1" x14ac:dyDescent="0.25">
      <c r="A238" s="55">
        <v>3</v>
      </c>
      <c r="B238" s="55" t="s">
        <v>177</v>
      </c>
      <c r="C238" s="55" t="s">
        <v>189</v>
      </c>
      <c r="D238" s="55">
        <f t="shared" si="31"/>
        <v>298.56644999999997</v>
      </c>
      <c r="E238" s="55">
        <v>0</v>
      </c>
      <c r="F238" s="55">
        <f>D238*(($F$129)+1)+(IF(E238&lt;101,E238,IF(E238&lt;201,E238/2,IF(E238&lt;=301,E238/3,E238/4))))</f>
        <v>462.77799749999997</v>
      </c>
      <c r="G238" s="71" t="str">
        <f t="shared" si="32"/>
        <v>8th, 15th &amp; 22nd Floor (Part Refuge Area)</v>
      </c>
      <c r="H238" s="73"/>
      <c r="I238" s="39"/>
    </row>
    <row r="239" spans="1:14" s="40" customFormat="1" ht="15.75" customHeight="1" x14ac:dyDescent="0.25">
      <c r="A239" s="55">
        <v>4</v>
      </c>
      <c r="B239" s="55" t="s">
        <v>177</v>
      </c>
      <c r="C239" s="55" t="s">
        <v>189</v>
      </c>
      <c r="D239" s="55">
        <f t="shared" si="31"/>
        <v>298.56644999999997</v>
      </c>
      <c r="E239" s="55">
        <v>0</v>
      </c>
      <c r="F239" s="55">
        <f>D239*(($F$129)+1)+(IF(E239&lt;101,E239,IF(E239&lt;201,E239/2,IF(E239&lt;=301,E239/3,E239/4))))</f>
        <v>462.77799749999997</v>
      </c>
      <c r="G239" s="71" t="str">
        <f t="shared" si="32"/>
        <v>8th, 15th &amp; 22nd Floor (Part Refuge Area)</v>
      </c>
      <c r="H239" s="73"/>
      <c r="I239" s="39"/>
    </row>
    <row r="240" spans="1:14" s="40" customFormat="1" ht="15.75" customHeight="1" x14ac:dyDescent="0.25">
      <c r="A240" s="55">
        <v>5</v>
      </c>
      <c r="B240" s="55" t="s">
        <v>188</v>
      </c>
      <c r="C240" s="80" t="s">
        <v>192</v>
      </c>
      <c r="D240" s="81"/>
      <c r="E240" s="81"/>
      <c r="F240" s="82"/>
      <c r="G240" s="71" t="str">
        <f t="shared" si="32"/>
        <v>8th, 15th &amp; 22nd Floor (Part Refuge Area)</v>
      </c>
      <c r="H240" s="73"/>
      <c r="I240" s="39"/>
    </row>
    <row r="241" spans="1:14" s="40" customFormat="1" ht="15.75" customHeight="1" x14ac:dyDescent="0.25">
      <c r="A241" s="55">
        <v>6</v>
      </c>
      <c r="B241" s="55" t="s">
        <v>188</v>
      </c>
      <c r="C241" s="90"/>
      <c r="D241" s="92"/>
      <c r="E241" s="92"/>
      <c r="F241" s="91"/>
      <c r="G241" s="71" t="str">
        <f t="shared" si="32"/>
        <v>8th, 15th &amp; 22nd Floor (Part Refuge Area)</v>
      </c>
      <c r="H241" s="73"/>
      <c r="I241" s="39"/>
    </row>
    <row r="242" spans="1:14" s="40" customFormat="1" ht="15.75" customHeight="1" x14ac:dyDescent="0.25">
      <c r="A242" s="55">
        <v>7</v>
      </c>
      <c r="B242" s="55" t="s">
        <v>188</v>
      </c>
      <c r="C242" s="83"/>
      <c r="D242" s="84"/>
      <c r="E242" s="84"/>
      <c r="F242" s="85"/>
      <c r="G242" s="71" t="str">
        <f t="shared" si="32"/>
        <v>8th, 15th &amp; 22nd Floor (Part Refuge Area)</v>
      </c>
      <c r="H242" s="73"/>
      <c r="I242" s="39"/>
    </row>
    <row r="243" spans="1:14" s="40" customFormat="1" ht="15.75" customHeight="1" x14ac:dyDescent="0.25">
      <c r="A243" s="55">
        <v>8</v>
      </c>
      <c r="B243" s="55" t="s">
        <v>177</v>
      </c>
      <c r="C243" s="55" t="s">
        <v>189</v>
      </c>
      <c r="D243" s="55">
        <f>(2.4*5.05+0.95*1.95+2.6*2+1.2*1.25+2.52*2.73)*10.764</f>
        <v>296.57080439999999</v>
      </c>
      <c r="E243" s="55">
        <v>0</v>
      </c>
      <c r="F243" s="55">
        <f t="shared" ref="F243:F248" si="33">D243*(($F$129)+1)+(IF(E243&lt;101,E243,IF(E243&lt;201,E243/2,IF(E243&lt;=301,E243/3,E243/4))))</f>
        <v>459.68474681999999</v>
      </c>
      <c r="G243" s="71" t="str">
        <f t="shared" si="32"/>
        <v>8th, 15th &amp; 22nd Floor (Part Refuge Area)</v>
      </c>
      <c r="H243" s="73"/>
      <c r="I243" s="39"/>
    </row>
    <row r="244" spans="1:14" s="40" customFormat="1" ht="15.75" customHeight="1" x14ac:dyDescent="0.25">
      <c r="A244" s="55">
        <v>9</v>
      </c>
      <c r="B244" s="55" t="s">
        <v>177</v>
      </c>
      <c r="C244" s="55" t="s">
        <v>189</v>
      </c>
      <c r="D244" s="55">
        <f t="shared" ref="D244:D248" si="34">(2.4*5.2+2.3*2.15+0.95*1.95+2.4*2.9+1.2*1.25)*10.764</f>
        <v>298.56644999999997</v>
      </c>
      <c r="E244" s="55">
        <v>0</v>
      </c>
      <c r="F244" s="55">
        <f t="shared" si="33"/>
        <v>462.77799749999997</v>
      </c>
      <c r="G244" s="71" t="str">
        <f t="shared" si="32"/>
        <v>8th, 15th &amp; 22nd Floor (Part Refuge Area)</v>
      </c>
      <c r="H244" s="73"/>
      <c r="I244" s="39"/>
    </row>
    <row r="245" spans="1:14" s="40" customFormat="1" ht="15.75" customHeight="1" x14ac:dyDescent="0.25">
      <c r="A245" s="55">
        <v>10</v>
      </c>
      <c r="B245" s="55" t="s">
        <v>177</v>
      </c>
      <c r="C245" s="55" t="s">
        <v>189</v>
      </c>
      <c r="D245" s="55">
        <f t="shared" si="34"/>
        <v>298.56644999999997</v>
      </c>
      <c r="E245" s="55">
        <v>0</v>
      </c>
      <c r="F245" s="55">
        <f t="shared" si="33"/>
        <v>462.77799749999997</v>
      </c>
      <c r="G245" s="71" t="str">
        <f t="shared" si="32"/>
        <v>8th, 15th &amp; 22nd Floor (Part Refuge Area)</v>
      </c>
      <c r="H245" s="73"/>
      <c r="I245" s="39"/>
    </row>
    <row r="246" spans="1:14" s="40" customFormat="1" ht="15.75" customHeight="1" x14ac:dyDescent="0.25">
      <c r="A246" s="55">
        <v>11</v>
      </c>
      <c r="B246" s="55" t="s">
        <v>177</v>
      </c>
      <c r="C246" s="55" t="s">
        <v>189</v>
      </c>
      <c r="D246" s="55">
        <f t="shared" si="34"/>
        <v>298.56644999999997</v>
      </c>
      <c r="E246" s="55">
        <v>0</v>
      </c>
      <c r="F246" s="55">
        <f t="shared" si="33"/>
        <v>462.77799749999997</v>
      </c>
      <c r="G246" s="71" t="str">
        <f t="shared" si="32"/>
        <v>8th, 15th &amp; 22nd Floor (Part Refuge Area)</v>
      </c>
      <c r="H246" s="73"/>
      <c r="I246" s="39"/>
    </row>
    <row r="247" spans="1:14" s="40" customFormat="1" ht="15.75" customHeight="1" x14ac:dyDescent="0.25">
      <c r="A247" s="55">
        <v>12</v>
      </c>
      <c r="B247" s="55" t="s">
        <v>177</v>
      </c>
      <c r="C247" s="55" t="s">
        <v>189</v>
      </c>
      <c r="D247" s="55">
        <f t="shared" si="34"/>
        <v>298.56644999999997</v>
      </c>
      <c r="E247" s="55">
        <v>0</v>
      </c>
      <c r="F247" s="55">
        <f t="shared" si="33"/>
        <v>462.77799749999997</v>
      </c>
      <c r="G247" s="71" t="str">
        <f t="shared" si="32"/>
        <v>8th, 15th &amp; 22nd Floor (Part Refuge Area)</v>
      </c>
      <c r="H247" s="73"/>
      <c r="I247" s="39"/>
    </row>
    <row r="248" spans="1:14" s="40" customFormat="1" ht="15.75" customHeight="1" x14ac:dyDescent="0.25">
      <c r="A248" s="55">
        <v>13</v>
      </c>
      <c r="B248" s="55" t="s">
        <v>177</v>
      </c>
      <c r="C248" s="55" t="s">
        <v>189</v>
      </c>
      <c r="D248" s="55">
        <f t="shared" si="34"/>
        <v>298.56644999999997</v>
      </c>
      <c r="E248" s="55">
        <v>0</v>
      </c>
      <c r="F248" s="55">
        <f t="shared" si="33"/>
        <v>462.77799749999997</v>
      </c>
      <c r="G248" s="71" t="str">
        <f t="shared" si="32"/>
        <v>8th, 15th &amp; 22nd Floor (Part Refuge Area)</v>
      </c>
      <c r="H248" s="73"/>
      <c r="I248" s="39"/>
    </row>
    <row r="249" spans="1:14" s="40" customFormat="1" x14ac:dyDescent="0.25">
      <c r="A249" s="89" t="s">
        <v>195</v>
      </c>
      <c r="B249" s="89"/>
      <c r="C249" s="89"/>
      <c r="D249" s="89"/>
      <c r="E249" s="89"/>
      <c r="F249" s="89"/>
      <c r="G249" s="89"/>
      <c r="H249" s="89"/>
      <c r="I249" s="39"/>
      <c r="L249" s="95"/>
      <c r="M249" s="95"/>
    </row>
    <row r="250" spans="1:14" s="40" customFormat="1" ht="15.75" customHeight="1" x14ac:dyDescent="0.25">
      <c r="A250" s="55">
        <v>1</v>
      </c>
      <c r="B250" s="55" t="s">
        <v>193</v>
      </c>
      <c r="C250" s="55" t="s">
        <v>189</v>
      </c>
      <c r="D250" s="55">
        <f>(2.4*5.2+0.95*1.95+2.4*2.9+1.2*1.25+2.3*2.15)*10.764</f>
        <v>298.56644999999997</v>
      </c>
      <c r="E250" s="55">
        <v>0</v>
      </c>
      <c r="F250" s="55">
        <f t="shared" ref="F250:F251" si="35">D250*(($F$129)+1)+(IF(E250&lt;101,E250,IF(E250&lt;201,E250/2,IF(E250&lt;=301,E250/3,E250/4))))</f>
        <v>462.77799749999997</v>
      </c>
      <c r="G250" s="80" t="str">
        <f>A249</f>
        <v>9th to 14th, 16th &amp; 17th Floor</v>
      </c>
      <c r="H250" s="82"/>
      <c r="I250" s="39"/>
      <c r="N250" s="39"/>
    </row>
    <row r="251" spans="1:14" s="40" customFormat="1" ht="15.75" customHeight="1" x14ac:dyDescent="0.25">
      <c r="A251" s="55">
        <f t="shared" ref="A251:A262" si="36">A250+1</f>
        <v>2</v>
      </c>
      <c r="B251" s="55" t="s">
        <v>193</v>
      </c>
      <c r="C251" s="55" t="s">
        <v>189</v>
      </c>
      <c r="D251" s="55">
        <f t="shared" ref="D251:D256" si="37">(2.4*5.2+0.95*1.95+2.4*2.9+1.2*1.25+2.3*2.15)*10.764</f>
        <v>298.56644999999997</v>
      </c>
      <c r="E251" s="55">
        <v>0</v>
      </c>
      <c r="F251" s="55">
        <f t="shared" si="35"/>
        <v>462.77799749999997</v>
      </c>
      <c r="G251" s="90"/>
      <c r="H251" s="91"/>
      <c r="I251" s="39"/>
      <c r="N251" s="39"/>
    </row>
    <row r="252" spans="1:14" s="40" customFormat="1" ht="15.75" customHeight="1" x14ac:dyDescent="0.25">
      <c r="A252" s="55">
        <f t="shared" si="36"/>
        <v>3</v>
      </c>
      <c r="B252" s="55" t="s">
        <v>193</v>
      </c>
      <c r="C252" s="55" t="s">
        <v>189</v>
      </c>
      <c r="D252" s="55">
        <f t="shared" si="37"/>
        <v>298.56644999999997</v>
      </c>
      <c r="E252" s="55">
        <v>0</v>
      </c>
      <c r="F252" s="55">
        <f t="shared" ref="F252:F262" si="38">D252*(($F$129)+1)+(IF(E252&lt;101,E252,IF(E252&lt;201,E252/2,IF(E252&lt;=301,E252/3,E252/4))))</f>
        <v>462.77799749999997</v>
      </c>
      <c r="G252" s="90"/>
      <c r="H252" s="91"/>
      <c r="I252" s="39"/>
      <c r="N252" s="39"/>
    </row>
    <row r="253" spans="1:14" s="40" customFormat="1" ht="15.75" customHeight="1" x14ac:dyDescent="0.25">
      <c r="A253" s="55">
        <f t="shared" si="36"/>
        <v>4</v>
      </c>
      <c r="B253" s="55" t="s">
        <v>193</v>
      </c>
      <c r="C253" s="55" t="s">
        <v>189</v>
      </c>
      <c r="D253" s="55">
        <f t="shared" si="37"/>
        <v>298.56644999999997</v>
      </c>
      <c r="E253" s="55">
        <v>0</v>
      </c>
      <c r="F253" s="55">
        <f t="shared" si="38"/>
        <v>462.77799749999997</v>
      </c>
      <c r="G253" s="90"/>
      <c r="H253" s="91"/>
      <c r="I253" s="39"/>
      <c r="N253" s="39"/>
    </row>
    <row r="254" spans="1:14" s="40" customFormat="1" ht="15.75" customHeight="1" x14ac:dyDescent="0.25">
      <c r="A254" s="55">
        <f t="shared" si="36"/>
        <v>5</v>
      </c>
      <c r="B254" s="55" t="s">
        <v>193</v>
      </c>
      <c r="C254" s="55" t="s">
        <v>189</v>
      </c>
      <c r="D254" s="55">
        <f t="shared" si="37"/>
        <v>298.56644999999997</v>
      </c>
      <c r="E254" s="55">
        <v>0</v>
      </c>
      <c r="F254" s="55">
        <f t="shared" si="38"/>
        <v>462.77799749999997</v>
      </c>
      <c r="G254" s="90"/>
      <c r="H254" s="91"/>
      <c r="I254" s="39"/>
      <c r="N254" s="39"/>
    </row>
    <row r="255" spans="1:14" s="40" customFormat="1" ht="15.75" customHeight="1" x14ac:dyDescent="0.25">
      <c r="A255" s="55">
        <f t="shared" si="36"/>
        <v>6</v>
      </c>
      <c r="B255" s="55" t="s">
        <v>193</v>
      </c>
      <c r="C255" s="55" t="s">
        <v>189</v>
      </c>
      <c r="D255" s="55">
        <f t="shared" si="37"/>
        <v>298.56644999999997</v>
      </c>
      <c r="E255" s="55">
        <v>0</v>
      </c>
      <c r="F255" s="55">
        <f t="shared" si="38"/>
        <v>462.77799749999997</v>
      </c>
      <c r="G255" s="90"/>
      <c r="H255" s="91"/>
      <c r="I255" s="39"/>
      <c r="N255" s="39"/>
    </row>
    <row r="256" spans="1:14" s="40" customFormat="1" ht="15.75" customHeight="1" x14ac:dyDescent="0.25">
      <c r="A256" s="55">
        <f t="shared" si="36"/>
        <v>7</v>
      </c>
      <c r="B256" s="55" t="s">
        <v>193</v>
      </c>
      <c r="C256" s="55" t="s">
        <v>189</v>
      </c>
      <c r="D256" s="55">
        <f t="shared" si="37"/>
        <v>298.56644999999997</v>
      </c>
      <c r="E256" s="55">
        <v>0</v>
      </c>
      <c r="F256" s="55">
        <f t="shared" si="38"/>
        <v>462.77799749999997</v>
      </c>
      <c r="G256" s="90"/>
      <c r="H256" s="91"/>
      <c r="I256" s="39"/>
      <c r="N256" s="39"/>
    </row>
    <row r="257" spans="1:14" s="40" customFormat="1" ht="15.75" customHeight="1" x14ac:dyDescent="0.25">
      <c r="A257" s="55">
        <f t="shared" si="36"/>
        <v>8</v>
      </c>
      <c r="B257" s="55" t="s">
        <v>193</v>
      </c>
      <c r="C257" s="55" t="s">
        <v>189</v>
      </c>
      <c r="D257" s="55">
        <f>(2.4*5.05+0.95*1.95+2.6*2+1.2*1.25+2.52*2.73)*10.764</f>
        <v>296.57080439999999</v>
      </c>
      <c r="E257" s="55">
        <v>0</v>
      </c>
      <c r="F257" s="55">
        <f t="shared" si="38"/>
        <v>459.68474681999999</v>
      </c>
      <c r="G257" s="90"/>
      <c r="H257" s="91"/>
      <c r="I257" s="39"/>
      <c r="N257" s="39"/>
    </row>
    <row r="258" spans="1:14" s="40" customFormat="1" ht="15.75" customHeight="1" x14ac:dyDescent="0.25">
      <c r="A258" s="55">
        <f t="shared" si="36"/>
        <v>9</v>
      </c>
      <c r="B258" s="55" t="s">
        <v>193</v>
      </c>
      <c r="C258" s="55" t="s">
        <v>189</v>
      </c>
      <c r="D258" s="55">
        <f>(2.4*5.2+2.3*2.15+0.95*1.95+2.4*2.9+1.2*1.25)*10.764</f>
        <v>298.56644999999997</v>
      </c>
      <c r="E258" s="55">
        <v>0</v>
      </c>
      <c r="F258" s="55">
        <f t="shared" si="38"/>
        <v>462.77799749999997</v>
      </c>
      <c r="G258" s="90"/>
      <c r="H258" s="91"/>
      <c r="I258" s="39"/>
      <c r="N258" s="39"/>
    </row>
    <row r="259" spans="1:14" s="40" customFormat="1" ht="15.75" customHeight="1" x14ac:dyDescent="0.25">
      <c r="A259" s="55">
        <f t="shared" si="36"/>
        <v>10</v>
      </c>
      <c r="B259" s="55" t="s">
        <v>193</v>
      </c>
      <c r="C259" s="55" t="s">
        <v>189</v>
      </c>
      <c r="D259" s="55">
        <f>(2.4*5.2+2.3*2.15+0.95*1.95+2.4*2.9+1.2*1.25)*10.764</f>
        <v>298.56644999999997</v>
      </c>
      <c r="E259" s="55">
        <v>0</v>
      </c>
      <c r="F259" s="55">
        <f t="shared" si="38"/>
        <v>462.77799749999997</v>
      </c>
      <c r="G259" s="90"/>
      <c r="H259" s="91"/>
      <c r="I259" s="39"/>
      <c r="N259" s="39"/>
    </row>
    <row r="260" spans="1:14" s="40" customFormat="1" ht="15.75" customHeight="1" x14ac:dyDescent="0.25">
      <c r="A260" s="55">
        <f t="shared" si="36"/>
        <v>11</v>
      </c>
      <c r="B260" s="55" t="s">
        <v>193</v>
      </c>
      <c r="C260" s="55" t="s">
        <v>189</v>
      </c>
      <c r="D260" s="55">
        <f t="shared" ref="D260:D262" si="39">(2.4*5.2+2.3*2.15+0.95*1.95+2.4*2.9+1.2*1.25)*10.764</f>
        <v>298.56644999999997</v>
      </c>
      <c r="E260" s="55">
        <v>0</v>
      </c>
      <c r="F260" s="55">
        <f t="shared" si="38"/>
        <v>462.77799749999997</v>
      </c>
      <c r="G260" s="90"/>
      <c r="H260" s="91"/>
      <c r="I260" s="39"/>
      <c r="N260" s="39"/>
    </row>
    <row r="261" spans="1:14" s="40" customFormat="1" ht="15.75" customHeight="1" x14ac:dyDescent="0.25">
      <c r="A261" s="55">
        <f t="shared" si="36"/>
        <v>12</v>
      </c>
      <c r="B261" s="55" t="s">
        <v>193</v>
      </c>
      <c r="C261" s="55" t="s">
        <v>189</v>
      </c>
      <c r="D261" s="55">
        <f t="shared" si="39"/>
        <v>298.56644999999997</v>
      </c>
      <c r="E261" s="55">
        <v>0</v>
      </c>
      <c r="F261" s="55">
        <f t="shared" si="38"/>
        <v>462.77799749999997</v>
      </c>
      <c r="G261" s="90"/>
      <c r="H261" s="91"/>
      <c r="I261" s="39"/>
      <c r="N261" s="39"/>
    </row>
    <row r="262" spans="1:14" s="40" customFormat="1" ht="15.75" customHeight="1" x14ac:dyDescent="0.25">
      <c r="A262" s="55">
        <f t="shared" si="36"/>
        <v>13</v>
      </c>
      <c r="B262" s="55" t="s">
        <v>193</v>
      </c>
      <c r="C262" s="55" t="s">
        <v>189</v>
      </c>
      <c r="D262" s="55">
        <f t="shared" si="39"/>
        <v>298.56644999999997</v>
      </c>
      <c r="E262" s="55">
        <v>0</v>
      </c>
      <c r="F262" s="55">
        <f t="shared" si="38"/>
        <v>462.77799749999997</v>
      </c>
      <c r="G262" s="83"/>
      <c r="H262" s="85"/>
      <c r="I262" s="39"/>
      <c r="N262" s="39"/>
    </row>
    <row r="263" spans="1:14" s="40" customFormat="1" x14ac:dyDescent="0.25">
      <c r="A263" s="89" t="s">
        <v>196</v>
      </c>
      <c r="B263" s="89"/>
      <c r="C263" s="89"/>
      <c r="D263" s="89"/>
      <c r="E263" s="89"/>
      <c r="F263" s="89"/>
      <c r="G263" s="89"/>
      <c r="H263" s="89"/>
      <c r="I263" s="39"/>
      <c r="L263" s="95"/>
      <c r="M263" s="95"/>
    </row>
    <row r="264" spans="1:14" s="40" customFormat="1" x14ac:dyDescent="0.25">
      <c r="A264" s="55">
        <v>1</v>
      </c>
      <c r="B264" s="55" t="s">
        <v>177</v>
      </c>
      <c r="C264" s="55" t="s">
        <v>189</v>
      </c>
      <c r="D264" s="55">
        <f>(2.4*5.2+0.95*1.95+2.4*2.9+1.2*1.25+2.3*2.15)*10.764</f>
        <v>298.56644999999997</v>
      </c>
      <c r="E264" s="55">
        <v>0</v>
      </c>
      <c r="F264" s="55">
        <f t="shared" ref="F264:F265" si="40">D264*(($F$129)+1)+(IF(E264&lt;101,E264,IF(E264&lt;201,E264/2,IF(E264&lt;=301,E264/3,E264/4))))</f>
        <v>462.77799749999997</v>
      </c>
      <c r="G264" s="88" t="str">
        <f>A263</f>
        <v>18th Floor</v>
      </c>
      <c r="H264" s="88"/>
      <c r="I264" s="39"/>
      <c r="N264" s="39"/>
    </row>
    <row r="265" spans="1:14" s="40" customFormat="1" x14ac:dyDescent="0.25">
      <c r="A265" s="55">
        <f t="shared" ref="A265:A276" si="41">A264+1</f>
        <v>2</v>
      </c>
      <c r="B265" s="55" t="s">
        <v>177</v>
      </c>
      <c r="C265" s="55" t="s">
        <v>189</v>
      </c>
      <c r="D265" s="55">
        <f t="shared" ref="D265:D270" si="42">(2.4*5.2+0.95*1.95+2.4*2.9+1.2*1.25+2.3*2.15)*10.764</f>
        <v>298.56644999999997</v>
      </c>
      <c r="E265" s="55">
        <v>0</v>
      </c>
      <c r="F265" s="55">
        <f t="shared" si="40"/>
        <v>462.77799749999997</v>
      </c>
      <c r="G265" s="88" t="str">
        <f t="shared" ref="G265:G276" si="43">G264</f>
        <v>18th Floor</v>
      </c>
      <c r="H265" s="88"/>
      <c r="I265" s="39"/>
      <c r="N265" s="39"/>
    </row>
    <row r="266" spans="1:14" s="40" customFormat="1" x14ac:dyDescent="0.25">
      <c r="A266" s="55">
        <f t="shared" si="41"/>
        <v>3</v>
      </c>
      <c r="B266" s="55" t="s">
        <v>177</v>
      </c>
      <c r="C266" s="55" t="s">
        <v>189</v>
      </c>
      <c r="D266" s="55">
        <f t="shared" si="42"/>
        <v>298.56644999999997</v>
      </c>
      <c r="E266" s="55">
        <v>0</v>
      </c>
      <c r="F266" s="55">
        <f t="shared" ref="F266:F276" si="44">D266*(($F$129)+1)+(IF(E266&lt;101,E266,IF(E266&lt;201,E266/2,IF(E266&lt;=301,E266/3,E266/4))))</f>
        <v>462.77799749999997</v>
      </c>
      <c r="G266" s="88" t="str">
        <f t="shared" si="43"/>
        <v>18th Floor</v>
      </c>
      <c r="H266" s="88"/>
      <c r="I266" s="39"/>
      <c r="N266" s="39"/>
    </row>
    <row r="267" spans="1:14" s="40" customFormat="1" x14ac:dyDescent="0.25">
      <c r="A267" s="55">
        <f t="shared" si="41"/>
        <v>4</v>
      </c>
      <c r="B267" s="55" t="s">
        <v>177</v>
      </c>
      <c r="C267" s="55" t="s">
        <v>189</v>
      </c>
      <c r="D267" s="55">
        <f t="shared" si="42"/>
        <v>298.56644999999997</v>
      </c>
      <c r="E267" s="55">
        <v>0</v>
      </c>
      <c r="F267" s="55">
        <f t="shared" si="44"/>
        <v>462.77799749999997</v>
      </c>
      <c r="G267" s="88" t="str">
        <f t="shared" si="43"/>
        <v>18th Floor</v>
      </c>
      <c r="H267" s="88"/>
      <c r="I267" s="39"/>
      <c r="N267" s="39"/>
    </row>
    <row r="268" spans="1:14" s="40" customFormat="1" x14ac:dyDescent="0.25">
      <c r="A268" s="55">
        <f t="shared" si="41"/>
        <v>5</v>
      </c>
      <c r="B268" s="55" t="s">
        <v>193</v>
      </c>
      <c r="C268" s="55" t="s">
        <v>189</v>
      </c>
      <c r="D268" s="55">
        <f t="shared" si="42"/>
        <v>298.56644999999997</v>
      </c>
      <c r="E268" s="55">
        <v>0</v>
      </c>
      <c r="F268" s="55">
        <f t="shared" si="44"/>
        <v>462.77799749999997</v>
      </c>
      <c r="G268" s="88" t="str">
        <f t="shared" si="43"/>
        <v>18th Floor</v>
      </c>
      <c r="H268" s="88"/>
      <c r="I268" s="39"/>
      <c r="N268" s="39"/>
    </row>
    <row r="269" spans="1:14" s="40" customFormat="1" x14ac:dyDescent="0.25">
      <c r="A269" s="55">
        <f t="shared" si="41"/>
        <v>6</v>
      </c>
      <c r="B269" s="55" t="s">
        <v>193</v>
      </c>
      <c r="C269" s="55" t="s">
        <v>189</v>
      </c>
      <c r="D269" s="55">
        <f t="shared" si="42"/>
        <v>298.56644999999997</v>
      </c>
      <c r="E269" s="55">
        <v>0</v>
      </c>
      <c r="F269" s="55">
        <f t="shared" si="44"/>
        <v>462.77799749999997</v>
      </c>
      <c r="G269" s="88" t="str">
        <f t="shared" si="43"/>
        <v>18th Floor</v>
      </c>
      <c r="H269" s="88"/>
      <c r="I269" s="39"/>
      <c r="N269" s="39"/>
    </row>
    <row r="270" spans="1:14" s="40" customFormat="1" x14ac:dyDescent="0.25">
      <c r="A270" s="55">
        <f t="shared" si="41"/>
        <v>7</v>
      </c>
      <c r="B270" s="55" t="s">
        <v>193</v>
      </c>
      <c r="C270" s="55" t="s">
        <v>189</v>
      </c>
      <c r="D270" s="55">
        <f t="shared" si="42"/>
        <v>298.56644999999997</v>
      </c>
      <c r="E270" s="55">
        <v>0</v>
      </c>
      <c r="F270" s="55">
        <f t="shared" si="44"/>
        <v>462.77799749999997</v>
      </c>
      <c r="G270" s="88" t="str">
        <f t="shared" si="43"/>
        <v>18th Floor</v>
      </c>
      <c r="H270" s="88"/>
      <c r="I270" s="39"/>
      <c r="N270" s="39"/>
    </row>
    <row r="271" spans="1:14" s="40" customFormat="1" x14ac:dyDescent="0.25">
      <c r="A271" s="55">
        <f t="shared" si="41"/>
        <v>8</v>
      </c>
      <c r="B271" s="55" t="s">
        <v>193</v>
      </c>
      <c r="C271" s="55" t="s">
        <v>189</v>
      </c>
      <c r="D271" s="55">
        <f>(2.4*5.05+0.95*1.95+2.6*2+1.2*1.25+2.52*2.73)*10.764</f>
        <v>296.57080439999999</v>
      </c>
      <c r="E271" s="55">
        <v>0</v>
      </c>
      <c r="F271" s="55">
        <f t="shared" si="44"/>
        <v>459.68474681999999</v>
      </c>
      <c r="G271" s="88" t="str">
        <f t="shared" si="43"/>
        <v>18th Floor</v>
      </c>
      <c r="H271" s="88"/>
      <c r="I271" s="39"/>
      <c r="N271" s="39"/>
    </row>
    <row r="272" spans="1:14" s="40" customFormat="1" x14ac:dyDescent="0.25">
      <c r="A272" s="55">
        <f t="shared" si="41"/>
        <v>9</v>
      </c>
      <c r="B272" s="55" t="s">
        <v>193</v>
      </c>
      <c r="C272" s="55" t="s">
        <v>189</v>
      </c>
      <c r="D272" s="55">
        <f>(2.4*5.2+2.3*2.15+0.95*1.95+2.4*2.9+1.2*1.25)*10.764</f>
        <v>298.56644999999997</v>
      </c>
      <c r="E272" s="55">
        <v>0</v>
      </c>
      <c r="F272" s="55">
        <f t="shared" si="44"/>
        <v>462.77799749999997</v>
      </c>
      <c r="G272" s="88" t="str">
        <f t="shared" si="43"/>
        <v>18th Floor</v>
      </c>
      <c r="H272" s="88"/>
      <c r="I272" s="39"/>
      <c r="N272" s="39"/>
    </row>
    <row r="273" spans="1:14" s="40" customFormat="1" x14ac:dyDescent="0.25">
      <c r="A273" s="55">
        <f t="shared" si="41"/>
        <v>10</v>
      </c>
      <c r="B273" s="55" t="s">
        <v>193</v>
      </c>
      <c r="C273" s="55" t="s">
        <v>189</v>
      </c>
      <c r="D273" s="55">
        <f>(2.4*5.2+2.3*2.15+0.95*1.95+2.4*2.9+1.2*1.25)*10.764</f>
        <v>298.56644999999997</v>
      </c>
      <c r="E273" s="55">
        <v>0</v>
      </c>
      <c r="F273" s="55">
        <f t="shared" si="44"/>
        <v>462.77799749999997</v>
      </c>
      <c r="G273" s="88" t="str">
        <f t="shared" si="43"/>
        <v>18th Floor</v>
      </c>
      <c r="H273" s="88"/>
      <c r="I273" s="39"/>
      <c r="N273" s="39"/>
    </row>
    <row r="274" spans="1:14" s="40" customFormat="1" x14ac:dyDescent="0.25">
      <c r="A274" s="55">
        <f t="shared" si="41"/>
        <v>11</v>
      </c>
      <c r="B274" s="55" t="s">
        <v>193</v>
      </c>
      <c r="C274" s="55" t="s">
        <v>189</v>
      </c>
      <c r="D274" s="55">
        <f t="shared" ref="D274:D276" si="45">(2.4*5.2+2.3*2.15+0.95*1.95+2.4*2.9+1.2*1.25)*10.764</f>
        <v>298.56644999999997</v>
      </c>
      <c r="E274" s="55">
        <v>0</v>
      </c>
      <c r="F274" s="55">
        <f t="shared" si="44"/>
        <v>462.77799749999997</v>
      </c>
      <c r="G274" s="88" t="str">
        <f t="shared" si="43"/>
        <v>18th Floor</v>
      </c>
      <c r="H274" s="88"/>
      <c r="I274" s="39"/>
      <c r="N274" s="39"/>
    </row>
    <row r="275" spans="1:14" s="40" customFormat="1" x14ac:dyDescent="0.25">
      <c r="A275" s="55">
        <f t="shared" si="41"/>
        <v>12</v>
      </c>
      <c r="B275" s="55" t="s">
        <v>193</v>
      </c>
      <c r="C275" s="55" t="s">
        <v>189</v>
      </c>
      <c r="D275" s="55">
        <f t="shared" si="45"/>
        <v>298.56644999999997</v>
      </c>
      <c r="E275" s="55">
        <v>0</v>
      </c>
      <c r="F275" s="55">
        <f t="shared" si="44"/>
        <v>462.77799749999997</v>
      </c>
      <c r="G275" s="88" t="str">
        <f t="shared" si="43"/>
        <v>18th Floor</v>
      </c>
      <c r="H275" s="88"/>
      <c r="I275" s="39"/>
      <c r="N275" s="39"/>
    </row>
    <row r="276" spans="1:14" s="40" customFormat="1" x14ac:dyDescent="0.25">
      <c r="A276" s="55">
        <f t="shared" si="41"/>
        <v>13</v>
      </c>
      <c r="B276" s="55" t="s">
        <v>177</v>
      </c>
      <c r="C276" s="55" t="s">
        <v>189</v>
      </c>
      <c r="D276" s="55">
        <f t="shared" si="45"/>
        <v>298.56644999999997</v>
      </c>
      <c r="E276" s="55">
        <v>0</v>
      </c>
      <c r="F276" s="55">
        <f t="shared" si="44"/>
        <v>462.77799749999997</v>
      </c>
      <c r="G276" s="88" t="str">
        <f t="shared" si="43"/>
        <v>18th Floor</v>
      </c>
      <c r="H276" s="88"/>
      <c r="I276" s="39"/>
      <c r="N276" s="39"/>
    </row>
    <row r="277" spans="1:14" s="40" customFormat="1" x14ac:dyDescent="0.25">
      <c r="A277" s="89" t="s">
        <v>197</v>
      </c>
      <c r="B277" s="89"/>
      <c r="C277" s="89"/>
      <c r="D277" s="89"/>
      <c r="E277" s="89"/>
      <c r="F277" s="89"/>
      <c r="G277" s="89"/>
      <c r="H277" s="89"/>
      <c r="I277" s="39"/>
      <c r="L277" s="95"/>
      <c r="M277" s="95"/>
    </row>
    <row r="278" spans="1:14" s="40" customFormat="1" ht="15.75" customHeight="1" x14ac:dyDescent="0.25">
      <c r="A278" s="55">
        <v>1</v>
      </c>
      <c r="B278" s="55" t="s">
        <v>177</v>
      </c>
      <c r="C278" s="55" t="s">
        <v>189</v>
      </c>
      <c r="D278" s="55">
        <f>(2.4*5.2+0.95*1.95+2.4*2.9+1.2*1.25+2.3*2.15)*10.764</f>
        <v>298.56644999999997</v>
      </c>
      <c r="E278" s="55">
        <v>0</v>
      </c>
      <c r="F278" s="55">
        <f t="shared" ref="F278:F279" si="46">D278*(($F$129)+1)+(IF(E278&lt;101,E278,IF(E278&lt;201,E278/2,IF(E278&lt;=301,E278/3,E278/4))))</f>
        <v>462.77799749999997</v>
      </c>
      <c r="G278" s="80" t="str">
        <f>A277</f>
        <v>19th to 21st &amp; 23rd to 26th Floor</v>
      </c>
      <c r="H278" s="82"/>
      <c r="I278" s="39"/>
      <c r="N278" s="39"/>
    </row>
    <row r="279" spans="1:14" s="40" customFormat="1" ht="15.75" customHeight="1" x14ac:dyDescent="0.25">
      <c r="A279" s="55">
        <f t="shared" ref="A279:A290" si="47">A278+1</f>
        <v>2</v>
      </c>
      <c r="B279" s="55" t="s">
        <v>177</v>
      </c>
      <c r="C279" s="55" t="s">
        <v>189</v>
      </c>
      <c r="D279" s="55">
        <f t="shared" ref="D279:D284" si="48">(2.4*5.2+0.95*1.95+2.4*2.9+1.2*1.25+2.3*2.15)*10.764</f>
        <v>298.56644999999997</v>
      </c>
      <c r="E279" s="55">
        <v>0</v>
      </c>
      <c r="F279" s="55">
        <f t="shared" si="46"/>
        <v>462.77799749999997</v>
      </c>
      <c r="G279" s="90"/>
      <c r="H279" s="91"/>
      <c r="I279" s="39"/>
      <c r="N279" s="39"/>
    </row>
    <row r="280" spans="1:14" s="40" customFormat="1" ht="15.75" customHeight="1" x14ac:dyDescent="0.25">
      <c r="A280" s="55">
        <f t="shared" si="47"/>
        <v>3</v>
      </c>
      <c r="B280" s="55" t="s">
        <v>177</v>
      </c>
      <c r="C280" s="55" t="s">
        <v>189</v>
      </c>
      <c r="D280" s="55">
        <f t="shared" si="48"/>
        <v>298.56644999999997</v>
      </c>
      <c r="E280" s="55">
        <v>0</v>
      </c>
      <c r="F280" s="55">
        <f t="shared" ref="F280:F290" si="49">D280*(($F$129)+1)+(IF(E280&lt;101,E280,IF(E280&lt;201,E280/2,IF(E280&lt;=301,E280/3,E280/4))))</f>
        <v>462.77799749999997</v>
      </c>
      <c r="G280" s="90"/>
      <c r="H280" s="91"/>
      <c r="I280" s="39"/>
      <c r="N280" s="39"/>
    </row>
    <row r="281" spans="1:14" s="40" customFormat="1" ht="15.75" customHeight="1" x14ac:dyDescent="0.25">
      <c r="A281" s="55">
        <f t="shared" si="47"/>
        <v>4</v>
      </c>
      <c r="B281" s="55" t="s">
        <v>177</v>
      </c>
      <c r="C281" s="55" t="s">
        <v>189</v>
      </c>
      <c r="D281" s="55">
        <f t="shared" si="48"/>
        <v>298.56644999999997</v>
      </c>
      <c r="E281" s="55">
        <v>0</v>
      </c>
      <c r="F281" s="55">
        <f t="shared" si="49"/>
        <v>462.77799749999997</v>
      </c>
      <c r="G281" s="90"/>
      <c r="H281" s="91"/>
      <c r="I281" s="39"/>
      <c r="N281" s="39"/>
    </row>
    <row r="282" spans="1:14" s="40" customFormat="1" ht="15.75" customHeight="1" x14ac:dyDescent="0.25">
      <c r="A282" s="55">
        <f t="shared" si="47"/>
        <v>5</v>
      </c>
      <c r="B282" s="55" t="s">
        <v>177</v>
      </c>
      <c r="C282" s="55" t="s">
        <v>189</v>
      </c>
      <c r="D282" s="55">
        <f t="shared" si="48"/>
        <v>298.56644999999997</v>
      </c>
      <c r="E282" s="55">
        <v>0</v>
      </c>
      <c r="F282" s="55">
        <f t="shared" si="49"/>
        <v>462.77799749999997</v>
      </c>
      <c r="G282" s="90"/>
      <c r="H282" s="91"/>
      <c r="I282" s="39"/>
      <c r="N282" s="39"/>
    </row>
    <row r="283" spans="1:14" s="40" customFormat="1" ht="15.75" customHeight="1" x14ac:dyDescent="0.25">
      <c r="A283" s="55">
        <f t="shared" si="47"/>
        <v>6</v>
      </c>
      <c r="B283" s="55" t="s">
        <v>177</v>
      </c>
      <c r="C283" s="55" t="s">
        <v>189</v>
      </c>
      <c r="D283" s="55">
        <f t="shared" si="48"/>
        <v>298.56644999999997</v>
      </c>
      <c r="E283" s="55">
        <v>0</v>
      </c>
      <c r="F283" s="55">
        <f t="shared" si="49"/>
        <v>462.77799749999997</v>
      </c>
      <c r="G283" s="90"/>
      <c r="H283" s="91"/>
      <c r="I283" s="39"/>
      <c r="N283" s="39"/>
    </row>
    <row r="284" spans="1:14" s="40" customFormat="1" ht="15.75" customHeight="1" x14ac:dyDescent="0.25">
      <c r="A284" s="55">
        <f t="shared" si="47"/>
        <v>7</v>
      </c>
      <c r="B284" s="55" t="s">
        <v>177</v>
      </c>
      <c r="C284" s="55" t="s">
        <v>189</v>
      </c>
      <c r="D284" s="55">
        <f t="shared" si="48"/>
        <v>298.56644999999997</v>
      </c>
      <c r="E284" s="55">
        <v>0</v>
      </c>
      <c r="F284" s="55">
        <f t="shared" si="49"/>
        <v>462.77799749999997</v>
      </c>
      <c r="G284" s="90"/>
      <c r="H284" s="91"/>
      <c r="I284" s="39"/>
      <c r="N284" s="39"/>
    </row>
    <row r="285" spans="1:14" s="40" customFormat="1" ht="15.75" customHeight="1" x14ac:dyDescent="0.25">
      <c r="A285" s="55">
        <f t="shared" si="47"/>
        <v>8</v>
      </c>
      <c r="B285" s="55" t="s">
        <v>177</v>
      </c>
      <c r="C285" s="55" t="s">
        <v>189</v>
      </c>
      <c r="D285" s="55">
        <f>(2.4*5.05+0.95*1.95+2.6*2+1.2*1.25+2.52*2.73)*10.764</f>
        <v>296.57080439999999</v>
      </c>
      <c r="E285" s="55">
        <v>0</v>
      </c>
      <c r="F285" s="55">
        <f t="shared" si="49"/>
        <v>459.68474681999999</v>
      </c>
      <c r="G285" s="90"/>
      <c r="H285" s="91"/>
      <c r="I285" s="39"/>
      <c r="N285" s="39"/>
    </row>
    <row r="286" spans="1:14" s="40" customFormat="1" ht="15.75" customHeight="1" x14ac:dyDescent="0.25">
      <c r="A286" s="55">
        <f t="shared" si="47"/>
        <v>9</v>
      </c>
      <c r="B286" s="55" t="s">
        <v>177</v>
      </c>
      <c r="C286" s="55" t="s">
        <v>189</v>
      </c>
      <c r="D286" s="55">
        <f>(2.4*5.2+2.3*2.15+0.95*1.95+2.4*2.9+1.2*1.25)*10.764</f>
        <v>298.56644999999997</v>
      </c>
      <c r="E286" s="55">
        <v>0</v>
      </c>
      <c r="F286" s="55">
        <f t="shared" si="49"/>
        <v>462.77799749999997</v>
      </c>
      <c r="G286" s="90"/>
      <c r="H286" s="91"/>
      <c r="I286" s="39"/>
      <c r="N286" s="39"/>
    </row>
    <row r="287" spans="1:14" s="40" customFormat="1" ht="15.75" customHeight="1" x14ac:dyDescent="0.25">
      <c r="A287" s="55">
        <f t="shared" si="47"/>
        <v>10</v>
      </c>
      <c r="B287" s="55" t="s">
        <v>177</v>
      </c>
      <c r="C287" s="55" t="s">
        <v>189</v>
      </c>
      <c r="D287" s="55">
        <f>(2.4*5.2+2.3*2.15+0.95*1.95+2.4*2.9+1.2*1.25)*10.764</f>
        <v>298.56644999999997</v>
      </c>
      <c r="E287" s="55">
        <v>0</v>
      </c>
      <c r="F287" s="55">
        <f t="shared" si="49"/>
        <v>462.77799749999997</v>
      </c>
      <c r="G287" s="90"/>
      <c r="H287" s="91"/>
      <c r="I287" s="39"/>
      <c r="N287" s="39"/>
    </row>
    <row r="288" spans="1:14" s="40" customFormat="1" ht="15.75" customHeight="1" x14ac:dyDescent="0.25">
      <c r="A288" s="55">
        <f t="shared" si="47"/>
        <v>11</v>
      </c>
      <c r="B288" s="55" t="s">
        <v>177</v>
      </c>
      <c r="C288" s="55" t="s">
        <v>189</v>
      </c>
      <c r="D288" s="55">
        <f t="shared" ref="D288:D290" si="50">(2.4*5.2+2.3*2.15+0.95*1.95+2.4*2.9+1.2*1.25)*10.764</f>
        <v>298.56644999999997</v>
      </c>
      <c r="E288" s="55">
        <v>0</v>
      </c>
      <c r="F288" s="55">
        <f t="shared" si="49"/>
        <v>462.77799749999997</v>
      </c>
      <c r="G288" s="90"/>
      <c r="H288" s="91"/>
      <c r="I288" s="39"/>
      <c r="N288" s="39"/>
    </row>
    <row r="289" spans="1:14" s="40" customFormat="1" ht="15.75" customHeight="1" x14ac:dyDescent="0.25">
      <c r="A289" s="55">
        <f t="shared" si="47"/>
        <v>12</v>
      </c>
      <c r="B289" s="55" t="s">
        <v>177</v>
      </c>
      <c r="C289" s="55" t="s">
        <v>189</v>
      </c>
      <c r="D289" s="55">
        <f t="shared" si="50"/>
        <v>298.56644999999997</v>
      </c>
      <c r="E289" s="55">
        <v>0</v>
      </c>
      <c r="F289" s="55">
        <f t="shared" si="49"/>
        <v>462.77799749999997</v>
      </c>
      <c r="G289" s="90"/>
      <c r="H289" s="91"/>
      <c r="I289" s="39"/>
      <c r="N289" s="39"/>
    </row>
    <row r="290" spans="1:14" s="40" customFormat="1" ht="15.75" customHeight="1" x14ac:dyDescent="0.25">
      <c r="A290" s="55">
        <f t="shared" si="47"/>
        <v>13</v>
      </c>
      <c r="B290" s="55" t="s">
        <v>177</v>
      </c>
      <c r="C290" s="55" t="s">
        <v>189</v>
      </c>
      <c r="D290" s="55">
        <f t="shared" si="50"/>
        <v>298.56644999999997</v>
      </c>
      <c r="E290" s="55">
        <v>0</v>
      </c>
      <c r="F290" s="55">
        <f t="shared" si="49"/>
        <v>462.77799749999997</v>
      </c>
      <c r="G290" s="83"/>
      <c r="H290" s="85"/>
      <c r="I290" s="39"/>
      <c r="N290" s="39"/>
    </row>
    <row r="291" spans="1:14" s="40" customFormat="1" x14ac:dyDescent="0.25">
      <c r="A291" s="89" t="s">
        <v>198</v>
      </c>
      <c r="B291" s="89"/>
      <c r="C291" s="89"/>
      <c r="D291" s="89"/>
      <c r="E291" s="89"/>
      <c r="F291" s="89"/>
      <c r="G291" s="89"/>
      <c r="H291" s="89"/>
      <c r="I291" s="39"/>
      <c r="L291" s="95"/>
      <c r="M291" s="95"/>
    </row>
    <row r="292" spans="1:14" s="40" customFormat="1" x14ac:dyDescent="0.25">
      <c r="A292" s="55">
        <v>1</v>
      </c>
      <c r="B292" s="55" t="s">
        <v>177</v>
      </c>
      <c r="C292" s="55" t="s">
        <v>189</v>
      </c>
      <c r="D292" s="55">
        <f>(2.4*5.2+0.95*1.95+2.4*2.9+1.2*1.25+2.3*2.15)*10.764</f>
        <v>298.56644999999997</v>
      </c>
      <c r="E292" s="55">
        <v>0</v>
      </c>
      <c r="F292" s="55">
        <f t="shared" ref="F292:F293" si="51">D292*(($F$129)+1)+(IF(E292&lt;101,E292,IF(E292&lt;201,E292/2,IF(E292&lt;=301,E292/3,E292/4))))</f>
        <v>462.77799749999997</v>
      </c>
      <c r="G292" s="88" t="str">
        <f>A291</f>
        <v>27th Floor</v>
      </c>
      <c r="H292" s="88"/>
      <c r="I292" s="39"/>
      <c r="N292" s="39"/>
    </row>
    <row r="293" spans="1:14" s="40" customFormat="1" x14ac:dyDescent="0.25">
      <c r="A293" s="55">
        <f t="shared" ref="A293:A304" si="52">A292+1</f>
        <v>2</v>
      </c>
      <c r="B293" s="55" t="s">
        <v>177</v>
      </c>
      <c r="C293" s="55" t="s">
        <v>189</v>
      </c>
      <c r="D293" s="55">
        <f t="shared" ref="D293:D298" si="53">(2.4*5.2+0.95*1.95+2.4*2.9+1.2*1.25+2.3*2.15)*10.764</f>
        <v>298.56644999999997</v>
      </c>
      <c r="E293" s="55">
        <v>0</v>
      </c>
      <c r="F293" s="55">
        <f t="shared" si="51"/>
        <v>462.77799749999997</v>
      </c>
      <c r="G293" s="88" t="str">
        <f t="shared" ref="G293:G304" si="54">G292</f>
        <v>27th Floor</v>
      </c>
      <c r="H293" s="88"/>
      <c r="I293" s="39"/>
      <c r="N293" s="39"/>
    </row>
    <row r="294" spans="1:14" s="40" customFormat="1" x14ac:dyDescent="0.25">
      <c r="A294" s="55">
        <f t="shared" si="52"/>
        <v>3</v>
      </c>
      <c r="B294" s="55" t="s">
        <v>177</v>
      </c>
      <c r="C294" s="55" t="s">
        <v>189</v>
      </c>
      <c r="D294" s="55">
        <f t="shared" si="53"/>
        <v>298.56644999999997</v>
      </c>
      <c r="E294" s="55">
        <v>0</v>
      </c>
      <c r="F294" s="55">
        <f t="shared" ref="F294:F304" si="55">D294*(($F$129)+1)+(IF(E294&lt;101,E294,IF(E294&lt;201,E294/2,IF(E294&lt;=301,E294/3,E294/4))))</f>
        <v>462.77799749999997</v>
      </c>
      <c r="G294" s="88" t="str">
        <f t="shared" si="54"/>
        <v>27th Floor</v>
      </c>
      <c r="H294" s="88"/>
      <c r="I294" s="39"/>
      <c r="N294" s="39"/>
    </row>
    <row r="295" spans="1:14" s="40" customFormat="1" x14ac:dyDescent="0.25">
      <c r="A295" s="55">
        <f t="shared" si="52"/>
        <v>4</v>
      </c>
      <c r="B295" s="55" t="s">
        <v>177</v>
      </c>
      <c r="C295" s="55" t="s">
        <v>189</v>
      </c>
      <c r="D295" s="55">
        <f t="shared" si="53"/>
        <v>298.56644999999997</v>
      </c>
      <c r="E295" s="55">
        <v>0</v>
      </c>
      <c r="F295" s="55">
        <f t="shared" si="55"/>
        <v>462.77799749999997</v>
      </c>
      <c r="G295" s="88" t="str">
        <f t="shared" si="54"/>
        <v>27th Floor</v>
      </c>
      <c r="H295" s="88"/>
      <c r="I295" s="39"/>
      <c r="N295" s="39"/>
    </row>
    <row r="296" spans="1:14" s="40" customFormat="1" x14ac:dyDescent="0.25">
      <c r="A296" s="55">
        <f t="shared" si="52"/>
        <v>5</v>
      </c>
      <c r="B296" s="55" t="s">
        <v>177</v>
      </c>
      <c r="C296" s="55" t="s">
        <v>189</v>
      </c>
      <c r="D296" s="55">
        <f t="shared" si="53"/>
        <v>298.56644999999997</v>
      </c>
      <c r="E296" s="55">
        <v>0</v>
      </c>
      <c r="F296" s="55">
        <f t="shared" si="55"/>
        <v>462.77799749999997</v>
      </c>
      <c r="G296" s="88" t="str">
        <f t="shared" si="54"/>
        <v>27th Floor</v>
      </c>
      <c r="H296" s="88"/>
      <c r="I296" s="39"/>
      <c r="N296" s="39"/>
    </row>
    <row r="297" spans="1:14" s="40" customFormat="1" x14ac:dyDescent="0.25">
      <c r="A297" s="55">
        <f t="shared" si="52"/>
        <v>6</v>
      </c>
      <c r="B297" s="55" t="s">
        <v>193</v>
      </c>
      <c r="C297" s="55" t="s">
        <v>189</v>
      </c>
      <c r="D297" s="55">
        <f t="shared" si="53"/>
        <v>298.56644999999997</v>
      </c>
      <c r="E297" s="55">
        <v>0</v>
      </c>
      <c r="F297" s="55">
        <f t="shared" si="55"/>
        <v>462.77799749999997</v>
      </c>
      <c r="G297" s="88" t="str">
        <f t="shared" si="54"/>
        <v>27th Floor</v>
      </c>
      <c r="H297" s="88"/>
      <c r="I297" s="39"/>
      <c r="N297" s="39"/>
    </row>
    <row r="298" spans="1:14" s="40" customFormat="1" x14ac:dyDescent="0.25">
      <c r="A298" s="55">
        <f t="shared" si="52"/>
        <v>7</v>
      </c>
      <c r="B298" s="55" t="s">
        <v>193</v>
      </c>
      <c r="C298" s="55" t="s">
        <v>189</v>
      </c>
      <c r="D298" s="55">
        <f t="shared" si="53"/>
        <v>298.56644999999997</v>
      </c>
      <c r="E298" s="55">
        <v>0</v>
      </c>
      <c r="F298" s="55">
        <f t="shared" si="55"/>
        <v>462.77799749999997</v>
      </c>
      <c r="G298" s="88" t="str">
        <f t="shared" si="54"/>
        <v>27th Floor</v>
      </c>
      <c r="H298" s="88"/>
      <c r="I298" s="39"/>
      <c r="N298" s="39"/>
    </row>
    <row r="299" spans="1:14" s="40" customFormat="1" x14ac:dyDescent="0.25">
      <c r="A299" s="55">
        <f t="shared" si="52"/>
        <v>8</v>
      </c>
      <c r="B299" s="55" t="s">
        <v>177</v>
      </c>
      <c r="C299" s="55" t="s">
        <v>189</v>
      </c>
      <c r="D299" s="55">
        <f>(2.4*5.05+0.95*1.95+2.6*2+1.2*1.25+2.52*2.73)*10.764</f>
        <v>296.57080439999999</v>
      </c>
      <c r="E299" s="55">
        <v>0</v>
      </c>
      <c r="F299" s="55">
        <f t="shared" si="55"/>
        <v>459.68474681999999</v>
      </c>
      <c r="G299" s="88" t="str">
        <f t="shared" si="54"/>
        <v>27th Floor</v>
      </c>
      <c r="H299" s="88"/>
      <c r="I299" s="39"/>
      <c r="N299" s="39"/>
    </row>
    <row r="300" spans="1:14" s="40" customFormat="1" x14ac:dyDescent="0.25">
      <c r="A300" s="55">
        <f t="shared" si="52"/>
        <v>9</v>
      </c>
      <c r="B300" s="55" t="s">
        <v>177</v>
      </c>
      <c r="C300" s="55" t="s">
        <v>189</v>
      </c>
      <c r="D300" s="55">
        <f>(2.4*5.2+2.3*2.15+0.95*1.95+2.4*2.9+1.2*1.25)*10.764</f>
        <v>298.56644999999997</v>
      </c>
      <c r="E300" s="55">
        <v>0</v>
      </c>
      <c r="F300" s="55">
        <f t="shared" si="55"/>
        <v>462.77799749999997</v>
      </c>
      <c r="G300" s="88" t="str">
        <f t="shared" si="54"/>
        <v>27th Floor</v>
      </c>
      <c r="H300" s="88"/>
      <c r="I300" s="39"/>
      <c r="N300" s="39"/>
    </row>
    <row r="301" spans="1:14" s="40" customFormat="1" x14ac:dyDescent="0.25">
      <c r="A301" s="55">
        <f t="shared" si="52"/>
        <v>10</v>
      </c>
      <c r="B301" s="55" t="s">
        <v>177</v>
      </c>
      <c r="C301" s="55" t="s">
        <v>189</v>
      </c>
      <c r="D301" s="55">
        <f>(2.4*5.2+2.3*2.15+0.95*1.95+2.4*2.9+1.2*1.25)*10.764</f>
        <v>298.56644999999997</v>
      </c>
      <c r="E301" s="55">
        <v>0</v>
      </c>
      <c r="F301" s="55">
        <f t="shared" si="55"/>
        <v>462.77799749999997</v>
      </c>
      <c r="G301" s="88" t="str">
        <f t="shared" si="54"/>
        <v>27th Floor</v>
      </c>
      <c r="H301" s="88"/>
      <c r="I301" s="39"/>
      <c r="N301" s="39"/>
    </row>
    <row r="302" spans="1:14" s="40" customFormat="1" x14ac:dyDescent="0.25">
      <c r="A302" s="55">
        <f t="shared" si="52"/>
        <v>11</v>
      </c>
      <c r="B302" s="55" t="s">
        <v>177</v>
      </c>
      <c r="C302" s="55" t="s">
        <v>189</v>
      </c>
      <c r="D302" s="55">
        <f t="shared" ref="D302:D304" si="56">(2.4*5.2+2.3*2.15+0.95*1.95+2.4*2.9+1.2*1.25)*10.764</f>
        <v>298.56644999999997</v>
      </c>
      <c r="E302" s="55">
        <v>0</v>
      </c>
      <c r="F302" s="55">
        <f t="shared" si="55"/>
        <v>462.77799749999997</v>
      </c>
      <c r="G302" s="88" t="str">
        <f t="shared" si="54"/>
        <v>27th Floor</v>
      </c>
      <c r="H302" s="88"/>
      <c r="I302" s="39"/>
      <c r="N302" s="39"/>
    </row>
    <row r="303" spans="1:14" s="40" customFormat="1" x14ac:dyDescent="0.25">
      <c r="A303" s="55">
        <f t="shared" si="52"/>
        <v>12</v>
      </c>
      <c r="B303" s="55" t="s">
        <v>177</v>
      </c>
      <c r="C303" s="55" t="s">
        <v>189</v>
      </c>
      <c r="D303" s="55">
        <f t="shared" si="56"/>
        <v>298.56644999999997</v>
      </c>
      <c r="E303" s="55">
        <v>0</v>
      </c>
      <c r="F303" s="55">
        <f t="shared" si="55"/>
        <v>462.77799749999997</v>
      </c>
      <c r="G303" s="88" t="str">
        <f t="shared" si="54"/>
        <v>27th Floor</v>
      </c>
      <c r="H303" s="88"/>
      <c r="I303" s="39"/>
      <c r="N303" s="39"/>
    </row>
    <row r="304" spans="1:14" s="40" customFormat="1" x14ac:dyDescent="0.25">
      <c r="A304" s="55">
        <f t="shared" si="52"/>
        <v>13</v>
      </c>
      <c r="B304" s="55" t="s">
        <v>177</v>
      </c>
      <c r="C304" s="55" t="s">
        <v>189</v>
      </c>
      <c r="D304" s="55">
        <f t="shared" si="56"/>
        <v>298.56644999999997</v>
      </c>
      <c r="E304" s="55">
        <v>0</v>
      </c>
      <c r="F304" s="55">
        <f t="shared" si="55"/>
        <v>462.77799749999997</v>
      </c>
      <c r="G304" s="88" t="str">
        <f t="shared" si="54"/>
        <v>27th Floor</v>
      </c>
      <c r="H304" s="88"/>
      <c r="I304" s="39"/>
      <c r="N304" s="39"/>
    </row>
    <row r="305" spans="1:14" s="40" customFormat="1" x14ac:dyDescent="0.25">
      <c r="A305" s="89" t="s">
        <v>199</v>
      </c>
      <c r="B305" s="89"/>
      <c r="C305" s="89"/>
      <c r="D305" s="89"/>
      <c r="E305" s="89"/>
      <c r="F305" s="89"/>
      <c r="G305" s="89"/>
      <c r="H305" s="89"/>
      <c r="I305" s="39"/>
      <c r="L305" s="95"/>
      <c r="M305" s="95"/>
    </row>
    <row r="306" spans="1:14" s="40" customFormat="1" ht="15.75" customHeight="1" x14ac:dyDescent="0.25">
      <c r="A306" s="55">
        <v>1</v>
      </c>
      <c r="B306" s="55" t="s">
        <v>193</v>
      </c>
      <c r="C306" s="55" t="s">
        <v>189</v>
      </c>
      <c r="D306" s="55">
        <f>(2.4*5.2+0.95*1.95+2.4*2.9+1.2*1.25+2.3*2.15)*10.764</f>
        <v>298.56644999999997</v>
      </c>
      <c r="E306" s="55">
        <v>0</v>
      </c>
      <c r="F306" s="55">
        <f t="shared" ref="F306:F307" si="57">D306*(($F$129)+1)+(IF(E306&lt;101,E306,IF(E306&lt;201,E306/2,IF(E306&lt;=301,E306/3,E306/4))))</f>
        <v>462.77799749999997</v>
      </c>
      <c r="G306" s="80" t="str">
        <f>A305</f>
        <v>28th, 30th to 35th, 37th to 38th Floor</v>
      </c>
      <c r="H306" s="82"/>
      <c r="I306" s="39"/>
      <c r="N306" s="39"/>
    </row>
    <row r="307" spans="1:14" s="40" customFormat="1" ht="15.75" customHeight="1" x14ac:dyDescent="0.25">
      <c r="A307" s="55">
        <f t="shared" ref="A307:A318" si="58">A306+1</f>
        <v>2</v>
      </c>
      <c r="B307" s="55" t="s">
        <v>193</v>
      </c>
      <c r="C307" s="55" t="s">
        <v>189</v>
      </c>
      <c r="D307" s="55">
        <f t="shared" ref="D307:D312" si="59">(2.4*5.2+0.95*1.95+2.4*2.9+1.2*1.25+2.3*2.15)*10.764</f>
        <v>298.56644999999997</v>
      </c>
      <c r="E307" s="55">
        <v>0</v>
      </c>
      <c r="F307" s="55">
        <f t="shared" si="57"/>
        <v>462.77799749999997</v>
      </c>
      <c r="G307" s="90"/>
      <c r="H307" s="91"/>
      <c r="I307" s="39"/>
      <c r="N307" s="39"/>
    </row>
    <row r="308" spans="1:14" s="40" customFormat="1" ht="15.75" customHeight="1" x14ac:dyDescent="0.25">
      <c r="A308" s="55">
        <f t="shared" si="58"/>
        <v>3</v>
      </c>
      <c r="B308" s="55" t="s">
        <v>193</v>
      </c>
      <c r="C308" s="55" t="s">
        <v>189</v>
      </c>
      <c r="D308" s="55">
        <f t="shared" si="59"/>
        <v>298.56644999999997</v>
      </c>
      <c r="E308" s="55">
        <v>0</v>
      </c>
      <c r="F308" s="55">
        <f t="shared" ref="F308:F318" si="60">D308*(($F$129)+1)+(IF(E308&lt;101,E308,IF(E308&lt;201,E308/2,IF(E308&lt;=301,E308/3,E308/4))))</f>
        <v>462.77799749999997</v>
      </c>
      <c r="G308" s="90"/>
      <c r="H308" s="91"/>
      <c r="I308" s="39"/>
      <c r="N308" s="39"/>
    </row>
    <row r="309" spans="1:14" s="40" customFormat="1" ht="15.75" customHeight="1" x14ac:dyDescent="0.25">
      <c r="A309" s="55">
        <f t="shared" si="58"/>
        <v>4</v>
      </c>
      <c r="B309" s="55" t="s">
        <v>193</v>
      </c>
      <c r="C309" s="55" t="s">
        <v>189</v>
      </c>
      <c r="D309" s="55">
        <f t="shared" si="59"/>
        <v>298.56644999999997</v>
      </c>
      <c r="E309" s="55">
        <v>0</v>
      </c>
      <c r="F309" s="55">
        <f t="shared" si="60"/>
        <v>462.77799749999997</v>
      </c>
      <c r="G309" s="90"/>
      <c r="H309" s="91"/>
      <c r="I309" s="39"/>
      <c r="N309" s="39"/>
    </row>
    <row r="310" spans="1:14" s="40" customFormat="1" ht="15.75" customHeight="1" x14ac:dyDescent="0.25">
      <c r="A310" s="55">
        <f t="shared" si="58"/>
        <v>5</v>
      </c>
      <c r="B310" s="55" t="s">
        <v>193</v>
      </c>
      <c r="C310" s="55" t="s">
        <v>189</v>
      </c>
      <c r="D310" s="55">
        <f t="shared" si="59"/>
        <v>298.56644999999997</v>
      </c>
      <c r="E310" s="55">
        <v>0</v>
      </c>
      <c r="F310" s="55">
        <f t="shared" si="60"/>
        <v>462.77799749999997</v>
      </c>
      <c r="G310" s="90"/>
      <c r="H310" s="91"/>
      <c r="I310" s="39"/>
      <c r="N310" s="39"/>
    </row>
    <row r="311" spans="1:14" s="40" customFormat="1" ht="15.75" customHeight="1" x14ac:dyDescent="0.25">
      <c r="A311" s="55">
        <f t="shared" si="58"/>
        <v>6</v>
      </c>
      <c r="B311" s="55" t="s">
        <v>193</v>
      </c>
      <c r="C311" s="55" t="s">
        <v>189</v>
      </c>
      <c r="D311" s="55">
        <f t="shared" si="59"/>
        <v>298.56644999999997</v>
      </c>
      <c r="E311" s="55">
        <v>0</v>
      </c>
      <c r="F311" s="55">
        <f t="shared" si="60"/>
        <v>462.77799749999997</v>
      </c>
      <c r="G311" s="90"/>
      <c r="H311" s="91"/>
      <c r="I311" s="39"/>
      <c r="N311" s="39"/>
    </row>
    <row r="312" spans="1:14" s="40" customFormat="1" ht="15.75" customHeight="1" x14ac:dyDescent="0.25">
      <c r="A312" s="55">
        <f t="shared" si="58"/>
        <v>7</v>
      </c>
      <c r="B312" s="55" t="s">
        <v>193</v>
      </c>
      <c r="C312" s="55" t="s">
        <v>189</v>
      </c>
      <c r="D312" s="55">
        <f t="shared" si="59"/>
        <v>298.56644999999997</v>
      </c>
      <c r="E312" s="55">
        <v>0</v>
      </c>
      <c r="F312" s="55">
        <f t="shared" si="60"/>
        <v>462.77799749999997</v>
      </c>
      <c r="G312" s="90"/>
      <c r="H312" s="91"/>
      <c r="I312" s="39"/>
      <c r="N312" s="39"/>
    </row>
    <row r="313" spans="1:14" s="40" customFormat="1" ht="15.75" customHeight="1" x14ac:dyDescent="0.25">
      <c r="A313" s="55">
        <f t="shared" si="58"/>
        <v>8</v>
      </c>
      <c r="B313" s="55" t="s">
        <v>193</v>
      </c>
      <c r="C313" s="55" t="s">
        <v>189</v>
      </c>
      <c r="D313" s="55">
        <f>(2.4*5.05+0.95*1.95+2.6*2+1.2*1.25+2.52*2.73)*10.764</f>
        <v>296.57080439999999</v>
      </c>
      <c r="E313" s="55">
        <v>0</v>
      </c>
      <c r="F313" s="55">
        <f t="shared" si="60"/>
        <v>459.68474681999999</v>
      </c>
      <c r="G313" s="90"/>
      <c r="H313" s="91"/>
      <c r="I313" s="39"/>
      <c r="N313" s="39"/>
    </row>
    <row r="314" spans="1:14" s="40" customFormat="1" ht="15.75" customHeight="1" x14ac:dyDescent="0.25">
      <c r="A314" s="55">
        <f t="shared" si="58"/>
        <v>9</v>
      </c>
      <c r="B314" s="55" t="s">
        <v>193</v>
      </c>
      <c r="C314" s="55" t="s">
        <v>189</v>
      </c>
      <c r="D314" s="55">
        <f>(2.4*5.2+2.3*2.15+0.95*1.95+2.4*2.9+1.2*1.25)*10.764</f>
        <v>298.56644999999997</v>
      </c>
      <c r="E314" s="55">
        <v>0</v>
      </c>
      <c r="F314" s="55">
        <f t="shared" si="60"/>
        <v>462.77799749999997</v>
      </c>
      <c r="G314" s="90"/>
      <c r="H314" s="91"/>
      <c r="I314" s="39"/>
      <c r="N314" s="39"/>
    </row>
    <row r="315" spans="1:14" s="40" customFormat="1" ht="15.75" customHeight="1" x14ac:dyDescent="0.25">
      <c r="A315" s="55">
        <f t="shared" si="58"/>
        <v>10</v>
      </c>
      <c r="B315" s="55" t="s">
        <v>193</v>
      </c>
      <c r="C315" s="55" t="s">
        <v>189</v>
      </c>
      <c r="D315" s="55">
        <f>(2.4*5.2+2.3*2.15+0.95*1.95+2.4*2.9+1.2*1.25)*10.764</f>
        <v>298.56644999999997</v>
      </c>
      <c r="E315" s="55">
        <v>0</v>
      </c>
      <c r="F315" s="55">
        <f t="shared" si="60"/>
        <v>462.77799749999997</v>
      </c>
      <c r="G315" s="90"/>
      <c r="H315" s="91"/>
      <c r="I315" s="39"/>
      <c r="N315" s="39"/>
    </row>
    <row r="316" spans="1:14" s="40" customFormat="1" ht="15.75" customHeight="1" x14ac:dyDescent="0.25">
      <c r="A316" s="55">
        <f t="shared" si="58"/>
        <v>11</v>
      </c>
      <c r="B316" s="55" t="s">
        <v>193</v>
      </c>
      <c r="C316" s="55" t="s">
        <v>189</v>
      </c>
      <c r="D316" s="55">
        <f t="shared" ref="D316:D318" si="61">(2.4*5.2+2.3*2.15+0.95*1.95+2.4*2.9+1.2*1.25)*10.764</f>
        <v>298.56644999999997</v>
      </c>
      <c r="E316" s="55">
        <v>0</v>
      </c>
      <c r="F316" s="55">
        <f t="shared" si="60"/>
        <v>462.77799749999997</v>
      </c>
      <c r="G316" s="90"/>
      <c r="H316" s="91"/>
      <c r="I316" s="39"/>
      <c r="N316" s="39"/>
    </row>
    <row r="317" spans="1:14" s="40" customFormat="1" ht="15.75" customHeight="1" x14ac:dyDescent="0.25">
      <c r="A317" s="55">
        <f t="shared" si="58"/>
        <v>12</v>
      </c>
      <c r="B317" s="55" t="s">
        <v>193</v>
      </c>
      <c r="C317" s="55" t="s">
        <v>189</v>
      </c>
      <c r="D317" s="55">
        <f t="shared" si="61"/>
        <v>298.56644999999997</v>
      </c>
      <c r="E317" s="55">
        <v>0</v>
      </c>
      <c r="F317" s="55">
        <f t="shared" si="60"/>
        <v>462.77799749999997</v>
      </c>
      <c r="G317" s="90"/>
      <c r="H317" s="91"/>
      <c r="I317" s="39"/>
      <c r="N317" s="39"/>
    </row>
    <row r="318" spans="1:14" s="40" customFormat="1" ht="15.75" customHeight="1" x14ac:dyDescent="0.25">
      <c r="A318" s="55">
        <f t="shared" si="58"/>
        <v>13</v>
      </c>
      <c r="B318" s="55" t="s">
        <v>193</v>
      </c>
      <c r="C318" s="55" t="s">
        <v>189</v>
      </c>
      <c r="D318" s="55">
        <f t="shared" si="61"/>
        <v>298.56644999999997</v>
      </c>
      <c r="E318" s="55">
        <v>0</v>
      </c>
      <c r="F318" s="55">
        <f t="shared" si="60"/>
        <v>462.77799749999997</v>
      </c>
      <c r="G318" s="83"/>
      <c r="H318" s="85"/>
      <c r="I318" s="39"/>
      <c r="N318" s="39"/>
    </row>
    <row r="319" spans="1:14" s="40" customFormat="1" x14ac:dyDescent="0.25">
      <c r="A319" s="89" t="s">
        <v>200</v>
      </c>
      <c r="B319" s="89"/>
      <c r="C319" s="89"/>
      <c r="D319" s="89"/>
      <c r="E319" s="89"/>
      <c r="F319" s="89"/>
      <c r="G319" s="89"/>
      <c r="H319" s="89"/>
      <c r="I319" s="39"/>
      <c r="L319" s="95"/>
      <c r="M319" s="95"/>
    </row>
    <row r="320" spans="1:14" s="40" customFormat="1" x14ac:dyDescent="0.25">
      <c r="A320" s="55">
        <v>1</v>
      </c>
      <c r="B320" s="55" t="s">
        <v>193</v>
      </c>
      <c r="C320" s="55" t="s">
        <v>189</v>
      </c>
      <c r="D320" s="55">
        <f>(2.4*5.2+0.95*1.95+2.4*2.9+1.2*1.25+2.3*2.15)*10.764</f>
        <v>298.56644999999997</v>
      </c>
      <c r="E320" s="55">
        <v>0</v>
      </c>
      <c r="F320" s="55">
        <f t="shared" ref="F320:F321" si="62">D320*(($F$129)+1)+(IF(E320&lt;101,E320,IF(E320&lt;201,E320/2,IF(E320&lt;=301,E320/3,E320/4))))</f>
        <v>462.77799749999997</v>
      </c>
      <c r="G320" s="88" t="str">
        <f>A319</f>
        <v>29th Floor (Part Refuge Area)</v>
      </c>
      <c r="H320" s="88"/>
      <c r="I320" s="39"/>
      <c r="N320" s="39"/>
    </row>
    <row r="321" spans="1:14" s="40" customFormat="1" x14ac:dyDescent="0.25">
      <c r="A321" s="55">
        <f t="shared" ref="A321:A332" si="63">A320+1</f>
        <v>2</v>
      </c>
      <c r="B321" s="55" t="s">
        <v>193</v>
      </c>
      <c r="C321" s="55" t="s">
        <v>189</v>
      </c>
      <c r="D321" s="55">
        <f t="shared" ref="D321:D323" si="64">(2.4*5.2+0.95*1.95+2.4*2.9+1.2*1.25+2.3*2.15)*10.764</f>
        <v>298.56644999999997</v>
      </c>
      <c r="E321" s="55">
        <v>0</v>
      </c>
      <c r="F321" s="55">
        <f t="shared" si="62"/>
        <v>462.77799749999997</v>
      </c>
      <c r="G321" s="88" t="str">
        <f t="shared" ref="G321:G332" si="65">G320</f>
        <v>29th Floor (Part Refuge Area)</v>
      </c>
      <c r="H321" s="88"/>
      <c r="I321" s="39"/>
      <c r="N321" s="39"/>
    </row>
    <row r="322" spans="1:14" s="40" customFormat="1" x14ac:dyDescent="0.25">
      <c r="A322" s="55">
        <f t="shared" si="63"/>
        <v>3</v>
      </c>
      <c r="B322" s="55" t="s">
        <v>193</v>
      </c>
      <c r="C322" s="55" t="s">
        <v>189</v>
      </c>
      <c r="D322" s="55">
        <f t="shared" si="64"/>
        <v>298.56644999999997</v>
      </c>
      <c r="E322" s="55">
        <v>0</v>
      </c>
      <c r="F322" s="55">
        <f>D322*(($F$129)+1)+(IF(E322&lt;101,E322,IF(E322&lt;201,E322/2,IF(E322&lt;=301,E322/3,E322/4))))</f>
        <v>462.77799749999997</v>
      </c>
      <c r="G322" s="88" t="str">
        <f t="shared" si="65"/>
        <v>29th Floor (Part Refuge Area)</v>
      </c>
      <c r="H322" s="88"/>
      <c r="I322" s="39"/>
      <c r="N322" s="39"/>
    </row>
    <row r="323" spans="1:14" s="40" customFormat="1" x14ac:dyDescent="0.25">
      <c r="A323" s="55">
        <f t="shared" si="63"/>
        <v>4</v>
      </c>
      <c r="B323" s="55" t="s">
        <v>193</v>
      </c>
      <c r="C323" s="55" t="s">
        <v>189</v>
      </c>
      <c r="D323" s="55">
        <f t="shared" si="64"/>
        <v>298.56644999999997</v>
      </c>
      <c r="E323" s="55">
        <v>0</v>
      </c>
      <c r="F323" s="55">
        <f>D323*(($F$129)+1)+(IF(E323&lt;101,E323,IF(E323&lt;201,E323/2,IF(E323&lt;=301,E323/3,E323/4))))</f>
        <v>462.77799749999997</v>
      </c>
      <c r="G323" s="88" t="str">
        <f t="shared" si="65"/>
        <v>29th Floor (Part Refuge Area)</v>
      </c>
      <c r="H323" s="88"/>
      <c r="I323" s="39"/>
      <c r="N323" s="39"/>
    </row>
    <row r="324" spans="1:14" s="40" customFormat="1" x14ac:dyDescent="0.25">
      <c r="A324" s="55">
        <f t="shared" si="63"/>
        <v>5</v>
      </c>
      <c r="B324" s="55" t="s">
        <v>188</v>
      </c>
      <c r="C324" s="80" t="s">
        <v>192</v>
      </c>
      <c r="D324" s="81"/>
      <c r="E324" s="81"/>
      <c r="F324" s="82"/>
      <c r="G324" s="88" t="str">
        <f t="shared" si="65"/>
        <v>29th Floor (Part Refuge Area)</v>
      </c>
      <c r="H324" s="88"/>
      <c r="I324" s="39"/>
      <c r="N324" s="39"/>
    </row>
    <row r="325" spans="1:14" s="40" customFormat="1" x14ac:dyDescent="0.25">
      <c r="A325" s="55">
        <f t="shared" si="63"/>
        <v>6</v>
      </c>
      <c r="B325" s="55" t="s">
        <v>188</v>
      </c>
      <c r="C325" s="90"/>
      <c r="D325" s="92"/>
      <c r="E325" s="92"/>
      <c r="F325" s="91"/>
      <c r="G325" s="88" t="str">
        <f t="shared" si="65"/>
        <v>29th Floor (Part Refuge Area)</v>
      </c>
      <c r="H325" s="88"/>
      <c r="I325" s="39"/>
      <c r="N325" s="39"/>
    </row>
    <row r="326" spans="1:14" s="40" customFormat="1" x14ac:dyDescent="0.25">
      <c r="A326" s="55">
        <f t="shared" si="63"/>
        <v>7</v>
      </c>
      <c r="B326" s="55" t="s">
        <v>188</v>
      </c>
      <c r="C326" s="83"/>
      <c r="D326" s="84"/>
      <c r="E326" s="84"/>
      <c r="F326" s="85"/>
      <c r="G326" s="88" t="str">
        <f t="shared" si="65"/>
        <v>29th Floor (Part Refuge Area)</v>
      </c>
      <c r="H326" s="88"/>
      <c r="I326" s="39"/>
      <c r="N326" s="39"/>
    </row>
    <row r="327" spans="1:14" s="40" customFormat="1" x14ac:dyDescent="0.25">
      <c r="A327" s="55">
        <f t="shared" si="63"/>
        <v>8</v>
      </c>
      <c r="B327" s="55" t="s">
        <v>193</v>
      </c>
      <c r="C327" s="55" t="s">
        <v>189</v>
      </c>
      <c r="D327" s="55">
        <f>(2.4*5.05+0.95*1.95+2.6*2+1.2*1.25+2.52*2.73)*10.764</f>
        <v>296.57080439999999</v>
      </c>
      <c r="E327" s="55">
        <v>0</v>
      </c>
      <c r="F327" s="55">
        <f t="shared" ref="F327:F332" si="66">D327*(($F$129)+1)+(IF(E327&lt;101,E327,IF(E327&lt;201,E327/2,IF(E327&lt;=301,E327/3,E327/4))))</f>
        <v>459.68474681999999</v>
      </c>
      <c r="G327" s="88" t="str">
        <f t="shared" si="65"/>
        <v>29th Floor (Part Refuge Area)</v>
      </c>
      <c r="H327" s="88"/>
      <c r="I327" s="39"/>
      <c r="N327" s="39"/>
    </row>
    <row r="328" spans="1:14" s="40" customFormat="1" x14ac:dyDescent="0.25">
      <c r="A328" s="55">
        <f t="shared" si="63"/>
        <v>9</v>
      </c>
      <c r="B328" s="55" t="s">
        <v>193</v>
      </c>
      <c r="C328" s="55" t="s">
        <v>189</v>
      </c>
      <c r="D328" s="55">
        <f>(2.4*5.2+2.3*2.15+0.95*1.95+2.4*2.9+1.2*1.25)*10.764</f>
        <v>298.56644999999997</v>
      </c>
      <c r="E328" s="55">
        <v>0</v>
      </c>
      <c r="F328" s="55">
        <f t="shared" si="66"/>
        <v>462.77799749999997</v>
      </c>
      <c r="G328" s="88" t="str">
        <f t="shared" si="65"/>
        <v>29th Floor (Part Refuge Area)</v>
      </c>
      <c r="H328" s="88"/>
      <c r="I328" s="39"/>
      <c r="N328" s="39"/>
    </row>
    <row r="329" spans="1:14" s="40" customFormat="1" x14ac:dyDescent="0.25">
      <c r="A329" s="55">
        <f t="shared" si="63"/>
        <v>10</v>
      </c>
      <c r="B329" s="55" t="s">
        <v>193</v>
      </c>
      <c r="C329" s="55" t="s">
        <v>189</v>
      </c>
      <c r="D329" s="55">
        <f>(2.4*5.2+2.3*2.15+0.95*1.95+2.4*2.9+1.2*1.25)*10.764</f>
        <v>298.56644999999997</v>
      </c>
      <c r="E329" s="55">
        <v>0</v>
      </c>
      <c r="F329" s="55">
        <f t="shared" si="66"/>
        <v>462.77799749999997</v>
      </c>
      <c r="G329" s="88" t="str">
        <f t="shared" si="65"/>
        <v>29th Floor (Part Refuge Area)</v>
      </c>
      <c r="H329" s="88"/>
      <c r="I329" s="39"/>
      <c r="N329" s="39"/>
    </row>
    <row r="330" spans="1:14" s="40" customFormat="1" x14ac:dyDescent="0.25">
      <c r="A330" s="55">
        <f t="shared" si="63"/>
        <v>11</v>
      </c>
      <c r="B330" s="55" t="s">
        <v>193</v>
      </c>
      <c r="C330" s="55" t="s">
        <v>189</v>
      </c>
      <c r="D330" s="55">
        <f t="shared" ref="D330:D332" si="67">(2.4*5.2+2.3*2.15+0.95*1.95+2.4*2.9+1.2*1.25)*10.764</f>
        <v>298.56644999999997</v>
      </c>
      <c r="E330" s="55">
        <v>0</v>
      </c>
      <c r="F330" s="55">
        <f t="shared" si="66"/>
        <v>462.77799749999997</v>
      </c>
      <c r="G330" s="88" t="str">
        <f t="shared" si="65"/>
        <v>29th Floor (Part Refuge Area)</v>
      </c>
      <c r="H330" s="88"/>
      <c r="I330" s="39"/>
      <c r="N330" s="39"/>
    </row>
    <row r="331" spans="1:14" s="40" customFormat="1" x14ac:dyDescent="0.25">
      <c r="A331" s="55">
        <f t="shared" si="63"/>
        <v>12</v>
      </c>
      <c r="B331" s="55" t="s">
        <v>193</v>
      </c>
      <c r="C331" s="55" t="s">
        <v>189</v>
      </c>
      <c r="D331" s="55">
        <f t="shared" si="67"/>
        <v>298.56644999999997</v>
      </c>
      <c r="E331" s="55">
        <v>0</v>
      </c>
      <c r="F331" s="55">
        <f t="shared" si="66"/>
        <v>462.77799749999997</v>
      </c>
      <c r="G331" s="88" t="str">
        <f t="shared" si="65"/>
        <v>29th Floor (Part Refuge Area)</v>
      </c>
      <c r="H331" s="88"/>
      <c r="I331" s="39"/>
      <c r="N331" s="39"/>
    </row>
    <row r="332" spans="1:14" s="40" customFormat="1" x14ac:dyDescent="0.25">
      <c r="A332" s="55">
        <f t="shared" si="63"/>
        <v>13</v>
      </c>
      <c r="B332" s="55" t="s">
        <v>193</v>
      </c>
      <c r="C332" s="55" t="s">
        <v>189</v>
      </c>
      <c r="D332" s="55">
        <f t="shared" si="67"/>
        <v>298.56644999999997</v>
      </c>
      <c r="E332" s="55">
        <v>0</v>
      </c>
      <c r="F332" s="55">
        <f t="shared" si="66"/>
        <v>462.77799749999997</v>
      </c>
      <c r="G332" s="88" t="str">
        <f t="shared" si="65"/>
        <v>29th Floor (Part Refuge Area)</v>
      </c>
      <c r="H332" s="88"/>
      <c r="I332" s="39"/>
      <c r="N332" s="39"/>
    </row>
    <row r="333" spans="1:14" s="40" customFormat="1" x14ac:dyDescent="0.25">
      <c r="A333" s="89" t="s">
        <v>201</v>
      </c>
      <c r="B333" s="89"/>
      <c r="C333" s="89"/>
      <c r="D333" s="89"/>
      <c r="E333" s="89"/>
      <c r="F333" s="89"/>
      <c r="G333" s="89"/>
      <c r="H333" s="89"/>
      <c r="I333" s="39"/>
      <c r="L333" s="95"/>
      <c r="M333" s="95"/>
    </row>
    <row r="334" spans="1:14" s="40" customFormat="1" x14ac:dyDescent="0.25">
      <c r="A334" s="55">
        <v>1</v>
      </c>
      <c r="B334" s="55" t="s">
        <v>193</v>
      </c>
      <c r="C334" s="55" t="s">
        <v>189</v>
      </c>
      <c r="D334" s="55">
        <f>(2.4*5.2+0.95*1.95+2.4*2.9+1.2*1.25+2.3*2.15)*10.764</f>
        <v>298.56644999999997</v>
      </c>
      <c r="E334" s="55">
        <v>0</v>
      </c>
      <c r="F334" s="55">
        <f t="shared" ref="F334:F335" si="68">D334*(($F$129)+1)+(IF(E334&lt;101,E334,IF(E334&lt;201,E334/2,IF(E334&lt;=301,E334/3,E334/4))))</f>
        <v>462.77799749999997</v>
      </c>
      <c r="G334" s="88" t="str">
        <f>A333</f>
        <v>36th Floor (Part Refuge Area)</v>
      </c>
      <c r="H334" s="88"/>
      <c r="I334" s="39"/>
      <c r="N334" s="39"/>
    </row>
    <row r="335" spans="1:14" s="40" customFormat="1" x14ac:dyDescent="0.25">
      <c r="A335" s="55">
        <f t="shared" ref="A335:A346" si="69">A334+1</f>
        <v>2</v>
      </c>
      <c r="B335" s="55" t="s">
        <v>193</v>
      </c>
      <c r="C335" s="55" t="s">
        <v>189</v>
      </c>
      <c r="D335" s="55">
        <f t="shared" ref="D335:D337" si="70">(2.4*5.2+0.95*1.95+2.4*2.9+1.2*1.25+2.3*2.15)*10.764</f>
        <v>298.56644999999997</v>
      </c>
      <c r="E335" s="55">
        <v>0</v>
      </c>
      <c r="F335" s="55">
        <f t="shared" si="68"/>
        <v>462.77799749999997</v>
      </c>
      <c r="G335" s="88" t="str">
        <f t="shared" ref="G335:G346" si="71">G334</f>
        <v>36th Floor (Part Refuge Area)</v>
      </c>
      <c r="H335" s="88"/>
      <c r="I335" s="39"/>
      <c r="N335" s="39"/>
    </row>
    <row r="336" spans="1:14" s="40" customFormat="1" x14ac:dyDescent="0.25">
      <c r="A336" s="55">
        <f t="shared" si="69"/>
        <v>3</v>
      </c>
      <c r="B336" s="55" t="s">
        <v>193</v>
      </c>
      <c r="C336" s="55" t="s">
        <v>189</v>
      </c>
      <c r="D336" s="55">
        <f t="shared" si="70"/>
        <v>298.56644999999997</v>
      </c>
      <c r="E336" s="55">
        <v>0</v>
      </c>
      <c r="F336" s="55">
        <f>D336*(($F$129)+1)+(IF(E336&lt;101,E336,IF(E336&lt;201,E336/2,IF(E336&lt;=301,E336/3,E336/4))))</f>
        <v>462.77799749999997</v>
      </c>
      <c r="G336" s="88" t="str">
        <f t="shared" si="71"/>
        <v>36th Floor (Part Refuge Area)</v>
      </c>
      <c r="H336" s="88"/>
      <c r="I336" s="39"/>
      <c r="N336" s="39"/>
    </row>
    <row r="337" spans="1:14" s="40" customFormat="1" x14ac:dyDescent="0.25">
      <c r="A337" s="55">
        <f t="shared" si="69"/>
        <v>4</v>
      </c>
      <c r="B337" s="55" t="s">
        <v>193</v>
      </c>
      <c r="C337" s="55" t="s">
        <v>189</v>
      </c>
      <c r="D337" s="55">
        <f t="shared" si="70"/>
        <v>298.56644999999997</v>
      </c>
      <c r="E337" s="55">
        <v>0</v>
      </c>
      <c r="F337" s="55">
        <f>D337*(($F$129)+1)+(IF(E337&lt;101,E337,IF(E337&lt;201,E337/2,IF(E337&lt;=301,E337/3,E337/4))))</f>
        <v>462.77799749999997</v>
      </c>
      <c r="G337" s="88" t="str">
        <f t="shared" si="71"/>
        <v>36th Floor (Part Refuge Area)</v>
      </c>
      <c r="H337" s="88"/>
      <c r="I337" s="39"/>
      <c r="N337" s="39"/>
    </row>
    <row r="338" spans="1:14" s="40" customFormat="1" x14ac:dyDescent="0.25">
      <c r="A338" s="55">
        <f t="shared" si="69"/>
        <v>5</v>
      </c>
      <c r="B338" s="55" t="s">
        <v>188</v>
      </c>
      <c r="C338" s="80" t="s">
        <v>192</v>
      </c>
      <c r="D338" s="81"/>
      <c r="E338" s="81"/>
      <c r="F338" s="82"/>
      <c r="G338" s="88" t="str">
        <f t="shared" si="71"/>
        <v>36th Floor (Part Refuge Area)</v>
      </c>
      <c r="H338" s="88"/>
      <c r="I338" s="39"/>
      <c r="N338" s="39"/>
    </row>
    <row r="339" spans="1:14" s="40" customFormat="1" x14ac:dyDescent="0.25">
      <c r="A339" s="55">
        <f t="shared" si="69"/>
        <v>6</v>
      </c>
      <c r="B339" s="55" t="s">
        <v>188</v>
      </c>
      <c r="C339" s="90"/>
      <c r="D339" s="92"/>
      <c r="E339" s="92"/>
      <c r="F339" s="91"/>
      <c r="G339" s="88" t="str">
        <f t="shared" si="71"/>
        <v>36th Floor (Part Refuge Area)</v>
      </c>
      <c r="H339" s="88"/>
      <c r="I339" s="39"/>
      <c r="N339" s="39"/>
    </row>
    <row r="340" spans="1:14" s="40" customFormat="1" x14ac:dyDescent="0.25">
      <c r="A340" s="55">
        <f t="shared" si="69"/>
        <v>7</v>
      </c>
      <c r="B340" s="55" t="s">
        <v>193</v>
      </c>
      <c r="C340" s="55" t="s">
        <v>189</v>
      </c>
      <c r="D340" s="55">
        <f t="shared" ref="D340" si="72">(2.4*5.2+0.95*1.95+2.4*2.9+1.2*1.25+2.3*2.15)*10.764</f>
        <v>298.56644999999997</v>
      </c>
      <c r="E340" s="55">
        <v>0</v>
      </c>
      <c r="F340" s="55">
        <f t="shared" ref="F340:F346" si="73">D340*(($F$129)+1)+(IF(E340&lt;101,E340,IF(E340&lt;201,E340/2,IF(E340&lt;=301,E340/3,E340/4))))</f>
        <v>462.77799749999997</v>
      </c>
      <c r="G340" s="88" t="str">
        <f t="shared" si="71"/>
        <v>36th Floor (Part Refuge Area)</v>
      </c>
      <c r="H340" s="88"/>
      <c r="I340" s="39"/>
      <c r="N340" s="39"/>
    </row>
    <row r="341" spans="1:14" s="40" customFormat="1" x14ac:dyDescent="0.25">
      <c r="A341" s="55">
        <f t="shared" si="69"/>
        <v>8</v>
      </c>
      <c r="B341" s="46" t="s">
        <v>193</v>
      </c>
      <c r="C341" s="55" t="s">
        <v>189</v>
      </c>
      <c r="D341" s="55">
        <f>(2.4*5.05+0.95*1.95+2.6*2+1.2*1.25+2.52*2.73)*10.764</f>
        <v>296.57080439999999</v>
      </c>
      <c r="E341" s="55">
        <v>0</v>
      </c>
      <c r="F341" s="55">
        <f t="shared" si="73"/>
        <v>459.68474681999999</v>
      </c>
      <c r="G341" s="88" t="str">
        <f t="shared" si="71"/>
        <v>36th Floor (Part Refuge Area)</v>
      </c>
      <c r="H341" s="88"/>
      <c r="I341" s="39"/>
      <c r="N341" s="39"/>
    </row>
    <row r="342" spans="1:14" s="40" customFormat="1" x14ac:dyDescent="0.25">
      <c r="A342" s="55">
        <f t="shared" si="69"/>
        <v>9</v>
      </c>
      <c r="B342" s="55" t="s">
        <v>193</v>
      </c>
      <c r="C342" s="55" t="s">
        <v>189</v>
      </c>
      <c r="D342" s="55">
        <f>(2.4*5.2+2.3*2.15+0.95*1.95+2.4*2.9+1.2*1.25)*10.764</f>
        <v>298.56644999999997</v>
      </c>
      <c r="E342" s="55">
        <v>0</v>
      </c>
      <c r="F342" s="55">
        <f t="shared" si="73"/>
        <v>462.77799749999997</v>
      </c>
      <c r="G342" s="88" t="str">
        <f t="shared" si="71"/>
        <v>36th Floor (Part Refuge Area)</v>
      </c>
      <c r="H342" s="88"/>
      <c r="I342" s="39"/>
      <c r="N342" s="39"/>
    </row>
    <row r="343" spans="1:14" s="40" customFormat="1" x14ac:dyDescent="0.25">
      <c r="A343" s="55">
        <f t="shared" si="69"/>
        <v>10</v>
      </c>
      <c r="B343" s="55" t="s">
        <v>193</v>
      </c>
      <c r="C343" s="55" t="s">
        <v>189</v>
      </c>
      <c r="D343" s="55">
        <f>(2.4*5.2+2.3*2.15+0.95*1.95+2.4*2.9+1.2*1.25)*10.764</f>
        <v>298.56644999999997</v>
      </c>
      <c r="E343" s="55">
        <v>0</v>
      </c>
      <c r="F343" s="55">
        <f t="shared" si="73"/>
        <v>462.77799749999997</v>
      </c>
      <c r="G343" s="88" t="str">
        <f t="shared" si="71"/>
        <v>36th Floor (Part Refuge Area)</v>
      </c>
      <c r="H343" s="88"/>
      <c r="I343" s="39"/>
      <c r="N343" s="39"/>
    </row>
    <row r="344" spans="1:14" s="40" customFormat="1" x14ac:dyDescent="0.25">
      <c r="A344" s="55">
        <f t="shared" si="69"/>
        <v>11</v>
      </c>
      <c r="B344" s="55" t="s">
        <v>193</v>
      </c>
      <c r="C344" s="55" t="s">
        <v>189</v>
      </c>
      <c r="D344" s="55">
        <f t="shared" ref="D344:D346" si="74">(2.4*5.2+2.3*2.15+0.95*1.95+2.4*2.9+1.2*1.25)*10.764</f>
        <v>298.56644999999997</v>
      </c>
      <c r="E344" s="55">
        <v>0</v>
      </c>
      <c r="F344" s="55">
        <f t="shared" si="73"/>
        <v>462.77799749999997</v>
      </c>
      <c r="G344" s="88" t="str">
        <f t="shared" si="71"/>
        <v>36th Floor (Part Refuge Area)</v>
      </c>
      <c r="H344" s="88"/>
      <c r="I344" s="39"/>
      <c r="N344" s="39"/>
    </row>
    <row r="345" spans="1:14" s="40" customFormat="1" x14ac:dyDescent="0.25">
      <c r="A345" s="55">
        <f t="shared" si="69"/>
        <v>12</v>
      </c>
      <c r="B345" s="55" t="s">
        <v>193</v>
      </c>
      <c r="C345" s="55" t="s">
        <v>189</v>
      </c>
      <c r="D345" s="55">
        <f t="shared" si="74"/>
        <v>298.56644999999997</v>
      </c>
      <c r="E345" s="55">
        <v>0</v>
      </c>
      <c r="F345" s="55">
        <f t="shared" si="73"/>
        <v>462.77799749999997</v>
      </c>
      <c r="G345" s="88" t="str">
        <f t="shared" si="71"/>
        <v>36th Floor (Part Refuge Area)</v>
      </c>
      <c r="H345" s="88"/>
      <c r="I345" s="39"/>
      <c r="N345" s="39"/>
    </row>
    <row r="346" spans="1:14" s="40" customFormat="1" x14ac:dyDescent="0.25">
      <c r="A346" s="55">
        <f t="shared" si="69"/>
        <v>13</v>
      </c>
      <c r="B346" s="55" t="s">
        <v>193</v>
      </c>
      <c r="C346" s="55" t="s">
        <v>189</v>
      </c>
      <c r="D346" s="55">
        <f t="shared" si="74"/>
        <v>298.56644999999997</v>
      </c>
      <c r="E346" s="55">
        <v>0</v>
      </c>
      <c r="F346" s="55">
        <f t="shared" si="73"/>
        <v>462.77799749999997</v>
      </c>
      <c r="G346" s="88" t="str">
        <f t="shared" si="71"/>
        <v>36th Floor (Part Refuge Area)</v>
      </c>
      <c r="H346" s="88"/>
      <c r="I346" s="39"/>
      <c r="N346" s="39"/>
    </row>
    <row r="347" spans="1:14" s="40" customFormat="1" x14ac:dyDescent="0.25">
      <c r="A347" s="89" t="s">
        <v>202</v>
      </c>
      <c r="B347" s="89"/>
      <c r="C347" s="89"/>
      <c r="D347" s="89"/>
      <c r="E347" s="89"/>
      <c r="F347" s="89"/>
      <c r="G347" s="89"/>
      <c r="H347" s="89"/>
      <c r="I347" s="39"/>
      <c r="L347" s="95"/>
      <c r="M347" s="95"/>
    </row>
    <row r="348" spans="1:14" s="40" customFormat="1" x14ac:dyDescent="0.25">
      <c r="A348" s="55">
        <v>1</v>
      </c>
      <c r="B348" s="55" t="s">
        <v>193</v>
      </c>
      <c r="C348" s="55" t="s">
        <v>189</v>
      </c>
      <c r="D348" s="55">
        <f>(2.4*5.2+0.95*1.95+2.4*2.9+1.2*1.25+2.3*2.15)*10.764</f>
        <v>298.56644999999997</v>
      </c>
      <c r="E348" s="55">
        <v>0</v>
      </c>
      <c r="F348" s="55">
        <f t="shared" ref="F348:F349" si="75">D348*(($F$129)+1)+(IF(E348&lt;101,E348,IF(E348&lt;201,E348/2,IF(E348&lt;=301,E348/3,E348/4))))</f>
        <v>462.77799749999997</v>
      </c>
      <c r="G348" s="88" t="str">
        <f>A347</f>
        <v>39th Floor</v>
      </c>
      <c r="H348" s="88"/>
      <c r="I348" s="39"/>
      <c r="N348" s="39"/>
    </row>
    <row r="349" spans="1:14" s="40" customFormat="1" x14ac:dyDescent="0.25">
      <c r="A349" s="55">
        <f t="shared" ref="A349:A360" si="76">A348+1</f>
        <v>2</v>
      </c>
      <c r="B349" s="55" t="s">
        <v>193</v>
      </c>
      <c r="C349" s="55" t="s">
        <v>189</v>
      </c>
      <c r="D349" s="55">
        <f t="shared" ref="D349:D351" si="77">(2.4*5.2+0.95*1.95+2.4*2.9+1.2*1.25+2.3*2.15)*10.764</f>
        <v>298.56644999999997</v>
      </c>
      <c r="E349" s="55">
        <v>0</v>
      </c>
      <c r="F349" s="55">
        <f t="shared" si="75"/>
        <v>462.77799749999997</v>
      </c>
      <c r="G349" s="88" t="str">
        <f t="shared" ref="G349:G360" si="78">G348</f>
        <v>39th Floor</v>
      </c>
      <c r="H349" s="88"/>
      <c r="I349" s="39"/>
      <c r="N349" s="39"/>
    </row>
    <row r="350" spans="1:14" s="40" customFormat="1" x14ac:dyDescent="0.25">
      <c r="A350" s="55">
        <f t="shared" si="76"/>
        <v>3</v>
      </c>
      <c r="B350" s="55" t="s">
        <v>193</v>
      </c>
      <c r="C350" s="55" t="s">
        <v>189</v>
      </c>
      <c r="D350" s="55">
        <f t="shared" si="77"/>
        <v>298.56644999999997</v>
      </c>
      <c r="E350" s="55">
        <v>0</v>
      </c>
      <c r="F350" s="55">
        <f>D350*(($F$129)+1)+(IF(E350&lt;101,E350,IF(E350&lt;201,E350/2,IF(E350&lt;=301,E350/3,E350/4))))</f>
        <v>462.77799749999997</v>
      </c>
      <c r="G350" s="88" t="str">
        <f t="shared" si="78"/>
        <v>39th Floor</v>
      </c>
      <c r="H350" s="88"/>
      <c r="I350" s="39"/>
      <c r="N350" s="39"/>
    </row>
    <row r="351" spans="1:14" s="40" customFormat="1" x14ac:dyDescent="0.25">
      <c r="A351" s="55">
        <f t="shared" si="76"/>
        <v>4</v>
      </c>
      <c r="B351" s="55" t="s">
        <v>193</v>
      </c>
      <c r="C351" s="55" t="s">
        <v>189</v>
      </c>
      <c r="D351" s="55">
        <f t="shared" si="77"/>
        <v>298.56644999999997</v>
      </c>
      <c r="E351" s="55">
        <v>0</v>
      </c>
      <c r="F351" s="55">
        <f>D351*(($F$129)+1)+(IF(E351&lt;101,E351,IF(E351&lt;201,E351/2,IF(E351&lt;=301,E351/3,E351/4))))</f>
        <v>462.77799749999997</v>
      </c>
      <c r="G351" s="88" t="str">
        <f t="shared" si="78"/>
        <v>39th Floor</v>
      </c>
      <c r="H351" s="88"/>
      <c r="I351" s="39"/>
      <c r="N351" s="39"/>
    </row>
    <row r="352" spans="1:14" s="40" customFormat="1" x14ac:dyDescent="0.25">
      <c r="A352" s="55">
        <f t="shared" si="76"/>
        <v>5</v>
      </c>
      <c r="B352" s="55" t="s">
        <v>188</v>
      </c>
      <c r="C352" s="80" t="s">
        <v>203</v>
      </c>
      <c r="D352" s="81"/>
      <c r="E352" s="81"/>
      <c r="F352" s="82"/>
      <c r="G352" s="88" t="str">
        <f t="shared" si="78"/>
        <v>39th Floor</v>
      </c>
      <c r="H352" s="88"/>
      <c r="I352" s="39"/>
      <c r="N352" s="39"/>
    </row>
    <row r="353" spans="1:14" s="40" customFormat="1" x14ac:dyDescent="0.25">
      <c r="A353" s="55">
        <f t="shared" si="76"/>
        <v>6</v>
      </c>
      <c r="B353" s="55" t="s">
        <v>188</v>
      </c>
      <c r="C353" s="90"/>
      <c r="D353" s="92"/>
      <c r="E353" s="92"/>
      <c r="F353" s="91"/>
      <c r="G353" s="88" t="str">
        <f t="shared" si="78"/>
        <v>39th Floor</v>
      </c>
      <c r="H353" s="88"/>
      <c r="I353" s="39"/>
      <c r="N353" s="39"/>
    </row>
    <row r="354" spans="1:14" s="40" customFormat="1" x14ac:dyDescent="0.25">
      <c r="A354" s="55">
        <f t="shared" si="76"/>
        <v>7</v>
      </c>
      <c r="B354" s="55" t="s">
        <v>188</v>
      </c>
      <c r="C354" s="90"/>
      <c r="D354" s="92"/>
      <c r="E354" s="92"/>
      <c r="F354" s="91"/>
      <c r="G354" s="88" t="str">
        <f t="shared" si="78"/>
        <v>39th Floor</v>
      </c>
      <c r="H354" s="88"/>
      <c r="I354" s="39"/>
      <c r="N354" s="39"/>
    </row>
    <row r="355" spans="1:14" s="40" customFormat="1" x14ac:dyDescent="0.25">
      <c r="A355" s="55">
        <f t="shared" si="76"/>
        <v>8</v>
      </c>
      <c r="B355" s="55" t="s">
        <v>188</v>
      </c>
      <c r="C355" s="90"/>
      <c r="D355" s="92"/>
      <c r="E355" s="92"/>
      <c r="F355" s="91"/>
      <c r="G355" s="88" t="str">
        <f t="shared" si="78"/>
        <v>39th Floor</v>
      </c>
      <c r="H355" s="88"/>
      <c r="I355" s="39"/>
      <c r="N355" s="39"/>
    </row>
    <row r="356" spans="1:14" s="40" customFormat="1" x14ac:dyDescent="0.25">
      <c r="A356" s="55">
        <f t="shared" si="76"/>
        <v>9</v>
      </c>
      <c r="B356" s="55" t="s">
        <v>188</v>
      </c>
      <c r="C356" s="83"/>
      <c r="D356" s="84"/>
      <c r="E356" s="84"/>
      <c r="F356" s="85"/>
      <c r="G356" s="88" t="str">
        <f t="shared" si="78"/>
        <v>39th Floor</v>
      </c>
      <c r="H356" s="88"/>
      <c r="I356" s="39"/>
      <c r="N356" s="39"/>
    </row>
    <row r="357" spans="1:14" s="40" customFormat="1" x14ac:dyDescent="0.25">
      <c r="A357" s="55">
        <f t="shared" si="76"/>
        <v>10</v>
      </c>
      <c r="B357" s="55" t="s">
        <v>193</v>
      </c>
      <c r="C357" s="55" t="s">
        <v>189</v>
      </c>
      <c r="D357" s="55">
        <f>(2.4*5.2+2.3*2.15+0.95*1.95+2.4*2.9+1.2*1.25)*10.764</f>
        <v>298.56644999999997</v>
      </c>
      <c r="E357" s="55">
        <v>0</v>
      </c>
      <c r="F357" s="55">
        <f>D357*(($F$129)+1)+(IF(E357&lt;101,E357,IF(E357&lt;201,E357/2,IF(E357&lt;=301,E357/3,E357/4))))</f>
        <v>462.77799749999997</v>
      </c>
      <c r="G357" s="88" t="str">
        <f t="shared" si="78"/>
        <v>39th Floor</v>
      </c>
      <c r="H357" s="88"/>
      <c r="I357" s="39"/>
      <c r="N357" s="39"/>
    </row>
    <row r="358" spans="1:14" s="40" customFormat="1" x14ac:dyDescent="0.25">
      <c r="A358" s="55">
        <f t="shared" si="76"/>
        <v>11</v>
      </c>
      <c r="B358" s="55" t="s">
        <v>193</v>
      </c>
      <c r="C358" s="55" t="s">
        <v>189</v>
      </c>
      <c r="D358" s="55">
        <f t="shared" ref="D358:D360" si="79">(2.4*5.2+2.3*2.15+0.95*1.95+2.4*2.9+1.2*1.25)*10.764</f>
        <v>298.56644999999997</v>
      </c>
      <c r="E358" s="55">
        <v>0</v>
      </c>
      <c r="F358" s="55">
        <f>D358*(($F$129)+1)+(IF(E358&lt;101,E358,IF(E358&lt;201,E358/2,IF(E358&lt;=301,E358/3,E358/4))))</f>
        <v>462.77799749999997</v>
      </c>
      <c r="G358" s="88" t="str">
        <f t="shared" si="78"/>
        <v>39th Floor</v>
      </c>
      <c r="H358" s="88"/>
      <c r="I358" s="39"/>
      <c r="N358" s="39"/>
    </row>
    <row r="359" spans="1:14" s="40" customFormat="1" x14ac:dyDescent="0.25">
      <c r="A359" s="55">
        <f t="shared" si="76"/>
        <v>12</v>
      </c>
      <c r="B359" s="55" t="s">
        <v>193</v>
      </c>
      <c r="C359" s="55" t="s">
        <v>189</v>
      </c>
      <c r="D359" s="55">
        <f t="shared" si="79"/>
        <v>298.56644999999997</v>
      </c>
      <c r="E359" s="55">
        <v>0</v>
      </c>
      <c r="F359" s="55">
        <f>D359*(($F$129)+1)+(IF(E359&lt;101,E359,IF(E359&lt;201,E359/2,IF(E359&lt;=301,E359/3,E359/4))))</f>
        <v>462.77799749999997</v>
      </c>
      <c r="G359" s="88" t="str">
        <f t="shared" si="78"/>
        <v>39th Floor</v>
      </c>
      <c r="H359" s="88"/>
      <c r="I359" s="39"/>
      <c r="N359" s="39"/>
    </row>
    <row r="360" spans="1:14" s="40" customFormat="1" x14ac:dyDescent="0.25">
      <c r="A360" s="55">
        <f t="shared" si="76"/>
        <v>13</v>
      </c>
      <c r="B360" s="55" t="s">
        <v>193</v>
      </c>
      <c r="C360" s="55" t="s">
        <v>189</v>
      </c>
      <c r="D360" s="55">
        <f t="shared" si="79"/>
        <v>298.56644999999997</v>
      </c>
      <c r="E360" s="55">
        <v>0</v>
      </c>
      <c r="F360" s="55">
        <f>D360*(($F$129)+1)+(IF(E360&lt;101,E360,IF(E360&lt;201,E360/2,IF(E360&lt;=301,E360/3,E360/4))))</f>
        <v>462.77799749999997</v>
      </c>
      <c r="G360" s="88" t="str">
        <f t="shared" si="78"/>
        <v>39th Floor</v>
      </c>
      <c r="H360" s="88"/>
      <c r="I360" s="39"/>
      <c r="N360" s="39"/>
    </row>
    <row r="361" spans="1:14" s="38" customFormat="1" x14ac:dyDescent="0.25">
      <c r="A361" s="195" t="s">
        <v>72</v>
      </c>
      <c r="B361" s="195"/>
      <c r="C361" s="195"/>
      <c r="D361" s="195"/>
      <c r="E361" s="195"/>
      <c r="F361" s="195"/>
      <c r="G361" s="195"/>
      <c r="H361" s="195"/>
    </row>
    <row r="362" spans="1:14" s="38" customFormat="1" x14ac:dyDescent="0.25">
      <c r="A362" s="51" t="s">
        <v>161</v>
      </c>
      <c r="B362" s="121" t="s">
        <v>249</v>
      </c>
      <c r="C362" s="122"/>
      <c r="D362" s="122"/>
      <c r="E362" s="122"/>
      <c r="F362" s="122"/>
      <c r="G362" s="122"/>
      <c r="H362" s="123"/>
    </row>
    <row r="363" spans="1:14" s="38" customFormat="1" x14ac:dyDescent="0.25">
      <c r="A363" s="51" t="s">
        <v>161</v>
      </c>
      <c r="B363" s="121" t="str">
        <f>(IF(F128="Saleable area Loading :","We have considered Saleable area of Flats as per our Calculation.","We considered Saleable area of Flat as per Builder area Sheet."))</f>
        <v>We have considered Saleable area of Flats as per our Calculation.</v>
      </c>
      <c r="C363" s="122"/>
      <c r="D363" s="122"/>
      <c r="E363" s="122"/>
      <c r="F363" s="122"/>
      <c r="G363" s="122"/>
      <c r="H363" s="123"/>
    </row>
    <row r="364" spans="1:14" s="38" customFormat="1" x14ac:dyDescent="0.25">
      <c r="A364" s="51" t="s">
        <v>161</v>
      </c>
      <c r="B364" s="121" t="str">
        <f>(IF(F118="Saleable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364" s="122"/>
      <c r="D364" s="122"/>
      <c r="E364" s="122"/>
      <c r="F364" s="122"/>
      <c r="G364" s="122"/>
      <c r="H364" s="123"/>
    </row>
    <row r="365" spans="1:14" s="38" customFormat="1" x14ac:dyDescent="0.25">
      <c r="A365" s="45" t="s">
        <v>161</v>
      </c>
      <c r="B365" s="97" t="s">
        <v>131</v>
      </c>
      <c r="C365" s="98"/>
      <c r="D365" s="98"/>
      <c r="E365" s="98"/>
      <c r="F365" s="98"/>
      <c r="G365" s="98"/>
      <c r="H365" s="99"/>
    </row>
    <row r="366" spans="1:14" s="38" customFormat="1" x14ac:dyDescent="0.25">
      <c r="A366" s="45" t="s">
        <v>161</v>
      </c>
      <c r="B366" s="97" t="s">
        <v>231</v>
      </c>
      <c r="C366" s="98"/>
      <c r="D366" s="98"/>
      <c r="E366" s="98"/>
      <c r="F366" s="98"/>
      <c r="G366" s="98"/>
      <c r="H366" s="99"/>
    </row>
    <row r="367" spans="1:14" s="38" customFormat="1" x14ac:dyDescent="0.25">
      <c r="A367" s="45" t="s">
        <v>161</v>
      </c>
      <c r="B367" s="97" t="s">
        <v>160</v>
      </c>
      <c r="C367" s="98"/>
      <c r="D367" s="98"/>
      <c r="E367" s="98"/>
      <c r="F367" s="98"/>
      <c r="G367" s="98"/>
      <c r="H367" s="99"/>
    </row>
    <row r="368" spans="1:14" s="38" customFormat="1" x14ac:dyDescent="0.25">
      <c r="A368" s="45" t="s">
        <v>161</v>
      </c>
      <c r="B368" s="97" t="s">
        <v>132</v>
      </c>
      <c r="C368" s="98"/>
      <c r="D368" s="98"/>
      <c r="E368" s="98"/>
      <c r="F368" s="98"/>
      <c r="G368" s="98"/>
      <c r="H368" s="99"/>
    </row>
    <row r="369" spans="1:8" s="38" customFormat="1" ht="34.5" customHeight="1" x14ac:dyDescent="0.25">
      <c r="A369" s="45" t="s">
        <v>161</v>
      </c>
      <c r="B369" s="97" t="s">
        <v>162</v>
      </c>
      <c r="C369" s="98"/>
      <c r="D369" s="98"/>
      <c r="E369" s="98"/>
      <c r="F369" s="98"/>
      <c r="G369" s="98"/>
      <c r="H369" s="99"/>
    </row>
    <row r="370" spans="1:8" s="38" customFormat="1" x14ac:dyDescent="0.25">
      <c r="A370" s="51" t="s">
        <v>161</v>
      </c>
      <c r="B370" s="121" t="s">
        <v>133</v>
      </c>
      <c r="C370" s="122"/>
      <c r="D370" s="122"/>
      <c r="E370" s="122"/>
      <c r="F370" s="122"/>
      <c r="G370" s="122"/>
      <c r="H370" s="123"/>
    </row>
    <row r="371" spans="1:8" s="38" customFormat="1" x14ac:dyDescent="0.25">
      <c r="A371" s="51" t="s">
        <v>161</v>
      </c>
      <c r="B371" s="121" t="s">
        <v>251</v>
      </c>
      <c r="C371" s="122"/>
      <c r="D371" s="122"/>
      <c r="E371" s="122"/>
      <c r="F371" s="122"/>
      <c r="G371" s="122"/>
      <c r="H371" s="123"/>
    </row>
    <row r="372" spans="1:8" s="38" customFormat="1" hidden="1" x14ac:dyDescent="0.25">
      <c r="A372" s="51" t="s">
        <v>161</v>
      </c>
      <c r="B372" s="121" t="s">
        <v>236</v>
      </c>
      <c r="C372" s="122"/>
      <c r="D372" s="122"/>
      <c r="E372" s="122"/>
      <c r="F372" s="122"/>
      <c r="G372" s="122"/>
      <c r="H372" s="123"/>
    </row>
    <row r="373" spans="1:8" x14ac:dyDescent="0.25">
      <c r="A373" s="196" t="s">
        <v>65</v>
      </c>
      <c r="B373" s="196"/>
      <c r="C373" s="196"/>
      <c r="D373" s="196"/>
      <c r="E373" s="196"/>
      <c r="F373" s="196"/>
      <c r="G373" s="196"/>
      <c r="H373" s="196"/>
    </row>
    <row r="374" spans="1:8" x14ac:dyDescent="0.25">
      <c r="A374" s="112" t="s">
        <v>66</v>
      </c>
      <c r="B374" s="112"/>
      <c r="C374" s="112"/>
      <c r="D374" s="112"/>
      <c r="E374" s="112"/>
      <c r="F374" s="112"/>
      <c r="G374" s="112"/>
      <c r="H374" s="112"/>
    </row>
    <row r="375" spans="1:8" ht="15.75" customHeight="1" x14ac:dyDescent="0.25">
      <c r="A375" s="215" t="s">
        <v>67</v>
      </c>
      <c r="B375" s="215"/>
      <c r="C375" s="215"/>
      <c r="D375" s="215"/>
      <c r="E375" s="215"/>
      <c r="F375" s="215"/>
      <c r="G375" s="215"/>
      <c r="H375" s="215"/>
    </row>
    <row r="376" spans="1:8" x14ac:dyDescent="0.25">
      <c r="A376" s="112" t="s">
        <v>68</v>
      </c>
      <c r="B376" s="112"/>
      <c r="C376" s="112"/>
      <c r="D376" s="112"/>
      <c r="E376" s="112"/>
      <c r="F376" s="112"/>
      <c r="G376" s="112"/>
      <c r="H376" s="112"/>
    </row>
    <row r="377" spans="1:8" x14ac:dyDescent="0.25">
      <c r="A377" s="112" t="s">
        <v>69</v>
      </c>
      <c r="B377" s="112"/>
      <c r="C377" s="112"/>
      <c r="D377" s="112"/>
      <c r="E377" s="112"/>
      <c r="F377" s="112"/>
      <c r="G377" s="112"/>
      <c r="H377" s="112"/>
    </row>
    <row r="378" spans="1:8" x14ac:dyDescent="0.25">
      <c r="A378" s="112" t="s">
        <v>134</v>
      </c>
      <c r="B378" s="112"/>
      <c r="C378" s="112"/>
      <c r="D378" s="112"/>
      <c r="E378" s="112"/>
      <c r="F378" s="112"/>
      <c r="G378" s="112"/>
      <c r="H378" s="112"/>
    </row>
    <row r="379" spans="1:8" x14ac:dyDescent="0.25">
      <c r="A379" s="164" t="s">
        <v>135</v>
      </c>
      <c r="B379" s="164"/>
      <c r="C379" s="164"/>
      <c r="D379" s="164"/>
      <c r="E379" s="164"/>
      <c r="F379" s="164"/>
      <c r="G379" s="164"/>
      <c r="H379" s="164"/>
    </row>
    <row r="380" spans="1:8" x14ac:dyDescent="0.25">
      <c r="A380" s="193" t="s">
        <v>82</v>
      </c>
      <c r="B380" s="193"/>
      <c r="C380" s="193" t="s">
        <v>247</v>
      </c>
      <c r="D380" s="193"/>
      <c r="E380" s="193" t="s">
        <v>113</v>
      </c>
      <c r="F380" s="193"/>
      <c r="G380" s="193" t="s">
        <v>250</v>
      </c>
      <c r="H380" s="193"/>
    </row>
    <row r="381" spans="1:8" x14ac:dyDescent="0.25">
      <c r="A381" s="192" t="s">
        <v>84</v>
      </c>
      <c r="B381" s="192"/>
      <c r="C381" s="192"/>
      <c r="D381" s="192"/>
      <c r="E381" s="192"/>
      <c r="F381" s="192"/>
      <c r="G381" s="192"/>
      <c r="H381" s="192"/>
    </row>
    <row r="382" spans="1:8" x14ac:dyDescent="0.25">
      <c r="A382" s="192"/>
      <c r="B382" s="192"/>
      <c r="C382" s="192"/>
      <c r="D382" s="192"/>
      <c r="E382" s="192"/>
      <c r="F382" s="192"/>
      <c r="G382" s="192"/>
      <c r="H382" s="192"/>
    </row>
    <row r="383" spans="1:8" x14ac:dyDescent="0.25">
      <c r="A383" s="192"/>
      <c r="B383" s="192"/>
      <c r="C383" s="192"/>
      <c r="D383" s="192"/>
      <c r="E383" s="192"/>
      <c r="F383" s="192"/>
      <c r="G383" s="192"/>
      <c r="H383" s="192"/>
    </row>
    <row r="384" spans="1:8" x14ac:dyDescent="0.25">
      <c r="A384" s="192"/>
      <c r="B384" s="192"/>
      <c r="C384" s="192"/>
      <c r="D384" s="192"/>
      <c r="E384" s="192"/>
      <c r="F384" s="192"/>
      <c r="G384" s="192"/>
      <c r="H384" s="192"/>
    </row>
    <row r="385" spans="1:8" x14ac:dyDescent="0.25">
      <c r="A385" s="41" t="s">
        <v>70</v>
      </c>
      <c r="B385" s="42"/>
      <c r="C385" s="42"/>
      <c r="D385" s="41" t="str">
        <f>E8</f>
        <v>Infinity Residences</v>
      </c>
      <c r="F385" s="42"/>
      <c r="G385" s="42"/>
      <c r="H385" s="42"/>
    </row>
    <row r="386" spans="1:8" x14ac:dyDescent="0.25">
      <c r="A386" s="42"/>
      <c r="B386" s="42"/>
      <c r="C386" s="42"/>
      <c r="D386" s="42"/>
      <c r="E386" s="42"/>
      <c r="F386" s="42"/>
      <c r="G386" s="42"/>
      <c r="H386" s="42"/>
    </row>
    <row r="387" spans="1:8" x14ac:dyDescent="0.25">
      <c r="A387" s="42"/>
      <c r="B387" s="42"/>
      <c r="C387" s="42"/>
      <c r="D387" s="42"/>
      <c r="E387" s="42"/>
      <c r="F387" s="42"/>
      <c r="G387" s="42"/>
      <c r="H387" s="42"/>
    </row>
    <row r="388" spans="1:8" ht="15" customHeight="1" x14ac:dyDescent="0.25"/>
    <row r="427" spans="1:1" x14ac:dyDescent="0.25">
      <c r="A427" s="44" t="s">
        <v>71</v>
      </c>
    </row>
  </sheetData>
  <mergeCells count="505">
    <mergeCell ref="B370:H370"/>
    <mergeCell ref="E39:H39"/>
    <mergeCell ref="A39:D39"/>
    <mergeCell ref="A378:H378"/>
    <mergeCell ref="A375:H375"/>
    <mergeCell ref="A110:B110"/>
    <mergeCell ref="D128:D129"/>
    <mergeCell ref="E128:E129"/>
    <mergeCell ref="G128:H129"/>
    <mergeCell ref="A86:B86"/>
    <mergeCell ref="A87:B87"/>
    <mergeCell ref="A88:B88"/>
    <mergeCell ref="A78:B78"/>
    <mergeCell ref="C78:H78"/>
    <mergeCell ref="A73:B73"/>
    <mergeCell ref="F93:H93"/>
    <mergeCell ref="G108:H108"/>
    <mergeCell ref="A46:B46"/>
    <mergeCell ref="C46:E46"/>
    <mergeCell ref="A121:H121"/>
    <mergeCell ref="A131:H131"/>
    <mergeCell ref="B371:H371"/>
    <mergeCell ref="B372:H372"/>
    <mergeCell ref="G46:H46"/>
    <mergeCell ref="A55:C56"/>
    <mergeCell ref="D55:H55"/>
    <mergeCell ref="D56:H56"/>
    <mergeCell ref="C47:E47"/>
    <mergeCell ref="A50:B50"/>
    <mergeCell ref="C50:E50"/>
    <mergeCell ref="A47:B47"/>
    <mergeCell ref="A51:H51"/>
    <mergeCell ref="A52:C52"/>
    <mergeCell ref="A53:C53"/>
    <mergeCell ref="D53:H53"/>
    <mergeCell ref="G50:H50"/>
    <mergeCell ref="A117:H117"/>
    <mergeCell ref="G107:H107"/>
    <mergeCell ref="A102:E102"/>
    <mergeCell ref="C108:D108"/>
    <mergeCell ref="E108:F108"/>
    <mergeCell ref="G210:H210"/>
    <mergeCell ref="B118:B119"/>
    <mergeCell ref="A118:A119"/>
    <mergeCell ref="C128:C129"/>
    <mergeCell ref="C110:D110"/>
    <mergeCell ref="G110:H110"/>
    <mergeCell ref="A115:B115"/>
    <mergeCell ref="E115:F115"/>
    <mergeCell ref="C115:D115"/>
    <mergeCell ref="A195:H195"/>
    <mergeCell ref="G199:H199"/>
    <mergeCell ref="G125:H125"/>
    <mergeCell ref="A120:H120"/>
    <mergeCell ref="G127:H127"/>
    <mergeCell ref="C146:F147"/>
    <mergeCell ref="G151:H151"/>
    <mergeCell ref="A138:H138"/>
    <mergeCell ref="G140:H140"/>
    <mergeCell ref="G141:H141"/>
    <mergeCell ref="A381:H384"/>
    <mergeCell ref="A380:B380"/>
    <mergeCell ref="E380:F380"/>
    <mergeCell ref="C380:D380"/>
    <mergeCell ref="G380:H380"/>
    <mergeCell ref="A106:H106"/>
    <mergeCell ref="A104:E104"/>
    <mergeCell ref="F104:H104"/>
    <mergeCell ref="A105:E105"/>
    <mergeCell ref="F105:H105"/>
    <mergeCell ref="A208:H208"/>
    <mergeCell ref="A376:H376"/>
    <mergeCell ref="A109:H109"/>
    <mergeCell ref="A379:H379"/>
    <mergeCell ref="A377:H377"/>
    <mergeCell ref="A361:H361"/>
    <mergeCell ref="C118:C119"/>
    <mergeCell ref="B128:B129"/>
    <mergeCell ref="A235:H235"/>
    <mergeCell ref="A373:H373"/>
    <mergeCell ref="A374:H374"/>
    <mergeCell ref="E110:F110"/>
    <mergeCell ref="E107:F107"/>
    <mergeCell ref="A116:H116"/>
    <mergeCell ref="A67:B67"/>
    <mergeCell ref="A70:B70"/>
    <mergeCell ref="A66:B66"/>
    <mergeCell ref="A64:B64"/>
    <mergeCell ref="C64:H64"/>
    <mergeCell ref="A72:B72"/>
    <mergeCell ref="A59:C59"/>
    <mergeCell ref="D59:H59"/>
    <mergeCell ref="C66:H66"/>
    <mergeCell ref="A69:B69"/>
    <mergeCell ref="A71:B71"/>
    <mergeCell ref="E67:F67"/>
    <mergeCell ref="A60:C60"/>
    <mergeCell ref="D60:H60"/>
    <mergeCell ref="A63:C63"/>
    <mergeCell ref="D63:H63"/>
    <mergeCell ref="A61:C61"/>
    <mergeCell ref="D61:H61"/>
    <mergeCell ref="A62:C62"/>
    <mergeCell ref="D62:H62"/>
    <mergeCell ref="A68:B68"/>
    <mergeCell ref="G67:H67"/>
    <mergeCell ref="E43:H43"/>
    <mergeCell ref="A41:D41"/>
    <mergeCell ref="A42:D42"/>
    <mergeCell ref="A43:D43"/>
    <mergeCell ref="A44:H44"/>
    <mergeCell ref="D54:H54"/>
    <mergeCell ref="A54:C54"/>
    <mergeCell ref="G47:H47"/>
    <mergeCell ref="A48:B49"/>
    <mergeCell ref="D52:H52"/>
    <mergeCell ref="C48:E48"/>
    <mergeCell ref="G48:H48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19:D20"/>
    <mergeCell ref="E19:H20"/>
    <mergeCell ref="E12:H12"/>
    <mergeCell ref="A13:B13"/>
    <mergeCell ref="C13:H13"/>
    <mergeCell ref="C14:H14"/>
    <mergeCell ref="A21:D21"/>
    <mergeCell ref="E21:H21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57:C57"/>
    <mergeCell ref="A58:C58"/>
    <mergeCell ref="E23:H23"/>
    <mergeCell ref="A25:D25"/>
    <mergeCell ref="E25:H25"/>
    <mergeCell ref="A22:D22"/>
    <mergeCell ref="E22:H22"/>
    <mergeCell ref="A26:D26"/>
    <mergeCell ref="E26:H26"/>
    <mergeCell ref="A23:D23"/>
    <mergeCell ref="A32:B32"/>
    <mergeCell ref="C32:E32"/>
    <mergeCell ref="A27:D27"/>
    <mergeCell ref="E27:H27"/>
    <mergeCell ref="A28:D28"/>
    <mergeCell ref="E28:H28"/>
    <mergeCell ref="A24:D24"/>
    <mergeCell ref="E24:H24"/>
    <mergeCell ref="D57:H57"/>
    <mergeCell ref="D58:H58"/>
    <mergeCell ref="A40:D40"/>
    <mergeCell ref="E40:H40"/>
    <mergeCell ref="E41:H41"/>
    <mergeCell ref="E42:H42"/>
    <mergeCell ref="A38:D38"/>
    <mergeCell ref="E38:H38"/>
    <mergeCell ref="F30:H30"/>
    <mergeCell ref="F31:H31"/>
    <mergeCell ref="C29:E29"/>
    <mergeCell ref="F32:H32"/>
    <mergeCell ref="F33:H33"/>
    <mergeCell ref="A35:B35"/>
    <mergeCell ref="E35:F35"/>
    <mergeCell ref="C35:D35"/>
    <mergeCell ref="G35:H35"/>
    <mergeCell ref="F29:H29"/>
    <mergeCell ref="A30:B30"/>
    <mergeCell ref="A29:B29"/>
    <mergeCell ref="C30:E30"/>
    <mergeCell ref="A31:B31"/>
    <mergeCell ref="C31:E31"/>
    <mergeCell ref="A34:H34"/>
    <mergeCell ref="A33:B33"/>
    <mergeCell ref="A37:H37"/>
    <mergeCell ref="C33:E33"/>
    <mergeCell ref="A36:B36"/>
    <mergeCell ref="C36:H36"/>
    <mergeCell ref="A75:B75"/>
    <mergeCell ref="C111:D111"/>
    <mergeCell ref="E111:F111"/>
    <mergeCell ref="G111:H111"/>
    <mergeCell ref="F99:H99"/>
    <mergeCell ref="A93:E93"/>
    <mergeCell ref="A122:H122"/>
    <mergeCell ref="E118:E119"/>
    <mergeCell ref="G118:H119"/>
    <mergeCell ref="A82:B82"/>
    <mergeCell ref="E82:F91"/>
    <mergeCell ref="A89:B89"/>
    <mergeCell ref="A90:B90"/>
    <mergeCell ref="A91:B91"/>
    <mergeCell ref="E68:F77"/>
    <mergeCell ref="G68:H77"/>
    <mergeCell ref="A76:B76"/>
    <mergeCell ref="A77:B77"/>
    <mergeCell ref="A74:B74"/>
    <mergeCell ref="A107:B107"/>
    <mergeCell ref="F100:H100"/>
    <mergeCell ref="C107:D107"/>
    <mergeCell ref="F103:H103"/>
    <mergeCell ref="F101:H101"/>
    <mergeCell ref="B368:H368"/>
    <mergeCell ref="B364:H364"/>
    <mergeCell ref="B362:H362"/>
    <mergeCell ref="B363:H363"/>
    <mergeCell ref="B365:H365"/>
    <mergeCell ref="B366:H366"/>
    <mergeCell ref="L208:M208"/>
    <mergeCell ref="A128:A129"/>
    <mergeCell ref="G213:H213"/>
    <mergeCell ref="G240:H240"/>
    <mergeCell ref="G239:H239"/>
    <mergeCell ref="L199:M199"/>
    <mergeCell ref="G196:H196"/>
    <mergeCell ref="L196:M196"/>
    <mergeCell ref="G197:H197"/>
    <mergeCell ref="L197:M197"/>
    <mergeCell ref="G198:H198"/>
    <mergeCell ref="L198:M198"/>
    <mergeCell ref="A130:H130"/>
    <mergeCell ref="A132:H132"/>
    <mergeCell ref="G202:H202"/>
    <mergeCell ref="G206:H206"/>
    <mergeCell ref="G214:H214"/>
    <mergeCell ref="L202:M202"/>
    <mergeCell ref="C80:H80"/>
    <mergeCell ref="A81:B81"/>
    <mergeCell ref="E81:F81"/>
    <mergeCell ref="G81:H81"/>
    <mergeCell ref="A98:E98"/>
    <mergeCell ref="F98:H98"/>
    <mergeCell ref="A99:E99"/>
    <mergeCell ref="A101:E101"/>
    <mergeCell ref="F95:H95"/>
    <mergeCell ref="A100:E100"/>
    <mergeCell ref="A95:E95"/>
    <mergeCell ref="A92:E92"/>
    <mergeCell ref="F92:H92"/>
    <mergeCell ref="F97:H97"/>
    <mergeCell ref="F96:H96"/>
    <mergeCell ref="B369:H369"/>
    <mergeCell ref="A45:B45"/>
    <mergeCell ref="C45:H45"/>
    <mergeCell ref="B367:H367"/>
    <mergeCell ref="G82:H91"/>
    <mergeCell ref="A83:B83"/>
    <mergeCell ref="A84:B84"/>
    <mergeCell ref="A85:B85"/>
    <mergeCell ref="F94:H94"/>
    <mergeCell ref="A94:E94"/>
    <mergeCell ref="G237:H237"/>
    <mergeCell ref="G212:H212"/>
    <mergeCell ref="G209:H209"/>
    <mergeCell ref="D118:D119"/>
    <mergeCell ref="A96:E96"/>
    <mergeCell ref="A97:E97"/>
    <mergeCell ref="F102:H102"/>
    <mergeCell ref="G238:H238"/>
    <mergeCell ref="G236:H236"/>
    <mergeCell ref="A103:E103"/>
    <mergeCell ref="G115:H115"/>
    <mergeCell ref="C112:D112"/>
    <mergeCell ref="E112:F112"/>
    <mergeCell ref="G112:H112"/>
    <mergeCell ref="L127:M127"/>
    <mergeCell ref="A133:H133"/>
    <mergeCell ref="A194:H194"/>
    <mergeCell ref="G200:H200"/>
    <mergeCell ref="L200:M200"/>
    <mergeCell ref="G201:H201"/>
    <mergeCell ref="L201:M201"/>
    <mergeCell ref="G123:H123"/>
    <mergeCell ref="G124:H124"/>
    <mergeCell ref="G126:H126"/>
    <mergeCell ref="L126:M126"/>
    <mergeCell ref="L125:M125"/>
    <mergeCell ref="L124:M124"/>
    <mergeCell ref="L123:M123"/>
    <mergeCell ref="A134:H134"/>
    <mergeCell ref="L134:M134"/>
    <mergeCell ref="G135:H135"/>
    <mergeCell ref="G136:H136"/>
    <mergeCell ref="G137:H137"/>
    <mergeCell ref="G139:H139"/>
    <mergeCell ref="C135:F135"/>
    <mergeCell ref="C136:F136"/>
    <mergeCell ref="G149:H149"/>
    <mergeCell ref="G150:H150"/>
    <mergeCell ref="L206:M206"/>
    <mergeCell ref="G207:H207"/>
    <mergeCell ref="L207:M207"/>
    <mergeCell ref="C196:F197"/>
    <mergeCell ref="C198:F199"/>
    <mergeCell ref="C200:F201"/>
    <mergeCell ref="C203:F204"/>
    <mergeCell ref="G203:H203"/>
    <mergeCell ref="L203:M203"/>
    <mergeCell ref="G204:H204"/>
    <mergeCell ref="L204:M204"/>
    <mergeCell ref="G205:H205"/>
    <mergeCell ref="L205:M205"/>
    <mergeCell ref="L221:M221"/>
    <mergeCell ref="G222:H222"/>
    <mergeCell ref="G223:H223"/>
    <mergeCell ref="G224:H224"/>
    <mergeCell ref="G225:H225"/>
    <mergeCell ref="G226:H226"/>
    <mergeCell ref="G227:H227"/>
    <mergeCell ref="G228:H228"/>
    <mergeCell ref="G218:H218"/>
    <mergeCell ref="G219:H219"/>
    <mergeCell ref="G220:H220"/>
    <mergeCell ref="A221:H221"/>
    <mergeCell ref="G229:H229"/>
    <mergeCell ref="G230:H230"/>
    <mergeCell ref="G231:H231"/>
    <mergeCell ref="G215:H215"/>
    <mergeCell ref="G216:H216"/>
    <mergeCell ref="G217:H217"/>
    <mergeCell ref="G211:H211"/>
    <mergeCell ref="G232:H232"/>
    <mergeCell ref="G153:H158"/>
    <mergeCell ref="G167:H172"/>
    <mergeCell ref="G178:H178"/>
    <mergeCell ref="G163:H163"/>
    <mergeCell ref="G164:H164"/>
    <mergeCell ref="G165:H165"/>
    <mergeCell ref="G179:H179"/>
    <mergeCell ref="A249:H249"/>
    <mergeCell ref="G241:H241"/>
    <mergeCell ref="G242:H242"/>
    <mergeCell ref="G243:H243"/>
    <mergeCell ref="G244:H244"/>
    <mergeCell ref="G245:H245"/>
    <mergeCell ref="G246:H246"/>
    <mergeCell ref="G247:H247"/>
    <mergeCell ref="C240:F242"/>
    <mergeCell ref="G248:H248"/>
    <mergeCell ref="L249:M249"/>
    <mergeCell ref="A263:H263"/>
    <mergeCell ref="G272:H272"/>
    <mergeCell ref="G273:H273"/>
    <mergeCell ref="G294:H294"/>
    <mergeCell ref="G295:H295"/>
    <mergeCell ref="G296:H296"/>
    <mergeCell ref="G297:H297"/>
    <mergeCell ref="G298:H298"/>
    <mergeCell ref="L291:M291"/>
    <mergeCell ref="G292:H292"/>
    <mergeCell ref="G293:H293"/>
    <mergeCell ref="L277:M277"/>
    <mergeCell ref="G275:H275"/>
    <mergeCell ref="G276:H276"/>
    <mergeCell ref="L263:M263"/>
    <mergeCell ref="G264:H264"/>
    <mergeCell ref="G265:H265"/>
    <mergeCell ref="G266:H266"/>
    <mergeCell ref="G267:H267"/>
    <mergeCell ref="G268:H268"/>
    <mergeCell ref="G269:H269"/>
    <mergeCell ref="G270:H270"/>
    <mergeCell ref="G271:H271"/>
    <mergeCell ref="L319:M319"/>
    <mergeCell ref="G320:H320"/>
    <mergeCell ref="G321:H321"/>
    <mergeCell ref="G322:H322"/>
    <mergeCell ref="G323:H323"/>
    <mergeCell ref="G324:H324"/>
    <mergeCell ref="G325:H325"/>
    <mergeCell ref="G326:H326"/>
    <mergeCell ref="L305:M305"/>
    <mergeCell ref="L333:M333"/>
    <mergeCell ref="G334:H334"/>
    <mergeCell ref="G335:H335"/>
    <mergeCell ref="G336:H336"/>
    <mergeCell ref="G337:H337"/>
    <mergeCell ref="G338:H338"/>
    <mergeCell ref="G339:H339"/>
    <mergeCell ref="G340:H340"/>
    <mergeCell ref="G327:H327"/>
    <mergeCell ref="G328:H328"/>
    <mergeCell ref="G329:H329"/>
    <mergeCell ref="G330:H330"/>
    <mergeCell ref="G331:H331"/>
    <mergeCell ref="G332:H332"/>
    <mergeCell ref="L347:M347"/>
    <mergeCell ref="G348:H348"/>
    <mergeCell ref="G349:H349"/>
    <mergeCell ref="G350:H350"/>
    <mergeCell ref="G351:H351"/>
    <mergeCell ref="G352:H352"/>
    <mergeCell ref="G353:H353"/>
    <mergeCell ref="G354:H354"/>
    <mergeCell ref="G341:H341"/>
    <mergeCell ref="G342:H342"/>
    <mergeCell ref="G343:H343"/>
    <mergeCell ref="G344:H344"/>
    <mergeCell ref="G345:H345"/>
    <mergeCell ref="G346:H346"/>
    <mergeCell ref="G360:H360"/>
    <mergeCell ref="C352:F356"/>
    <mergeCell ref="C113:D113"/>
    <mergeCell ref="E113:F113"/>
    <mergeCell ref="G113:H113"/>
    <mergeCell ref="C114:D114"/>
    <mergeCell ref="E114:F114"/>
    <mergeCell ref="G114:H114"/>
    <mergeCell ref="A347:H347"/>
    <mergeCell ref="C338:F339"/>
    <mergeCell ref="A187:H187"/>
    <mergeCell ref="G188:H188"/>
    <mergeCell ref="G189:H189"/>
    <mergeCell ref="G190:H190"/>
    <mergeCell ref="G191:H191"/>
    <mergeCell ref="G192:H192"/>
    <mergeCell ref="G193:H193"/>
    <mergeCell ref="A333:H333"/>
    <mergeCell ref="C324:F326"/>
    <mergeCell ref="A180:H180"/>
    <mergeCell ref="G181:H181"/>
    <mergeCell ref="G182:H182"/>
    <mergeCell ref="G183:H183"/>
    <mergeCell ref="G184:H184"/>
    <mergeCell ref="G355:H355"/>
    <mergeCell ref="G356:H356"/>
    <mergeCell ref="G357:H357"/>
    <mergeCell ref="G358:H358"/>
    <mergeCell ref="G359:H359"/>
    <mergeCell ref="G185:H185"/>
    <mergeCell ref="G186:H186"/>
    <mergeCell ref="C181:F181"/>
    <mergeCell ref="A319:H319"/>
    <mergeCell ref="A305:H305"/>
    <mergeCell ref="G299:H299"/>
    <mergeCell ref="G300:H300"/>
    <mergeCell ref="G301:H301"/>
    <mergeCell ref="G302:H302"/>
    <mergeCell ref="G303:H303"/>
    <mergeCell ref="G304:H304"/>
    <mergeCell ref="A291:H291"/>
    <mergeCell ref="G233:H233"/>
    <mergeCell ref="G234:H234"/>
    <mergeCell ref="G250:H262"/>
    <mergeCell ref="G278:H290"/>
    <mergeCell ref="G306:H318"/>
    <mergeCell ref="A277:H277"/>
    <mergeCell ref="G274:H274"/>
    <mergeCell ref="A111:A112"/>
    <mergeCell ref="A113:A114"/>
    <mergeCell ref="C137:F137"/>
    <mergeCell ref="C49:H49"/>
    <mergeCell ref="A173:H173"/>
    <mergeCell ref="G174:H174"/>
    <mergeCell ref="G175:H175"/>
    <mergeCell ref="G176:H176"/>
    <mergeCell ref="G177:H177"/>
    <mergeCell ref="C174:F175"/>
    <mergeCell ref="A166:H166"/>
    <mergeCell ref="A159:H159"/>
    <mergeCell ref="G160:H160"/>
    <mergeCell ref="G161:H161"/>
    <mergeCell ref="G162:H162"/>
    <mergeCell ref="A152:H152"/>
    <mergeCell ref="G142:H142"/>
    <mergeCell ref="G143:H143"/>
    <mergeCell ref="G144:H144"/>
    <mergeCell ref="A145:H145"/>
    <mergeCell ref="G146:H146"/>
    <mergeCell ref="G147:H147"/>
    <mergeCell ref="G148:H148"/>
    <mergeCell ref="A80:B80"/>
  </mergeCells>
  <hyperlinks>
    <hyperlink ref="C36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2" manualBreakCount="2">
    <brk id="384" max="16383" man="1"/>
    <brk id="426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A23" zoomScale="85" zoomScaleNormal="85" workbookViewId="0">
      <selection activeCell="B37" sqref="B37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221" t="s">
        <v>114</v>
      </c>
      <c r="C3" s="221"/>
      <c r="D3" s="221"/>
      <c r="E3" s="221"/>
      <c r="F3" s="221"/>
      <c r="G3" s="221"/>
      <c r="H3" s="221"/>
    </row>
    <row r="4" spans="1:9" x14ac:dyDescent="0.25">
      <c r="A4" s="2"/>
      <c r="B4" s="3" t="s">
        <v>115</v>
      </c>
      <c r="C4" s="3" t="s">
        <v>116</v>
      </c>
      <c r="D4" s="3" t="s">
        <v>73</v>
      </c>
      <c r="E4" s="3" t="s">
        <v>117</v>
      </c>
      <c r="F4" s="3" t="s">
        <v>123</v>
      </c>
      <c r="G4" s="3" t="s">
        <v>124</v>
      </c>
      <c r="H4" s="3" t="s">
        <v>118</v>
      </c>
    </row>
    <row r="5" spans="1:9" ht="15" customHeight="1" x14ac:dyDescent="0.25">
      <c r="A5" s="2"/>
      <c r="B5" s="5" t="s">
        <v>119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119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119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119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119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120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120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121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122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PC-51</cp:lastModifiedBy>
  <cp:lastPrinted>2025-09-13T10:01:27Z</cp:lastPrinted>
  <dcterms:created xsi:type="dcterms:W3CDTF">2019-07-16T09:29:46Z</dcterms:created>
  <dcterms:modified xsi:type="dcterms:W3CDTF">2025-09-17T05:35:59Z</dcterms:modified>
</cp:coreProperties>
</file>