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mc:AlternateContent xmlns:mc="http://schemas.openxmlformats.org/markup-compatibility/2006">
    <mc:Choice Requires="x15">
      <x15ac:absPath xmlns:x15ac="http://schemas.microsoft.com/office/spreadsheetml/2010/11/ac" url="D:\Gaurav\Sep 25\DUMP\"/>
    </mc:Choice>
  </mc:AlternateContent>
  <xr:revisionPtr revIDLastSave="0" documentId="13_ncr:1_{3A5D4241-0FA1-40DA-BEBE-161D72ECFFB7}" xr6:coauthVersionLast="36" xr6:coauthVersionMax="47" xr10:uidLastSave="{00000000-0000-0000-0000-000000000000}"/>
  <bookViews>
    <workbookView xWindow="0" yWindow="0" windowWidth="20490" windowHeight="6825" xr2:uid="{00000000-000D-0000-FFFF-FFFF00000000}"/>
  </bookViews>
  <sheets>
    <sheet name="Report" sheetId="1" r:id="rId1"/>
    <sheet name="Flat detail" sheetId="3" r:id="rId2"/>
    <sheet name="Note" sheetId="4" r:id="rId3"/>
    <sheet name="Rate" sheetId="5" r:id="rId4"/>
  </sheets>
  <definedNames>
    <definedName name="_xlnm.Print_Area" localSheetId="0">Report!$A$1:$H$358</definedName>
  </definedNames>
  <calcPr calcId="191029"/>
</workbook>
</file>

<file path=xl/calcChain.xml><?xml version="1.0" encoding="utf-8"?>
<calcChain xmlns="http://schemas.openxmlformats.org/spreadsheetml/2006/main">
  <c r="G42" i="3" l="1"/>
  <c r="J40" i="3"/>
  <c r="G39" i="3"/>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I34" i="3" s="1"/>
  <c r="H34" i="3" s="1"/>
  <c r="E8" i="3"/>
  <c r="E34" i="3" s="1"/>
  <c r="L7" i="3"/>
  <c r="I7" i="3"/>
  <c r="E7" i="3"/>
  <c r="L6" i="3"/>
  <c r="L34" i="3" s="1"/>
  <c r="K34" i="3" s="1"/>
  <c r="I6" i="3"/>
  <c r="E6" i="3"/>
  <c r="D278" i="1"/>
  <c r="E263" i="1"/>
  <c r="D263" i="1"/>
  <c r="E262" i="1"/>
  <c r="D262" i="1"/>
  <c r="E261" i="1"/>
  <c r="D261" i="1"/>
  <c r="E260" i="1"/>
  <c r="D260" i="1"/>
  <c r="D259" i="1"/>
  <c r="E258" i="1"/>
  <c r="D258" i="1"/>
  <c r="E257" i="1"/>
  <c r="D257" i="1"/>
  <c r="E256" i="1"/>
  <c r="D256" i="1"/>
  <c r="E255" i="1"/>
  <c r="D255" i="1"/>
  <c r="E254" i="1"/>
  <c r="D254" i="1"/>
  <c r="D253" i="1"/>
  <c r="D252" i="1"/>
  <c r="D251" i="1"/>
  <c r="E250" i="1"/>
  <c r="D250" i="1"/>
  <c r="G249" i="1"/>
  <c r="E249" i="1"/>
  <c r="F113" i="1" s="1"/>
  <c r="D249" i="1"/>
  <c r="D247" i="1"/>
  <c r="D246" i="1"/>
  <c r="D245" i="1"/>
  <c r="D244" i="1"/>
  <c r="D243" i="1"/>
  <c r="D242" i="1"/>
  <c r="D241" i="1"/>
  <c r="D240" i="1"/>
  <c r="D239" i="1"/>
  <c r="D238" i="1"/>
  <c r="E237" i="1"/>
  <c r="D237" i="1"/>
  <c r="E236" i="1"/>
  <c r="D236" i="1"/>
  <c r="E235" i="1"/>
  <c r="D235" i="1"/>
  <c r="D234" i="1"/>
  <c r="G233" i="1"/>
  <c r="D233" i="1"/>
  <c r="E231" i="1"/>
  <c r="D231" i="1"/>
  <c r="E230" i="1"/>
  <c r="D230" i="1"/>
  <c r="E229" i="1"/>
  <c r="D229" i="1"/>
  <c r="E228" i="1"/>
  <c r="D228" i="1"/>
  <c r="I227" i="1"/>
  <c r="D227" i="1"/>
  <c r="I226" i="1"/>
  <c r="E226" i="1"/>
  <c r="D226" i="1"/>
  <c r="E225" i="1"/>
  <c r="D225" i="1"/>
  <c r="E224" i="1"/>
  <c r="D224" i="1"/>
  <c r="E223" i="1"/>
  <c r="D223" i="1"/>
  <c r="E222" i="1"/>
  <c r="D222" i="1"/>
  <c r="E221" i="1"/>
  <c r="D221" i="1"/>
  <c r="D220" i="1"/>
  <c r="I219" i="1"/>
  <c r="D219" i="1"/>
  <c r="E218" i="1"/>
  <c r="D218" i="1"/>
  <c r="G217" i="1"/>
  <c r="E217" i="1"/>
  <c r="D217" i="1"/>
  <c r="D215" i="1"/>
  <c r="D214" i="1"/>
  <c r="I213" i="1"/>
  <c r="D213" i="1"/>
  <c r="I212" i="1"/>
  <c r="D212" i="1"/>
  <c r="I211" i="1"/>
  <c r="E211" i="1"/>
  <c r="D211" i="1"/>
  <c r="I210" i="1"/>
  <c r="D210" i="1"/>
  <c r="D209" i="1"/>
  <c r="D208" i="1"/>
  <c r="D207" i="1"/>
  <c r="D206" i="1"/>
  <c r="D205" i="1"/>
  <c r="D204" i="1"/>
  <c r="D203" i="1"/>
  <c r="D202" i="1"/>
  <c r="D201" i="1"/>
  <c r="D200" i="1"/>
  <c r="G199" i="1"/>
  <c r="D199" i="1"/>
  <c r="D197" i="1"/>
  <c r="D196" i="1"/>
  <c r="D195" i="1"/>
  <c r="D194" i="1"/>
  <c r="D193" i="1"/>
  <c r="D192" i="1"/>
  <c r="D191" i="1"/>
  <c r="D190" i="1"/>
  <c r="D189" i="1"/>
  <c r="D188" i="1"/>
  <c r="D187" i="1"/>
  <c r="D186" i="1"/>
  <c r="D185" i="1"/>
  <c r="G184" i="1"/>
  <c r="D184" i="1"/>
  <c r="E181" i="1"/>
  <c r="D181" i="1"/>
  <c r="E180" i="1"/>
  <c r="D180" i="1"/>
  <c r="E179" i="1"/>
  <c r="D179" i="1"/>
  <c r="E178" i="1"/>
  <c r="D178" i="1"/>
  <c r="E177" i="1"/>
  <c r="D177" i="1"/>
  <c r="E176" i="1"/>
  <c r="D176" i="1"/>
  <c r="E175" i="1"/>
  <c r="D175" i="1"/>
  <c r="E174" i="1"/>
  <c r="D174" i="1"/>
  <c r="E173" i="1"/>
  <c r="D173" i="1"/>
  <c r="E172" i="1"/>
  <c r="D172" i="1"/>
  <c r="E171" i="1"/>
  <c r="D171" i="1"/>
  <c r="G170" i="1"/>
  <c r="E170" i="1"/>
  <c r="D170" i="1"/>
  <c r="D168" i="1"/>
  <c r="D167" i="1"/>
  <c r="D166" i="1"/>
  <c r="D165" i="1"/>
  <c r="D164" i="1"/>
  <c r="D163" i="1"/>
  <c r="D162" i="1"/>
  <c r="D161" i="1"/>
  <c r="D160" i="1"/>
  <c r="D159" i="1"/>
  <c r="D158" i="1"/>
  <c r="G157" i="1"/>
  <c r="D157" i="1"/>
  <c r="E155" i="1"/>
  <c r="D155" i="1"/>
  <c r="E154" i="1"/>
  <c r="D154" i="1"/>
  <c r="E153" i="1"/>
  <c r="D153" i="1"/>
  <c r="E152" i="1"/>
  <c r="D152" i="1"/>
  <c r="E151" i="1"/>
  <c r="D151" i="1"/>
  <c r="E150" i="1"/>
  <c r="D150" i="1"/>
  <c r="E149" i="1"/>
  <c r="D149" i="1"/>
  <c r="E148" i="1"/>
  <c r="D148" i="1"/>
  <c r="E147" i="1"/>
  <c r="D147" i="1"/>
  <c r="E146" i="1"/>
  <c r="D146" i="1"/>
  <c r="E145" i="1"/>
  <c r="D145" i="1"/>
  <c r="G144" i="1"/>
  <c r="E144" i="1"/>
  <c r="D144" i="1"/>
  <c r="D142" i="1"/>
  <c r="D141" i="1"/>
  <c r="J141" i="1" s="1"/>
  <c r="D140" i="1"/>
  <c r="D139" i="1"/>
  <c r="D138" i="1"/>
  <c r="D137" i="1"/>
  <c r="D112" i="1" s="1"/>
  <c r="D114" i="1" s="1"/>
  <c r="D136" i="1"/>
  <c r="D135" i="1"/>
  <c r="D134" i="1"/>
  <c r="D133" i="1"/>
  <c r="D132" i="1"/>
  <c r="D131" i="1"/>
  <c r="G130" i="1"/>
  <c r="D130" i="1"/>
  <c r="D128" i="1"/>
  <c r="D127" i="1"/>
  <c r="D126" i="1"/>
  <c r="D125" i="1"/>
  <c r="D124" i="1"/>
  <c r="D123" i="1"/>
  <c r="D122" i="1"/>
  <c r="D121" i="1"/>
  <c r="D107" i="1" s="1"/>
  <c r="D109" i="1" s="1"/>
  <c r="G120" i="1"/>
  <c r="D120" i="1"/>
  <c r="D113" i="1"/>
  <c r="C113" i="1"/>
  <c r="F112" i="1"/>
  <c r="F108" i="1"/>
  <c r="D108" i="1"/>
  <c r="C108" i="1"/>
  <c r="F107" i="1"/>
  <c r="F109" i="1" s="1"/>
  <c r="F104" i="1"/>
  <c r="J85" i="1"/>
  <c r="J84" i="1"/>
  <c r="J83" i="1"/>
  <c r="J82" i="1"/>
  <c r="J71" i="1"/>
  <c r="J70" i="1"/>
  <c r="J69" i="1"/>
  <c r="J68" i="1"/>
  <c r="D52" i="1"/>
  <c r="G47" i="1"/>
  <c r="G48" i="1" s="1"/>
  <c r="C47" i="1"/>
  <c r="E41" i="1"/>
  <c r="E42" i="1" s="1"/>
  <c r="C14" i="1"/>
  <c r="E7" i="1"/>
  <c r="E3" i="1"/>
  <c r="H61" i="1"/>
  <c r="H75" i="1"/>
  <c r="D34" i="3" l="1"/>
  <c r="D36" i="3" s="1"/>
  <c r="E36" i="3"/>
  <c r="F114" i="1"/>
  <c r="C107" i="1"/>
  <c r="C109" i="1" s="1"/>
  <c r="C112" i="1"/>
  <c r="C114" i="1" s="1"/>
  <c r="D70" i="1"/>
  <c r="D66" i="1"/>
  <c r="D67" i="1"/>
  <c r="J66" i="1"/>
  <c r="J67" i="1" s="1"/>
  <c r="J72" i="1" s="1"/>
  <c r="J73" i="1" s="1"/>
  <c r="C65" i="1" s="1"/>
  <c r="J65" i="1"/>
  <c r="C64" i="1" s="1"/>
  <c r="D64" i="1" s="1"/>
  <c r="J63" i="1"/>
  <c r="D73" i="1"/>
  <c r="D69" i="1"/>
  <c r="D71" i="1"/>
  <c r="D72" i="1"/>
  <c r="D68" i="1"/>
  <c r="J64" i="1"/>
  <c r="J78" i="1"/>
  <c r="D83" i="1"/>
  <c r="D86" i="1"/>
  <c r="D82" i="1"/>
  <c r="E78" i="1"/>
  <c r="J79" i="1"/>
  <c r="C78" i="1" s="1"/>
  <c r="G78" i="1" s="1"/>
  <c r="D85" i="1"/>
  <c r="D81" i="1"/>
  <c r="D87" i="1"/>
  <c r="J80" i="1"/>
  <c r="J81" i="1" s="1"/>
  <c r="J86" i="1" s="1"/>
  <c r="J87" i="1" s="1"/>
  <c r="D79" i="1"/>
  <c r="D84" i="1"/>
  <c r="D80" i="1"/>
  <c r="J77" i="1"/>
  <c r="D78" i="1" l="1"/>
  <c r="I74" i="1" s="1"/>
  <c r="C76" i="1" s="1"/>
  <c r="E64" i="1"/>
  <c r="I60" i="1" s="1"/>
  <c r="C62" i="1" s="1"/>
  <c r="D65" i="1"/>
  <c r="G64" i="1"/>
</calcChain>
</file>

<file path=xl/sharedStrings.xml><?xml version="1.0" encoding="utf-8"?>
<sst xmlns="http://schemas.openxmlformats.org/spreadsheetml/2006/main" count="458" uniqueCount="235">
  <si>
    <t>Office No. 1031, Wing J, Akshar Business Park, Plot No. 03 Sector 25, Near APMC Market,
Vashi, Navi Mumbai, Maharashtra 400703 TEL: 022-46090378/79/80                                                                                             E mail : vsjcapf@gmail.com. Web site : www.vsjadon.com</t>
  </si>
  <si>
    <t xml:space="preserve">Valuation Report </t>
  </si>
  <si>
    <t>Date:</t>
  </si>
  <si>
    <t>CPC Name:</t>
  </si>
  <si>
    <t>Axis Sanpada</t>
  </si>
  <si>
    <t>Date Of Property Visit</t>
  </si>
  <si>
    <t>Name of the builder group</t>
  </si>
  <si>
    <t>M/s.Gurukrupa Construction CO.</t>
  </si>
  <si>
    <t>Name of the builder company</t>
  </si>
  <si>
    <t>Name of the Project</t>
  </si>
  <si>
    <t>Gurukrupa Heights</t>
  </si>
  <si>
    <t>Contact Details ( Name &amp; Contact No.)</t>
  </si>
  <si>
    <t>Site Meet Person Contact Details ( Name &amp; Contact No.)</t>
  </si>
  <si>
    <t>Mr.Pradip 9594522974</t>
  </si>
  <si>
    <t>Mr. Mohmad Aftab 8448720802</t>
  </si>
  <si>
    <t>Name / No of the Building</t>
  </si>
  <si>
    <t>Wing A &amp; B</t>
  </si>
  <si>
    <t>Docouments Provided</t>
  </si>
  <si>
    <t>Approved Plans, CC, Sale Plans, Builder Saleable Area</t>
  </si>
  <si>
    <t>RERA No.</t>
  </si>
  <si>
    <t>P52000024316</t>
  </si>
  <si>
    <t xml:space="preserve">Project location details       </t>
  </si>
  <si>
    <t>Gut No</t>
  </si>
  <si>
    <t>50/1A</t>
  </si>
  <si>
    <t>Road</t>
  </si>
  <si>
    <t>Savroli - Kharpada Rd</t>
  </si>
  <si>
    <t>Village</t>
  </si>
  <si>
    <t>Karadekhurd</t>
  </si>
  <si>
    <t>City</t>
  </si>
  <si>
    <t>Rasayani</t>
  </si>
  <si>
    <t>District</t>
  </si>
  <si>
    <t>Raigad</t>
  </si>
  <si>
    <t>Taluka</t>
  </si>
  <si>
    <t>Panvel</t>
  </si>
  <si>
    <t>Pin Code</t>
  </si>
  <si>
    <t>Near by Landmark</t>
  </si>
  <si>
    <t>Garmata Devi Temple</t>
  </si>
  <si>
    <t xml:space="preserve">Distance from city centre: </t>
  </si>
  <si>
    <t>4.9Km from Rasayani Railway Station</t>
  </si>
  <si>
    <t>Accessibility to the Project from the City: (Proximity to civic amenities like school, hospital, market, etc.)</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</si>
  <si>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</si>
  <si>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</si>
  <si>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</si>
  <si>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</si>
  <si>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</si>
  <si>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</si>
  <si>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</si>
  <si>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</si>
  <si>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</si>
  <si>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</si>
  <si>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</si>
  <si>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Type of Structure</t>
  </si>
  <si>
    <t>RCC Frame Structure</t>
  </si>
  <si>
    <t xml:space="preserve">Approved usage of the Property:                                                                                                                                             </t>
  </si>
  <si>
    <t>Residential + Commercial</t>
  </si>
  <si>
    <t>Restrictive Covenants in regard to Land Use</t>
  </si>
  <si>
    <t>No</t>
  </si>
  <si>
    <t>Boundries</t>
  </si>
  <si>
    <t>As per deed</t>
  </si>
  <si>
    <t>At site</t>
  </si>
  <si>
    <t>East</t>
  </si>
  <si>
    <t>NA</t>
  </si>
  <si>
    <t>West</t>
  </si>
  <si>
    <t>North</t>
  </si>
  <si>
    <t>South</t>
  </si>
  <si>
    <t>Open Plot</t>
  </si>
  <si>
    <t>Does the boundaries at site match, as mentioned in the Docoumentation: NA</t>
  </si>
  <si>
    <t>Latitude, Longitude</t>
  </si>
  <si>
    <t>18.877385,73.162736</t>
  </si>
  <si>
    <t>Location Link</t>
  </si>
  <si>
    <t>https://goo.gl/maps/CjKD71oUkvJuewBs7</t>
  </si>
  <si>
    <t>Area Statement Details :</t>
  </si>
  <si>
    <t>Total land area of the project in Sq. Mt.</t>
  </si>
  <si>
    <t>Permissible FSI</t>
  </si>
  <si>
    <t>Permissible TDR/Paid FSI</t>
  </si>
  <si>
    <t>Total FSI availaible for the project</t>
  </si>
  <si>
    <t>Total Approved Builtup area of the project (Sq.Mt)</t>
  </si>
  <si>
    <t>Total number of Buildings</t>
  </si>
  <si>
    <t>02 Wings</t>
  </si>
  <si>
    <t xml:space="preserve">Approval Detail : Plan approval </t>
  </si>
  <si>
    <t xml:space="preserve">Layout Approval No     </t>
  </si>
  <si>
    <t>MS/AL.AN.A.1/AS.AR/J.KR.253/2018</t>
  </si>
  <si>
    <t>Dated</t>
  </si>
  <si>
    <t xml:space="preserve">Approved Floor plan No.  </t>
  </si>
  <si>
    <t>Commencement Certificate No.</t>
  </si>
  <si>
    <t>MS/AL.AN.A.1(B)/AS.R/JA.KR.253/2018</t>
  </si>
  <si>
    <t>Valid Up to: Wing A &amp; B - Gr. + 1st to 8th Floor</t>
  </si>
  <si>
    <t xml:space="preserve">O. Certificate No.: </t>
  </si>
  <si>
    <t>NA
Approved upto : NA</t>
  </si>
  <si>
    <t xml:space="preserve">Date of approval: </t>
  </si>
  <si>
    <t>Building wise Construction details</t>
  </si>
  <si>
    <t>Approved area of building (Sq.Mt)</t>
  </si>
  <si>
    <t>Approved no of units</t>
  </si>
  <si>
    <t xml:space="preserve">Flats - 203, Shops - 23, Offices - 16 </t>
  </si>
  <si>
    <t>Approved no of Floors</t>
  </si>
  <si>
    <t>Wing A &amp; B - Gr. + 1st to 8th Floor</t>
  </si>
  <si>
    <t>Proposed no of Floors</t>
  </si>
  <si>
    <t>Expected Completion</t>
  </si>
  <si>
    <t>Projected life of the structure</t>
  </si>
  <si>
    <t>60 Years After Completion</t>
  </si>
  <si>
    <t xml:space="preserve">Quality of construction: </t>
  </si>
  <si>
    <t xml:space="preserve">Material laying at Site: </t>
  </si>
  <si>
    <t>Cement, Aggregate, Steel, etc</t>
  </si>
  <si>
    <t>Construction details:</t>
  </si>
  <si>
    <t>Wing A - Gr. + 1st to 8th Floor</t>
  </si>
  <si>
    <t>Basement</t>
  </si>
  <si>
    <t>Ground</t>
  </si>
  <si>
    <t>Podium</t>
  </si>
  <si>
    <t>Floors</t>
  </si>
  <si>
    <t xml:space="preserve">Stage of construction: </t>
  </si>
  <si>
    <t>All work Completed. OC Received.</t>
  </si>
  <si>
    <t>Type of Work</t>
  </si>
  <si>
    <t>Slab/Floor</t>
  </si>
  <si>
    <t>Complition %</t>
  </si>
  <si>
    <t>Progress %</t>
  </si>
  <si>
    <t>Disbursement %</t>
  </si>
  <si>
    <t>Piling Work in process</t>
  </si>
  <si>
    <t>Excavation</t>
  </si>
  <si>
    <t>Excavation in process</t>
  </si>
  <si>
    <t>Plinth</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</si>
  <si>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</si>
  <si>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</si>
  <si>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</si>
  <si>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</si>
  <si>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</si>
  <si>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</si>
  <si>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</si>
  <si>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</si>
  <si>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</si>
  <si>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</si>
  <si>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</si>
  <si>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</si>
  <si>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</si>
  <si>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</si>
  <si>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</si>
  <si>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</si>
  <si>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</si>
  <si>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</si>
  <si>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</si>
  <si>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Wing B - Gr. + 1st to 8th Floor</t>
  </si>
  <si>
    <t>Wheather the construction is as per approved Building plan : Under Construction</t>
  </si>
  <si>
    <t>Violations Observed if any : NA</t>
  </si>
  <si>
    <r>
      <rPr>
        <b/>
        <sz val="12"/>
        <rFont val="Times New Roman"/>
        <family val="1"/>
      </rP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</si>
  <si>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</si>
  <si>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Rates of the Property :</t>
  </si>
  <si>
    <t>Recommended rate of the flat Per Sq. Ft. ( on Saleable area)</t>
  </si>
  <si>
    <t>Rate has been changed from 3500/- to 3900/- (on 03/02/2022).</t>
  </si>
  <si>
    <t>Recommended rate of the Office Per Sq. Ft. ( on Saleable area)</t>
  </si>
  <si>
    <t>By Abhishek Manjerakar(badlapur)</t>
  </si>
  <si>
    <t>Recommended rate of the shop Per Sq. Ft. ( on Saleable area)</t>
  </si>
  <si>
    <t>Floor Rise Rate Per Sq.ft</t>
  </si>
  <si>
    <t>Development Charges &amp; Society Charges</t>
  </si>
  <si>
    <t>3,00,000/-</t>
  </si>
  <si>
    <t>Club Charges</t>
  </si>
  <si>
    <t>Legal Services Charges</t>
  </si>
  <si>
    <t>Gas Connection Charges</t>
  </si>
  <si>
    <t>Water, Electricity, Drainages, Sewerage Connection</t>
  </si>
  <si>
    <t>Society Formation Charges</t>
  </si>
  <si>
    <t>Advance Maintenance Charges</t>
  </si>
  <si>
    <t xml:space="preserve">Recommended rate of Parking </t>
  </si>
  <si>
    <t>100000/-</t>
  </si>
  <si>
    <t>Distressed valuation of the Property</t>
  </si>
  <si>
    <t>Commercial Area Details :</t>
  </si>
  <si>
    <t>Building &amp; Wing</t>
  </si>
  <si>
    <t>No. of Units</t>
  </si>
  <si>
    <t>Total Carpet Area</t>
  </si>
  <si>
    <t>Total Saleable Area</t>
  </si>
  <si>
    <t xml:space="preserve">A Wing </t>
  </si>
  <si>
    <t xml:space="preserve">B Wing </t>
  </si>
  <si>
    <t>Total</t>
  </si>
  <si>
    <t>Residential Area Details :</t>
  </si>
  <si>
    <t>Building details Floor Wise</t>
  </si>
  <si>
    <t xml:space="preserve">Details of Flats in Building   </t>
  </si>
  <si>
    <t>Flat/Shop No.</t>
  </si>
  <si>
    <t>Description</t>
  </si>
  <si>
    <t>Gross Carpet area</t>
  </si>
  <si>
    <t>Attached Terrace area</t>
  </si>
  <si>
    <t>Saleable area</t>
  </si>
  <si>
    <t>Floor</t>
  </si>
  <si>
    <t>A Wing</t>
  </si>
  <si>
    <t>Ground Floor for Commercial &amp; Parking</t>
  </si>
  <si>
    <t>Shop</t>
  </si>
  <si>
    <t>1st Floor for Commercial &amp; Residential</t>
  </si>
  <si>
    <t>Office</t>
  </si>
  <si>
    <t>1BHK</t>
  </si>
  <si>
    <t>2nd Floor for Residential</t>
  </si>
  <si>
    <t xml:space="preserve">3rd, 5th &amp; 7th Floor </t>
  </si>
  <si>
    <t>4th, 6th &amp; 8th Floor</t>
  </si>
  <si>
    <t>B Wing</t>
  </si>
  <si>
    <t>1RK</t>
  </si>
  <si>
    <t>2BHK</t>
  </si>
  <si>
    <t xml:space="preserve">4th, 6th &amp; 8th Floor </t>
  </si>
  <si>
    <t xml:space="preserve">Remarks:  </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</si>
  <si>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</si>
  <si>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</si>
  <si>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</si>
  <si>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</si>
  <si>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</si>
  <si>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</si>
  <si>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</si>
  <si>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Inspected By :</t>
  </si>
  <si>
    <t>Nitesh Patil</t>
  </si>
  <si>
    <t>Report By :</t>
  </si>
  <si>
    <t>Authorized Signatory
Name &amp; Seal of the agency</t>
  </si>
  <si>
    <t xml:space="preserve">PHOTOGRAPHS OF PROPERTY : 
</t>
  </si>
  <si>
    <t>Google Map :</t>
  </si>
  <si>
    <t xml:space="preserve">Floor No </t>
  </si>
  <si>
    <t>Flat</t>
  </si>
  <si>
    <t>Discription</t>
  </si>
  <si>
    <t>Carpet</t>
  </si>
  <si>
    <t>Fungible</t>
  </si>
  <si>
    <t>Terrace</t>
  </si>
  <si>
    <t>L</t>
  </si>
  <si>
    <t>W</t>
  </si>
  <si>
    <t>A</t>
  </si>
  <si>
    <t>Hall</t>
  </si>
  <si>
    <t>CB</t>
  </si>
  <si>
    <t>FB</t>
  </si>
  <si>
    <t>kitch</t>
  </si>
  <si>
    <t>Bed1</t>
  </si>
  <si>
    <t>Bed2</t>
  </si>
  <si>
    <t>toilet1</t>
  </si>
  <si>
    <t>DB</t>
  </si>
  <si>
    <t>toilet2</t>
  </si>
  <si>
    <t>toilet3</t>
  </si>
  <si>
    <t>passage1</t>
  </si>
  <si>
    <t>passage2</t>
  </si>
  <si>
    <t>passage3</t>
  </si>
  <si>
    <t>passage4</t>
  </si>
  <si>
    <t>28/09/2020.</t>
  </si>
  <si>
    <t>30/09/2020.</t>
  </si>
  <si>
    <t>Asmita</t>
  </si>
  <si>
    <t>As per RERA - 31/12/2026</t>
  </si>
  <si>
    <t>Gaurav Panchal</t>
  </si>
  <si>
    <t>1. A Wing  - Construction work is in process at the time of visit
   B Wing - Construction work is in process at the time of visit.(Slow Speed)
2. We considered  Saleable area  as per Builder area sheet.
3. We considered Carpet area as per Approved Plan.
4. We considered Gross carpet area = Net carpet + Enclose balcony.
5. Recommended rate should be considered as all inclusive rate if other charges are not mentioned. (Excluding GST &amp; other government Taxes)
6. We have considered rate by verifying it from market inquire.
7. Car parking is subjected to authentic documentation.
8. On Site, we meet Mr. Raunak Patel - 9987645520.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</si>
</sst>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17">
    <font>
      <sz val="11"/>
      <color rgb="FF000000"/>
      <name val="Calibri"/>
      <charset val="134"/>
    </font>
    <font>
      <b/>
      <sz val="11"/>
      <color theme="1"/>
      <name val="Calibri"/>
      <family val="2"/>
      <scheme val="minor"/>
    </font>
    <font>
      <sz val="12"/>
      <color rgb="FFFF0000"/>
      <name val="Times New Roman"/>
      <family val="1"/>
    </font>
    <font>
      <sz val="12"/>
      <name val="Times New Roman"/>
      <family val="1"/>
    </font>
    <font>
      <sz val="11"/>
      <color theme="1"/>
      <name val="Times New Roman"/>
      <family val="1"/>
    </font>
    <font>
      <sz val="12"/>
      <color indexed="8"/>
      <name val="Times New Roman"/>
      <family val="1"/>
    </font>
    <font>
      <sz val="12"/>
      <color theme="1"/>
      <name val="Times New Roman"/>
      <family val="1"/>
    </font>
    <font>
      <b/>
      <sz val="11.5"/>
      <color indexed="8"/>
      <name val="Times New Roman"/>
      <family val="1"/>
    </font>
    <font>
      <b/>
      <sz val="12"/>
      <color indexed="8"/>
      <name val="Times New Roman"/>
      <family val="1"/>
    </font>
    <font>
      <b/>
      <sz val="12"/>
      <name val="Times New Roman"/>
      <family val="1"/>
    </font>
    <font>
      <u/>
      <sz val="11"/>
      <color theme="10"/>
      <name val="Calibri"/>
      <family val="2"/>
    </font>
    <font>
      <sz val="11"/>
      <color rgb="FF000000"/>
      <name val="Times New Roman"/>
      <family val="1"/>
    </font>
    <font>
      <b/>
      <sz val="12"/>
      <color theme="1"/>
      <name val="Times New Roman"/>
      <family val="1"/>
    </font>
    <font>
      <b/>
      <sz val="11"/>
      <color indexed="8"/>
      <name val="Times New Roman"/>
      <family val="1"/>
    </font>
    <font>
      <sz val="11"/>
      <name val="Times New Roman"/>
      <family val="1"/>
    </font>
    <font>
      <sz val="11"/>
      <color theme="1"/>
      <name val="Calibri"/>
      <family val="2"/>
      <scheme val="minor"/>
    </font>
    <font>
      <sz val="11"/>
      <color indexed="8"/>
      <name val="Calibr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auto="1"/>
      </right>
      <top style="thin">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thin">
        <color auto="1"/>
      </left>
      <right/>
      <top/>
      <bottom/>
      <diagonal/>
    </border>
    <border>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medium">
        <color auto="1"/>
      </bottom>
      <diagonal/>
    </border>
  </borders>
  <cellStyleXfs count="5">
    <xf numFmtId="0" fontId="0" fillId="0" borderId="0"/>
    <xf numFmtId="0" fontId="10" fillId="0" borderId="0" applyNumberFormat="0" applyFill="0" applyBorder="0" applyAlignment="0" applyProtection="0"/>
    <xf numFmtId="0" fontId="16" fillId="0" borderId="0"/>
    <xf numFmtId="0" fontId="15" fillId="0" borderId="0"/>
    <xf numFmtId="0" fontId="15" fillId="0" borderId="0"/>
  </cellStyleXfs>
  <cellXfs count="136">
    <xf numFmtId="0" fontId="0" fillId="0" borderId="0" xfId="0"/>
    <xf numFmtId="0" fontId="0" fillId="2" borderId="1" xfId="0" applyFill="1" applyBorder="1"/>
    <xf numFmtId="0" fontId="0" fillId="0" borderId="2" xfId="0" applyBorder="1"/>
    <xf numFmtId="0" fontId="1" fillId="0" borderId="1" xfId="0" applyFont="1" applyBorder="1"/>
    <xf numFmtId="0" fontId="1" fillId="0" borderId="1" xfId="0" applyFont="1" applyBorder="1" applyAlignment="1">
      <alignment horizontal="center"/>
    </xf>
    <xf numFmtId="0" fontId="0" fillId="0" borderId="1" xfId="0" applyBorder="1"/>
    <xf numFmtId="0" fontId="2" fillId="0" borderId="0" xfId="4" applyFont="1"/>
    <xf numFmtId="0" fontId="3" fillId="0" borderId="0" xfId="4" applyFont="1"/>
    <xf numFmtId="0" fontId="4" fillId="0" borderId="0" xfId="4" applyFont="1"/>
    <xf numFmtId="0" fontId="5" fillId="0" borderId="0" xfId="2" applyFont="1"/>
    <xf numFmtId="0" fontId="6" fillId="0" borderId="0" xfId="0" applyFont="1" applyAlignment="1">
      <alignment horizontal="center" vertical="center"/>
    </xf>
    <xf numFmtId="0" fontId="6" fillId="0" borderId="0" xfId="4" applyFont="1" applyAlignment="1">
      <alignment horizontal="center" vertical="center"/>
    </xf>
    <xf numFmtId="0" fontId="6" fillId="0" borderId="0" xfId="0" applyFont="1"/>
    <xf numFmtId="0" fontId="6" fillId="0" borderId="0" xfId="4" applyFont="1" applyProtection="1">
      <protection locked="0"/>
    </xf>
    <xf numFmtId="0" fontId="6" fillId="0" borderId="0" xfId="4" applyFont="1"/>
    <xf numFmtId="0" fontId="3" fillId="0" borderId="1" xfId="4" applyFont="1" applyBorder="1" applyAlignment="1" applyProtection="1">
      <alignment horizontal="center" vertical="top"/>
      <protection locked="0"/>
    </xf>
    <xf numFmtId="0" fontId="3" fillId="3" borderId="1" xfId="4" applyFont="1" applyFill="1" applyBorder="1" applyAlignment="1" applyProtection="1">
      <alignment horizontal="left" vertical="top"/>
      <protection locked="0"/>
    </xf>
    <xf numFmtId="0" fontId="3" fillId="3" borderId="1" xfId="4" applyFont="1" applyFill="1" applyBorder="1" applyAlignment="1" applyProtection="1">
      <alignment vertical="top"/>
      <protection locked="0"/>
    </xf>
    <xf numFmtId="0" fontId="9" fillId="3" borderId="1" xfId="4" applyFont="1" applyFill="1" applyBorder="1" applyAlignment="1" applyProtection="1">
      <alignment horizontal="left" vertical="top"/>
      <protection locked="0"/>
    </xf>
    <xf numFmtId="0" fontId="3" fillId="0" borderId="12" xfId="4" applyFont="1" applyBorder="1" applyAlignment="1" applyProtection="1">
      <alignment horizontal="center" vertical="top"/>
      <protection locked="0"/>
    </xf>
    <xf numFmtId="0" fontId="3" fillId="0" borderId="13" xfId="4" applyFont="1" applyBorder="1" applyAlignment="1" applyProtection="1">
      <alignment horizontal="center" vertical="top"/>
      <protection locked="0"/>
    </xf>
    <xf numFmtId="0" fontId="3" fillId="0" borderId="1" xfId="4" applyFont="1" applyBorder="1" applyAlignment="1" applyProtection="1">
      <alignment horizontal="center" vertical="top" wrapText="1"/>
      <protection locked="0"/>
    </xf>
    <xf numFmtId="0" fontId="3" fillId="0" borderId="1" xfId="4" applyFont="1" applyBorder="1" applyAlignment="1" applyProtection="1">
      <alignment horizontal="center" wrapText="1"/>
      <protection locked="0"/>
    </xf>
    <xf numFmtId="9" fontId="3" fillId="3" borderId="1" xfId="4" applyNumberFormat="1" applyFont="1" applyFill="1" applyBorder="1" applyAlignment="1" applyProtection="1">
      <alignment horizontal="center" vertical="center" wrapText="1"/>
      <protection hidden="1"/>
    </xf>
    <xf numFmtId="0" fontId="6" fillId="0" borderId="0" xfId="4" applyFont="1" applyProtection="1">
      <protection hidden="1"/>
    </xf>
    <xf numFmtId="0" fontId="6" fillId="0" borderId="18" xfId="4" applyFont="1" applyBorder="1" applyProtection="1">
      <protection hidden="1"/>
    </xf>
    <xf numFmtId="0" fontId="6" fillId="0" borderId="19" xfId="4" applyFont="1" applyBorder="1" applyProtection="1">
      <protection hidden="1"/>
    </xf>
    <xf numFmtId="0" fontId="6" fillId="0" borderId="20" xfId="4" applyFont="1" applyBorder="1" applyProtection="1">
      <protection hidden="1"/>
    </xf>
    <xf numFmtId="0" fontId="11" fillId="0" borderId="0" xfId="0" applyFont="1" applyProtection="1">
      <protection hidden="1"/>
    </xf>
    <xf numFmtId="0" fontId="6" fillId="0" borderId="20" xfId="4" applyFont="1" applyBorder="1"/>
    <xf numFmtId="0" fontId="11" fillId="0" borderId="20" xfId="0" applyFont="1" applyBorder="1" applyProtection="1">
      <protection hidden="1"/>
    </xf>
    <xf numFmtId="1" fontId="3" fillId="0" borderId="1" xfId="4" applyNumberFormat="1" applyFont="1" applyBorder="1" applyAlignment="1" applyProtection="1">
      <alignment horizontal="center" wrapText="1"/>
      <protection locked="0"/>
    </xf>
    <xf numFmtId="0" fontId="3" fillId="0" borderId="24" xfId="4" applyFont="1" applyBorder="1" applyAlignment="1" applyProtection="1">
      <alignment horizontal="center" wrapText="1"/>
      <protection locked="0"/>
    </xf>
    <xf numFmtId="9" fontId="3" fillId="3" borderId="24" xfId="4" applyNumberFormat="1" applyFont="1" applyFill="1" applyBorder="1" applyAlignment="1" applyProtection="1">
      <alignment horizontal="center" vertical="center" wrapText="1"/>
      <protection hidden="1"/>
    </xf>
    <xf numFmtId="0" fontId="12"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protection locked="0"/>
    </xf>
    <xf numFmtId="1" fontId="12" fillId="0" borderId="1" xfId="0" applyNumberFormat="1" applyFont="1" applyBorder="1" applyAlignment="1" applyProtection="1">
      <alignment horizontal="center" vertical="center"/>
      <protection locked="0"/>
    </xf>
    <xf numFmtId="1" fontId="8" fillId="0" borderId="1" xfId="4" applyNumberFormat="1" applyFont="1" applyBorder="1" applyAlignment="1" applyProtection="1">
      <alignment horizontal="center" vertical="top" wrapText="1"/>
      <protection locked="0"/>
    </xf>
    <xf numFmtId="1" fontId="13" fillId="0" borderId="1" xfId="4" applyNumberFormat="1" applyFont="1" applyBorder="1" applyAlignment="1" applyProtection="1">
      <alignment horizontal="center" vertical="top" wrapText="1"/>
      <protection locked="0"/>
    </xf>
    <xf numFmtId="1" fontId="5" fillId="0" borderId="1" xfId="4" applyNumberFormat="1" applyFont="1" applyBorder="1" applyAlignment="1" applyProtection="1">
      <alignment horizontal="center" vertical="center" wrapText="1"/>
      <protection locked="0"/>
    </xf>
    <xf numFmtId="1" fontId="0" fillId="0" borderId="20" xfId="0" applyNumberFormat="1" applyBorder="1"/>
    <xf numFmtId="1" fontId="0" fillId="0" borderId="20" xfId="0" applyNumberFormat="1" applyBorder="1" applyAlignment="1">
      <alignment horizontal="right"/>
    </xf>
    <xf numFmtId="0" fontId="11" fillId="0" borderId="31" xfId="0" applyFont="1" applyBorder="1" applyProtection="1">
      <protection hidden="1"/>
    </xf>
    <xf numFmtId="1" fontId="0" fillId="0" borderId="27" xfId="0" applyNumberFormat="1" applyBorder="1"/>
    <xf numFmtId="0" fontId="6" fillId="2" borderId="0" xfId="4" applyFont="1" applyFill="1"/>
    <xf numFmtId="1" fontId="5" fillId="0" borderId="0" xfId="4" applyNumberFormat="1" applyFont="1" applyAlignment="1" applyProtection="1">
      <alignment horizontal="center" vertical="center" wrapText="1"/>
      <protection locked="0"/>
    </xf>
    <xf numFmtId="0" fontId="8" fillId="0" borderId="0" xfId="4" applyFont="1" applyAlignment="1" applyProtection="1">
      <alignment vertical="top"/>
      <protection locked="0"/>
    </xf>
    <xf numFmtId="0" fontId="8" fillId="0" borderId="0" xfId="4" applyFont="1" applyAlignment="1" applyProtection="1">
      <alignment vertical="top" wrapText="1"/>
      <protection locked="0"/>
    </xf>
    <xf numFmtId="0" fontId="12" fillId="0" borderId="0" xfId="4" applyFont="1" applyProtection="1">
      <protection locked="0"/>
    </xf>
    <xf numFmtId="0" fontId="9" fillId="0" borderId="1" xfId="4" applyFont="1" applyBorder="1" applyAlignment="1" applyProtection="1">
      <alignment horizontal="center" vertical="top" wrapText="1"/>
      <protection locked="0"/>
    </xf>
    <xf numFmtId="0" fontId="3" fillId="0" borderId="1" xfId="4" applyFont="1" applyBorder="1" applyAlignment="1" applyProtection="1">
      <alignment horizontal="left" vertical="top" wrapText="1"/>
      <protection locked="0"/>
    </xf>
    <xf numFmtId="0" fontId="3" fillId="0" borderId="1" xfId="4" applyFont="1" applyBorder="1" applyAlignment="1" applyProtection="1">
      <alignment horizontal="left" vertical="top"/>
      <protection locked="0"/>
    </xf>
    <xf numFmtId="9" fontId="3" fillId="3" borderId="15" xfId="4" applyNumberFormat="1" applyFont="1" applyFill="1" applyBorder="1" applyAlignment="1" applyProtection="1">
      <alignment horizontal="center" vertical="center" wrapText="1"/>
      <protection hidden="1"/>
    </xf>
    <xf numFmtId="9" fontId="3" fillId="3" borderId="16" xfId="4" applyNumberFormat="1" applyFont="1" applyFill="1" applyBorder="1" applyAlignment="1" applyProtection="1">
      <alignment horizontal="center" vertical="center" wrapText="1"/>
      <protection hidden="1"/>
    </xf>
    <xf numFmtId="9" fontId="3" fillId="3" borderId="21" xfId="4" applyNumberFormat="1" applyFont="1" applyFill="1" applyBorder="1" applyAlignment="1" applyProtection="1">
      <alignment horizontal="center" vertical="center" wrapText="1"/>
      <protection hidden="1"/>
    </xf>
    <xf numFmtId="9" fontId="3" fillId="3" borderId="22" xfId="4" applyNumberFormat="1" applyFont="1" applyFill="1" applyBorder="1" applyAlignment="1" applyProtection="1">
      <alignment horizontal="center" vertical="center" wrapText="1"/>
      <protection hidden="1"/>
    </xf>
    <xf numFmtId="9" fontId="3" fillId="3" borderId="25" xfId="4" applyNumberFormat="1" applyFont="1" applyFill="1" applyBorder="1" applyAlignment="1" applyProtection="1">
      <alignment horizontal="center" vertical="center" wrapText="1"/>
      <protection hidden="1"/>
    </xf>
    <xf numFmtId="9" fontId="3" fillId="3" borderId="26" xfId="4" applyNumberFormat="1" applyFont="1" applyFill="1" applyBorder="1" applyAlignment="1" applyProtection="1">
      <alignment horizontal="center" vertical="center" wrapText="1"/>
      <protection hidden="1"/>
    </xf>
    <xf numFmtId="9" fontId="3" fillId="3" borderId="17" xfId="4" applyNumberFormat="1" applyFont="1" applyFill="1" applyBorder="1" applyAlignment="1" applyProtection="1">
      <alignment horizontal="center" vertical="center" wrapText="1"/>
      <protection hidden="1"/>
    </xf>
    <xf numFmtId="9" fontId="3" fillId="3" borderId="20" xfId="4" applyNumberFormat="1" applyFont="1" applyFill="1" applyBorder="1" applyAlignment="1" applyProtection="1">
      <alignment horizontal="center" vertical="center" wrapText="1"/>
      <protection hidden="1"/>
    </xf>
    <xf numFmtId="9" fontId="3" fillId="3" borderId="27" xfId="4" applyNumberFormat="1" applyFont="1" applyFill="1" applyBorder="1" applyAlignment="1" applyProtection="1">
      <alignment horizontal="center" vertical="center" wrapText="1"/>
      <protection hidden="1"/>
    </xf>
    <xf numFmtId="1" fontId="5" fillId="0" borderId="15" xfId="4" applyNumberFormat="1" applyFont="1" applyBorder="1" applyAlignment="1" applyProtection="1">
      <alignment horizontal="center" vertical="center" wrapText="1"/>
      <protection locked="0"/>
    </xf>
    <xf numFmtId="1" fontId="5" fillId="0" borderId="16" xfId="4" applyNumberFormat="1" applyFont="1" applyBorder="1" applyAlignment="1" applyProtection="1">
      <alignment horizontal="center" vertical="center" wrapText="1"/>
      <protection locked="0"/>
    </xf>
    <xf numFmtId="1" fontId="5" fillId="0" borderId="21" xfId="4" applyNumberFormat="1" applyFont="1" applyBorder="1" applyAlignment="1" applyProtection="1">
      <alignment horizontal="center" vertical="center" wrapText="1"/>
      <protection locked="0"/>
    </xf>
    <xf numFmtId="1" fontId="5" fillId="0" borderId="22" xfId="4" applyNumberFormat="1" applyFont="1" applyBorder="1" applyAlignment="1" applyProtection="1">
      <alignment horizontal="center" vertical="center" wrapText="1"/>
      <protection locked="0"/>
    </xf>
    <xf numFmtId="1" fontId="5" fillId="0" borderId="29" xfId="4" applyNumberFormat="1" applyFont="1" applyBorder="1" applyAlignment="1" applyProtection="1">
      <alignment horizontal="center" vertical="center" wrapText="1"/>
      <protection locked="0"/>
    </xf>
    <xf numFmtId="1" fontId="5" fillId="0" borderId="30" xfId="4" applyNumberFormat="1" applyFont="1" applyBorder="1" applyAlignment="1" applyProtection="1">
      <alignment horizontal="center" vertical="center" wrapText="1"/>
      <protection locked="0"/>
    </xf>
    <xf numFmtId="0" fontId="5" fillId="0" borderId="1" xfId="4" applyFont="1" applyBorder="1" applyAlignment="1" applyProtection="1">
      <alignment horizontal="left" vertical="top"/>
      <protection locked="0"/>
    </xf>
    <xf numFmtId="0" fontId="5" fillId="0" borderId="1" xfId="4" applyFont="1" applyBorder="1" applyAlignment="1" applyProtection="1">
      <alignment vertical="top"/>
      <protection locked="0"/>
    </xf>
    <xf numFmtId="0" fontId="5" fillId="0" borderId="1" xfId="4" applyFont="1" applyBorder="1" applyAlignment="1" applyProtection="1">
      <alignment horizontal="left" vertical="top" wrapText="1"/>
      <protection locked="0"/>
    </xf>
    <xf numFmtId="0" fontId="14" fillId="0" borderId="1" xfId="4" applyFont="1" applyBorder="1" applyAlignment="1" applyProtection="1">
      <alignment horizontal="center" vertical="top" wrapText="1"/>
      <protection locked="0"/>
    </xf>
    <xf numFmtId="1" fontId="5" fillId="0" borderId="1" xfId="4"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0" fontId="9" fillId="0" borderId="1" xfId="2" applyFont="1" applyBorder="1" applyAlignment="1" applyProtection="1">
      <alignment horizontal="left" vertical="top" wrapText="1"/>
      <protection locked="0"/>
    </xf>
    <xf numFmtId="1" fontId="8" fillId="0" borderId="1" xfId="4" applyNumberFormat="1" applyFont="1" applyBorder="1" applyAlignment="1" applyProtection="1">
      <alignment horizontal="center" vertical="center" wrapText="1"/>
      <protection locked="0"/>
    </xf>
    <xf numFmtId="0" fontId="8" fillId="0" borderId="1" xfId="4" applyFont="1" applyBorder="1" applyAlignment="1" applyProtection="1">
      <alignment horizontal="center" vertical="top"/>
      <protection locked="0"/>
    </xf>
    <xf numFmtId="1" fontId="8" fillId="0" borderId="1" xfId="4"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0" fontId="12" fillId="0" borderId="1" xfId="0" applyFont="1" applyBorder="1" applyAlignment="1" applyProtection="1">
      <alignment horizontal="center" vertical="top" wrapText="1"/>
      <protection locked="0"/>
    </xf>
    <xf numFmtId="0" fontId="8" fillId="0" borderId="1" xfId="4" applyFont="1" applyBorder="1" applyAlignment="1" applyProtection="1">
      <alignment horizontal="left" vertical="top"/>
      <protection locked="0"/>
    </xf>
    <xf numFmtId="0" fontId="3" fillId="3" borderId="1" xfId="4" applyFont="1" applyFill="1" applyBorder="1" applyAlignment="1" applyProtection="1">
      <alignment horizontal="left" vertical="top"/>
      <protection locked="0"/>
    </xf>
    <xf numFmtId="0" fontId="3" fillId="3" borderId="1" xfId="4" applyFont="1" applyFill="1" applyBorder="1" applyAlignment="1" applyProtection="1">
      <alignment horizontal="left" vertical="top" wrapText="1"/>
      <protection locked="0"/>
    </xf>
    <xf numFmtId="0" fontId="3" fillId="0" borderId="28" xfId="4" applyFont="1" applyBorder="1" applyAlignment="1" applyProtection="1">
      <alignment horizontal="left" vertical="top"/>
      <protection locked="0"/>
    </xf>
    <xf numFmtId="0" fontId="9" fillId="0" borderId="1" xfId="4" applyFont="1" applyBorder="1" applyAlignment="1" applyProtection="1">
      <alignment horizontal="left" vertical="top"/>
      <protection locked="0"/>
    </xf>
    <xf numFmtId="0" fontId="9" fillId="0" borderId="1" xfId="4" applyFont="1" applyBorder="1" applyAlignment="1" applyProtection="1">
      <alignment horizontal="left" vertical="top" wrapText="1"/>
      <protection locked="0"/>
    </xf>
    <xf numFmtId="0" fontId="3" fillId="0" borderId="12" xfId="4" applyFont="1" applyBorder="1" applyAlignment="1" applyProtection="1">
      <alignment horizontal="center" vertical="top" wrapText="1"/>
      <protection locked="0"/>
    </xf>
    <xf numFmtId="0" fontId="3" fillId="0" borderId="1" xfId="4" applyFont="1" applyBorder="1" applyAlignment="1" applyProtection="1">
      <alignment horizontal="center" vertical="top" wrapText="1"/>
      <protection locked="0"/>
    </xf>
    <xf numFmtId="0" fontId="3" fillId="0" borderId="23" xfId="4" applyFont="1" applyBorder="1" applyAlignment="1" applyProtection="1">
      <alignment horizontal="center" vertical="top" wrapText="1"/>
      <protection locked="0"/>
    </xf>
    <xf numFmtId="0" fontId="3" fillId="0" borderId="24" xfId="4" applyFont="1" applyBorder="1" applyAlignment="1" applyProtection="1">
      <alignment horizontal="center" vertical="top" wrapText="1"/>
      <protection locked="0"/>
    </xf>
    <xf numFmtId="0" fontId="9" fillId="0" borderId="7" xfId="4" applyFont="1" applyBorder="1" applyAlignment="1" applyProtection="1">
      <alignment horizontal="left" vertical="top" wrapText="1"/>
      <protection locked="0"/>
    </xf>
    <xf numFmtId="0" fontId="9" fillId="0" borderId="8" xfId="4" applyFont="1" applyBorder="1" applyAlignment="1" applyProtection="1">
      <alignment horizontal="left" vertical="top" wrapText="1"/>
      <protection locked="0"/>
    </xf>
    <xf numFmtId="0" fontId="9" fillId="0" borderId="9" xfId="4" applyFont="1" applyBorder="1" applyAlignment="1" applyProtection="1">
      <alignment horizontal="left" vertical="top" wrapText="1"/>
      <protection locked="0"/>
    </xf>
    <xf numFmtId="0" fontId="9" fillId="0" borderId="10" xfId="4" applyFont="1" applyBorder="1" applyAlignment="1" applyProtection="1">
      <alignment horizontal="left" vertical="top" wrapText="1"/>
      <protection locked="0"/>
    </xf>
    <xf numFmtId="0" fontId="9" fillId="0" borderId="11" xfId="4" applyFont="1" applyBorder="1" applyAlignment="1" applyProtection="1">
      <alignment horizontal="left" vertical="top" wrapText="1"/>
      <protection locked="0"/>
    </xf>
    <xf numFmtId="0" fontId="9" fillId="0" borderId="12" xfId="4" applyFont="1" applyBorder="1" applyAlignment="1" applyProtection="1">
      <alignment horizontal="left" vertical="top"/>
      <protection locked="0"/>
    </xf>
    <xf numFmtId="0" fontId="9" fillId="0" borderId="3" xfId="4" applyFont="1" applyBorder="1" applyAlignment="1" applyProtection="1">
      <alignment horizontal="left" vertical="top" wrapText="1"/>
      <protection locked="0"/>
    </xf>
    <xf numFmtId="0" fontId="9" fillId="0" borderId="4" xfId="4" applyFont="1" applyBorder="1" applyAlignment="1" applyProtection="1">
      <alignment horizontal="left" vertical="top" wrapText="1"/>
      <protection locked="0"/>
    </xf>
    <xf numFmtId="0" fontId="9" fillId="0" borderId="14" xfId="4" applyFont="1" applyBorder="1" applyAlignment="1" applyProtection="1">
      <alignment horizontal="left" vertical="top" wrapText="1"/>
      <protection locked="0"/>
    </xf>
    <xf numFmtId="0" fontId="3" fillId="0" borderId="3" xfId="4" applyFont="1" applyBorder="1" applyAlignment="1" applyProtection="1">
      <alignment horizontal="center" vertical="top" wrapText="1"/>
      <protection locked="0"/>
    </xf>
    <xf numFmtId="0" fontId="3" fillId="0" borderId="5" xfId="4" applyFont="1" applyBorder="1" applyAlignment="1" applyProtection="1">
      <alignment horizontal="center" vertical="top" wrapText="1"/>
      <protection locked="0"/>
    </xf>
    <xf numFmtId="0" fontId="3" fillId="0" borderId="14" xfId="4" applyFont="1" applyBorder="1" applyAlignment="1" applyProtection="1">
      <alignment horizontal="center" vertical="top" wrapText="1"/>
      <protection locked="0"/>
    </xf>
    <xf numFmtId="0" fontId="3" fillId="0" borderId="6" xfId="4" applyFont="1" applyBorder="1" applyAlignment="1" applyProtection="1">
      <alignment horizontal="left" vertical="top"/>
      <protection locked="0"/>
    </xf>
    <xf numFmtId="0" fontId="3" fillId="0" borderId="6" xfId="4" applyFont="1" applyBorder="1" applyAlignment="1" applyProtection="1">
      <alignment horizontal="left" vertical="top" wrapText="1"/>
      <protection locked="0"/>
    </xf>
    <xf numFmtId="14" fontId="3" fillId="3" borderId="1" xfId="4" applyNumberFormat="1" applyFont="1" applyFill="1" applyBorder="1" applyAlignment="1" applyProtection="1">
      <alignment horizontal="left" vertical="top"/>
      <protection locked="0"/>
    </xf>
    <xf numFmtId="0" fontId="3" fillId="3" borderId="3" xfId="4" applyFont="1" applyFill="1" applyBorder="1" applyAlignment="1" applyProtection="1">
      <alignment horizontal="left" vertical="top" wrapText="1"/>
      <protection locked="0"/>
    </xf>
    <xf numFmtId="0" fontId="3" fillId="3" borderId="4" xfId="4" applyFont="1" applyFill="1" applyBorder="1" applyAlignment="1" applyProtection="1">
      <alignment horizontal="left" vertical="top" wrapText="1"/>
      <protection locked="0"/>
    </xf>
    <xf numFmtId="0" fontId="3" fillId="3" borderId="5" xfId="4" applyFont="1" applyFill="1" applyBorder="1" applyAlignment="1" applyProtection="1">
      <alignment horizontal="left" vertical="top" wrapText="1"/>
      <protection locked="0"/>
    </xf>
    <xf numFmtId="0" fontId="8" fillId="0" borderId="1" xfId="4" applyFont="1" applyBorder="1" applyAlignment="1" applyProtection="1">
      <alignment horizontal="left" vertical="top" wrapText="1"/>
      <protection locked="0"/>
    </xf>
    <xf numFmtId="0" fontId="9" fillId="3" borderId="1" xfId="4" applyFont="1" applyFill="1" applyBorder="1" applyAlignment="1" applyProtection="1">
      <alignment horizontal="left" vertical="top" wrapText="1"/>
      <protection locked="0"/>
    </xf>
    <xf numFmtId="0" fontId="9" fillId="3" borderId="1" xfId="4" applyFont="1" applyFill="1" applyBorder="1" applyAlignment="1" applyProtection="1">
      <alignment horizontal="left" vertical="top"/>
      <protection locked="0"/>
    </xf>
    <xf numFmtId="0" fontId="9" fillId="0" borderId="5" xfId="4" applyFont="1" applyBorder="1" applyAlignment="1" applyProtection="1">
      <alignment horizontal="left" vertical="top" wrapText="1"/>
      <protection locked="0"/>
    </xf>
    <xf numFmtId="0" fontId="8" fillId="0" borderId="1" xfId="4" applyFont="1" applyBorder="1" applyAlignment="1" applyProtection="1">
      <alignment vertical="top"/>
      <protection locked="0"/>
    </xf>
    <xf numFmtId="14" fontId="3" fillId="0" borderId="1" xfId="4" applyNumberFormat="1" applyFont="1" applyBorder="1" applyAlignment="1" applyProtection="1">
      <alignment horizontal="left" vertical="top" wrapText="1"/>
      <protection locked="0"/>
    </xf>
    <xf numFmtId="2" fontId="5" fillId="0" borderId="1" xfId="4" applyNumberFormat="1" applyFont="1" applyBorder="1" applyAlignment="1" applyProtection="1">
      <alignment horizontal="left" vertical="top" wrapText="1"/>
      <protection locked="0"/>
    </xf>
    <xf numFmtId="165" fontId="5" fillId="0" borderId="1" xfId="4" applyNumberFormat="1" applyFont="1" applyBorder="1" applyAlignment="1" applyProtection="1">
      <alignment horizontal="left" vertical="top"/>
      <protection locked="0"/>
    </xf>
    <xf numFmtId="2" fontId="5" fillId="0" borderId="1" xfId="4" applyNumberFormat="1" applyFont="1" applyBorder="1" applyAlignment="1" applyProtection="1">
      <alignment horizontal="left" vertical="top"/>
      <protection locked="0"/>
    </xf>
    <xf numFmtId="0" fontId="3" fillId="0" borderId="1" xfId="4" applyFont="1" applyBorder="1" applyAlignment="1" applyProtection="1">
      <alignment horizontal="center"/>
      <protection locked="0"/>
    </xf>
    <xf numFmtId="0" fontId="3" fillId="0" borderId="1" xfId="4" applyFont="1" applyBorder="1" applyAlignment="1" applyProtection="1">
      <alignment horizontal="center" vertical="top"/>
      <protection locked="0"/>
    </xf>
    <xf numFmtId="0" fontId="6" fillId="0" borderId="3" xfId="4" applyFont="1" applyBorder="1" applyAlignment="1" applyProtection="1">
      <alignment horizontal="left"/>
      <protection locked="0"/>
    </xf>
    <xf numFmtId="0" fontId="6" fillId="0" borderId="4" xfId="4" applyFont="1" applyBorder="1" applyAlignment="1" applyProtection="1">
      <alignment horizontal="left"/>
      <protection locked="0"/>
    </xf>
    <xf numFmtId="0" fontId="6" fillId="0" borderId="5" xfId="4" applyFont="1" applyBorder="1" applyAlignment="1" applyProtection="1">
      <alignment horizontal="left"/>
      <protection locked="0"/>
    </xf>
    <xf numFmtId="0" fontId="10" fillId="0" borderId="3" xfId="1" applyBorder="1" applyAlignment="1" applyProtection="1">
      <alignment horizontal="left"/>
      <protection locked="0"/>
    </xf>
    <xf numFmtId="0" fontId="3" fillId="0" borderId="1" xfId="4" applyFont="1" applyBorder="1" applyAlignment="1" applyProtection="1">
      <alignment horizontal="left" vertical="center" wrapText="1"/>
      <protection locked="0"/>
    </xf>
    <xf numFmtId="0" fontId="9" fillId="0" borderId="1" xfId="4" applyFont="1" applyBorder="1" applyAlignment="1" applyProtection="1">
      <alignment horizontal="center"/>
      <protection locked="0"/>
    </xf>
    <xf numFmtId="0" fontId="9" fillId="0" borderId="1" xfId="4" applyFont="1" applyBorder="1" applyAlignment="1" applyProtection="1">
      <alignment horizontal="center" vertical="top"/>
      <protection locked="0"/>
    </xf>
    <xf numFmtId="0" fontId="3" fillId="0" borderId="1" xfId="4" applyFont="1" applyBorder="1" applyAlignment="1" applyProtection="1">
      <alignment horizontal="left"/>
      <protection locked="0"/>
    </xf>
    <xf numFmtId="0" fontId="7" fillId="0" borderId="1" xfId="4" applyFont="1" applyBorder="1" applyAlignment="1" applyProtection="1">
      <alignment horizontal="center" vertical="top" wrapText="1"/>
      <protection locked="0"/>
    </xf>
    <xf numFmtId="164" fontId="5" fillId="0" borderId="1" xfId="4" applyNumberFormat="1" applyFont="1" applyBorder="1" applyAlignment="1" applyProtection="1">
      <alignment horizontal="left" vertical="top"/>
      <protection locked="0"/>
    </xf>
    <xf numFmtId="14" fontId="3" fillId="0" borderId="1" xfId="4" applyNumberFormat="1" applyFont="1" applyBorder="1" applyAlignment="1" applyProtection="1">
      <alignment horizontal="left" vertical="top"/>
      <protection locked="0"/>
    </xf>
    <xf numFmtId="0" fontId="0" fillId="2" borderId="1" xfId="0" applyFill="1" applyBorder="1" applyAlignment="1">
      <alignment horizontal="center" wrapText="1"/>
    </xf>
    <xf numFmtId="0" fontId="1" fillId="0" borderId="1" xfId="0" applyFont="1" applyBorder="1" applyAlignment="1">
      <alignment horizontal="center"/>
    </xf>
  </cellXfs>
  <cellStyles count="5">
    <cellStyle name="Excel Built-in Normal" xfId="2" xr:uid="{00000000-0005-0000-0000-000000000000}"/>
    <cellStyle name="Hyperlink" xfId="1" builtinId="8"/>
    <cellStyle name="Normal" xfId="0" builtinId="0"/>
    <cellStyle name="Normal 2" xfId="3"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18" Type="http://schemas.openxmlformats.org/officeDocument/2006/relationships/image" Target="../media/image18.jp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2.jpeg"/><Relationship Id="rId16" Type="http://schemas.openxmlformats.org/officeDocument/2006/relationships/image" Target="../media/image16.jpg"/><Relationship Id="rId20" Type="http://schemas.openxmlformats.org/officeDocument/2006/relationships/image" Target="../media/image20.jp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g"/></Relationships>
</file>

<file path=xl/drawings/_rels/drawing2.xml.rels><?xml version="1.0" encoding="UTF-8" standalone="yes"?>
<Relationships xmlns="http://schemas.openxmlformats.org/package/2006/relationships"><Relationship Id="rId8" Type="http://schemas.openxmlformats.org/officeDocument/2006/relationships/image" Target="../media/image34.jpeg"/><Relationship Id="rId3" Type="http://schemas.openxmlformats.org/officeDocument/2006/relationships/image" Target="../media/image29.jpeg"/><Relationship Id="rId7" Type="http://schemas.openxmlformats.org/officeDocument/2006/relationships/image" Target="../media/image33.jpeg"/><Relationship Id="rId2" Type="http://schemas.openxmlformats.org/officeDocument/2006/relationships/image" Target="../media/image28.jpeg"/><Relationship Id="rId1" Type="http://schemas.openxmlformats.org/officeDocument/2006/relationships/image" Target="../media/image27.jpeg"/><Relationship Id="rId6" Type="http://schemas.openxmlformats.org/officeDocument/2006/relationships/image" Target="../media/image32.jpeg"/><Relationship Id="rId5" Type="http://schemas.openxmlformats.org/officeDocument/2006/relationships/image" Target="../media/image31.jpeg"/><Relationship Id="rId10" Type="http://schemas.openxmlformats.org/officeDocument/2006/relationships/image" Target="../media/image36.jpeg"/><Relationship Id="rId4" Type="http://schemas.openxmlformats.org/officeDocument/2006/relationships/image" Target="../media/image30.jpeg"/><Relationship Id="rId9" Type="http://schemas.openxmlformats.org/officeDocument/2006/relationships/image" Target="../media/image35.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1</xdr:col>
      <xdr:colOff>346393</xdr:colOff>
      <xdr:row>322</xdr:row>
      <xdr:rowOff>25102</xdr:rowOff>
    </xdr:from>
    <xdr:to>
      <xdr:col>6</xdr:col>
      <xdr:colOff>483037</xdr:colOff>
      <xdr:row>336</xdr:row>
      <xdr:rowOff>81220</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cstate="email"/>
        <a:srcRect/>
        <a:stretch>
          <a:fillRect/>
        </a:stretch>
      </xdr:blipFill>
      <xdr:spPr>
        <a:xfrm>
          <a:off x="1131253" y="65922862"/>
          <a:ext cx="4251444" cy="2829798"/>
        </a:xfrm>
        <a:prstGeom prst="rect">
          <a:avLst/>
        </a:prstGeom>
        <a:ln>
          <a:solidFill>
            <a:schemeClr val="tx1"/>
          </a:solidFill>
        </a:ln>
      </xdr:spPr>
    </xdr:pic>
    <xdr:clientData/>
  </xdr:twoCellAnchor>
  <xdr:twoCellAnchor editAs="oneCell">
    <xdr:from>
      <xdr:col>1</xdr:col>
      <xdr:colOff>332591</xdr:colOff>
      <xdr:row>337</xdr:row>
      <xdr:rowOff>72922</xdr:rowOff>
    </xdr:from>
    <xdr:to>
      <xdr:col>6</xdr:col>
      <xdr:colOff>471311</xdr:colOff>
      <xdr:row>351</xdr:row>
      <xdr:rowOff>129039</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cstate="email"/>
        <a:srcRect/>
        <a:stretch>
          <a:fillRect/>
        </a:stretch>
      </xdr:blipFill>
      <xdr:spPr>
        <a:xfrm>
          <a:off x="1117451" y="68942482"/>
          <a:ext cx="4253520" cy="2829797"/>
        </a:xfrm>
        <a:prstGeom prst="rect">
          <a:avLst/>
        </a:prstGeom>
        <a:ln>
          <a:solidFill>
            <a:schemeClr val="tx1"/>
          </a:solidFill>
        </a:ln>
      </xdr:spPr>
    </xdr:pic>
    <xdr:clientData/>
  </xdr:twoCellAnchor>
  <xdr:twoCellAnchor>
    <xdr:from>
      <xdr:col>8</xdr:col>
      <xdr:colOff>217918</xdr:colOff>
      <xdr:row>293</xdr:row>
      <xdr:rowOff>145031</xdr:rowOff>
    </xdr:from>
    <xdr:to>
      <xdr:col>8</xdr:col>
      <xdr:colOff>1146377</xdr:colOff>
      <xdr:row>295</xdr:row>
      <xdr:rowOff>114313</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6723380" y="60709810"/>
          <a:ext cx="928370" cy="36957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A Wing </a:t>
          </a:r>
        </a:p>
      </xdr:txBody>
    </xdr:sp>
    <xdr:clientData/>
  </xdr:twoCellAnchor>
  <xdr:twoCellAnchor>
    <xdr:from>
      <xdr:col>13</xdr:col>
      <xdr:colOff>52617</xdr:colOff>
      <xdr:row>293</xdr:row>
      <xdr:rowOff>145031</xdr:rowOff>
    </xdr:from>
    <xdr:to>
      <xdr:col>14</xdr:col>
      <xdr:colOff>361858</xdr:colOff>
      <xdr:row>295</xdr:row>
      <xdr:rowOff>114313</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a:off x="10405745" y="60709810"/>
          <a:ext cx="918845" cy="36957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 Wing </a:t>
          </a:r>
        </a:p>
      </xdr:txBody>
    </xdr:sp>
    <xdr:clientData/>
  </xdr:twoCellAnchor>
  <xdr:twoCellAnchor>
    <xdr:from>
      <xdr:col>11</xdr:col>
      <xdr:colOff>46355</xdr:colOff>
      <xdr:row>301</xdr:row>
      <xdr:rowOff>123190</xdr:rowOff>
    </xdr:from>
    <xdr:to>
      <xdr:col>11</xdr:col>
      <xdr:colOff>314960</xdr:colOff>
      <xdr:row>303</xdr:row>
      <xdr:rowOff>113665</xdr:rowOff>
    </xdr:to>
    <xdr:sp macro="" textlink="">
      <xdr:nvSpPr>
        <xdr:cNvPr id="33" name="Rectangle 31">
          <a:extLst>
            <a:ext uri="{FF2B5EF4-FFF2-40B4-BE49-F238E27FC236}">
              <a16:creationId xmlns:a16="http://schemas.microsoft.com/office/drawing/2014/main" id="{00000000-0008-0000-0000-000021000000}"/>
            </a:ext>
          </a:extLst>
        </xdr:cNvPr>
        <xdr:cNvSpPr/>
      </xdr:nvSpPr>
      <xdr:spPr>
        <a:xfrm>
          <a:off x="9180830" y="62288420"/>
          <a:ext cx="268605" cy="390525"/>
        </a:xfrm>
        <a:prstGeom prst="rect">
          <a:avLst/>
        </a:prstGeom>
      </xdr:spPr>
      <xdr:style>
        <a:lnRef idx="2">
          <a:schemeClr val="dk1"/>
        </a:lnRef>
        <a:fillRef idx="1">
          <a:schemeClr val="lt1"/>
        </a:fillRef>
        <a:effectRef idx="0">
          <a:schemeClr val="dk1"/>
        </a:effectRef>
        <a:fontRef idx="minor">
          <a:schemeClr val="dk1"/>
        </a:fontRef>
      </xdr:style>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ltLang="en-IN" b="0" cap="none" spc="0">
              <a:ln w="0"/>
              <a:solidFill>
                <a:sysClr val="windowText" lastClr="000000"/>
              </a:solidFill>
              <a:effectLst>
                <a:outerShdw blurRad="38100" dist="25400" dir="5400000" algn="ctr" rotWithShape="0">
                  <a:srgbClr val="6E747A">
                    <a:alpha val="43000"/>
                  </a:srgbClr>
                </a:outerShdw>
              </a:effectLst>
            </a:rPr>
            <a:t>A</a:t>
          </a:r>
        </a:p>
      </xdr:txBody>
    </xdr:sp>
    <xdr:clientData/>
  </xdr:twoCellAnchor>
  <xdr:twoCellAnchor>
    <xdr:from>
      <xdr:col>15</xdr:col>
      <xdr:colOff>453390</xdr:colOff>
      <xdr:row>307</xdr:row>
      <xdr:rowOff>166370</xdr:rowOff>
    </xdr:from>
    <xdr:to>
      <xdr:col>18</xdr:col>
      <xdr:colOff>177165</xdr:colOff>
      <xdr:row>318</xdr:row>
      <xdr:rowOff>86995</xdr:rowOff>
    </xdr:to>
    <xdr:pic>
      <xdr:nvPicPr>
        <xdr:cNvPr id="3" name="Picture 55" descr="https://vsjcllp.vsjadon.com/upload/insp-220641-1525.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12340590" y="63099950"/>
          <a:ext cx="1598295" cy="20923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8</xdr:col>
      <xdr:colOff>902970</xdr:colOff>
      <xdr:row>307</xdr:row>
      <xdr:rowOff>167005</xdr:rowOff>
    </xdr:from>
    <xdr:to>
      <xdr:col>12</xdr:col>
      <xdr:colOff>448945</xdr:colOff>
      <xdr:row>318</xdr:row>
      <xdr:rowOff>87630</xdr:rowOff>
    </xdr:to>
    <xdr:pic>
      <xdr:nvPicPr>
        <xdr:cNvPr id="5" name="Picture 59" descr="https://vsjcllp.vsjadon.com/upload/insp-220641-845.jp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7585710" y="63100585"/>
          <a:ext cx="2875915" cy="20923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1294130</xdr:colOff>
      <xdr:row>277</xdr:row>
      <xdr:rowOff>139700</xdr:rowOff>
    </xdr:from>
    <xdr:to>
      <xdr:col>13</xdr:col>
      <xdr:colOff>124460</xdr:colOff>
      <xdr:row>295</xdr:row>
      <xdr:rowOff>144780</xdr:rowOff>
    </xdr:to>
    <xdr:pic>
      <xdr:nvPicPr>
        <xdr:cNvPr id="6" name="Picture 61" descr="https://vsjcllp.vsjadon.com/upload/insp-220641-844.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7976870" y="57137300"/>
          <a:ext cx="2785110" cy="356362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558800</xdr:colOff>
      <xdr:row>307</xdr:row>
      <xdr:rowOff>165100</xdr:rowOff>
    </xdr:from>
    <xdr:to>
      <xdr:col>15</xdr:col>
      <xdr:colOff>309245</xdr:colOff>
      <xdr:row>318</xdr:row>
      <xdr:rowOff>89535</xdr:rowOff>
    </xdr:to>
    <xdr:pic>
      <xdr:nvPicPr>
        <xdr:cNvPr id="7" name="Picture 63" descr="https://vsjcllp.vsjadon.com/upload/insp-220641-847.jpg">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10571480" y="63098680"/>
          <a:ext cx="1624965" cy="209613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220980</xdr:colOff>
      <xdr:row>277</xdr:row>
      <xdr:rowOff>142875</xdr:rowOff>
    </xdr:from>
    <xdr:to>
      <xdr:col>17</xdr:col>
      <xdr:colOff>475615</xdr:colOff>
      <xdr:row>295</xdr:row>
      <xdr:rowOff>145415</xdr:rowOff>
    </xdr:to>
    <xdr:pic>
      <xdr:nvPicPr>
        <xdr:cNvPr id="9" name="Picture 67" descr="https://vsjcllp.vsjadon.com/upload/insp-220641-851.jpg">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10858500" y="57140475"/>
          <a:ext cx="2753995" cy="356108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1022350</xdr:colOff>
      <xdr:row>296</xdr:row>
      <xdr:rowOff>26670</xdr:rowOff>
    </xdr:from>
    <xdr:to>
      <xdr:col>13</xdr:col>
      <xdr:colOff>144780</xdr:colOff>
      <xdr:row>307</xdr:row>
      <xdr:rowOff>71120</xdr:rowOff>
    </xdr:to>
    <xdr:pic>
      <xdr:nvPicPr>
        <xdr:cNvPr id="16" name="Picture 65" descr="https://vsjcllp.vsjadon.com/upload/insp-220641-849.jpg">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7705090" y="60780930"/>
          <a:ext cx="3077210" cy="222377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230505</xdr:colOff>
      <xdr:row>296</xdr:row>
      <xdr:rowOff>24765</xdr:rowOff>
    </xdr:from>
    <xdr:to>
      <xdr:col>18</xdr:col>
      <xdr:colOff>147955</xdr:colOff>
      <xdr:row>307</xdr:row>
      <xdr:rowOff>69215</xdr:rowOff>
    </xdr:to>
    <xdr:pic>
      <xdr:nvPicPr>
        <xdr:cNvPr id="23" name="Picture 69" descr="https://vsjcllp.vsjadon.com/upload/insp-220641-862.jpg">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0868025" y="60779025"/>
          <a:ext cx="3041650" cy="222377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8</xdr:col>
      <xdr:colOff>800100</xdr:colOff>
      <xdr:row>277</xdr:row>
      <xdr:rowOff>91440</xdr:rowOff>
    </xdr:from>
    <xdr:to>
      <xdr:col>17</xdr:col>
      <xdr:colOff>371475</xdr:colOff>
      <xdr:row>317</xdr:row>
      <xdr:rowOff>97155</xdr:rowOff>
    </xdr:to>
    <xdr:grpSp>
      <xdr:nvGrpSpPr>
        <xdr:cNvPr id="4" name="Group 3">
          <a:extLst>
            <a:ext uri="{FF2B5EF4-FFF2-40B4-BE49-F238E27FC236}">
              <a16:creationId xmlns:a16="http://schemas.microsoft.com/office/drawing/2014/main" id="{FDB8E4BC-3C65-C52B-021B-1D705D1CDFDB}"/>
            </a:ext>
          </a:extLst>
        </xdr:cNvPr>
        <xdr:cNvGrpSpPr/>
      </xdr:nvGrpSpPr>
      <xdr:grpSpPr>
        <a:xfrm>
          <a:off x="7305675" y="57698640"/>
          <a:ext cx="5857875" cy="7997190"/>
          <a:chOff x="310234" y="130627"/>
          <a:chExt cx="5959577" cy="8333070"/>
        </a:xfrm>
      </xdr:grpSpPr>
      <xdr:pic>
        <xdr:nvPicPr>
          <xdr:cNvPr id="8" name="Picture 7">
            <a:extLst>
              <a:ext uri="{FF2B5EF4-FFF2-40B4-BE49-F238E27FC236}">
                <a16:creationId xmlns:a16="http://schemas.microsoft.com/office/drawing/2014/main" id="{E183DF53-5714-AFE4-DABE-9AC0B4B8A17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389811" y="130627"/>
            <a:ext cx="2880000" cy="3845341"/>
          </a:xfrm>
          <a:prstGeom prst="rect">
            <a:avLst/>
          </a:prstGeom>
          <a:ln>
            <a:solidFill>
              <a:schemeClr val="tx1"/>
            </a:solidFill>
          </a:ln>
        </xdr:spPr>
      </xdr:pic>
      <xdr:grpSp>
        <xdr:nvGrpSpPr>
          <xdr:cNvPr id="10" name="Group 9">
            <a:extLst>
              <a:ext uri="{FF2B5EF4-FFF2-40B4-BE49-F238E27FC236}">
                <a16:creationId xmlns:a16="http://schemas.microsoft.com/office/drawing/2014/main" id="{B5ECAB6F-3B7A-A3E6-5409-34C8466F4FE6}"/>
              </a:ext>
            </a:extLst>
          </xdr:cNvPr>
          <xdr:cNvGrpSpPr/>
        </xdr:nvGrpSpPr>
        <xdr:grpSpPr>
          <a:xfrm>
            <a:off x="310234" y="4238331"/>
            <a:ext cx="5959577" cy="2163004"/>
            <a:chOff x="310234" y="4238331"/>
            <a:chExt cx="5959577" cy="2163004"/>
          </a:xfrm>
        </xdr:grpSpPr>
        <xdr:pic>
          <xdr:nvPicPr>
            <xdr:cNvPr id="22" name="Picture 21">
              <a:extLst>
                <a:ext uri="{FF2B5EF4-FFF2-40B4-BE49-F238E27FC236}">
                  <a16:creationId xmlns:a16="http://schemas.microsoft.com/office/drawing/2014/main" id="{331C5386-4A2E-6D12-9C36-1AA1C377811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389811" y="4238331"/>
              <a:ext cx="2880000" cy="2163004"/>
            </a:xfrm>
            <a:prstGeom prst="rect">
              <a:avLst/>
            </a:prstGeom>
            <a:ln>
              <a:solidFill>
                <a:schemeClr val="tx1"/>
              </a:solidFill>
            </a:ln>
          </xdr:spPr>
        </xdr:pic>
        <xdr:pic>
          <xdr:nvPicPr>
            <xdr:cNvPr id="24" name="Picture 23">
              <a:extLst>
                <a:ext uri="{FF2B5EF4-FFF2-40B4-BE49-F238E27FC236}">
                  <a16:creationId xmlns:a16="http://schemas.microsoft.com/office/drawing/2014/main" id="{B5288215-1C4F-B635-A2E2-F442B0127AB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10234" y="4238331"/>
              <a:ext cx="2880000" cy="2163004"/>
            </a:xfrm>
            <a:prstGeom prst="rect">
              <a:avLst/>
            </a:prstGeom>
            <a:ln>
              <a:solidFill>
                <a:schemeClr val="tx1"/>
              </a:solidFill>
            </a:ln>
          </xdr:spPr>
        </xdr:pic>
      </xdr:grpSp>
      <xdr:grpSp>
        <xdr:nvGrpSpPr>
          <xdr:cNvPr id="11" name="Group 10">
            <a:extLst>
              <a:ext uri="{FF2B5EF4-FFF2-40B4-BE49-F238E27FC236}">
                <a16:creationId xmlns:a16="http://schemas.microsoft.com/office/drawing/2014/main" id="{E83290AF-81E5-AD87-8991-767215031B9F}"/>
              </a:ext>
            </a:extLst>
          </xdr:cNvPr>
          <xdr:cNvGrpSpPr/>
        </xdr:nvGrpSpPr>
        <xdr:grpSpPr>
          <a:xfrm>
            <a:off x="589496" y="6663697"/>
            <a:ext cx="5501060" cy="1800000"/>
            <a:chOff x="589496" y="6663697"/>
            <a:chExt cx="5501060" cy="1800000"/>
          </a:xfrm>
        </xdr:grpSpPr>
        <xdr:pic>
          <xdr:nvPicPr>
            <xdr:cNvPr id="15" name="Picture 14">
              <a:extLst>
                <a:ext uri="{FF2B5EF4-FFF2-40B4-BE49-F238E27FC236}">
                  <a16:creationId xmlns:a16="http://schemas.microsoft.com/office/drawing/2014/main" id="{AC7346FF-79B2-EE05-1A9D-3B5E21EE491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589496" y="6663697"/>
              <a:ext cx="2396666" cy="1800000"/>
            </a:xfrm>
            <a:prstGeom prst="rect">
              <a:avLst/>
            </a:prstGeom>
            <a:ln>
              <a:solidFill>
                <a:schemeClr val="tx1"/>
              </a:solidFill>
            </a:ln>
          </xdr:spPr>
        </xdr:pic>
        <xdr:pic>
          <xdr:nvPicPr>
            <xdr:cNvPr id="17" name="Picture 16">
              <a:extLst>
                <a:ext uri="{FF2B5EF4-FFF2-40B4-BE49-F238E27FC236}">
                  <a16:creationId xmlns:a16="http://schemas.microsoft.com/office/drawing/2014/main" id="{5E563326-1A7B-39E4-3D1B-10EAF48869F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190234" y="6663697"/>
              <a:ext cx="1348125" cy="1800000"/>
            </a:xfrm>
            <a:prstGeom prst="rect">
              <a:avLst/>
            </a:prstGeom>
            <a:ln>
              <a:solidFill>
                <a:schemeClr val="tx1"/>
              </a:solidFill>
            </a:ln>
          </xdr:spPr>
        </xdr:pic>
        <xdr:pic>
          <xdr:nvPicPr>
            <xdr:cNvPr id="20" name="Picture 19">
              <a:extLst>
                <a:ext uri="{FF2B5EF4-FFF2-40B4-BE49-F238E27FC236}">
                  <a16:creationId xmlns:a16="http://schemas.microsoft.com/office/drawing/2014/main" id="{D717ADBA-17AC-3BA2-F94F-833ACDCA880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742431" y="6663697"/>
              <a:ext cx="1348125" cy="1800000"/>
            </a:xfrm>
            <a:prstGeom prst="rect">
              <a:avLst/>
            </a:prstGeom>
            <a:ln>
              <a:solidFill>
                <a:schemeClr val="tx1"/>
              </a:solidFill>
            </a:ln>
          </xdr:spPr>
        </xdr:pic>
      </xdr:grpSp>
      <xdr:pic>
        <xdr:nvPicPr>
          <xdr:cNvPr id="12" name="Picture 11">
            <a:extLst>
              <a:ext uri="{FF2B5EF4-FFF2-40B4-BE49-F238E27FC236}">
                <a16:creationId xmlns:a16="http://schemas.microsoft.com/office/drawing/2014/main" id="{02BE05B7-CA67-2E3A-666F-919027E5488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310234" y="130628"/>
            <a:ext cx="2880000" cy="3845341"/>
          </a:xfrm>
          <a:prstGeom prst="rect">
            <a:avLst/>
          </a:prstGeom>
          <a:ln>
            <a:solidFill>
              <a:schemeClr val="tx1"/>
            </a:solidFill>
          </a:ln>
        </xdr:spPr>
      </xdr:pic>
      <xdr:sp macro="" textlink="">
        <xdr:nvSpPr>
          <xdr:cNvPr id="13" name="TextBox 22">
            <a:extLst>
              <a:ext uri="{FF2B5EF4-FFF2-40B4-BE49-F238E27FC236}">
                <a16:creationId xmlns:a16="http://schemas.microsoft.com/office/drawing/2014/main" id="{20CF2897-C77A-5713-A1DB-5DCBE7576A48}"/>
              </a:ext>
            </a:extLst>
          </xdr:cNvPr>
          <xdr:cNvSpPr txBox="1"/>
        </xdr:nvSpPr>
        <xdr:spPr>
          <a:xfrm>
            <a:off x="3762828" y="979714"/>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Wing B</a:t>
            </a:r>
          </a:p>
        </xdr:txBody>
      </xdr:sp>
      <xdr:sp macro="" textlink="">
        <xdr:nvSpPr>
          <xdr:cNvPr id="14" name="TextBox 23">
            <a:extLst>
              <a:ext uri="{FF2B5EF4-FFF2-40B4-BE49-F238E27FC236}">
                <a16:creationId xmlns:a16="http://schemas.microsoft.com/office/drawing/2014/main" id="{2187907C-FC2C-3281-D854-118FA1EAF8CF}"/>
              </a:ext>
            </a:extLst>
          </xdr:cNvPr>
          <xdr:cNvSpPr txBox="1"/>
        </xdr:nvSpPr>
        <xdr:spPr>
          <a:xfrm>
            <a:off x="588189" y="495637"/>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Wing A</a:t>
            </a:r>
          </a:p>
        </xdr:txBody>
      </xdr:sp>
    </xdr:grpSp>
    <xdr:clientData/>
  </xdr:twoCellAnchor>
  <xdr:twoCellAnchor>
    <xdr:from>
      <xdr:col>0</xdr:col>
      <xdr:colOff>104775</xdr:colOff>
      <xdr:row>279</xdr:row>
      <xdr:rowOff>0</xdr:rowOff>
    </xdr:from>
    <xdr:to>
      <xdr:col>7</xdr:col>
      <xdr:colOff>883589</xdr:colOff>
      <xdr:row>317</xdr:row>
      <xdr:rowOff>121751</xdr:rowOff>
    </xdr:to>
    <xdr:grpSp>
      <xdr:nvGrpSpPr>
        <xdr:cNvPr id="26" name="Group 25">
          <a:extLst>
            <a:ext uri="{FF2B5EF4-FFF2-40B4-BE49-F238E27FC236}">
              <a16:creationId xmlns:a16="http://schemas.microsoft.com/office/drawing/2014/main" id="{8A116B58-F050-4C69-9860-553BB564F79F}"/>
            </a:ext>
          </a:extLst>
        </xdr:cNvPr>
        <xdr:cNvGrpSpPr/>
      </xdr:nvGrpSpPr>
      <xdr:grpSpPr>
        <a:xfrm>
          <a:off x="104775" y="58007250"/>
          <a:ext cx="6331889" cy="7713176"/>
          <a:chOff x="327034" y="358589"/>
          <a:chExt cx="6331889" cy="7713176"/>
        </a:xfrm>
      </xdr:grpSpPr>
      <xdr:grpSp>
        <xdr:nvGrpSpPr>
          <xdr:cNvPr id="27" name="Group 26">
            <a:extLst>
              <a:ext uri="{FF2B5EF4-FFF2-40B4-BE49-F238E27FC236}">
                <a16:creationId xmlns:a16="http://schemas.microsoft.com/office/drawing/2014/main" id="{23C8F37E-7DA8-4535-993D-7F5DFCA721A0}"/>
              </a:ext>
            </a:extLst>
          </xdr:cNvPr>
          <xdr:cNvGrpSpPr/>
        </xdr:nvGrpSpPr>
        <xdr:grpSpPr>
          <a:xfrm>
            <a:off x="327034" y="358589"/>
            <a:ext cx="6331889" cy="7713176"/>
            <a:chOff x="327034" y="358589"/>
            <a:chExt cx="6331889" cy="7713176"/>
          </a:xfrm>
        </xdr:grpSpPr>
        <xdr:pic>
          <xdr:nvPicPr>
            <xdr:cNvPr id="34" name="Picture 33">
              <a:extLst>
                <a:ext uri="{FF2B5EF4-FFF2-40B4-BE49-F238E27FC236}">
                  <a16:creationId xmlns:a16="http://schemas.microsoft.com/office/drawing/2014/main" id="{96888564-7463-436A-A342-EC009791AD7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918052" y="358589"/>
              <a:ext cx="2426625" cy="3240000"/>
            </a:xfrm>
            <a:prstGeom prst="rect">
              <a:avLst/>
            </a:prstGeom>
            <a:ln>
              <a:solidFill>
                <a:schemeClr val="tx1"/>
              </a:solidFill>
            </a:ln>
          </xdr:spPr>
        </xdr:pic>
        <xdr:pic>
          <xdr:nvPicPr>
            <xdr:cNvPr id="35" name="Picture 34">
              <a:extLst>
                <a:ext uri="{FF2B5EF4-FFF2-40B4-BE49-F238E27FC236}">
                  <a16:creationId xmlns:a16="http://schemas.microsoft.com/office/drawing/2014/main" id="{7C243C25-3A5F-4C78-BB61-C35095467C6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3524250" y="358589"/>
              <a:ext cx="2426625" cy="3240000"/>
            </a:xfrm>
            <a:prstGeom prst="rect">
              <a:avLst/>
            </a:prstGeom>
            <a:ln>
              <a:solidFill>
                <a:schemeClr val="tx1"/>
              </a:solidFill>
            </a:ln>
          </xdr:spPr>
        </xdr:pic>
        <xdr:pic>
          <xdr:nvPicPr>
            <xdr:cNvPr id="36" name="Picture 35">
              <a:extLst>
                <a:ext uri="{FF2B5EF4-FFF2-40B4-BE49-F238E27FC236}">
                  <a16:creationId xmlns:a16="http://schemas.microsoft.com/office/drawing/2014/main" id="{BBE0466C-F781-41FC-BB56-4C9C0084FD6A}"/>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2064503" y="3774702"/>
              <a:ext cx="1617750" cy="2160000"/>
            </a:xfrm>
            <a:prstGeom prst="rect">
              <a:avLst/>
            </a:prstGeom>
            <a:ln>
              <a:solidFill>
                <a:schemeClr val="tx1"/>
              </a:solidFill>
            </a:ln>
          </xdr:spPr>
        </xdr:pic>
        <xdr:pic>
          <xdr:nvPicPr>
            <xdr:cNvPr id="37" name="Picture 36">
              <a:extLst>
                <a:ext uri="{FF2B5EF4-FFF2-40B4-BE49-F238E27FC236}">
                  <a16:creationId xmlns:a16="http://schemas.microsoft.com/office/drawing/2014/main" id="{8F8BAFA9-383C-4937-9C01-3D8141F388E9}"/>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3782923" y="3765177"/>
              <a:ext cx="2876000" cy="2160000"/>
            </a:xfrm>
            <a:prstGeom prst="rect">
              <a:avLst/>
            </a:prstGeom>
            <a:ln>
              <a:solidFill>
                <a:schemeClr val="tx1"/>
              </a:solidFill>
            </a:ln>
          </xdr:spPr>
        </xdr:pic>
        <xdr:pic>
          <xdr:nvPicPr>
            <xdr:cNvPr id="38" name="Picture 37">
              <a:extLst>
                <a:ext uri="{FF2B5EF4-FFF2-40B4-BE49-F238E27FC236}">
                  <a16:creationId xmlns:a16="http://schemas.microsoft.com/office/drawing/2014/main" id="{B22E6F5D-D2D0-46A8-A6ED-E3ABFD7135F9}"/>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327034" y="3765177"/>
              <a:ext cx="1617750" cy="2160000"/>
            </a:xfrm>
            <a:prstGeom prst="rect">
              <a:avLst/>
            </a:prstGeom>
            <a:ln>
              <a:solidFill>
                <a:schemeClr val="tx1"/>
              </a:solidFill>
            </a:ln>
          </xdr:spPr>
        </xdr:pic>
        <xdr:pic>
          <xdr:nvPicPr>
            <xdr:cNvPr id="39" name="Picture 38">
              <a:extLst>
                <a:ext uri="{FF2B5EF4-FFF2-40B4-BE49-F238E27FC236}">
                  <a16:creationId xmlns:a16="http://schemas.microsoft.com/office/drawing/2014/main" id="{589A86FA-3738-4B95-AAB0-DE9B819778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550417" y="6091765"/>
              <a:ext cx="2636333" cy="1980000"/>
            </a:xfrm>
            <a:prstGeom prst="rect">
              <a:avLst/>
            </a:prstGeom>
            <a:ln>
              <a:solidFill>
                <a:schemeClr val="tx1"/>
              </a:solidFill>
            </a:ln>
          </xdr:spPr>
        </xdr:pic>
        <xdr:pic>
          <xdr:nvPicPr>
            <xdr:cNvPr id="40" name="Picture 39">
              <a:extLst>
                <a:ext uri="{FF2B5EF4-FFF2-40B4-BE49-F238E27FC236}">
                  <a16:creationId xmlns:a16="http://schemas.microsoft.com/office/drawing/2014/main" id="{54A1A0B2-944B-4BF0-9CD3-62314C513D0C}"/>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3310781" y="6091765"/>
              <a:ext cx="1482938" cy="1980000"/>
            </a:xfrm>
            <a:prstGeom prst="rect">
              <a:avLst/>
            </a:prstGeom>
            <a:ln>
              <a:solidFill>
                <a:schemeClr val="tx1"/>
              </a:solidFill>
            </a:ln>
          </xdr:spPr>
        </xdr:pic>
        <xdr:pic>
          <xdr:nvPicPr>
            <xdr:cNvPr id="41" name="Picture 40">
              <a:extLst>
                <a:ext uri="{FF2B5EF4-FFF2-40B4-BE49-F238E27FC236}">
                  <a16:creationId xmlns:a16="http://schemas.microsoft.com/office/drawing/2014/main" id="{C343F8B1-5071-4B14-B035-BC47C9FA5683}"/>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4917750" y="6091765"/>
              <a:ext cx="1482938" cy="1980000"/>
            </a:xfrm>
            <a:prstGeom prst="rect">
              <a:avLst/>
            </a:prstGeom>
            <a:ln>
              <a:solidFill>
                <a:schemeClr val="tx1"/>
              </a:solidFill>
            </a:ln>
          </xdr:spPr>
        </xdr:pic>
      </xdr:grpSp>
      <xdr:sp macro="" textlink="">
        <xdr:nvSpPr>
          <xdr:cNvPr id="28" name="TextBox 161">
            <a:extLst>
              <a:ext uri="{FF2B5EF4-FFF2-40B4-BE49-F238E27FC236}">
                <a16:creationId xmlns:a16="http://schemas.microsoft.com/office/drawing/2014/main" id="{AC75108B-7B4E-44B4-97F6-A0AC8DE5C849}"/>
              </a:ext>
            </a:extLst>
          </xdr:cNvPr>
          <xdr:cNvSpPr txBox="1"/>
        </xdr:nvSpPr>
        <xdr:spPr>
          <a:xfrm>
            <a:off x="1059709" y="583168"/>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a:t>
            </a:r>
            <a:endParaRPr lang="en-IN" b="1"/>
          </a:p>
        </xdr:txBody>
      </xdr:sp>
      <xdr:sp macro="" textlink="">
        <xdr:nvSpPr>
          <xdr:cNvPr id="30" name="TextBox 162">
            <a:extLst>
              <a:ext uri="{FF2B5EF4-FFF2-40B4-BE49-F238E27FC236}">
                <a16:creationId xmlns:a16="http://schemas.microsoft.com/office/drawing/2014/main" id="{1C9D6039-DA57-4D71-9D66-AD6B09B4270F}"/>
              </a:ext>
            </a:extLst>
          </xdr:cNvPr>
          <xdr:cNvSpPr txBox="1"/>
        </xdr:nvSpPr>
        <xdr:spPr>
          <a:xfrm>
            <a:off x="1126384" y="3765177"/>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a:t>
            </a:r>
            <a:endParaRPr lang="en-IN" b="1"/>
          </a:p>
        </xdr:txBody>
      </xdr:sp>
      <xdr:sp macro="" textlink="">
        <xdr:nvSpPr>
          <xdr:cNvPr id="31" name="TextBox 163">
            <a:extLst>
              <a:ext uri="{FF2B5EF4-FFF2-40B4-BE49-F238E27FC236}">
                <a16:creationId xmlns:a16="http://schemas.microsoft.com/office/drawing/2014/main" id="{71B68630-4775-42E1-BD70-CDF997EF44A7}"/>
              </a:ext>
            </a:extLst>
          </xdr:cNvPr>
          <xdr:cNvSpPr txBox="1"/>
        </xdr:nvSpPr>
        <xdr:spPr>
          <a:xfrm>
            <a:off x="3918158" y="702903"/>
            <a:ext cx="86594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sp macro="" textlink="">
        <xdr:nvSpPr>
          <xdr:cNvPr id="32" name="TextBox 164">
            <a:extLst>
              <a:ext uri="{FF2B5EF4-FFF2-40B4-BE49-F238E27FC236}">
                <a16:creationId xmlns:a16="http://schemas.microsoft.com/office/drawing/2014/main" id="{9869188D-5F9D-4CF5-9A7F-6821F6607458}"/>
              </a:ext>
            </a:extLst>
          </xdr:cNvPr>
          <xdr:cNvSpPr txBox="1"/>
        </xdr:nvSpPr>
        <xdr:spPr>
          <a:xfrm>
            <a:off x="2677459" y="3765177"/>
            <a:ext cx="86594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161926</xdr:colOff>
      <xdr:row>0</xdr:row>
      <xdr:rowOff>66675</xdr:rowOff>
    </xdr:from>
    <xdr:to>
      <xdr:col>13</xdr:col>
      <xdr:colOff>211271</xdr:colOff>
      <xdr:row>19</xdr:row>
      <xdr:rowOff>47175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362075" y="66675"/>
          <a:ext cx="6649720" cy="3599815"/>
        </a:xfrm>
        <a:prstGeom prst="rect">
          <a:avLst/>
        </a:prstGeom>
      </xdr:spPr>
    </xdr:pic>
    <xdr:clientData/>
  </xdr:twoCellAnchor>
  <xdr:twoCellAnchor editAs="oneCell">
    <xdr:from>
      <xdr:col>1</xdr:col>
      <xdr:colOff>1</xdr:colOff>
      <xdr:row>41</xdr:row>
      <xdr:rowOff>7106</xdr:rowOff>
    </xdr:from>
    <xdr:to>
      <xdr:col>5</xdr:col>
      <xdr:colOff>448018</xdr:colOff>
      <xdr:row>52</xdr:row>
      <xdr:rowOff>71606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600075" y="7817485"/>
          <a:ext cx="2847975" cy="2159635"/>
        </a:xfrm>
        <a:prstGeom prst="rect">
          <a:avLst/>
        </a:prstGeom>
        <a:ln>
          <a:solidFill>
            <a:schemeClr val="tx1"/>
          </a:solidFill>
        </a:ln>
      </xdr:spPr>
    </xdr:pic>
    <xdr:clientData/>
  </xdr:twoCellAnchor>
  <xdr:twoCellAnchor editAs="oneCell">
    <xdr:from>
      <xdr:col>6</xdr:col>
      <xdr:colOff>114301</xdr:colOff>
      <xdr:row>41</xdr:row>
      <xdr:rowOff>7106</xdr:rowOff>
    </xdr:from>
    <xdr:to>
      <xdr:col>10</xdr:col>
      <xdr:colOff>562318</xdr:colOff>
      <xdr:row>52</xdr:row>
      <xdr:rowOff>71606</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3714750" y="7817485"/>
          <a:ext cx="2847975" cy="2159635"/>
        </a:xfrm>
        <a:prstGeom prst="rect">
          <a:avLst/>
        </a:prstGeom>
        <a:ln>
          <a:solidFill>
            <a:schemeClr val="tx1"/>
          </a:solidFill>
        </a:ln>
      </xdr:spPr>
    </xdr:pic>
    <xdr:clientData/>
  </xdr:twoCellAnchor>
  <xdr:twoCellAnchor editAs="oneCell">
    <xdr:from>
      <xdr:col>1</xdr:col>
      <xdr:colOff>0</xdr:colOff>
      <xdr:row>53</xdr:row>
      <xdr:rowOff>12445</xdr:rowOff>
    </xdr:from>
    <xdr:to>
      <xdr:col>5</xdr:col>
      <xdr:colOff>448017</xdr:colOff>
      <xdr:row>64</xdr:row>
      <xdr:rowOff>76945</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600075" y="10108565"/>
          <a:ext cx="2847975" cy="2160270"/>
        </a:xfrm>
        <a:prstGeom prst="rect">
          <a:avLst/>
        </a:prstGeom>
        <a:ln>
          <a:solidFill>
            <a:schemeClr val="tx1"/>
          </a:solidFill>
        </a:ln>
      </xdr:spPr>
    </xdr:pic>
    <xdr:clientData/>
  </xdr:twoCellAnchor>
  <xdr:twoCellAnchor editAs="oneCell">
    <xdr:from>
      <xdr:col>6</xdr:col>
      <xdr:colOff>141920</xdr:colOff>
      <xdr:row>52</xdr:row>
      <xdr:rowOff>147760</xdr:rowOff>
    </xdr:from>
    <xdr:to>
      <xdr:col>10</xdr:col>
      <xdr:colOff>589937</xdr:colOff>
      <xdr:row>64</xdr:row>
      <xdr:rowOff>21760</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5"/>
        <a:stretch>
          <a:fillRect/>
        </a:stretch>
      </xdr:blipFill>
      <xdr:spPr>
        <a:xfrm>
          <a:off x="3742055" y="10053320"/>
          <a:ext cx="2848610" cy="2160270"/>
        </a:xfrm>
        <a:prstGeom prst="rect">
          <a:avLst/>
        </a:prstGeom>
        <a:ln>
          <a:solidFill>
            <a:schemeClr val="tx1"/>
          </a:solidFill>
        </a:ln>
      </xdr:spPr>
    </xdr:pic>
    <xdr:clientData/>
  </xdr:twoCellAnchor>
  <xdr:twoCellAnchor editAs="oneCell">
    <xdr:from>
      <xdr:col>1</xdr:col>
      <xdr:colOff>0</xdr:colOff>
      <xdr:row>64</xdr:row>
      <xdr:rowOff>181372</xdr:rowOff>
    </xdr:from>
    <xdr:to>
      <xdr:col>5</xdr:col>
      <xdr:colOff>448017</xdr:colOff>
      <xdr:row>76</xdr:row>
      <xdr:rowOff>55372</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6"/>
        <a:stretch>
          <a:fillRect/>
        </a:stretch>
      </xdr:blipFill>
      <xdr:spPr>
        <a:xfrm>
          <a:off x="600075" y="12372975"/>
          <a:ext cx="2847975" cy="2160270"/>
        </a:xfrm>
        <a:prstGeom prst="rect">
          <a:avLst/>
        </a:prstGeom>
        <a:ln>
          <a:solidFill>
            <a:schemeClr val="tx1"/>
          </a:solidFill>
        </a:ln>
      </xdr:spPr>
    </xdr:pic>
    <xdr:clientData/>
  </xdr:twoCellAnchor>
  <xdr:twoCellAnchor editAs="oneCell">
    <xdr:from>
      <xdr:col>11</xdr:col>
      <xdr:colOff>214446</xdr:colOff>
      <xdr:row>53</xdr:row>
      <xdr:rowOff>12445</xdr:rowOff>
    </xdr:from>
    <xdr:to>
      <xdr:col>16</xdr:col>
      <xdr:colOff>52863</xdr:colOff>
      <xdr:row>64</xdr:row>
      <xdr:rowOff>76945</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7"/>
        <a:stretch>
          <a:fillRect/>
        </a:stretch>
      </xdr:blipFill>
      <xdr:spPr>
        <a:xfrm>
          <a:off x="6814820" y="10108565"/>
          <a:ext cx="2839085" cy="2160270"/>
        </a:xfrm>
        <a:prstGeom prst="rect">
          <a:avLst/>
        </a:prstGeom>
        <a:ln>
          <a:solidFill>
            <a:schemeClr val="tx1"/>
          </a:solidFill>
        </a:ln>
      </xdr:spPr>
    </xdr:pic>
    <xdr:clientData/>
  </xdr:twoCellAnchor>
  <xdr:twoCellAnchor editAs="oneCell">
    <xdr:from>
      <xdr:col>11</xdr:col>
      <xdr:colOff>228601</xdr:colOff>
      <xdr:row>41</xdr:row>
      <xdr:rowOff>0</xdr:rowOff>
    </xdr:from>
    <xdr:to>
      <xdr:col>16</xdr:col>
      <xdr:colOff>67018</xdr:colOff>
      <xdr:row>52</xdr:row>
      <xdr:rowOff>64500</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8"/>
        <a:stretch>
          <a:fillRect/>
        </a:stretch>
      </xdr:blipFill>
      <xdr:spPr>
        <a:xfrm>
          <a:off x="6829425" y="7810500"/>
          <a:ext cx="2838450" cy="2159635"/>
        </a:xfrm>
        <a:prstGeom prst="rect">
          <a:avLst/>
        </a:prstGeom>
        <a:ln>
          <a:solidFill>
            <a:schemeClr val="tx1"/>
          </a:solidFill>
        </a:ln>
      </xdr:spPr>
    </xdr:pic>
    <xdr:clientData/>
  </xdr:twoCellAnchor>
  <xdr:twoCellAnchor editAs="oneCell">
    <xdr:from>
      <xdr:col>6</xdr:col>
      <xdr:colOff>114300</xdr:colOff>
      <xdr:row>64</xdr:row>
      <xdr:rowOff>181372</xdr:rowOff>
    </xdr:from>
    <xdr:to>
      <xdr:col>10</xdr:col>
      <xdr:colOff>562317</xdr:colOff>
      <xdr:row>76</xdr:row>
      <xdr:rowOff>55372</xdr:rowOff>
    </xdr:to>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9"/>
        <a:stretch>
          <a:fillRect/>
        </a:stretch>
      </xdr:blipFill>
      <xdr:spPr>
        <a:xfrm>
          <a:off x="3714750" y="12372975"/>
          <a:ext cx="2847975" cy="2160270"/>
        </a:xfrm>
        <a:prstGeom prst="rect">
          <a:avLst/>
        </a:prstGeom>
        <a:ln>
          <a:solidFill>
            <a:schemeClr val="tx1"/>
          </a:solidFill>
        </a:ln>
      </xdr:spPr>
    </xdr:pic>
    <xdr:clientData/>
  </xdr:twoCellAnchor>
  <xdr:twoCellAnchor editAs="oneCell">
    <xdr:from>
      <xdr:col>11</xdr:col>
      <xdr:colOff>214445</xdr:colOff>
      <xdr:row>64</xdr:row>
      <xdr:rowOff>181372</xdr:rowOff>
    </xdr:from>
    <xdr:to>
      <xdr:col>16</xdr:col>
      <xdr:colOff>52862</xdr:colOff>
      <xdr:row>76</xdr:row>
      <xdr:rowOff>55372</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0"/>
        <a:stretch>
          <a:fillRect/>
        </a:stretch>
      </xdr:blipFill>
      <xdr:spPr>
        <a:xfrm>
          <a:off x="6814820" y="12372975"/>
          <a:ext cx="2839085" cy="216027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CjKD71oUkvJuewBs7"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21"/>
  <sheetViews>
    <sheetView tabSelected="1" view="pageBreakPreview" topLeftCell="A262" zoomScaleNormal="100" zoomScaleSheetLayoutView="100" zoomScalePageLayoutView="85" workbookViewId="0">
      <selection activeCell="I265" sqref="I265"/>
    </sheetView>
  </sheetViews>
  <sheetFormatPr defaultColWidth="9.140625" defaultRowHeight="15.75"/>
  <cols>
    <col min="1" max="1" width="11.42578125" style="13" customWidth="1"/>
    <col min="2" max="2" width="11.140625" style="13" customWidth="1"/>
    <col min="3" max="3" width="12.7109375" style="13" customWidth="1"/>
    <col min="4" max="4" width="12.85546875" style="13" customWidth="1"/>
    <col min="5" max="7" width="11.7109375" style="13" customWidth="1"/>
    <col min="8" max="8" width="14.28515625" style="13" customWidth="1"/>
    <col min="9" max="9" width="20.42578125" style="14" customWidth="1"/>
    <col min="10" max="10" width="9.85546875" style="14" customWidth="1"/>
    <col min="11" max="252" width="9.140625" style="14"/>
    <col min="253" max="253" width="8.7109375" style="14" customWidth="1"/>
    <col min="254" max="254" width="9.85546875" style="14" customWidth="1"/>
    <col min="255" max="255" width="14.42578125" style="14" customWidth="1"/>
    <col min="256" max="256" width="7.28515625" style="14" customWidth="1"/>
    <col min="257" max="257" width="5.5703125" style="14" customWidth="1"/>
    <col min="258" max="258" width="9" style="14" customWidth="1"/>
    <col min="259" max="260" width="9.85546875" style="14" customWidth="1"/>
    <col min="261" max="261" width="11.140625" style="14" customWidth="1"/>
    <col min="262" max="262" width="2.85546875" style="14" customWidth="1"/>
    <col min="263" max="263" width="3.5703125" style="14" customWidth="1"/>
    <col min="264" max="508" width="9.140625" style="14"/>
    <col min="509" max="509" width="8.7109375" style="14" customWidth="1"/>
    <col min="510" max="510" width="9.85546875" style="14" customWidth="1"/>
    <col min="511" max="511" width="14.42578125" style="14" customWidth="1"/>
    <col min="512" max="512" width="7.28515625" style="14" customWidth="1"/>
    <col min="513" max="513" width="5.5703125" style="14" customWidth="1"/>
    <col min="514" max="514" width="9" style="14" customWidth="1"/>
    <col min="515" max="516" width="9.85546875" style="14" customWidth="1"/>
    <col min="517" max="517" width="11.140625" style="14" customWidth="1"/>
    <col min="518" max="518" width="2.85546875" style="14" customWidth="1"/>
    <col min="519" max="519" width="3.5703125" style="14" customWidth="1"/>
    <col min="520" max="764" width="9.140625" style="14"/>
    <col min="765" max="765" width="8.7109375" style="14" customWidth="1"/>
    <col min="766" max="766" width="9.85546875" style="14" customWidth="1"/>
    <col min="767" max="767" width="14.42578125" style="14" customWidth="1"/>
    <col min="768" max="768" width="7.28515625" style="14" customWidth="1"/>
    <col min="769" max="769" width="5.5703125" style="14" customWidth="1"/>
    <col min="770" max="770" width="9" style="14" customWidth="1"/>
    <col min="771" max="772" width="9.85546875" style="14" customWidth="1"/>
    <col min="773" max="773" width="11.140625" style="14" customWidth="1"/>
    <col min="774" max="774" width="2.85546875" style="14" customWidth="1"/>
    <col min="775" max="775" width="3.5703125" style="14" customWidth="1"/>
    <col min="776" max="1020" width="9.140625" style="14"/>
    <col min="1021" max="1021" width="8.7109375" style="14" customWidth="1"/>
    <col min="1022" max="1022" width="9.85546875" style="14" customWidth="1"/>
    <col min="1023" max="1023" width="14.42578125" style="14" customWidth="1"/>
    <col min="1024" max="1024" width="7.28515625" style="14" customWidth="1"/>
    <col min="1025" max="1025" width="5.5703125" style="14" customWidth="1"/>
    <col min="1026" max="1026" width="9" style="14" customWidth="1"/>
    <col min="1027" max="1028" width="9.85546875" style="14" customWidth="1"/>
    <col min="1029" max="1029" width="11.140625" style="14" customWidth="1"/>
    <col min="1030" max="1030" width="2.85546875" style="14" customWidth="1"/>
    <col min="1031" max="1031" width="3.5703125" style="14" customWidth="1"/>
    <col min="1032" max="1276" width="9.140625" style="14"/>
    <col min="1277" max="1277" width="8.7109375" style="14" customWidth="1"/>
    <col min="1278" max="1278" width="9.85546875" style="14" customWidth="1"/>
    <col min="1279" max="1279" width="14.42578125" style="14" customWidth="1"/>
    <col min="1280" max="1280" width="7.28515625" style="14" customWidth="1"/>
    <col min="1281" max="1281" width="5.5703125" style="14" customWidth="1"/>
    <col min="1282" max="1282" width="9" style="14" customWidth="1"/>
    <col min="1283" max="1284" width="9.85546875" style="14" customWidth="1"/>
    <col min="1285" max="1285" width="11.140625" style="14" customWidth="1"/>
    <col min="1286" max="1286" width="2.85546875" style="14" customWidth="1"/>
    <col min="1287" max="1287" width="3.5703125" style="14" customWidth="1"/>
    <col min="1288" max="1532" width="9.140625" style="14"/>
    <col min="1533" max="1533" width="8.7109375" style="14" customWidth="1"/>
    <col min="1534" max="1534" width="9.85546875" style="14" customWidth="1"/>
    <col min="1535" max="1535" width="14.42578125" style="14" customWidth="1"/>
    <col min="1536" max="1536" width="7.28515625" style="14" customWidth="1"/>
    <col min="1537" max="1537" width="5.5703125" style="14" customWidth="1"/>
    <col min="1538" max="1538" width="9" style="14" customWidth="1"/>
    <col min="1539" max="1540" width="9.85546875" style="14" customWidth="1"/>
    <col min="1541" max="1541" width="11.140625" style="14" customWidth="1"/>
    <col min="1542" max="1542" width="2.85546875" style="14" customWidth="1"/>
    <col min="1543" max="1543" width="3.5703125" style="14" customWidth="1"/>
    <col min="1544" max="1788" width="9.140625" style="14"/>
    <col min="1789" max="1789" width="8.7109375" style="14" customWidth="1"/>
    <col min="1790" max="1790" width="9.85546875" style="14" customWidth="1"/>
    <col min="1791" max="1791" width="14.42578125" style="14" customWidth="1"/>
    <col min="1792" max="1792" width="7.28515625" style="14" customWidth="1"/>
    <col min="1793" max="1793" width="5.5703125" style="14" customWidth="1"/>
    <col min="1794" max="1794" width="9" style="14" customWidth="1"/>
    <col min="1795" max="1796" width="9.85546875" style="14" customWidth="1"/>
    <col min="1797" max="1797" width="11.140625" style="14" customWidth="1"/>
    <col min="1798" max="1798" width="2.85546875" style="14" customWidth="1"/>
    <col min="1799" max="1799" width="3.5703125" style="14" customWidth="1"/>
    <col min="1800" max="2044" width="9.140625" style="14"/>
    <col min="2045" max="2045" width="8.7109375" style="14" customWidth="1"/>
    <col min="2046" max="2046" width="9.85546875" style="14" customWidth="1"/>
    <col min="2047" max="2047" width="14.42578125" style="14" customWidth="1"/>
    <col min="2048" max="2048" width="7.28515625" style="14" customWidth="1"/>
    <col min="2049" max="2049" width="5.5703125" style="14" customWidth="1"/>
    <col min="2050" max="2050" width="9" style="14" customWidth="1"/>
    <col min="2051" max="2052" width="9.85546875" style="14" customWidth="1"/>
    <col min="2053" max="2053" width="11.140625" style="14" customWidth="1"/>
    <col min="2054" max="2054" width="2.85546875" style="14" customWidth="1"/>
    <col min="2055" max="2055" width="3.5703125" style="14" customWidth="1"/>
    <col min="2056" max="2300" width="9.140625" style="14"/>
    <col min="2301" max="2301" width="8.7109375" style="14" customWidth="1"/>
    <col min="2302" max="2302" width="9.85546875" style="14" customWidth="1"/>
    <col min="2303" max="2303" width="14.42578125" style="14" customWidth="1"/>
    <col min="2304" max="2304" width="7.28515625" style="14" customWidth="1"/>
    <col min="2305" max="2305" width="5.5703125" style="14" customWidth="1"/>
    <col min="2306" max="2306" width="9" style="14" customWidth="1"/>
    <col min="2307" max="2308" width="9.85546875" style="14" customWidth="1"/>
    <col min="2309" max="2309" width="11.140625" style="14" customWidth="1"/>
    <col min="2310" max="2310" width="2.85546875" style="14" customWidth="1"/>
    <col min="2311" max="2311" width="3.5703125" style="14" customWidth="1"/>
    <col min="2312" max="2556" width="9.140625" style="14"/>
    <col min="2557" max="2557" width="8.7109375" style="14" customWidth="1"/>
    <col min="2558" max="2558" width="9.85546875" style="14" customWidth="1"/>
    <col min="2559" max="2559" width="14.42578125" style="14" customWidth="1"/>
    <col min="2560" max="2560" width="7.28515625" style="14" customWidth="1"/>
    <col min="2561" max="2561" width="5.5703125" style="14" customWidth="1"/>
    <col min="2562" max="2562" width="9" style="14" customWidth="1"/>
    <col min="2563" max="2564" width="9.85546875" style="14" customWidth="1"/>
    <col min="2565" max="2565" width="11.140625" style="14" customWidth="1"/>
    <col min="2566" max="2566" width="2.85546875" style="14" customWidth="1"/>
    <col min="2567" max="2567" width="3.5703125" style="14" customWidth="1"/>
    <col min="2568" max="2812" width="9.140625" style="14"/>
    <col min="2813" max="2813" width="8.7109375" style="14" customWidth="1"/>
    <col min="2814" max="2814" width="9.85546875" style="14" customWidth="1"/>
    <col min="2815" max="2815" width="14.42578125" style="14" customWidth="1"/>
    <col min="2816" max="2816" width="7.28515625" style="14" customWidth="1"/>
    <col min="2817" max="2817" width="5.5703125" style="14" customWidth="1"/>
    <col min="2818" max="2818" width="9" style="14" customWidth="1"/>
    <col min="2819" max="2820" width="9.85546875" style="14" customWidth="1"/>
    <col min="2821" max="2821" width="11.140625" style="14" customWidth="1"/>
    <col min="2822" max="2822" width="2.85546875" style="14" customWidth="1"/>
    <col min="2823" max="2823" width="3.5703125" style="14" customWidth="1"/>
    <col min="2824" max="3068" width="9.140625" style="14"/>
    <col min="3069" max="3069" width="8.7109375" style="14" customWidth="1"/>
    <col min="3070" max="3070" width="9.85546875" style="14" customWidth="1"/>
    <col min="3071" max="3071" width="14.42578125" style="14" customWidth="1"/>
    <col min="3072" max="3072" width="7.28515625" style="14" customWidth="1"/>
    <col min="3073" max="3073" width="5.5703125" style="14" customWidth="1"/>
    <col min="3074" max="3074" width="9" style="14" customWidth="1"/>
    <col min="3075" max="3076" width="9.85546875" style="14" customWidth="1"/>
    <col min="3077" max="3077" width="11.140625" style="14" customWidth="1"/>
    <col min="3078" max="3078" width="2.85546875" style="14" customWidth="1"/>
    <col min="3079" max="3079" width="3.5703125" style="14" customWidth="1"/>
    <col min="3080" max="3324" width="9.140625" style="14"/>
    <col min="3325" max="3325" width="8.7109375" style="14" customWidth="1"/>
    <col min="3326" max="3326" width="9.85546875" style="14" customWidth="1"/>
    <col min="3327" max="3327" width="14.42578125" style="14" customWidth="1"/>
    <col min="3328" max="3328" width="7.28515625" style="14" customWidth="1"/>
    <col min="3329" max="3329" width="5.5703125" style="14" customWidth="1"/>
    <col min="3330" max="3330" width="9" style="14" customWidth="1"/>
    <col min="3331" max="3332" width="9.85546875" style="14" customWidth="1"/>
    <col min="3333" max="3333" width="11.140625" style="14" customWidth="1"/>
    <col min="3334" max="3334" width="2.85546875" style="14" customWidth="1"/>
    <col min="3335" max="3335" width="3.5703125" style="14" customWidth="1"/>
    <col min="3336" max="3580" width="9.140625" style="14"/>
    <col min="3581" max="3581" width="8.7109375" style="14" customWidth="1"/>
    <col min="3582" max="3582" width="9.85546875" style="14" customWidth="1"/>
    <col min="3583" max="3583" width="14.42578125" style="14" customWidth="1"/>
    <col min="3584" max="3584" width="7.28515625" style="14" customWidth="1"/>
    <col min="3585" max="3585" width="5.5703125" style="14" customWidth="1"/>
    <col min="3586" max="3586" width="9" style="14" customWidth="1"/>
    <col min="3587" max="3588" width="9.85546875" style="14" customWidth="1"/>
    <col min="3589" max="3589" width="11.140625" style="14" customWidth="1"/>
    <col min="3590" max="3590" width="2.85546875" style="14" customWidth="1"/>
    <col min="3591" max="3591" width="3.5703125" style="14" customWidth="1"/>
    <col min="3592" max="3836" width="9.140625" style="14"/>
    <col min="3837" max="3837" width="8.7109375" style="14" customWidth="1"/>
    <col min="3838" max="3838" width="9.85546875" style="14" customWidth="1"/>
    <col min="3839" max="3839" width="14.42578125" style="14" customWidth="1"/>
    <col min="3840" max="3840" width="7.28515625" style="14" customWidth="1"/>
    <col min="3841" max="3841" width="5.5703125" style="14" customWidth="1"/>
    <col min="3842" max="3842" width="9" style="14" customWidth="1"/>
    <col min="3843" max="3844" width="9.85546875" style="14" customWidth="1"/>
    <col min="3845" max="3845" width="11.140625" style="14" customWidth="1"/>
    <col min="3846" max="3846" width="2.85546875" style="14" customWidth="1"/>
    <col min="3847" max="3847" width="3.5703125" style="14" customWidth="1"/>
    <col min="3848" max="4092" width="9.140625" style="14"/>
    <col min="4093" max="4093" width="8.7109375" style="14" customWidth="1"/>
    <col min="4094" max="4094" width="9.85546875" style="14" customWidth="1"/>
    <col min="4095" max="4095" width="14.42578125" style="14" customWidth="1"/>
    <col min="4096" max="4096" width="7.28515625" style="14" customWidth="1"/>
    <col min="4097" max="4097" width="5.5703125" style="14" customWidth="1"/>
    <col min="4098" max="4098" width="9" style="14" customWidth="1"/>
    <col min="4099" max="4100" width="9.85546875" style="14" customWidth="1"/>
    <col min="4101" max="4101" width="11.140625" style="14" customWidth="1"/>
    <col min="4102" max="4102" width="2.85546875" style="14" customWidth="1"/>
    <col min="4103" max="4103" width="3.5703125" style="14" customWidth="1"/>
    <col min="4104" max="4348" width="9.140625" style="14"/>
    <col min="4349" max="4349" width="8.7109375" style="14" customWidth="1"/>
    <col min="4350" max="4350" width="9.85546875" style="14" customWidth="1"/>
    <col min="4351" max="4351" width="14.42578125" style="14" customWidth="1"/>
    <col min="4352" max="4352" width="7.28515625" style="14" customWidth="1"/>
    <col min="4353" max="4353" width="5.5703125" style="14" customWidth="1"/>
    <col min="4354" max="4354" width="9" style="14" customWidth="1"/>
    <col min="4355" max="4356" width="9.85546875" style="14" customWidth="1"/>
    <col min="4357" max="4357" width="11.140625" style="14" customWidth="1"/>
    <col min="4358" max="4358" width="2.85546875" style="14" customWidth="1"/>
    <col min="4359" max="4359" width="3.5703125" style="14" customWidth="1"/>
    <col min="4360" max="4604" width="9.140625" style="14"/>
    <col min="4605" max="4605" width="8.7109375" style="14" customWidth="1"/>
    <col min="4606" max="4606" width="9.85546875" style="14" customWidth="1"/>
    <col min="4607" max="4607" width="14.42578125" style="14" customWidth="1"/>
    <col min="4608" max="4608" width="7.28515625" style="14" customWidth="1"/>
    <col min="4609" max="4609" width="5.5703125" style="14" customWidth="1"/>
    <col min="4610" max="4610" width="9" style="14" customWidth="1"/>
    <col min="4611" max="4612" width="9.85546875" style="14" customWidth="1"/>
    <col min="4613" max="4613" width="11.140625" style="14" customWidth="1"/>
    <col min="4614" max="4614" width="2.85546875" style="14" customWidth="1"/>
    <col min="4615" max="4615" width="3.5703125" style="14" customWidth="1"/>
    <col min="4616" max="4860" width="9.140625" style="14"/>
    <col min="4861" max="4861" width="8.7109375" style="14" customWidth="1"/>
    <col min="4862" max="4862" width="9.85546875" style="14" customWidth="1"/>
    <col min="4863" max="4863" width="14.42578125" style="14" customWidth="1"/>
    <col min="4864" max="4864" width="7.28515625" style="14" customWidth="1"/>
    <col min="4865" max="4865" width="5.5703125" style="14" customWidth="1"/>
    <col min="4866" max="4866" width="9" style="14" customWidth="1"/>
    <col min="4867" max="4868" width="9.85546875" style="14" customWidth="1"/>
    <col min="4869" max="4869" width="11.140625" style="14" customWidth="1"/>
    <col min="4870" max="4870" width="2.85546875" style="14" customWidth="1"/>
    <col min="4871" max="4871" width="3.5703125" style="14" customWidth="1"/>
    <col min="4872" max="5116" width="9.140625" style="14"/>
    <col min="5117" max="5117" width="8.7109375" style="14" customWidth="1"/>
    <col min="5118" max="5118" width="9.85546875" style="14" customWidth="1"/>
    <col min="5119" max="5119" width="14.42578125" style="14" customWidth="1"/>
    <col min="5120" max="5120" width="7.28515625" style="14" customWidth="1"/>
    <col min="5121" max="5121" width="5.5703125" style="14" customWidth="1"/>
    <col min="5122" max="5122" width="9" style="14" customWidth="1"/>
    <col min="5123" max="5124" width="9.85546875" style="14" customWidth="1"/>
    <col min="5125" max="5125" width="11.140625" style="14" customWidth="1"/>
    <col min="5126" max="5126" width="2.85546875" style="14" customWidth="1"/>
    <col min="5127" max="5127" width="3.5703125" style="14" customWidth="1"/>
    <col min="5128" max="5372" width="9.140625" style="14"/>
    <col min="5373" max="5373" width="8.7109375" style="14" customWidth="1"/>
    <col min="5374" max="5374" width="9.85546875" style="14" customWidth="1"/>
    <col min="5375" max="5375" width="14.42578125" style="14" customWidth="1"/>
    <col min="5376" max="5376" width="7.28515625" style="14" customWidth="1"/>
    <col min="5377" max="5377" width="5.5703125" style="14" customWidth="1"/>
    <col min="5378" max="5378" width="9" style="14" customWidth="1"/>
    <col min="5379" max="5380" width="9.85546875" style="14" customWidth="1"/>
    <col min="5381" max="5381" width="11.140625" style="14" customWidth="1"/>
    <col min="5382" max="5382" width="2.85546875" style="14" customWidth="1"/>
    <col min="5383" max="5383" width="3.5703125" style="14" customWidth="1"/>
    <col min="5384" max="5628" width="9.140625" style="14"/>
    <col min="5629" max="5629" width="8.7109375" style="14" customWidth="1"/>
    <col min="5630" max="5630" width="9.85546875" style="14" customWidth="1"/>
    <col min="5631" max="5631" width="14.42578125" style="14" customWidth="1"/>
    <col min="5632" max="5632" width="7.28515625" style="14" customWidth="1"/>
    <col min="5633" max="5633" width="5.5703125" style="14" customWidth="1"/>
    <col min="5634" max="5634" width="9" style="14" customWidth="1"/>
    <col min="5635" max="5636" width="9.85546875" style="14" customWidth="1"/>
    <col min="5637" max="5637" width="11.140625" style="14" customWidth="1"/>
    <col min="5638" max="5638" width="2.85546875" style="14" customWidth="1"/>
    <col min="5639" max="5639" width="3.5703125" style="14" customWidth="1"/>
    <col min="5640" max="5884" width="9.140625" style="14"/>
    <col min="5885" max="5885" width="8.7109375" style="14" customWidth="1"/>
    <col min="5886" max="5886" width="9.85546875" style="14" customWidth="1"/>
    <col min="5887" max="5887" width="14.42578125" style="14" customWidth="1"/>
    <col min="5888" max="5888" width="7.28515625" style="14" customWidth="1"/>
    <col min="5889" max="5889" width="5.5703125" style="14" customWidth="1"/>
    <col min="5890" max="5890" width="9" style="14" customWidth="1"/>
    <col min="5891" max="5892" width="9.85546875" style="14" customWidth="1"/>
    <col min="5893" max="5893" width="11.140625" style="14" customWidth="1"/>
    <col min="5894" max="5894" width="2.85546875" style="14" customWidth="1"/>
    <col min="5895" max="5895" width="3.5703125" style="14" customWidth="1"/>
    <col min="5896" max="6140" width="9.140625" style="14"/>
    <col min="6141" max="6141" width="8.7109375" style="14" customWidth="1"/>
    <col min="6142" max="6142" width="9.85546875" style="14" customWidth="1"/>
    <col min="6143" max="6143" width="14.42578125" style="14" customWidth="1"/>
    <col min="6144" max="6144" width="7.28515625" style="14" customWidth="1"/>
    <col min="6145" max="6145" width="5.5703125" style="14" customWidth="1"/>
    <col min="6146" max="6146" width="9" style="14" customWidth="1"/>
    <col min="6147" max="6148" width="9.85546875" style="14" customWidth="1"/>
    <col min="6149" max="6149" width="11.140625" style="14" customWidth="1"/>
    <col min="6150" max="6150" width="2.85546875" style="14" customWidth="1"/>
    <col min="6151" max="6151" width="3.5703125" style="14" customWidth="1"/>
    <col min="6152" max="6396" width="9.140625" style="14"/>
    <col min="6397" max="6397" width="8.7109375" style="14" customWidth="1"/>
    <col min="6398" max="6398" width="9.85546875" style="14" customWidth="1"/>
    <col min="6399" max="6399" width="14.42578125" style="14" customWidth="1"/>
    <col min="6400" max="6400" width="7.28515625" style="14" customWidth="1"/>
    <col min="6401" max="6401" width="5.5703125" style="14" customWidth="1"/>
    <col min="6402" max="6402" width="9" style="14" customWidth="1"/>
    <col min="6403" max="6404" width="9.85546875" style="14" customWidth="1"/>
    <col min="6405" max="6405" width="11.140625" style="14" customWidth="1"/>
    <col min="6406" max="6406" width="2.85546875" style="14" customWidth="1"/>
    <col min="6407" max="6407" width="3.5703125" style="14" customWidth="1"/>
    <col min="6408" max="6652" width="9.140625" style="14"/>
    <col min="6653" max="6653" width="8.7109375" style="14" customWidth="1"/>
    <col min="6654" max="6654" width="9.85546875" style="14" customWidth="1"/>
    <col min="6655" max="6655" width="14.42578125" style="14" customWidth="1"/>
    <col min="6656" max="6656" width="7.28515625" style="14" customWidth="1"/>
    <col min="6657" max="6657" width="5.5703125" style="14" customWidth="1"/>
    <col min="6658" max="6658" width="9" style="14" customWidth="1"/>
    <col min="6659" max="6660" width="9.85546875" style="14" customWidth="1"/>
    <col min="6661" max="6661" width="11.140625" style="14" customWidth="1"/>
    <col min="6662" max="6662" width="2.85546875" style="14" customWidth="1"/>
    <col min="6663" max="6663" width="3.5703125" style="14" customWidth="1"/>
    <col min="6664" max="6908" width="9.140625" style="14"/>
    <col min="6909" max="6909" width="8.7109375" style="14" customWidth="1"/>
    <col min="6910" max="6910" width="9.85546875" style="14" customWidth="1"/>
    <col min="6911" max="6911" width="14.42578125" style="14" customWidth="1"/>
    <col min="6912" max="6912" width="7.28515625" style="14" customWidth="1"/>
    <col min="6913" max="6913" width="5.5703125" style="14" customWidth="1"/>
    <col min="6914" max="6914" width="9" style="14" customWidth="1"/>
    <col min="6915" max="6916" width="9.85546875" style="14" customWidth="1"/>
    <col min="6917" max="6917" width="11.140625" style="14" customWidth="1"/>
    <col min="6918" max="6918" width="2.85546875" style="14" customWidth="1"/>
    <col min="6919" max="6919" width="3.5703125" style="14" customWidth="1"/>
    <col min="6920" max="7164" width="9.140625" style="14"/>
    <col min="7165" max="7165" width="8.7109375" style="14" customWidth="1"/>
    <col min="7166" max="7166" width="9.85546875" style="14" customWidth="1"/>
    <col min="7167" max="7167" width="14.42578125" style="14" customWidth="1"/>
    <col min="7168" max="7168" width="7.28515625" style="14" customWidth="1"/>
    <col min="7169" max="7169" width="5.5703125" style="14" customWidth="1"/>
    <col min="7170" max="7170" width="9" style="14" customWidth="1"/>
    <col min="7171" max="7172" width="9.85546875" style="14" customWidth="1"/>
    <col min="7173" max="7173" width="11.140625" style="14" customWidth="1"/>
    <col min="7174" max="7174" width="2.85546875" style="14" customWidth="1"/>
    <col min="7175" max="7175" width="3.5703125" style="14" customWidth="1"/>
    <col min="7176" max="7420" width="9.140625" style="14"/>
    <col min="7421" max="7421" width="8.7109375" style="14" customWidth="1"/>
    <col min="7422" max="7422" width="9.85546875" style="14" customWidth="1"/>
    <col min="7423" max="7423" width="14.42578125" style="14" customWidth="1"/>
    <col min="7424" max="7424" width="7.28515625" style="14" customWidth="1"/>
    <col min="7425" max="7425" width="5.5703125" style="14" customWidth="1"/>
    <col min="7426" max="7426" width="9" style="14" customWidth="1"/>
    <col min="7427" max="7428" width="9.85546875" style="14" customWidth="1"/>
    <col min="7429" max="7429" width="11.140625" style="14" customWidth="1"/>
    <col min="7430" max="7430" width="2.85546875" style="14" customWidth="1"/>
    <col min="7431" max="7431" width="3.5703125" style="14" customWidth="1"/>
    <col min="7432" max="7676" width="9.140625" style="14"/>
    <col min="7677" max="7677" width="8.7109375" style="14" customWidth="1"/>
    <col min="7678" max="7678" width="9.85546875" style="14" customWidth="1"/>
    <col min="7679" max="7679" width="14.42578125" style="14" customWidth="1"/>
    <col min="7680" max="7680" width="7.28515625" style="14" customWidth="1"/>
    <col min="7681" max="7681" width="5.5703125" style="14" customWidth="1"/>
    <col min="7682" max="7682" width="9" style="14" customWidth="1"/>
    <col min="7683" max="7684" width="9.85546875" style="14" customWidth="1"/>
    <col min="7685" max="7685" width="11.140625" style="14" customWidth="1"/>
    <col min="7686" max="7686" width="2.85546875" style="14" customWidth="1"/>
    <col min="7687" max="7687" width="3.5703125" style="14" customWidth="1"/>
    <col min="7688" max="7932" width="9.140625" style="14"/>
    <col min="7933" max="7933" width="8.7109375" style="14" customWidth="1"/>
    <col min="7934" max="7934" width="9.85546875" style="14" customWidth="1"/>
    <col min="7935" max="7935" width="14.42578125" style="14" customWidth="1"/>
    <col min="7936" max="7936" width="7.28515625" style="14" customWidth="1"/>
    <col min="7937" max="7937" width="5.5703125" style="14" customWidth="1"/>
    <col min="7938" max="7938" width="9" style="14" customWidth="1"/>
    <col min="7939" max="7940" width="9.85546875" style="14" customWidth="1"/>
    <col min="7941" max="7941" width="11.140625" style="14" customWidth="1"/>
    <col min="7942" max="7942" width="2.85546875" style="14" customWidth="1"/>
    <col min="7943" max="7943" width="3.5703125" style="14" customWidth="1"/>
    <col min="7944" max="8188" width="9.140625" style="14"/>
    <col min="8189" max="8189" width="8.7109375" style="14" customWidth="1"/>
    <col min="8190" max="8190" width="9.85546875" style="14" customWidth="1"/>
    <col min="8191" max="8191" width="14.42578125" style="14" customWidth="1"/>
    <col min="8192" max="8192" width="7.28515625" style="14" customWidth="1"/>
    <col min="8193" max="8193" width="5.5703125" style="14" customWidth="1"/>
    <col min="8194" max="8194" width="9" style="14" customWidth="1"/>
    <col min="8195" max="8196" width="9.85546875" style="14" customWidth="1"/>
    <col min="8197" max="8197" width="11.140625" style="14" customWidth="1"/>
    <col min="8198" max="8198" width="2.85546875" style="14" customWidth="1"/>
    <col min="8199" max="8199" width="3.5703125" style="14" customWidth="1"/>
    <col min="8200" max="8444" width="9.140625" style="14"/>
    <col min="8445" max="8445" width="8.7109375" style="14" customWidth="1"/>
    <col min="8446" max="8446" width="9.85546875" style="14" customWidth="1"/>
    <col min="8447" max="8447" width="14.42578125" style="14" customWidth="1"/>
    <col min="8448" max="8448" width="7.28515625" style="14" customWidth="1"/>
    <col min="8449" max="8449" width="5.5703125" style="14" customWidth="1"/>
    <col min="8450" max="8450" width="9" style="14" customWidth="1"/>
    <col min="8451" max="8452" width="9.85546875" style="14" customWidth="1"/>
    <col min="8453" max="8453" width="11.140625" style="14" customWidth="1"/>
    <col min="8454" max="8454" width="2.85546875" style="14" customWidth="1"/>
    <col min="8455" max="8455" width="3.5703125" style="14" customWidth="1"/>
    <col min="8456" max="8700" width="9.140625" style="14"/>
    <col min="8701" max="8701" width="8.7109375" style="14" customWidth="1"/>
    <col min="8702" max="8702" width="9.85546875" style="14" customWidth="1"/>
    <col min="8703" max="8703" width="14.42578125" style="14" customWidth="1"/>
    <col min="8704" max="8704" width="7.28515625" style="14" customWidth="1"/>
    <col min="8705" max="8705" width="5.5703125" style="14" customWidth="1"/>
    <col min="8706" max="8706" width="9" style="14" customWidth="1"/>
    <col min="8707" max="8708" width="9.85546875" style="14" customWidth="1"/>
    <col min="8709" max="8709" width="11.140625" style="14" customWidth="1"/>
    <col min="8710" max="8710" width="2.85546875" style="14" customWidth="1"/>
    <col min="8711" max="8711" width="3.5703125" style="14" customWidth="1"/>
    <col min="8712" max="8956" width="9.140625" style="14"/>
    <col min="8957" max="8957" width="8.7109375" style="14" customWidth="1"/>
    <col min="8958" max="8958" width="9.85546875" style="14" customWidth="1"/>
    <col min="8959" max="8959" width="14.42578125" style="14" customWidth="1"/>
    <col min="8960" max="8960" width="7.28515625" style="14" customWidth="1"/>
    <col min="8961" max="8961" width="5.5703125" style="14" customWidth="1"/>
    <col min="8962" max="8962" width="9" style="14" customWidth="1"/>
    <col min="8963" max="8964" width="9.85546875" style="14" customWidth="1"/>
    <col min="8965" max="8965" width="11.140625" style="14" customWidth="1"/>
    <col min="8966" max="8966" width="2.85546875" style="14" customWidth="1"/>
    <col min="8967" max="8967" width="3.5703125" style="14" customWidth="1"/>
    <col min="8968" max="9212" width="9.140625" style="14"/>
    <col min="9213" max="9213" width="8.7109375" style="14" customWidth="1"/>
    <col min="9214" max="9214" width="9.85546875" style="14" customWidth="1"/>
    <col min="9215" max="9215" width="14.42578125" style="14" customWidth="1"/>
    <col min="9216" max="9216" width="7.28515625" style="14" customWidth="1"/>
    <col min="9217" max="9217" width="5.5703125" style="14" customWidth="1"/>
    <col min="9218" max="9218" width="9" style="14" customWidth="1"/>
    <col min="9219" max="9220" width="9.85546875" style="14" customWidth="1"/>
    <col min="9221" max="9221" width="11.140625" style="14" customWidth="1"/>
    <col min="9222" max="9222" width="2.85546875" style="14" customWidth="1"/>
    <col min="9223" max="9223" width="3.5703125" style="14" customWidth="1"/>
    <col min="9224" max="9468" width="9.140625" style="14"/>
    <col min="9469" max="9469" width="8.7109375" style="14" customWidth="1"/>
    <col min="9470" max="9470" width="9.85546875" style="14" customWidth="1"/>
    <col min="9471" max="9471" width="14.42578125" style="14" customWidth="1"/>
    <col min="9472" max="9472" width="7.28515625" style="14" customWidth="1"/>
    <col min="9473" max="9473" width="5.5703125" style="14" customWidth="1"/>
    <col min="9474" max="9474" width="9" style="14" customWidth="1"/>
    <col min="9475" max="9476" width="9.85546875" style="14" customWidth="1"/>
    <col min="9477" max="9477" width="11.140625" style="14" customWidth="1"/>
    <col min="9478" max="9478" width="2.85546875" style="14" customWidth="1"/>
    <col min="9479" max="9479" width="3.5703125" style="14" customWidth="1"/>
    <col min="9480" max="9724" width="9.140625" style="14"/>
    <col min="9725" max="9725" width="8.7109375" style="14" customWidth="1"/>
    <col min="9726" max="9726" width="9.85546875" style="14" customWidth="1"/>
    <col min="9727" max="9727" width="14.42578125" style="14" customWidth="1"/>
    <col min="9728" max="9728" width="7.28515625" style="14" customWidth="1"/>
    <col min="9729" max="9729" width="5.5703125" style="14" customWidth="1"/>
    <col min="9730" max="9730" width="9" style="14" customWidth="1"/>
    <col min="9731" max="9732" width="9.85546875" style="14" customWidth="1"/>
    <col min="9733" max="9733" width="11.140625" style="14" customWidth="1"/>
    <col min="9734" max="9734" width="2.85546875" style="14" customWidth="1"/>
    <col min="9735" max="9735" width="3.5703125" style="14" customWidth="1"/>
    <col min="9736" max="9980" width="9.140625" style="14"/>
    <col min="9981" max="9981" width="8.7109375" style="14" customWidth="1"/>
    <col min="9982" max="9982" width="9.85546875" style="14" customWidth="1"/>
    <col min="9983" max="9983" width="14.42578125" style="14" customWidth="1"/>
    <col min="9984" max="9984" width="7.28515625" style="14" customWidth="1"/>
    <col min="9985" max="9985" width="5.5703125" style="14" customWidth="1"/>
    <col min="9986" max="9986" width="9" style="14" customWidth="1"/>
    <col min="9987" max="9988" width="9.85546875" style="14" customWidth="1"/>
    <col min="9989" max="9989" width="11.140625" style="14" customWidth="1"/>
    <col min="9990" max="9990" width="2.85546875" style="14" customWidth="1"/>
    <col min="9991" max="9991" width="3.5703125" style="14" customWidth="1"/>
    <col min="9992" max="10236" width="9.140625" style="14"/>
    <col min="10237" max="10237" width="8.7109375" style="14" customWidth="1"/>
    <col min="10238" max="10238" width="9.85546875" style="14" customWidth="1"/>
    <col min="10239" max="10239" width="14.42578125" style="14" customWidth="1"/>
    <col min="10240" max="10240" width="7.28515625" style="14" customWidth="1"/>
    <col min="10241" max="10241" width="5.5703125" style="14" customWidth="1"/>
    <col min="10242" max="10242" width="9" style="14" customWidth="1"/>
    <col min="10243" max="10244" width="9.85546875" style="14" customWidth="1"/>
    <col min="10245" max="10245" width="11.140625" style="14" customWidth="1"/>
    <col min="10246" max="10246" width="2.85546875" style="14" customWidth="1"/>
    <col min="10247" max="10247" width="3.5703125" style="14" customWidth="1"/>
    <col min="10248" max="10492" width="9.140625" style="14"/>
    <col min="10493" max="10493" width="8.7109375" style="14" customWidth="1"/>
    <col min="10494" max="10494" width="9.85546875" style="14" customWidth="1"/>
    <col min="10495" max="10495" width="14.42578125" style="14" customWidth="1"/>
    <col min="10496" max="10496" width="7.28515625" style="14" customWidth="1"/>
    <col min="10497" max="10497" width="5.5703125" style="14" customWidth="1"/>
    <col min="10498" max="10498" width="9" style="14" customWidth="1"/>
    <col min="10499" max="10500" width="9.85546875" style="14" customWidth="1"/>
    <col min="10501" max="10501" width="11.140625" style="14" customWidth="1"/>
    <col min="10502" max="10502" width="2.85546875" style="14" customWidth="1"/>
    <col min="10503" max="10503" width="3.5703125" style="14" customWidth="1"/>
    <col min="10504" max="10748" width="9.140625" style="14"/>
    <col min="10749" max="10749" width="8.7109375" style="14" customWidth="1"/>
    <col min="10750" max="10750" width="9.85546875" style="14" customWidth="1"/>
    <col min="10751" max="10751" width="14.42578125" style="14" customWidth="1"/>
    <col min="10752" max="10752" width="7.28515625" style="14" customWidth="1"/>
    <col min="10753" max="10753" width="5.5703125" style="14" customWidth="1"/>
    <col min="10754" max="10754" width="9" style="14" customWidth="1"/>
    <col min="10755" max="10756" width="9.85546875" style="14" customWidth="1"/>
    <col min="10757" max="10757" width="11.140625" style="14" customWidth="1"/>
    <col min="10758" max="10758" width="2.85546875" style="14" customWidth="1"/>
    <col min="10759" max="10759" width="3.5703125" style="14" customWidth="1"/>
    <col min="10760" max="11004" width="9.140625" style="14"/>
    <col min="11005" max="11005" width="8.7109375" style="14" customWidth="1"/>
    <col min="11006" max="11006" width="9.85546875" style="14" customWidth="1"/>
    <col min="11007" max="11007" width="14.42578125" style="14" customWidth="1"/>
    <col min="11008" max="11008" width="7.28515625" style="14" customWidth="1"/>
    <col min="11009" max="11009" width="5.5703125" style="14" customWidth="1"/>
    <col min="11010" max="11010" width="9" style="14" customWidth="1"/>
    <col min="11011" max="11012" width="9.85546875" style="14" customWidth="1"/>
    <col min="11013" max="11013" width="11.140625" style="14" customWidth="1"/>
    <col min="11014" max="11014" width="2.85546875" style="14" customWidth="1"/>
    <col min="11015" max="11015" width="3.5703125" style="14" customWidth="1"/>
    <col min="11016" max="11260" width="9.140625" style="14"/>
    <col min="11261" max="11261" width="8.7109375" style="14" customWidth="1"/>
    <col min="11262" max="11262" width="9.85546875" style="14" customWidth="1"/>
    <col min="11263" max="11263" width="14.42578125" style="14" customWidth="1"/>
    <col min="11264" max="11264" width="7.28515625" style="14" customWidth="1"/>
    <col min="11265" max="11265" width="5.5703125" style="14" customWidth="1"/>
    <col min="11266" max="11266" width="9" style="14" customWidth="1"/>
    <col min="11267" max="11268" width="9.85546875" style="14" customWidth="1"/>
    <col min="11269" max="11269" width="11.140625" style="14" customWidth="1"/>
    <col min="11270" max="11270" width="2.85546875" style="14" customWidth="1"/>
    <col min="11271" max="11271" width="3.5703125" style="14" customWidth="1"/>
    <col min="11272" max="11516" width="9.140625" style="14"/>
    <col min="11517" max="11517" width="8.7109375" style="14" customWidth="1"/>
    <col min="11518" max="11518" width="9.85546875" style="14" customWidth="1"/>
    <col min="11519" max="11519" width="14.42578125" style="14" customWidth="1"/>
    <col min="11520" max="11520" width="7.28515625" style="14" customWidth="1"/>
    <col min="11521" max="11521" width="5.5703125" style="14" customWidth="1"/>
    <col min="11522" max="11522" width="9" style="14" customWidth="1"/>
    <col min="11523" max="11524" width="9.85546875" style="14" customWidth="1"/>
    <col min="11525" max="11525" width="11.140625" style="14" customWidth="1"/>
    <col min="11526" max="11526" width="2.85546875" style="14" customWidth="1"/>
    <col min="11527" max="11527" width="3.5703125" style="14" customWidth="1"/>
    <col min="11528" max="11772" width="9.140625" style="14"/>
    <col min="11773" max="11773" width="8.7109375" style="14" customWidth="1"/>
    <col min="11774" max="11774" width="9.85546875" style="14" customWidth="1"/>
    <col min="11775" max="11775" width="14.42578125" style="14" customWidth="1"/>
    <col min="11776" max="11776" width="7.28515625" style="14" customWidth="1"/>
    <col min="11777" max="11777" width="5.5703125" style="14" customWidth="1"/>
    <col min="11778" max="11778" width="9" style="14" customWidth="1"/>
    <col min="11779" max="11780" width="9.85546875" style="14" customWidth="1"/>
    <col min="11781" max="11781" width="11.140625" style="14" customWidth="1"/>
    <col min="11782" max="11782" width="2.85546875" style="14" customWidth="1"/>
    <col min="11783" max="11783" width="3.5703125" style="14" customWidth="1"/>
    <col min="11784" max="12028" width="9.140625" style="14"/>
    <col min="12029" max="12029" width="8.7109375" style="14" customWidth="1"/>
    <col min="12030" max="12030" width="9.85546875" style="14" customWidth="1"/>
    <col min="12031" max="12031" width="14.42578125" style="14" customWidth="1"/>
    <col min="12032" max="12032" width="7.28515625" style="14" customWidth="1"/>
    <col min="12033" max="12033" width="5.5703125" style="14" customWidth="1"/>
    <col min="12034" max="12034" width="9" style="14" customWidth="1"/>
    <col min="12035" max="12036" width="9.85546875" style="14" customWidth="1"/>
    <col min="12037" max="12037" width="11.140625" style="14" customWidth="1"/>
    <col min="12038" max="12038" width="2.85546875" style="14" customWidth="1"/>
    <col min="12039" max="12039" width="3.5703125" style="14" customWidth="1"/>
    <col min="12040" max="12284" width="9.140625" style="14"/>
    <col min="12285" max="12285" width="8.7109375" style="14" customWidth="1"/>
    <col min="12286" max="12286" width="9.85546875" style="14" customWidth="1"/>
    <col min="12287" max="12287" width="14.42578125" style="14" customWidth="1"/>
    <col min="12288" max="12288" width="7.28515625" style="14" customWidth="1"/>
    <col min="12289" max="12289" width="5.5703125" style="14" customWidth="1"/>
    <col min="12290" max="12290" width="9" style="14" customWidth="1"/>
    <col min="12291" max="12292" width="9.85546875" style="14" customWidth="1"/>
    <col min="12293" max="12293" width="11.140625" style="14" customWidth="1"/>
    <col min="12294" max="12294" width="2.85546875" style="14" customWidth="1"/>
    <col min="12295" max="12295" width="3.5703125" style="14" customWidth="1"/>
    <col min="12296" max="12540" width="9.140625" style="14"/>
    <col min="12541" max="12541" width="8.7109375" style="14" customWidth="1"/>
    <col min="12542" max="12542" width="9.85546875" style="14" customWidth="1"/>
    <col min="12543" max="12543" width="14.42578125" style="14" customWidth="1"/>
    <col min="12544" max="12544" width="7.28515625" style="14" customWidth="1"/>
    <col min="12545" max="12545" width="5.5703125" style="14" customWidth="1"/>
    <col min="12546" max="12546" width="9" style="14" customWidth="1"/>
    <col min="12547" max="12548" width="9.85546875" style="14" customWidth="1"/>
    <col min="12549" max="12549" width="11.140625" style="14" customWidth="1"/>
    <col min="12550" max="12550" width="2.85546875" style="14" customWidth="1"/>
    <col min="12551" max="12551" width="3.5703125" style="14" customWidth="1"/>
    <col min="12552" max="12796" width="9.140625" style="14"/>
    <col min="12797" max="12797" width="8.7109375" style="14" customWidth="1"/>
    <col min="12798" max="12798" width="9.85546875" style="14" customWidth="1"/>
    <col min="12799" max="12799" width="14.42578125" style="14" customWidth="1"/>
    <col min="12800" max="12800" width="7.28515625" style="14" customWidth="1"/>
    <col min="12801" max="12801" width="5.5703125" style="14" customWidth="1"/>
    <col min="12802" max="12802" width="9" style="14" customWidth="1"/>
    <col min="12803" max="12804" width="9.85546875" style="14" customWidth="1"/>
    <col min="12805" max="12805" width="11.140625" style="14" customWidth="1"/>
    <col min="12806" max="12806" width="2.85546875" style="14" customWidth="1"/>
    <col min="12807" max="12807" width="3.5703125" style="14" customWidth="1"/>
    <col min="12808" max="13052" width="9.140625" style="14"/>
    <col min="13053" max="13053" width="8.7109375" style="14" customWidth="1"/>
    <col min="13054" max="13054" width="9.85546875" style="14" customWidth="1"/>
    <col min="13055" max="13055" width="14.42578125" style="14" customWidth="1"/>
    <col min="13056" max="13056" width="7.28515625" style="14" customWidth="1"/>
    <col min="13057" max="13057" width="5.5703125" style="14" customWidth="1"/>
    <col min="13058" max="13058" width="9" style="14" customWidth="1"/>
    <col min="13059" max="13060" width="9.85546875" style="14" customWidth="1"/>
    <col min="13061" max="13061" width="11.140625" style="14" customWidth="1"/>
    <col min="13062" max="13062" width="2.85546875" style="14" customWidth="1"/>
    <col min="13063" max="13063" width="3.5703125" style="14" customWidth="1"/>
    <col min="13064" max="13308" width="9.140625" style="14"/>
    <col min="13309" max="13309" width="8.7109375" style="14" customWidth="1"/>
    <col min="13310" max="13310" width="9.85546875" style="14" customWidth="1"/>
    <col min="13311" max="13311" width="14.42578125" style="14" customWidth="1"/>
    <col min="13312" max="13312" width="7.28515625" style="14" customWidth="1"/>
    <col min="13313" max="13313" width="5.5703125" style="14" customWidth="1"/>
    <col min="13314" max="13314" width="9" style="14" customWidth="1"/>
    <col min="13315" max="13316" width="9.85546875" style="14" customWidth="1"/>
    <col min="13317" max="13317" width="11.140625" style="14" customWidth="1"/>
    <col min="13318" max="13318" width="2.85546875" style="14" customWidth="1"/>
    <col min="13319" max="13319" width="3.5703125" style="14" customWidth="1"/>
    <col min="13320" max="13564" width="9.140625" style="14"/>
    <col min="13565" max="13565" width="8.7109375" style="14" customWidth="1"/>
    <col min="13566" max="13566" width="9.85546875" style="14" customWidth="1"/>
    <col min="13567" max="13567" width="14.42578125" style="14" customWidth="1"/>
    <col min="13568" max="13568" width="7.28515625" style="14" customWidth="1"/>
    <col min="13569" max="13569" width="5.5703125" style="14" customWidth="1"/>
    <col min="13570" max="13570" width="9" style="14" customWidth="1"/>
    <col min="13571" max="13572" width="9.85546875" style="14" customWidth="1"/>
    <col min="13573" max="13573" width="11.140625" style="14" customWidth="1"/>
    <col min="13574" max="13574" width="2.85546875" style="14" customWidth="1"/>
    <col min="13575" max="13575" width="3.5703125" style="14" customWidth="1"/>
    <col min="13576" max="13820" width="9.140625" style="14"/>
    <col min="13821" max="13821" width="8.7109375" style="14" customWidth="1"/>
    <col min="13822" max="13822" width="9.85546875" style="14" customWidth="1"/>
    <col min="13823" max="13823" width="14.42578125" style="14" customWidth="1"/>
    <col min="13824" max="13824" width="7.28515625" style="14" customWidth="1"/>
    <col min="13825" max="13825" width="5.5703125" style="14" customWidth="1"/>
    <col min="13826" max="13826" width="9" style="14" customWidth="1"/>
    <col min="13827" max="13828" width="9.85546875" style="14" customWidth="1"/>
    <col min="13829" max="13829" width="11.140625" style="14" customWidth="1"/>
    <col min="13830" max="13830" width="2.85546875" style="14" customWidth="1"/>
    <col min="13831" max="13831" width="3.5703125" style="14" customWidth="1"/>
    <col min="13832" max="14076" width="9.140625" style="14"/>
    <col min="14077" max="14077" width="8.7109375" style="14" customWidth="1"/>
    <col min="14078" max="14078" width="9.85546875" style="14" customWidth="1"/>
    <col min="14079" max="14079" width="14.42578125" style="14" customWidth="1"/>
    <col min="14080" max="14080" width="7.28515625" style="14" customWidth="1"/>
    <col min="14081" max="14081" width="5.5703125" style="14" customWidth="1"/>
    <col min="14082" max="14082" width="9" style="14" customWidth="1"/>
    <col min="14083" max="14084" width="9.85546875" style="14" customWidth="1"/>
    <col min="14085" max="14085" width="11.140625" style="14" customWidth="1"/>
    <col min="14086" max="14086" width="2.85546875" style="14" customWidth="1"/>
    <col min="14087" max="14087" width="3.5703125" style="14" customWidth="1"/>
    <col min="14088" max="14332" width="9.140625" style="14"/>
    <col min="14333" max="14333" width="8.7109375" style="14" customWidth="1"/>
    <col min="14334" max="14334" width="9.85546875" style="14" customWidth="1"/>
    <col min="14335" max="14335" width="14.42578125" style="14" customWidth="1"/>
    <col min="14336" max="14336" width="7.28515625" style="14" customWidth="1"/>
    <col min="14337" max="14337" width="5.5703125" style="14" customWidth="1"/>
    <col min="14338" max="14338" width="9" style="14" customWidth="1"/>
    <col min="14339" max="14340" width="9.85546875" style="14" customWidth="1"/>
    <col min="14341" max="14341" width="11.140625" style="14" customWidth="1"/>
    <col min="14342" max="14342" width="2.85546875" style="14" customWidth="1"/>
    <col min="14343" max="14343" width="3.5703125" style="14" customWidth="1"/>
    <col min="14344" max="14588" width="9.140625" style="14"/>
    <col min="14589" max="14589" width="8.7109375" style="14" customWidth="1"/>
    <col min="14590" max="14590" width="9.85546875" style="14" customWidth="1"/>
    <col min="14591" max="14591" width="14.42578125" style="14" customWidth="1"/>
    <col min="14592" max="14592" width="7.28515625" style="14" customWidth="1"/>
    <col min="14593" max="14593" width="5.5703125" style="14" customWidth="1"/>
    <col min="14594" max="14594" width="9" style="14" customWidth="1"/>
    <col min="14595" max="14596" width="9.85546875" style="14" customWidth="1"/>
    <col min="14597" max="14597" width="11.140625" style="14" customWidth="1"/>
    <col min="14598" max="14598" width="2.85546875" style="14" customWidth="1"/>
    <col min="14599" max="14599" width="3.5703125" style="14" customWidth="1"/>
    <col min="14600" max="14844" width="9.140625" style="14"/>
    <col min="14845" max="14845" width="8.7109375" style="14" customWidth="1"/>
    <col min="14846" max="14846" width="9.85546875" style="14" customWidth="1"/>
    <col min="14847" max="14847" width="14.42578125" style="14" customWidth="1"/>
    <col min="14848" max="14848" width="7.28515625" style="14" customWidth="1"/>
    <col min="14849" max="14849" width="5.5703125" style="14" customWidth="1"/>
    <col min="14850" max="14850" width="9" style="14" customWidth="1"/>
    <col min="14851" max="14852" width="9.85546875" style="14" customWidth="1"/>
    <col min="14853" max="14853" width="11.140625" style="14" customWidth="1"/>
    <col min="14854" max="14854" width="2.85546875" style="14" customWidth="1"/>
    <col min="14855" max="14855" width="3.5703125" style="14" customWidth="1"/>
    <col min="14856" max="15100" width="9.140625" style="14"/>
    <col min="15101" max="15101" width="8.7109375" style="14" customWidth="1"/>
    <col min="15102" max="15102" width="9.85546875" style="14" customWidth="1"/>
    <col min="15103" max="15103" width="14.42578125" style="14" customWidth="1"/>
    <col min="15104" max="15104" width="7.28515625" style="14" customWidth="1"/>
    <col min="15105" max="15105" width="5.5703125" style="14" customWidth="1"/>
    <col min="15106" max="15106" width="9" style="14" customWidth="1"/>
    <col min="15107" max="15108" width="9.85546875" style="14" customWidth="1"/>
    <col min="15109" max="15109" width="11.140625" style="14" customWidth="1"/>
    <col min="15110" max="15110" width="2.85546875" style="14" customWidth="1"/>
    <col min="15111" max="15111" width="3.5703125" style="14" customWidth="1"/>
    <col min="15112" max="15356" width="9.140625" style="14"/>
    <col min="15357" max="15357" width="8.7109375" style="14" customWidth="1"/>
    <col min="15358" max="15358" width="9.85546875" style="14" customWidth="1"/>
    <col min="15359" max="15359" width="14.42578125" style="14" customWidth="1"/>
    <col min="15360" max="15360" width="7.28515625" style="14" customWidth="1"/>
    <col min="15361" max="15361" width="5.5703125" style="14" customWidth="1"/>
    <col min="15362" max="15362" width="9" style="14" customWidth="1"/>
    <col min="15363" max="15364" width="9.85546875" style="14" customWidth="1"/>
    <col min="15365" max="15365" width="11.140625" style="14" customWidth="1"/>
    <col min="15366" max="15366" width="2.85546875" style="14" customWidth="1"/>
    <col min="15367" max="15367" width="3.5703125" style="14" customWidth="1"/>
    <col min="15368" max="15612" width="9.140625" style="14"/>
    <col min="15613" max="15613" width="8.7109375" style="14" customWidth="1"/>
    <col min="15614" max="15614" width="9.85546875" style="14" customWidth="1"/>
    <col min="15615" max="15615" width="14.42578125" style="14" customWidth="1"/>
    <col min="15616" max="15616" width="7.28515625" style="14" customWidth="1"/>
    <col min="15617" max="15617" width="5.5703125" style="14" customWidth="1"/>
    <col min="15618" max="15618" width="9" style="14" customWidth="1"/>
    <col min="15619" max="15620" width="9.85546875" style="14" customWidth="1"/>
    <col min="15621" max="15621" width="11.140625" style="14" customWidth="1"/>
    <col min="15622" max="15622" width="2.85546875" style="14" customWidth="1"/>
    <col min="15623" max="15623" width="3.5703125" style="14" customWidth="1"/>
    <col min="15624" max="15868" width="9.140625" style="14"/>
    <col min="15869" max="15869" width="8.7109375" style="14" customWidth="1"/>
    <col min="15870" max="15870" width="9.85546875" style="14" customWidth="1"/>
    <col min="15871" max="15871" width="14.42578125" style="14" customWidth="1"/>
    <col min="15872" max="15872" width="7.28515625" style="14" customWidth="1"/>
    <col min="15873" max="15873" width="5.5703125" style="14" customWidth="1"/>
    <col min="15874" max="15874" width="9" style="14" customWidth="1"/>
    <col min="15875" max="15876" width="9.85546875" style="14" customWidth="1"/>
    <col min="15877" max="15877" width="11.140625" style="14" customWidth="1"/>
    <col min="15878" max="15878" width="2.85546875" style="14" customWidth="1"/>
    <col min="15879" max="15879" width="3.5703125" style="14" customWidth="1"/>
    <col min="15880" max="16124" width="9.140625" style="14"/>
    <col min="16125" max="16125" width="8.7109375" style="14" customWidth="1"/>
    <col min="16126" max="16126" width="9.85546875" style="14" customWidth="1"/>
    <col min="16127" max="16127" width="14.42578125" style="14" customWidth="1"/>
    <col min="16128" max="16128" width="7.28515625" style="14" customWidth="1"/>
    <col min="16129" max="16129" width="5.5703125" style="14" customWidth="1"/>
    <col min="16130" max="16130" width="9" style="14" customWidth="1"/>
    <col min="16131" max="16132" width="9.85546875" style="14" customWidth="1"/>
    <col min="16133" max="16133" width="11.140625" style="14" customWidth="1"/>
    <col min="16134" max="16134" width="2.85546875" style="14" customWidth="1"/>
    <col min="16135" max="16135" width="3.5703125" style="14" customWidth="1"/>
    <col min="16136" max="16384" width="9.140625" style="14"/>
  </cols>
  <sheetData>
    <row r="1" spans="1:12" ht="46.5" customHeight="1">
      <c r="A1" s="131" t="s">
        <v>0</v>
      </c>
      <c r="B1" s="131"/>
      <c r="C1" s="131"/>
      <c r="D1" s="131"/>
      <c r="E1" s="131"/>
      <c r="F1" s="131"/>
      <c r="G1" s="131"/>
      <c r="H1" s="131"/>
    </row>
    <row r="2" spans="1:12" ht="16.5" customHeight="1">
      <c r="A2" s="75" t="s">
        <v>1</v>
      </c>
      <c r="B2" s="75"/>
      <c r="C2" s="75"/>
      <c r="D2" s="75"/>
      <c r="E2" s="75"/>
      <c r="F2" s="75"/>
      <c r="G2" s="75"/>
      <c r="H2" s="75"/>
    </row>
    <row r="3" spans="1:12">
      <c r="A3" s="67" t="s">
        <v>2</v>
      </c>
      <c r="B3" s="67"/>
      <c r="C3" s="67"/>
      <c r="D3" s="67"/>
      <c r="E3" s="132" t="str">
        <f ca="1">TEXT(TODAY(),"DD/MM/YYYY")</f>
        <v>09/09/2025</v>
      </c>
      <c r="F3" s="132"/>
      <c r="G3" s="132"/>
      <c r="H3" s="132"/>
    </row>
    <row r="4" spans="1:12" ht="15" customHeight="1">
      <c r="A4" s="67" t="s">
        <v>3</v>
      </c>
      <c r="B4" s="67"/>
      <c r="C4" s="67"/>
      <c r="D4" s="67"/>
      <c r="E4" s="127" t="s">
        <v>4</v>
      </c>
      <c r="F4" s="127"/>
      <c r="G4" s="127"/>
      <c r="H4" s="127"/>
    </row>
    <row r="5" spans="1:12">
      <c r="A5" s="67" t="s">
        <v>5</v>
      </c>
      <c r="B5" s="67"/>
      <c r="C5" s="67"/>
      <c r="D5" s="67"/>
      <c r="E5" s="133">
        <v>45907</v>
      </c>
      <c r="F5" s="133"/>
      <c r="G5" s="133"/>
      <c r="H5" s="133"/>
    </row>
    <row r="6" spans="1:12" ht="16.5" customHeight="1">
      <c r="A6" s="67" t="s">
        <v>6</v>
      </c>
      <c r="B6" s="67"/>
      <c r="C6" s="67"/>
      <c r="D6" s="67"/>
      <c r="E6" s="69" t="s">
        <v>7</v>
      </c>
      <c r="F6" s="69"/>
      <c r="G6" s="69"/>
      <c r="H6" s="69"/>
    </row>
    <row r="7" spans="1:12" ht="15" customHeight="1">
      <c r="A7" s="67" t="s">
        <v>8</v>
      </c>
      <c r="B7" s="67"/>
      <c r="C7" s="67"/>
      <c r="D7" s="67"/>
      <c r="E7" s="69" t="str">
        <f>E6</f>
        <v>M/s.Gurukrupa Construction CO.</v>
      </c>
      <c r="F7" s="69"/>
      <c r="G7" s="69"/>
      <c r="H7" s="69"/>
    </row>
    <row r="8" spans="1:12">
      <c r="A8" s="67" t="s">
        <v>9</v>
      </c>
      <c r="B8" s="67"/>
      <c r="C8" s="67"/>
      <c r="D8" s="67"/>
      <c r="E8" s="88" t="s">
        <v>10</v>
      </c>
      <c r="F8" s="88"/>
      <c r="G8" s="88"/>
      <c r="H8" s="88"/>
    </row>
    <row r="9" spans="1:12">
      <c r="A9" s="67" t="s">
        <v>11</v>
      </c>
      <c r="B9" s="67"/>
      <c r="C9" s="67"/>
      <c r="D9" s="67"/>
      <c r="E9" s="51">
        <v>9870732456</v>
      </c>
      <c r="F9" s="51"/>
      <c r="G9" s="51"/>
      <c r="H9" s="51"/>
    </row>
    <row r="10" spans="1:12">
      <c r="A10" s="67" t="s">
        <v>12</v>
      </c>
      <c r="B10" s="67"/>
      <c r="C10" s="67"/>
      <c r="D10" s="67"/>
      <c r="E10" s="51" t="s">
        <v>61</v>
      </c>
      <c r="F10" s="51"/>
      <c r="G10" s="51"/>
      <c r="H10" s="51"/>
      <c r="I10" s="14" t="s">
        <v>14</v>
      </c>
    </row>
    <row r="11" spans="1:12">
      <c r="A11" s="51" t="s">
        <v>15</v>
      </c>
      <c r="B11" s="51"/>
      <c r="C11" s="51"/>
      <c r="D11" s="51"/>
      <c r="E11" s="51" t="s">
        <v>16</v>
      </c>
      <c r="F11" s="51"/>
      <c r="G11" s="51"/>
      <c r="H11" s="51"/>
      <c r="I11" s="51" t="s">
        <v>13</v>
      </c>
      <c r="J11" s="51"/>
      <c r="K11" s="51"/>
      <c r="L11" s="51"/>
    </row>
    <row r="12" spans="1:12">
      <c r="A12" s="67" t="s">
        <v>17</v>
      </c>
      <c r="B12" s="67"/>
      <c r="C12" s="67"/>
      <c r="D12" s="67"/>
      <c r="E12" s="50" t="s">
        <v>18</v>
      </c>
      <c r="F12" s="50"/>
      <c r="G12" s="50"/>
      <c r="H12" s="50"/>
    </row>
    <row r="13" spans="1:12">
      <c r="A13" s="67" t="s">
        <v>19</v>
      </c>
      <c r="B13" s="67"/>
      <c r="C13" s="67"/>
      <c r="D13" s="67"/>
      <c r="E13" s="51" t="s">
        <v>20</v>
      </c>
      <c r="F13" s="51"/>
      <c r="G13" s="51"/>
      <c r="H13" s="51"/>
    </row>
    <row r="14" spans="1:12" ht="34.5" customHeight="1">
      <c r="A14" s="50" t="s">
        <v>21</v>
      </c>
      <c r="B14" s="50"/>
      <c r="C14" s="50" t="str">
        <f>CONCATENATE((IF(OR(E8="",E8="NA"),"",E8)),", ",(IF(OR(A15="",A15="NA"),"",A15)),".",(IF(OR(C15="",C15="NA"),"",C15)),", ",(IF(OR(C16="",C16="NA"),"",C16)),", ",(IF(OR(G16="",G16="NA"),"",G16)),", ",(IF(OR(C17="",C17="NA"),"",C17)),", ",(IF(OR(C18="",C18="NA"),"",C18)),", ",(IF(OR(G17="",G17="NA"),"",G17)),".")</f>
        <v>Gurukrupa Heights, Gut No.50/1A, Savroli - Kharpada Rd, Karadekhurd, Rasayani, Panvel, Raigad.</v>
      </c>
      <c r="D14" s="50"/>
      <c r="E14" s="50"/>
      <c r="F14" s="50"/>
      <c r="G14" s="50"/>
      <c r="H14" s="50"/>
    </row>
    <row r="15" spans="1:12" ht="15.75" customHeight="1">
      <c r="A15" s="50" t="s">
        <v>22</v>
      </c>
      <c r="B15" s="50"/>
      <c r="C15" s="50" t="s">
        <v>23</v>
      </c>
      <c r="D15" s="50"/>
      <c r="E15" s="50"/>
      <c r="F15" s="50"/>
      <c r="G15" s="50"/>
      <c r="H15" s="50"/>
    </row>
    <row r="16" spans="1:12" ht="15.75" customHeight="1">
      <c r="A16" s="50" t="s">
        <v>24</v>
      </c>
      <c r="B16" s="50"/>
      <c r="C16" s="51" t="s">
        <v>25</v>
      </c>
      <c r="D16" s="51"/>
      <c r="E16" s="50" t="s">
        <v>26</v>
      </c>
      <c r="F16" s="50"/>
      <c r="G16" s="50" t="s">
        <v>27</v>
      </c>
      <c r="H16" s="50"/>
    </row>
    <row r="17" spans="1:8">
      <c r="A17" s="51" t="s">
        <v>28</v>
      </c>
      <c r="B17" s="51"/>
      <c r="C17" s="50" t="s">
        <v>29</v>
      </c>
      <c r="D17" s="50"/>
      <c r="E17" s="50" t="s">
        <v>30</v>
      </c>
      <c r="F17" s="50"/>
      <c r="G17" s="130" t="s">
        <v>31</v>
      </c>
      <c r="H17" s="130"/>
    </row>
    <row r="18" spans="1:8">
      <c r="A18" s="51" t="s">
        <v>32</v>
      </c>
      <c r="B18" s="51"/>
      <c r="C18" s="50" t="s">
        <v>33</v>
      </c>
      <c r="D18" s="50"/>
      <c r="E18" s="50" t="s">
        <v>34</v>
      </c>
      <c r="F18" s="50"/>
      <c r="G18" s="50">
        <v>410220</v>
      </c>
      <c r="H18" s="50"/>
    </row>
    <row r="19" spans="1:8" ht="32.25" customHeight="1">
      <c r="A19" s="51" t="s">
        <v>35</v>
      </c>
      <c r="B19" s="51"/>
      <c r="C19" s="86" t="s">
        <v>36</v>
      </c>
      <c r="D19" s="86"/>
      <c r="E19" s="50" t="s">
        <v>37</v>
      </c>
      <c r="F19" s="50"/>
      <c r="G19" s="50" t="s">
        <v>38</v>
      </c>
      <c r="H19" s="50"/>
    </row>
    <row r="20" spans="1:8" ht="15" customHeight="1">
      <c r="A20" s="50" t="s">
        <v>39</v>
      </c>
      <c r="B20" s="50"/>
      <c r="C20" s="50"/>
      <c r="D20" s="50"/>
      <c r="E20" s="51" t="s">
        <v>40</v>
      </c>
      <c r="F20" s="51"/>
      <c r="G20" s="51"/>
      <c r="H20" s="51"/>
    </row>
    <row r="21" spans="1:8" ht="18.75" customHeight="1">
      <c r="A21" s="50"/>
      <c r="B21" s="50"/>
      <c r="C21" s="50"/>
      <c r="D21" s="50"/>
      <c r="E21" s="51"/>
      <c r="F21" s="51"/>
      <c r="G21" s="51"/>
      <c r="H21" s="51"/>
    </row>
    <row r="22" spans="1:8" ht="15" customHeight="1">
      <c r="A22" s="50" t="s">
        <v>41</v>
      </c>
      <c r="B22" s="50"/>
      <c r="C22" s="50"/>
      <c r="D22" s="50"/>
      <c r="E22" s="50" t="s">
        <v>42</v>
      </c>
      <c r="F22" s="50"/>
      <c r="G22" s="50"/>
      <c r="H22" s="50"/>
    </row>
    <row r="23" spans="1:8" ht="15" customHeight="1">
      <c r="A23" s="51" t="s">
        <v>43</v>
      </c>
      <c r="B23" s="51"/>
      <c r="C23" s="51"/>
      <c r="D23" s="51"/>
      <c r="E23" s="50" t="s">
        <v>44</v>
      </c>
      <c r="F23" s="50"/>
      <c r="G23" s="50"/>
      <c r="H23" s="50"/>
    </row>
    <row r="24" spans="1:8">
      <c r="A24" s="51" t="s">
        <v>45</v>
      </c>
      <c r="B24" s="51"/>
      <c r="C24" s="51"/>
      <c r="D24" s="51"/>
      <c r="E24" s="50" t="s">
        <v>46</v>
      </c>
      <c r="F24" s="50"/>
      <c r="G24" s="50"/>
      <c r="H24" s="50"/>
    </row>
    <row r="25" spans="1:8">
      <c r="A25" s="51" t="s">
        <v>47</v>
      </c>
      <c r="B25" s="51"/>
      <c r="C25" s="51"/>
      <c r="D25" s="51"/>
      <c r="E25" s="50" t="s">
        <v>48</v>
      </c>
      <c r="F25" s="50"/>
      <c r="G25" s="50"/>
      <c r="H25" s="50"/>
    </row>
    <row r="26" spans="1:8">
      <c r="A26" s="51" t="s">
        <v>49</v>
      </c>
      <c r="B26" s="51"/>
      <c r="C26" s="51"/>
      <c r="D26" s="51"/>
      <c r="E26" s="50" t="s">
        <v>50</v>
      </c>
      <c r="F26" s="50"/>
      <c r="G26" s="50"/>
      <c r="H26" s="50"/>
    </row>
    <row r="27" spans="1:8">
      <c r="A27" s="51" t="s">
        <v>51</v>
      </c>
      <c r="B27" s="51"/>
      <c r="C27" s="51"/>
      <c r="D27" s="51"/>
      <c r="E27" s="50" t="s">
        <v>52</v>
      </c>
      <c r="F27" s="50"/>
      <c r="G27" s="50"/>
      <c r="H27" s="50"/>
    </row>
    <row r="28" spans="1:8" ht="15" customHeight="1">
      <c r="A28" s="50" t="s">
        <v>53</v>
      </c>
      <c r="B28" s="50"/>
      <c r="C28" s="50"/>
      <c r="D28" s="50"/>
      <c r="E28" s="127" t="s">
        <v>54</v>
      </c>
      <c r="F28" s="127"/>
      <c r="G28" s="127"/>
      <c r="H28" s="127"/>
    </row>
    <row r="29" spans="1:8">
      <c r="A29" s="69" t="s">
        <v>55</v>
      </c>
      <c r="B29" s="69"/>
      <c r="C29" s="69"/>
      <c r="D29" s="69"/>
      <c r="E29" s="69" t="s">
        <v>56</v>
      </c>
      <c r="F29" s="69"/>
      <c r="G29" s="69"/>
      <c r="H29" s="69"/>
    </row>
    <row r="30" spans="1:8" s="6" customFormat="1">
      <c r="A30" s="128" t="s">
        <v>57</v>
      </c>
      <c r="B30" s="128"/>
      <c r="C30" s="129" t="s">
        <v>58</v>
      </c>
      <c r="D30" s="129"/>
      <c r="E30" s="129"/>
      <c r="F30" s="129" t="s">
        <v>59</v>
      </c>
      <c r="G30" s="129"/>
      <c r="H30" s="129"/>
    </row>
    <row r="31" spans="1:8" s="6" customFormat="1">
      <c r="A31" s="121" t="s">
        <v>60</v>
      </c>
      <c r="B31" s="121" t="s">
        <v>61</v>
      </c>
      <c r="C31" s="122" t="s">
        <v>61</v>
      </c>
      <c r="D31" s="122"/>
      <c r="E31" s="122"/>
      <c r="F31" s="122" t="s">
        <v>25</v>
      </c>
      <c r="G31" s="122"/>
      <c r="H31" s="122"/>
    </row>
    <row r="32" spans="1:8">
      <c r="A32" s="121" t="s">
        <v>62</v>
      </c>
      <c r="B32" s="121" t="s">
        <v>61</v>
      </c>
      <c r="C32" s="122" t="s">
        <v>61</v>
      </c>
      <c r="D32" s="122"/>
      <c r="E32" s="122"/>
      <c r="F32" s="122" t="s">
        <v>36</v>
      </c>
      <c r="G32" s="122"/>
      <c r="H32" s="122"/>
    </row>
    <row r="33" spans="1:8" s="6" customFormat="1">
      <c r="A33" s="121" t="s">
        <v>63</v>
      </c>
      <c r="B33" s="121" t="s">
        <v>61</v>
      </c>
      <c r="C33" s="122" t="s">
        <v>61</v>
      </c>
      <c r="D33" s="122"/>
      <c r="E33" s="122"/>
      <c r="F33" s="122" t="s">
        <v>24</v>
      </c>
      <c r="G33" s="122"/>
      <c r="H33" s="122"/>
    </row>
    <row r="34" spans="1:8">
      <c r="A34" s="121" t="s">
        <v>64</v>
      </c>
      <c r="B34" s="121" t="s">
        <v>61</v>
      </c>
      <c r="C34" s="122" t="s">
        <v>61</v>
      </c>
      <c r="D34" s="122"/>
      <c r="E34" s="122"/>
      <c r="F34" s="122" t="s">
        <v>65</v>
      </c>
      <c r="G34" s="122"/>
      <c r="H34" s="122"/>
    </row>
    <row r="35" spans="1:8">
      <c r="A35" s="67" t="s">
        <v>66</v>
      </c>
      <c r="B35" s="67"/>
      <c r="C35" s="67"/>
      <c r="D35" s="67"/>
      <c r="E35" s="67"/>
      <c r="F35" s="67"/>
      <c r="G35" s="67"/>
      <c r="H35" s="67"/>
    </row>
    <row r="36" spans="1:8" ht="15.75" customHeight="1">
      <c r="A36" s="75" t="s">
        <v>67</v>
      </c>
      <c r="B36" s="75"/>
      <c r="C36" s="123" t="s">
        <v>68</v>
      </c>
      <c r="D36" s="124"/>
      <c r="E36" s="124"/>
      <c r="F36" s="124"/>
      <c r="G36" s="124"/>
      <c r="H36" s="125"/>
    </row>
    <row r="37" spans="1:8" ht="15.75" customHeight="1">
      <c r="A37" s="75" t="s">
        <v>69</v>
      </c>
      <c r="B37" s="75"/>
      <c r="C37" s="126" t="s">
        <v>70</v>
      </c>
      <c r="D37" s="124"/>
      <c r="E37" s="124"/>
      <c r="F37" s="124"/>
      <c r="G37" s="124"/>
      <c r="H37" s="125"/>
    </row>
    <row r="38" spans="1:8">
      <c r="A38" s="84" t="s">
        <v>71</v>
      </c>
      <c r="B38" s="84"/>
      <c r="C38" s="84"/>
      <c r="D38" s="84"/>
      <c r="E38" s="84"/>
      <c r="F38" s="84"/>
      <c r="G38" s="84"/>
      <c r="H38" s="84"/>
    </row>
    <row r="39" spans="1:8">
      <c r="A39" s="67" t="s">
        <v>72</v>
      </c>
      <c r="B39" s="67"/>
      <c r="C39" s="67"/>
      <c r="D39" s="67"/>
      <c r="E39" s="118">
        <v>6354</v>
      </c>
      <c r="F39" s="118"/>
      <c r="G39" s="118"/>
      <c r="H39" s="118"/>
    </row>
    <row r="40" spans="1:8">
      <c r="A40" s="67" t="s">
        <v>73</v>
      </c>
      <c r="B40" s="67"/>
      <c r="C40" s="67"/>
      <c r="D40" s="67"/>
      <c r="E40" s="119">
        <v>1.2</v>
      </c>
      <c r="F40" s="119"/>
      <c r="G40" s="119"/>
      <c r="H40" s="119"/>
    </row>
    <row r="41" spans="1:8">
      <c r="A41" s="67" t="s">
        <v>74</v>
      </c>
      <c r="B41" s="67"/>
      <c r="C41" s="67"/>
      <c r="D41" s="67"/>
      <c r="E41" s="119">
        <f>E43/E39-E40</f>
        <v>0.20000000000000018</v>
      </c>
      <c r="F41" s="119"/>
      <c r="G41" s="119"/>
      <c r="H41" s="119"/>
    </row>
    <row r="42" spans="1:8">
      <c r="A42" s="67" t="s">
        <v>75</v>
      </c>
      <c r="B42" s="67"/>
      <c r="C42" s="67"/>
      <c r="D42" s="67"/>
      <c r="E42" s="119">
        <f>E40+E41</f>
        <v>1.4000000000000001</v>
      </c>
      <c r="F42" s="119"/>
      <c r="G42" s="119"/>
      <c r="H42" s="119"/>
    </row>
    <row r="43" spans="1:8">
      <c r="A43" s="67" t="s">
        <v>76</v>
      </c>
      <c r="B43" s="67"/>
      <c r="C43" s="67"/>
      <c r="D43" s="67"/>
      <c r="E43" s="120">
        <v>8895.6</v>
      </c>
      <c r="F43" s="120"/>
      <c r="G43" s="120"/>
      <c r="H43" s="120"/>
    </row>
    <row r="44" spans="1:8">
      <c r="A44" s="51" t="s">
        <v>77</v>
      </c>
      <c r="B44" s="51"/>
      <c r="C44" s="51"/>
      <c r="D44" s="51"/>
      <c r="E44" s="51" t="s">
        <v>78</v>
      </c>
      <c r="F44" s="51"/>
      <c r="G44" s="51"/>
      <c r="H44" s="51"/>
    </row>
    <row r="45" spans="1:8">
      <c r="A45" s="84" t="s">
        <v>79</v>
      </c>
      <c r="B45" s="84"/>
      <c r="C45" s="84"/>
      <c r="D45" s="84"/>
      <c r="E45" s="84"/>
      <c r="F45" s="84"/>
      <c r="G45" s="84"/>
      <c r="H45" s="84"/>
    </row>
    <row r="46" spans="1:8">
      <c r="A46" s="69" t="s">
        <v>80</v>
      </c>
      <c r="B46" s="69"/>
      <c r="C46" s="86" t="s">
        <v>81</v>
      </c>
      <c r="D46" s="86"/>
      <c r="E46" s="86"/>
      <c r="F46" s="16" t="s">
        <v>82</v>
      </c>
      <c r="G46" s="117">
        <v>43844</v>
      </c>
      <c r="H46" s="50"/>
    </row>
    <row r="47" spans="1:8">
      <c r="A47" s="69" t="s">
        <v>83</v>
      </c>
      <c r="B47" s="69"/>
      <c r="C47" s="86" t="str">
        <f>C46</f>
        <v>MS/AL.AN.A.1/AS.AR/J.KR.253/2018</v>
      </c>
      <c r="D47" s="86"/>
      <c r="E47" s="86"/>
      <c r="F47" s="16" t="s">
        <v>82</v>
      </c>
      <c r="G47" s="117">
        <f>G46</f>
        <v>43844</v>
      </c>
      <c r="H47" s="117"/>
    </row>
    <row r="48" spans="1:8" s="7" customFormat="1" ht="31.5" customHeight="1">
      <c r="A48" s="50" t="s">
        <v>84</v>
      </c>
      <c r="B48" s="50"/>
      <c r="C48" s="86" t="s">
        <v>85</v>
      </c>
      <c r="D48" s="85"/>
      <c r="E48" s="85"/>
      <c r="F48" s="17" t="s">
        <v>82</v>
      </c>
      <c r="G48" s="108">
        <f>G47</f>
        <v>43844</v>
      </c>
      <c r="H48" s="108"/>
    </row>
    <row r="49" spans="1:11" s="7" customFormat="1">
      <c r="A49" s="50"/>
      <c r="B49" s="50"/>
      <c r="C49" s="109" t="s">
        <v>86</v>
      </c>
      <c r="D49" s="110"/>
      <c r="E49" s="110"/>
      <c r="F49" s="110"/>
      <c r="G49" s="110"/>
      <c r="H49" s="111"/>
    </row>
    <row r="50" spans="1:11">
      <c r="A50" s="112" t="s">
        <v>87</v>
      </c>
      <c r="B50" s="112"/>
      <c r="C50" s="113" t="s">
        <v>88</v>
      </c>
      <c r="D50" s="114"/>
      <c r="E50" s="114" t="s">
        <v>89</v>
      </c>
      <c r="F50" s="18" t="s">
        <v>82</v>
      </c>
      <c r="G50" s="100" t="s">
        <v>61</v>
      </c>
      <c r="H50" s="115"/>
    </row>
    <row r="51" spans="1:11">
      <c r="A51" s="116" t="s">
        <v>90</v>
      </c>
      <c r="B51" s="116"/>
      <c r="C51" s="116"/>
      <c r="D51" s="116"/>
      <c r="E51" s="116"/>
      <c r="F51" s="116"/>
      <c r="G51" s="116"/>
      <c r="H51" s="116"/>
    </row>
    <row r="52" spans="1:11">
      <c r="A52" s="69" t="s">
        <v>91</v>
      </c>
      <c r="B52" s="69"/>
      <c r="C52" s="69"/>
      <c r="D52" s="67">
        <f>E43</f>
        <v>8895.6</v>
      </c>
      <c r="E52" s="67"/>
      <c r="F52" s="67"/>
      <c r="G52" s="67"/>
      <c r="H52" s="67"/>
    </row>
    <row r="53" spans="1:11">
      <c r="A53" s="50" t="s">
        <v>92</v>
      </c>
      <c r="B53" s="51"/>
      <c r="C53" s="51"/>
      <c r="D53" s="51" t="s">
        <v>93</v>
      </c>
      <c r="E53" s="51"/>
      <c r="F53" s="51"/>
      <c r="G53" s="51"/>
      <c r="H53" s="51"/>
    </row>
    <row r="54" spans="1:11">
      <c r="A54" s="50" t="s">
        <v>94</v>
      </c>
      <c r="B54" s="51"/>
      <c r="C54" s="51"/>
      <c r="D54" s="51" t="s">
        <v>95</v>
      </c>
      <c r="E54" s="51"/>
      <c r="F54" s="51"/>
      <c r="G54" s="51"/>
      <c r="H54" s="51"/>
    </row>
    <row r="55" spans="1:11">
      <c r="A55" s="50" t="s">
        <v>96</v>
      </c>
      <c r="B55" s="51"/>
      <c r="C55" s="51"/>
      <c r="D55" s="51" t="s">
        <v>95</v>
      </c>
      <c r="E55" s="51"/>
      <c r="F55" s="51"/>
      <c r="G55" s="51"/>
      <c r="H55" s="51"/>
    </row>
    <row r="56" spans="1:11" ht="15.75" customHeight="1">
      <c r="A56" s="51" t="s">
        <v>97</v>
      </c>
      <c r="B56" s="51"/>
      <c r="C56" s="51"/>
      <c r="D56" s="50" t="s">
        <v>232</v>
      </c>
      <c r="E56" s="50"/>
      <c r="F56" s="50"/>
      <c r="G56" s="50"/>
      <c r="H56" s="50"/>
    </row>
    <row r="57" spans="1:11" ht="15.75" customHeight="1">
      <c r="A57" s="51" t="s">
        <v>98</v>
      </c>
      <c r="B57" s="51"/>
      <c r="C57" s="51"/>
      <c r="D57" s="50" t="s">
        <v>99</v>
      </c>
      <c r="E57" s="50"/>
      <c r="F57" s="50"/>
      <c r="G57" s="50"/>
      <c r="H57" s="50"/>
    </row>
    <row r="58" spans="1:11" ht="15.75" customHeight="1">
      <c r="A58" s="51" t="s">
        <v>100</v>
      </c>
      <c r="B58" s="51"/>
      <c r="C58" s="51"/>
      <c r="D58" s="50" t="s">
        <v>50</v>
      </c>
      <c r="E58" s="50"/>
      <c r="F58" s="50"/>
      <c r="G58" s="50"/>
      <c r="H58" s="50"/>
      <c r="J58" s="24"/>
      <c r="K58" s="24"/>
    </row>
    <row r="59" spans="1:11" ht="16.5" customHeight="1">
      <c r="A59" s="106" t="s">
        <v>101</v>
      </c>
      <c r="B59" s="106"/>
      <c r="C59" s="106"/>
      <c r="D59" s="107" t="s">
        <v>102</v>
      </c>
      <c r="E59" s="107"/>
      <c r="F59" s="107"/>
      <c r="G59" s="107"/>
      <c r="H59" s="107"/>
      <c r="J59" s="24"/>
      <c r="K59" s="24"/>
    </row>
    <row r="60" spans="1:11" ht="16.5" customHeight="1">
      <c r="A60" s="94" t="s">
        <v>103</v>
      </c>
      <c r="B60" s="95"/>
      <c r="C60" s="96" t="s">
        <v>104</v>
      </c>
      <c r="D60" s="97"/>
      <c r="E60" s="97"/>
      <c r="F60" s="97"/>
      <c r="G60" s="97"/>
      <c r="H60" s="98"/>
      <c r="I60" s="25" t="str">
        <f ca="1">(IF(E64&gt;99%,"All work completed. Please provide OC.",IF(E64&gt;89.8%,"Plinth, RCC, Brick, Plaster, Flooring, Painting work Completed. Finishing work is in process.",IF(E64&lt;94%,(IF(C64=0,"Work not yet Started.",IF(D64=25%,"Piling work in process",IF(D64=50%,"Excavation work in process",IF(D64=100%,"Excavation work Completed. ","0")))&amp;(IF(C65=0%,"",IF(C65=J66,"Footing work is process",IF(C65=J67,"Footing work Completed",IF(C65=J68,"1st Basement Completed",IF(C65=J69,"1st &amp; 2nd Basement Completed",IF(C65=J70,"1st to 3rd Basement Completed",IF(C65=J71,"1st to 4th Basement Completed",IF(C65=J72,"Plinth work is process",IF(C65=J73,"Plinth work completed","0")))))))))))&amp;(IF(C66=(D61+F61+H61),", RCC Slab",IF(C66&gt;0,", RCC upto "&amp;C66&amp;" Slab",""))&amp;(IF(C67=H61,", Brickwork",IF(C67&gt;0,", Brickwork upto "&amp;C67&amp;" Floor",""))&amp;(IF(C68=H61,", Internal Plaster",IF(C68&gt;0,", Internal Plaster upto "&amp;C68&amp;" Floor",""))&amp;(IF(C69=H61,", External Plaster",IF(C69&gt;0,", External Plaster upto "&amp;C69&amp;" Floor",""))&amp;(IF(C70=H61,", Flooring",IF(C70&gt;0,", Flooring upto "&amp;C70&amp;" Floor",""))&amp;(IF(C71=H61,", Painting",IF(C71&gt;0,", Painting upto "&amp;C71&amp;" Floor",""))&amp;(IF(C72&gt;0,", Finishing upto "&amp;C72&amp;" Floor","")&amp;(IF(C66&gt;0.5," Completed",""))))))))))))))</f>
        <v>Excavation work Completed. Plinth work completed, RCC Slab, Brickwork, Internal Plaster upto 7 Floor Completed</v>
      </c>
      <c r="J60" s="26"/>
      <c r="K60" s="24"/>
    </row>
    <row r="61" spans="1:11" ht="16.5" customHeight="1">
      <c r="A61" s="19" t="s">
        <v>105</v>
      </c>
      <c r="B61" s="15">
        <v>0</v>
      </c>
      <c r="C61" s="15" t="s">
        <v>106</v>
      </c>
      <c r="D61" s="15">
        <v>1</v>
      </c>
      <c r="E61" s="15" t="s">
        <v>107</v>
      </c>
      <c r="F61" s="15">
        <v>0</v>
      </c>
      <c r="G61" s="15" t="s">
        <v>108</v>
      </c>
      <c r="H61" s="20">
        <f ca="1">--TRIM(RIGHT(SUBSTITUTE(LEFT(C60,_xlfn.AGGREGATE(16,6,FIND({0,1,2,3,4,5,6,7,8,9},C60,ROW(INDIRECT("1:"&amp;LEN(C60)))),1))," ",REPT(" ",LEN(C60))),LEN(C60)))</f>
        <v>8</v>
      </c>
      <c r="I61" s="24"/>
      <c r="J61" s="27"/>
      <c r="K61" s="24"/>
    </row>
    <row r="62" spans="1:11" ht="33.950000000000003" customHeight="1">
      <c r="A62" s="99" t="s">
        <v>109</v>
      </c>
      <c r="B62" s="88"/>
      <c r="C62" s="100" t="str">
        <f ca="1">I60</f>
        <v>Excavation work Completed. Plinth work completed, RCC Slab, Brickwork, Internal Plaster upto 7 Floor Completed</v>
      </c>
      <c r="D62" s="101"/>
      <c r="E62" s="101"/>
      <c r="F62" s="101"/>
      <c r="G62" s="101"/>
      <c r="H62" s="102"/>
      <c r="I62" s="24" t="s">
        <v>110</v>
      </c>
      <c r="J62" s="27"/>
      <c r="K62" s="24"/>
    </row>
    <row r="63" spans="1:11" ht="16.5" customHeight="1">
      <c r="A63" s="90" t="s">
        <v>111</v>
      </c>
      <c r="B63" s="91"/>
      <c r="C63" s="21" t="s">
        <v>112</v>
      </c>
      <c r="D63" s="21" t="s">
        <v>113</v>
      </c>
      <c r="E63" s="103" t="s">
        <v>114</v>
      </c>
      <c r="F63" s="104"/>
      <c r="G63" s="103" t="s">
        <v>115</v>
      </c>
      <c r="H63" s="105"/>
      <c r="I63" s="28" t="s">
        <v>116</v>
      </c>
      <c r="J63" s="29">
        <f ca="1">H61*25%</f>
        <v>2</v>
      </c>
      <c r="K63" s="24"/>
    </row>
    <row r="64" spans="1:11" ht="16.5" customHeight="1">
      <c r="A64" s="90" t="s">
        <v>117</v>
      </c>
      <c r="B64" s="91"/>
      <c r="C64" s="22">
        <f ca="1">J65</f>
        <v>8</v>
      </c>
      <c r="D64" s="23">
        <f ca="1">((100/H61)*C64)/100</f>
        <v>1</v>
      </c>
      <c r="E64" s="52">
        <f ca="1">(((C65/H61*10)+(40/(D61+F61+H61)*C66)+(7.5/(H61)*C67)+(7.5/(H61)*C68)+(10/H61*C69)+(10/H61*C70)+(5/H61*C71)+(5/H61*C72)+(5/H61*C73))/100)</f>
        <v>0.640625</v>
      </c>
      <c r="F64" s="53"/>
      <c r="G64" s="52">
        <f ca="1">((((C64/H61)*20)+((C65/H61)*25)+(30/(H61+F61+D61)*C66)+(5/H61*C67)+(5/H61*C68)+(5/H61*C69)+(5/H61*C70)+(0/H61*C71)+(0/H61*C72)+(5/H61*C73))/100)</f>
        <v>0.84375</v>
      </c>
      <c r="H64" s="58"/>
      <c r="I64" s="28" t="s">
        <v>118</v>
      </c>
      <c r="J64" s="30">
        <f ca="1">H61*50%</f>
        <v>4</v>
      </c>
      <c r="K64" s="24"/>
    </row>
    <row r="65" spans="1:11" ht="16.5" customHeight="1">
      <c r="A65" s="90" t="s">
        <v>119</v>
      </c>
      <c r="B65" s="91"/>
      <c r="C65" s="31">
        <f ca="1">J73</f>
        <v>8</v>
      </c>
      <c r="D65" s="23">
        <f ca="1">((100/H61)*C65)/100</f>
        <v>1</v>
      </c>
      <c r="E65" s="54"/>
      <c r="F65" s="55"/>
      <c r="G65" s="54"/>
      <c r="H65" s="59"/>
      <c r="I65" s="28" t="s">
        <v>120</v>
      </c>
      <c r="J65" s="30">
        <f ca="1">H61</f>
        <v>8</v>
      </c>
      <c r="K65" s="24"/>
    </row>
    <row r="66" spans="1:11" ht="16.5" customHeight="1">
      <c r="A66" s="90" t="s">
        <v>121</v>
      </c>
      <c r="B66" s="91"/>
      <c r="C66" s="31">
        <v>9</v>
      </c>
      <c r="D66" s="23">
        <f ca="1">((100/(D61+F61+H61))*C66)/100</f>
        <v>1</v>
      </c>
      <c r="E66" s="54"/>
      <c r="F66" s="55"/>
      <c r="G66" s="54"/>
      <c r="H66" s="59"/>
      <c r="I66" s="28" t="s">
        <v>122</v>
      </c>
      <c r="J66" s="40">
        <f ca="1">(IF(B61&gt;1,(H61/(B61+2)),H61/4))</f>
        <v>2</v>
      </c>
      <c r="K66" s="24"/>
    </row>
    <row r="67" spans="1:11" ht="16.5" customHeight="1">
      <c r="A67" s="90" t="s">
        <v>123</v>
      </c>
      <c r="B67" s="91" t="s">
        <v>124</v>
      </c>
      <c r="C67" s="22">
        <v>8</v>
      </c>
      <c r="D67" s="23">
        <f ca="1">((100/H61)*C67)/100</f>
        <v>1</v>
      </c>
      <c r="E67" s="54"/>
      <c r="F67" s="55"/>
      <c r="G67" s="54"/>
      <c r="H67" s="59"/>
      <c r="I67" s="28" t="s">
        <v>125</v>
      </c>
      <c r="J67" s="40">
        <f ca="1">(IF(B61&gt;1,(H61/(B61+2)+J66),H61/4+J66))</f>
        <v>4</v>
      </c>
      <c r="K67" s="24"/>
    </row>
    <row r="68" spans="1:11" ht="16.5" customHeight="1">
      <c r="A68" s="90" t="s">
        <v>126</v>
      </c>
      <c r="B68" s="91" t="s">
        <v>124</v>
      </c>
      <c r="C68" s="22">
        <v>7</v>
      </c>
      <c r="D68" s="23">
        <f ca="1">((100/H61)*C68)/100</f>
        <v>0.875</v>
      </c>
      <c r="E68" s="54"/>
      <c r="F68" s="55"/>
      <c r="G68" s="54"/>
      <c r="H68" s="59"/>
      <c r="I68" s="28" t="s">
        <v>127</v>
      </c>
      <c r="J68" s="40">
        <f>(IF(B61&gt;1,(H61/(B61+2)+J67),0))</f>
        <v>0</v>
      </c>
      <c r="K68" s="24"/>
    </row>
    <row r="69" spans="1:11" ht="16.5" customHeight="1">
      <c r="A69" s="90" t="s">
        <v>128</v>
      </c>
      <c r="B69" s="91" t="s">
        <v>129</v>
      </c>
      <c r="C69" s="22">
        <v>0</v>
      </c>
      <c r="D69" s="23">
        <f ca="1">((100/(H61))*C69)/100</f>
        <v>0</v>
      </c>
      <c r="E69" s="54"/>
      <c r="F69" s="55"/>
      <c r="G69" s="54"/>
      <c r="H69" s="59"/>
      <c r="I69" s="28" t="s">
        <v>130</v>
      </c>
      <c r="J69" s="40">
        <f>(IF(B61&gt;2,(H61/(B61+2)+J68),0))</f>
        <v>0</v>
      </c>
      <c r="K69" s="24"/>
    </row>
    <row r="70" spans="1:11" ht="16.5" customHeight="1">
      <c r="A70" s="90" t="s">
        <v>131</v>
      </c>
      <c r="B70" s="91" t="s">
        <v>131</v>
      </c>
      <c r="C70" s="22">
        <v>0</v>
      </c>
      <c r="D70" s="23">
        <f ca="1">((100/H61)*C70)/100</f>
        <v>0</v>
      </c>
      <c r="E70" s="54"/>
      <c r="F70" s="55"/>
      <c r="G70" s="54"/>
      <c r="H70" s="59"/>
      <c r="I70" s="28" t="s">
        <v>132</v>
      </c>
      <c r="J70" s="41">
        <f>(IF(B61&gt;3,(H61/(B61+2)+J69),0))</f>
        <v>0</v>
      </c>
      <c r="K70" s="24"/>
    </row>
    <row r="71" spans="1:11" ht="16.5" customHeight="1">
      <c r="A71" s="90" t="s">
        <v>133</v>
      </c>
      <c r="B71" s="91"/>
      <c r="C71" s="22">
        <v>0</v>
      </c>
      <c r="D71" s="23">
        <f ca="1">((100/H61)*C71)/100</f>
        <v>0</v>
      </c>
      <c r="E71" s="54"/>
      <c r="F71" s="55"/>
      <c r="G71" s="54"/>
      <c r="H71" s="59"/>
      <c r="I71" s="28" t="s">
        <v>134</v>
      </c>
      <c r="J71" s="40">
        <f>(IF(B61&gt;4,(H61/(B61+2)+J70),0))</f>
        <v>0</v>
      </c>
      <c r="K71" s="24"/>
    </row>
    <row r="72" spans="1:11" ht="16.5" customHeight="1">
      <c r="A72" s="90" t="s">
        <v>135</v>
      </c>
      <c r="B72" s="91" t="s">
        <v>135</v>
      </c>
      <c r="C72" s="22">
        <v>0</v>
      </c>
      <c r="D72" s="23">
        <f ca="1">((100/(H61))*C72)/100</f>
        <v>0</v>
      </c>
      <c r="E72" s="54"/>
      <c r="F72" s="55"/>
      <c r="G72" s="54"/>
      <c r="H72" s="59"/>
      <c r="I72" s="28" t="s">
        <v>136</v>
      </c>
      <c r="J72" s="40">
        <f ca="1">(IF(B61=1,(H61/(B61+3)+J67),IF(B61=0,(H61/4+J67),IF(B61&gt;1,0))))</f>
        <v>6</v>
      </c>
      <c r="K72" s="24"/>
    </row>
    <row r="73" spans="1:11" ht="16.5" customHeight="1">
      <c r="A73" s="92" t="s">
        <v>137</v>
      </c>
      <c r="B73" s="93"/>
      <c r="C73" s="32">
        <v>0</v>
      </c>
      <c r="D73" s="33">
        <f ca="1">((100/(H61))*C73)/100</f>
        <v>0</v>
      </c>
      <c r="E73" s="56"/>
      <c r="F73" s="57"/>
      <c r="G73" s="56"/>
      <c r="H73" s="60"/>
      <c r="I73" s="42" t="s">
        <v>138</v>
      </c>
      <c r="J73" s="43">
        <f ca="1">(IF(B61&gt;1.5,(H61/(B61+2)+J67+MAX(0,J68-J67)+MAX(0,J69-J68)+MAX(0,J70-J69)+MAX(0,J71-J70)+MAX(0,J72-J71)),IF(B61=1,(H61/(B61+3)+J72),IF(B61=0,H61/4+J72))))</f>
        <v>8</v>
      </c>
      <c r="K73" s="24"/>
    </row>
    <row r="74" spans="1:11" ht="16.5" customHeight="1">
      <c r="A74" s="94" t="s">
        <v>103</v>
      </c>
      <c r="B74" s="95"/>
      <c r="C74" s="96" t="s">
        <v>139</v>
      </c>
      <c r="D74" s="97"/>
      <c r="E74" s="97"/>
      <c r="F74" s="97"/>
      <c r="G74" s="97"/>
      <c r="H74" s="98"/>
      <c r="I74" s="25" t="str">
        <f ca="1">(IF(E78&gt;99%,"All work completed. Please provide OC.",IF(E78&gt;89.8%,"Plinth, RCC, Brick, Plaster, Flooring, Painting work Completed. Finishing work is in process.",IF(E78&lt;94%,(IF(C78=0,"Work not yet Started.",IF(D78=25%,"Piling work in process",IF(D78=50%,"Excavation work in process",IF(D78=100%,"Excavation work Completed. ","0")))&amp;(IF(C79=0%,"",IF(C79=J80,"Footing work is process",IF(C79=J81,"Footing work Completed",IF(C79=J82,"1st Basement Completed",IF(C79=J83,"1st &amp; 2nd Basement Completed",IF(C79=J84,"1st to 3rd Basement Completed",IF(C79=J85,"1st to 4th Basement Completed",IF(C79=J86,"Plinth work is process",IF(C79=J87,"Plinth work completed","0")))))))))))&amp;(IF(C80=(D75+F75+H75),", RCC Slab",IF(C80&gt;0,", RCC upto "&amp;C80&amp;" Slab",""))&amp;(IF(C81=H75,", Brickwork",IF(C81&gt;0,", Brickwork upto "&amp;C81&amp;" Floor",""))&amp;(IF(C82=H75,", Internal Plaster",IF(C82&gt;0,", Internal Plaster upto "&amp;C82&amp;" Floor",""))&amp;(IF(C83=H75,", External Plaster",IF(C83&gt;0,", External Plaster upto "&amp;C83&amp;" Floor",""))&amp;(IF(C84=H75,", Flooring",IF(C84&gt;0,", Flooring upto "&amp;C84&amp;" Floor",""))&amp;(IF(C85=H75,", Painting",IF(C85&gt;0,", Painting upto "&amp;C85&amp;" Floor",""))&amp;(IF(C86&gt;0,", Finishing upto "&amp;C86&amp;" Floor","")&amp;(IF(C80&gt;0.5," Completed",""))))))))))))))</f>
        <v>Excavation work Completed. Plinth work completed, RCC Slab, Brickwork, Internal Plaster, External Plaster, Flooring upto 3 Floor Completed</v>
      </c>
      <c r="J74" s="26"/>
      <c r="K74" s="24"/>
    </row>
    <row r="75" spans="1:11" ht="16.5" customHeight="1">
      <c r="A75" s="19" t="s">
        <v>105</v>
      </c>
      <c r="B75" s="15">
        <v>0</v>
      </c>
      <c r="C75" s="15" t="s">
        <v>106</v>
      </c>
      <c r="D75" s="15">
        <v>1</v>
      </c>
      <c r="E75" s="15" t="s">
        <v>107</v>
      </c>
      <c r="F75" s="15">
        <v>0</v>
      </c>
      <c r="G75" s="15" t="s">
        <v>108</v>
      </c>
      <c r="H75" s="20">
        <f ca="1">--TRIM(RIGHT(SUBSTITUTE(LEFT(C74,_xlfn.AGGREGATE(16,6,FIND({0,1,2,3,4,5,6,7,8,9},C74,ROW(INDIRECT("1:"&amp;LEN(C74)))),1))," ",REPT(" ",LEN(C74))),LEN(C74)))</f>
        <v>8</v>
      </c>
      <c r="I75" s="24"/>
      <c r="J75" s="27"/>
      <c r="K75" s="24"/>
    </row>
    <row r="76" spans="1:11" ht="35.25" customHeight="1">
      <c r="A76" s="99" t="s">
        <v>109</v>
      </c>
      <c r="B76" s="88"/>
      <c r="C76" s="100" t="str">
        <f ca="1">I74</f>
        <v>Excavation work Completed. Plinth work completed, RCC Slab, Brickwork, Internal Plaster, External Plaster, Flooring upto 3 Floor Completed</v>
      </c>
      <c r="D76" s="101"/>
      <c r="E76" s="101"/>
      <c r="F76" s="101"/>
      <c r="G76" s="101"/>
      <c r="H76" s="102"/>
      <c r="I76" s="24" t="s">
        <v>110</v>
      </c>
      <c r="J76" s="27"/>
      <c r="K76" s="24"/>
    </row>
    <row r="77" spans="1:11">
      <c r="A77" s="90" t="s">
        <v>111</v>
      </c>
      <c r="B77" s="91"/>
      <c r="C77" s="21" t="s">
        <v>112</v>
      </c>
      <c r="D77" s="21" t="s">
        <v>113</v>
      </c>
      <c r="E77" s="103" t="s">
        <v>114</v>
      </c>
      <c r="F77" s="104"/>
      <c r="G77" s="103" t="s">
        <v>115</v>
      </c>
      <c r="H77" s="105"/>
      <c r="I77" s="28" t="s">
        <v>116</v>
      </c>
      <c r="J77" s="29">
        <f ca="1">H75*25%</f>
        <v>2</v>
      </c>
      <c r="K77" s="24"/>
    </row>
    <row r="78" spans="1:11" ht="16.5" customHeight="1">
      <c r="A78" s="90" t="s">
        <v>117</v>
      </c>
      <c r="B78" s="91"/>
      <c r="C78" s="22">
        <f ca="1">J79</f>
        <v>8</v>
      </c>
      <c r="D78" s="23">
        <f ca="1">((100/H75)*C78)/100</f>
        <v>1</v>
      </c>
      <c r="E78" s="52">
        <f ca="1">(((C79/H75*10)+(40/(D75+F75+H75)*C80)+(7.5/(H75)*C81)+(7.5/(H75)*C82)+(10/H75*C83)+(10/H75*C84)+(5/H75*C85)+(5/H75*C86)+(5/H75*C87))/100)</f>
        <v>0.78749999999999998</v>
      </c>
      <c r="F78" s="53"/>
      <c r="G78" s="52">
        <f ca="1">((((C78/H75)*20)+((C79/H75)*25)+(30/(H75+F75+D75)*C80)+(5/H75*C81)+(5/H75*C82)+(5/H75*C83)+(5/H75*C84)+(0/H75*C85)+(0/H75*C86)+(5/H75*C87))/100)</f>
        <v>0.91874999999999996</v>
      </c>
      <c r="H78" s="58"/>
      <c r="I78" s="28" t="s">
        <v>118</v>
      </c>
      <c r="J78" s="30">
        <f ca="1">H75*50%</f>
        <v>4</v>
      </c>
      <c r="K78" s="24"/>
    </row>
    <row r="79" spans="1:11" ht="16.5" customHeight="1">
      <c r="A79" s="90" t="s">
        <v>119</v>
      </c>
      <c r="B79" s="91"/>
      <c r="C79" s="31">
        <v>8</v>
      </c>
      <c r="D79" s="23">
        <f ca="1">((100/H75)*C79)/100</f>
        <v>1</v>
      </c>
      <c r="E79" s="54"/>
      <c r="F79" s="55"/>
      <c r="G79" s="54"/>
      <c r="H79" s="59"/>
      <c r="I79" s="28" t="s">
        <v>120</v>
      </c>
      <c r="J79" s="30">
        <f ca="1">H75</f>
        <v>8</v>
      </c>
      <c r="K79" s="24"/>
    </row>
    <row r="80" spans="1:11" ht="16.5" customHeight="1">
      <c r="A80" s="90" t="s">
        <v>121</v>
      </c>
      <c r="B80" s="91"/>
      <c r="C80" s="31">
        <v>9</v>
      </c>
      <c r="D80" s="23">
        <f ca="1">((100/(D75+F75+H75))*C80)/100</f>
        <v>1</v>
      </c>
      <c r="E80" s="54"/>
      <c r="F80" s="55"/>
      <c r="G80" s="54"/>
      <c r="H80" s="59"/>
      <c r="I80" s="28" t="s">
        <v>122</v>
      </c>
      <c r="J80" s="40">
        <f ca="1">(IF(B75&gt;1,(H75/(B75+2)),H75/4))</f>
        <v>2</v>
      </c>
      <c r="K80" s="24"/>
    </row>
    <row r="81" spans="1:13" ht="16.5" customHeight="1">
      <c r="A81" s="90" t="s">
        <v>123</v>
      </c>
      <c r="B81" s="91" t="s">
        <v>124</v>
      </c>
      <c r="C81" s="22">
        <v>8</v>
      </c>
      <c r="D81" s="23">
        <f ca="1">((100/H75)*C81)/100</f>
        <v>1</v>
      </c>
      <c r="E81" s="54"/>
      <c r="F81" s="55"/>
      <c r="G81" s="54"/>
      <c r="H81" s="59"/>
      <c r="I81" s="28" t="s">
        <v>125</v>
      </c>
      <c r="J81" s="40">
        <f ca="1">(IF(B75&gt;1,(H75/(B75+2)+J80),H75/4+J80))</f>
        <v>4</v>
      </c>
      <c r="K81" s="24"/>
    </row>
    <row r="82" spans="1:13" ht="16.5" customHeight="1">
      <c r="A82" s="90" t="s">
        <v>126</v>
      </c>
      <c r="B82" s="91" t="s">
        <v>124</v>
      </c>
      <c r="C82" s="22">
        <v>8</v>
      </c>
      <c r="D82" s="23">
        <f ca="1">((100/H75)*C82)/100</f>
        <v>1</v>
      </c>
      <c r="E82" s="54"/>
      <c r="F82" s="55"/>
      <c r="G82" s="54"/>
      <c r="H82" s="59"/>
      <c r="I82" s="28" t="s">
        <v>127</v>
      </c>
      <c r="J82" s="40">
        <f>(IF(B75&gt;1,(H75/(B75+2)+J81),0))</f>
        <v>0</v>
      </c>
      <c r="K82" s="24"/>
    </row>
    <row r="83" spans="1:13" ht="16.5" customHeight="1">
      <c r="A83" s="90" t="s">
        <v>128</v>
      </c>
      <c r="B83" s="91" t="s">
        <v>129</v>
      </c>
      <c r="C83" s="22">
        <v>8</v>
      </c>
      <c r="D83" s="23">
        <f ca="1">((100/(H75))*C83)/100</f>
        <v>1</v>
      </c>
      <c r="E83" s="54"/>
      <c r="F83" s="55"/>
      <c r="G83" s="54"/>
      <c r="H83" s="59"/>
      <c r="I83" s="28" t="s">
        <v>130</v>
      </c>
      <c r="J83" s="40">
        <f>(IF(B75&gt;2,(H75/(B75+2)+J82),0))</f>
        <v>0</v>
      </c>
      <c r="K83" s="24"/>
    </row>
    <row r="84" spans="1:13" ht="16.5" customHeight="1">
      <c r="A84" s="90" t="s">
        <v>131</v>
      </c>
      <c r="B84" s="91" t="s">
        <v>131</v>
      </c>
      <c r="C84" s="22">
        <v>3</v>
      </c>
      <c r="D84" s="23">
        <f ca="1">((100/H75)*C84)/100</f>
        <v>0.375</v>
      </c>
      <c r="E84" s="54"/>
      <c r="F84" s="55"/>
      <c r="G84" s="54"/>
      <c r="H84" s="59"/>
      <c r="I84" s="28" t="s">
        <v>132</v>
      </c>
      <c r="J84" s="41">
        <f>(IF(B75&gt;3,(H75/(B75+2)+J83),0))</f>
        <v>0</v>
      </c>
      <c r="K84" s="24"/>
    </row>
    <row r="85" spans="1:13" ht="16.5" customHeight="1">
      <c r="A85" s="90" t="s">
        <v>133</v>
      </c>
      <c r="B85" s="91"/>
      <c r="C85" s="22">
        <v>0</v>
      </c>
      <c r="D85" s="23">
        <f ca="1">((100/H75)*C85)/100</f>
        <v>0</v>
      </c>
      <c r="E85" s="54"/>
      <c r="F85" s="55"/>
      <c r="G85" s="54"/>
      <c r="H85" s="59"/>
      <c r="I85" s="28" t="s">
        <v>134</v>
      </c>
      <c r="J85" s="40">
        <f>(IF(B75&gt;4,(H75/(B75+2)+J84),0))</f>
        <v>0</v>
      </c>
      <c r="K85" s="24"/>
    </row>
    <row r="86" spans="1:13" ht="16.5" customHeight="1">
      <c r="A86" s="90" t="s">
        <v>135</v>
      </c>
      <c r="B86" s="91" t="s">
        <v>135</v>
      </c>
      <c r="C86" s="22">
        <v>0</v>
      </c>
      <c r="D86" s="23">
        <f ca="1">((100/(H75))*C86)/100</f>
        <v>0</v>
      </c>
      <c r="E86" s="54"/>
      <c r="F86" s="55"/>
      <c r="G86" s="54"/>
      <c r="H86" s="59"/>
      <c r="I86" s="28" t="s">
        <v>136</v>
      </c>
      <c r="J86" s="40">
        <f ca="1">(IF(B75=1,(H75/(B75+3)+J81),IF(B75=0,(H75/4+J81),IF(B75&gt;1,0))))</f>
        <v>6</v>
      </c>
      <c r="K86" s="24"/>
    </row>
    <row r="87" spans="1:13" ht="16.5" customHeight="1">
      <c r="A87" s="92" t="s">
        <v>137</v>
      </c>
      <c r="B87" s="93"/>
      <c r="C87" s="32">
        <v>0</v>
      </c>
      <c r="D87" s="33">
        <f ca="1">((100/(H75))*C87)/100</f>
        <v>0</v>
      </c>
      <c r="E87" s="56"/>
      <c r="F87" s="57"/>
      <c r="G87" s="56"/>
      <c r="H87" s="60"/>
      <c r="I87" s="42" t="s">
        <v>138</v>
      </c>
      <c r="J87" s="43">
        <f ca="1">(IF(B75&gt;1.5,(H75/(B75+2)+J81+MAX(0,J82-J81)+MAX(0,J83-J82)+MAX(0,J84-J83)+MAX(0,J85-J84)+MAX(0,J86-J85)),IF(B75=1,(H75/(B75+3)+J86),IF(B75=0,H75/4+J86))))</f>
        <v>8</v>
      </c>
      <c r="K87" s="24"/>
    </row>
    <row r="88" spans="1:13">
      <c r="A88" s="87" t="s">
        <v>140</v>
      </c>
      <c r="B88" s="87"/>
      <c r="C88" s="87"/>
      <c r="D88" s="87"/>
      <c r="E88" s="87"/>
      <c r="F88" s="87"/>
      <c r="G88" s="87"/>
      <c r="H88" s="87"/>
    </row>
    <row r="89" spans="1:13">
      <c r="A89" s="67" t="s">
        <v>141</v>
      </c>
      <c r="B89" s="67"/>
      <c r="C89" s="67"/>
      <c r="D89" s="67"/>
      <c r="E89" s="67"/>
      <c r="F89" s="67"/>
      <c r="G89" s="67"/>
      <c r="H89" s="67"/>
    </row>
    <row r="90" spans="1:13" ht="15" customHeight="1">
      <c r="A90" s="88" t="s">
        <v>142</v>
      </c>
      <c r="B90" s="88"/>
      <c r="C90" s="89" t="s">
        <v>143</v>
      </c>
      <c r="D90" s="89"/>
      <c r="E90" s="89"/>
      <c r="F90" s="89"/>
      <c r="G90" s="89"/>
      <c r="H90" s="89"/>
    </row>
    <row r="91" spans="1:13">
      <c r="A91" s="84" t="s">
        <v>144</v>
      </c>
      <c r="B91" s="84"/>
      <c r="C91" s="84"/>
      <c r="D91" s="84"/>
      <c r="E91" s="84"/>
      <c r="F91" s="84"/>
      <c r="G91" s="84"/>
      <c r="H91" s="84"/>
    </row>
    <row r="92" spans="1:13">
      <c r="A92" s="51" t="s">
        <v>145</v>
      </c>
      <c r="B92" s="51"/>
      <c r="C92" s="51"/>
      <c r="D92" s="51"/>
      <c r="E92" s="51"/>
      <c r="F92" s="85">
        <v>3900</v>
      </c>
      <c r="G92" s="85"/>
      <c r="H92" s="85"/>
      <c r="I92" s="44" t="s">
        <v>146</v>
      </c>
      <c r="J92" s="44"/>
      <c r="K92" s="44"/>
      <c r="L92" s="44"/>
      <c r="M92" s="44"/>
    </row>
    <row r="93" spans="1:13">
      <c r="A93" s="51" t="s">
        <v>147</v>
      </c>
      <c r="B93" s="51"/>
      <c r="C93" s="51"/>
      <c r="D93" s="51"/>
      <c r="E93" s="51"/>
      <c r="F93" s="85">
        <v>6000</v>
      </c>
      <c r="G93" s="85"/>
      <c r="H93" s="85"/>
      <c r="I93" s="44" t="s">
        <v>148</v>
      </c>
      <c r="J93" s="44"/>
      <c r="K93" s="44"/>
      <c r="L93" s="44"/>
      <c r="M93" s="44"/>
    </row>
    <row r="94" spans="1:13">
      <c r="A94" s="51" t="s">
        <v>149</v>
      </c>
      <c r="B94" s="51"/>
      <c r="C94" s="51"/>
      <c r="D94" s="51"/>
      <c r="E94" s="51"/>
      <c r="F94" s="85">
        <v>7000</v>
      </c>
      <c r="G94" s="85"/>
      <c r="H94" s="85"/>
    </row>
    <row r="95" spans="1:13" s="8" customFormat="1" hidden="1">
      <c r="A95" s="51" t="s">
        <v>150</v>
      </c>
      <c r="B95" s="51"/>
      <c r="C95" s="51"/>
      <c r="D95" s="51"/>
      <c r="E95" s="51"/>
      <c r="F95" s="85" t="s">
        <v>61</v>
      </c>
      <c r="G95" s="85"/>
      <c r="H95" s="85"/>
    </row>
    <row r="96" spans="1:13" s="8" customFormat="1">
      <c r="A96" s="67" t="s">
        <v>151</v>
      </c>
      <c r="B96" s="67"/>
      <c r="C96" s="67"/>
      <c r="D96" s="67"/>
      <c r="E96" s="67"/>
      <c r="F96" s="85" t="s">
        <v>152</v>
      </c>
      <c r="G96" s="85"/>
      <c r="H96" s="85"/>
    </row>
    <row r="97" spans="1:8" s="8" customFormat="1" hidden="1">
      <c r="A97" s="67" t="s">
        <v>153</v>
      </c>
      <c r="B97" s="67"/>
      <c r="C97" s="67"/>
      <c r="D97" s="67"/>
      <c r="E97" s="67"/>
      <c r="F97" s="85" t="s">
        <v>61</v>
      </c>
      <c r="G97" s="85"/>
      <c r="H97" s="85"/>
    </row>
    <row r="98" spans="1:8" s="8" customFormat="1" hidden="1">
      <c r="A98" s="67" t="s">
        <v>154</v>
      </c>
      <c r="B98" s="67"/>
      <c r="C98" s="67"/>
      <c r="D98" s="67"/>
      <c r="E98" s="67"/>
      <c r="F98" s="85" t="s">
        <v>61</v>
      </c>
      <c r="G98" s="85"/>
      <c r="H98" s="85"/>
    </row>
    <row r="99" spans="1:8" s="8" customFormat="1" hidden="1">
      <c r="A99" s="67" t="s">
        <v>155</v>
      </c>
      <c r="B99" s="67"/>
      <c r="C99" s="67"/>
      <c r="D99" s="67"/>
      <c r="E99" s="67"/>
      <c r="F99" s="85" t="s">
        <v>61</v>
      </c>
      <c r="G99" s="85"/>
      <c r="H99" s="85"/>
    </row>
    <row r="100" spans="1:8" s="8" customFormat="1" hidden="1">
      <c r="A100" s="67" t="s">
        <v>156</v>
      </c>
      <c r="B100" s="67"/>
      <c r="C100" s="67"/>
      <c r="D100" s="67"/>
      <c r="E100" s="67"/>
      <c r="F100" s="85" t="s">
        <v>61</v>
      </c>
      <c r="G100" s="85"/>
      <c r="H100" s="85"/>
    </row>
    <row r="101" spans="1:8" s="8" customFormat="1" hidden="1">
      <c r="A101" s="67" t="s">
        <v>157</v>
      </c>
      <c r="B101" s="67"/>
      <c r="C101" s="67"/>
      <c r="D101" s="67"/>
      <c r="E101" s="67"/>
      <c r="F101" s="85" t="s">
        <v>61</v>
      </c>
      <c r="G101" s="85"/>
      <c r="H101" s="85"/>
    </row>
    <row r="102" spans="1:8" s="8" customFormat="1" hidden="1">
      <c r="A102" s="67" t="s">
        <v>158</v>
      </c>
      <c r="B102" s="67"/>
      <c r="C102" s="67"/>
      <c r="D102" s="67"/>
      <c r="E102" s="67"/>
      <c r="F102" s="85" t="s">
        <v>61</v>
      </c>
      <c r="G102" s="85"/>
      <c r="H102" s="85"/>
    </row>
    <row r="103" spans="1:8">
      <c r="A103" s="67" t="s">
        <v>159</v>
      </c>
      <c r="B103" s="67"/>
      <c r="C103" s="67"/>
      <c r="D103" s="67"/>
      <c r="E103" s="67"/>
      <c r="F103" s="86" t="s">
        <v>160</v>
      </c>
      <c r="G103" s="86"/>
      <c r="H103" s="86"/>
    </row>
    <row r="104" spans="1:8" s="9" customFormat="1">
      <c r="A104" s="84" t="s">
        <v>161</v>
      </c>
      <c r="B104" s="84"/>
      <c r="C104" s="84"/>
      <c r="D104" s="84"/>
      <c r="E104" s="84"/>
      <c r="F104" s="85">
        <f>F92*0.8</f>
        <v>3120</v>
      </c>
      <c r="G104" s="85"/>
      <c r="H104" s="85"/>
    </row>
    <row r="105" spans="1:8" s="10" customFormat="1" ht="15.75" customHeight="1">
      <c r="A105" s="80" t="s">
        <v>162</v>
      </c>
      <c r="B105" s="80"/>
      <c r="C105" s="80"/>
      <c r="D105" s="80"/>
      <c r="E105" s="80"/>
      <c r="F105" s="80"/>
      <c r="G105" s="80"/>
      <c r="H105" s="80"/>
    </row>
    <row r="106" spans="1:8" s="10" customFormat="1" ht="15.75" customHeight="1">
      <c r="A106" s="82" t="s">
        <v>163</v>
      </c>
      <c r="B106" s="82"/>
      <c r="C106" s="34" t="s">
        <v>164</v>
      </c>
      <c r="D106" s="83" t="s">
        <v>165</v>
      </c>
      <c r="E106" s="83"/>
      <c r="F106" s="82" t="s">
        <v>166</v>
      </c>
      <c r="G106" s="82"/>
      <c r="H106" s="82"/>
    </row>
    <row r="107" spans="1:8" s="10" customFormat="1">
      <c r="A107" s="77" t="s">
        <v>167</v>
      </c>
      <c r="B107" s="77"/>
      <c r="C107" s="35">
        <f>COUNT(D120:D128)+COUNT(D130:D136)</f>
        <v>16</v>
      </c>
      <c r="D107" s="78">
        <f>SUM(D120:D128)+SUM(D130:D136)</f>
        <v>3784.1272559999998</v>
      </c>
      <c r="E107" s="78"/>
      <c r="F107" s="79">
        <f>SUM(F120:F128)+SUM(F130:F136)</f>
        <v>7590</v>
      </c>
      <c r="G107" s="79"/>
      <c r="H107" s="79"/>
    </row>
    <row r="108" spans="1:8" s="10" customFormat="1">
      <c r="A108" s="77" t="s">
        <v>168</v>
      </c>
      <c r="B108" s="77"/>
      <c r="C108" s="35">
        <f>COUNT(D184:D197)+COUNT(D199:D207)</f>
        <v>23</v>
      </c>
      <c r="D108" s="78">
        <f>SUM(D184:D197)+SUM(D199:D207)</f>
        <v>5741.5283639999998</v>
      </c>
      <c r="E108" s="78"/>
      <c r="F108" s="79">
        <f>SUM(F184:F197)+SUM(F199:F207)</f>
        <v>11505</v>
      </c>
      <c r="G108" s="79"/>
      <c r="H108" s="79"/>
    </row>
    <row r="109" spans="1:8" s="10" customFormat="1">
      <c r="A109" s="80" t="s">
        <v>169</v>
      </c>
      <c r="B109" s="80"/>
      <c r="C109" s="36">
        <f>SUM(C107:C108)</f>
        <v>39</v>
      </c>
      <c r="D109" s="81">
        <f>SUM(D107:E108)</f>
        <v>9525.6556199999995</v>
      </c>
      <c r="E109" s="81"/>
      <c r="F109" s="82">
        <f>SUM(F107:H108)</f>
        <v>19095</v>
      </c>
      <c r="G109" s="82"/>
      <c r="H109" s="82"/>
    </row>
    <row r="110" spans="1:8" s="10" customFormat="1">
      <c r="A110" s="80" t="s">
        <v>170</v>
      </c>
      <c r="B110" s="80"/>
      <c r="C110" s="80"/>
      <c r="D110" s="80"/>
      <c r="E110" s="80"/>
      <c r="F110" s="80"/>
      <c r="G110" s="80"/>
      <c r="H110" s="80"/>
    </row>
    <row r="111" spans="1:8" s="10" customFormat="1">
      <c r="A111" s="82" t="s">
        <v>163</v>
      </c>
      <c r="B111" s="82"/>
      <c r="C111" s="34" t="s">
        <v>164</v>
      </c>
      <c r="D111" s="83" t="s">
        <v>165</v>
      </c>
      <c r="E111" s="83"/>
      <c r="F111" s="82" t="s">
        <v>166</v>
      </c>
      <c r="G111" s="82"/>
      <c r="H111" s="82"/>
    </row>
    <row r="112" spans="1:8" s="10" customFormat="1">
      <c r="A112" s="77" t="s">
        <v>167</v>
      </c>
      <c r="B112" s="77"/>
      <c r="C112" s="35">
        <f>COUNT(D137:D142)+COUNT(D144:D155)+COUNT(D157:D168)*3+COUNT(D170:D181)*3</f>
        <v>90</v>
      </c>
      <c r="D112" s="78">
        <f>SUM(D137:D142)+SUM(D144:D155)+SUM(D157:D168)*3+SUM(D170:D181)*3</f>
        <v>29436.418439999998</v>
      </c>
      <c r="E112" s="78"/>
      <c r="F112" s="79">
        <f>SUM(F137:F142)+SUM(F144:F155)+SUM(F157:F168)*3+SUM(F170:F181)*3</f>
        <v>55470</v>
      </c>
      <c r="G112" s="79"/>
      <c r="H112" s="79"/>
    </row>
    <row r="113" spans="1:8" s="10" customFormat="1">
      <c r="A113" s="77" t="s">
        <v>168</v>
      </c>
      <c r="B113" s="77"/>
      <c r="C113" s="35">
        <f>COUNT(D208:D215)+COUNT(D217:D231)+COUNT(D233:D247)*3+COUNT(D249:D263)*3</f>
        <v>113</v>
      </c>
      <c r="D113" s="78">
        <f>SUM(D208:D215)+SUM(D217:D231)+SUM(D233:D247)*3+SUM(D249:D263)*3</f>
        <v>35867.86538399999</v>
      </c>
      <c r="E113" s="78"/>
      <c r="F113" s="79">
        <f>SUM(F208:F215)+SUM(F217:F231)+SUM(F233:F247)*3+SUM(D249:F263)*3</f>
        <v>81784.223186999996</v>
      </c>
      <c r="G113" s="79"/>
      <c r="H113" s="79"/>
    </row>
    <row r="114" spans="1:8" s="10" customFormat="1">
      <c r="A114" s="80" t="s">
        <v>169</v>
      </c>
      <c r="B114" s="80"/>
      <c r="C114" s="36">
        <f>SUM(C112:C113)</f>
        <v>203</v>
      </c>
      <c r="D114" s="81">
        <f>SUM(D112:E113)</f>
        <v>65304.283823999984</v>
      </c>
      <c r="E114" s="81"/>
      <c r="F114" s="82">
        <f>SUM(F112:H113)</f>
        <v>137254.223187</v>
      </c>
      <c r="G114" s="82"/>
      <c r="H114" s="82"/>
    </row>
    <row r="115" spans="1:8" s="9" customFormat="1">
      <c r="A115" s="75" t="s">
        <v>171</v>
      </c>
      <c r="B115" s="75"/>
      <c r="C115" s="75"/>
      <c r="D115" s="75"/>
      <c r="E115" s="75"/>
      <c r="F115" s="75"/>
      <c r="G115" s="75"/>
      <c r="H115" s="75"/>
    </row>
    <row r="116" spans="1:8">
      <c r="A116" s="75" t="s">
        <v>172</v>
      </c>
      <c r="B116" s="75"/>
      <c r="C116" s="75"/>
      <c r="D116" s="75"/>
      <c r="E116" s="75"/>
      <c r="F116" s="75"/>
      <c r="G116" s="75"/>
      <c r="H116" s="75"/>
    </row>
    <row r="117" spans="1:8" ht="47.25" customHeight="1">
      <c r="A117" s="76" t="s">
        <v>173</v>
      </c>
      <c r="B117" s="76"/>
      <c r="C117" s="37" t="s">
        <v>174</v>
      </c>
      <c r="D117" s="37" t="s">
        <v>175</v>
      </c>
      <c r="E117" s="38" t="s">
        <v>176</v>
      </c>
      <c r="F117" s="37" t="s">
        <v>177</v>
      </c>
      <c r="G117" s="76" t="s">
        <v>178</v>
      </c>
      <c r="H117" s="76"/>
    </row>
    <row r="118" spans="1:8" s="11" customFormat="1">
      <c r="A118" s="74" t="s">
        <v>179</v>
      </c>
      <c r="B118" s="74"/>
      <c r="C118" s="74"/>
      <c r="D118" s="74"/>
      <c r="E118" s="74"/>
      <c r="F118" s="74"/>
      <c r="G118" s="74"/>
      <c r="H118" s="74"/>
    </row>
    <row r="119" spans="1:8" s="11" customFormat="1">
      <c r="A119" s="74" t="s">
        <v>180</v>
      </c>
      <c r="B119" s="74"/>
      <c r="C119" s="74"/>
      <c r="D119" s="74"/>
      <c r="E119" s="74"/>
      <c r="F119" s="74"/>
      <c r="G119" s="74"/>
      <c r="H119" s="74"/>
    </row>
    <row r="120" spans="1:8" s="11" customFormat="1">
      <c r="A120" s="71">
        <v>1</v>
      </c>
      <c r="B120" s="71"/>
      <c r="C120" s="39" t="s">
        <v>181</v>
      </c>
      <c r="D120" s="39">
        <f>33.408*10.764</f>
        <v>359.60371199999997</v>
      </c>
      <c r="E120" s="39">
        <v>0</v>
      </c>
      <c r="F120" s="39">
        <v>725</v>
      </c>
      <c r="G120" s="61" t="str">
        <f>A119</f>
        <v>Ground Floor for Commercial &amp; Parking</v>
      </c>
      <c r="H120" s="62"/>
    </row>
    <row r="121" spans="1:8" s="11" customFormat="1">
      <c r="A121" s="71">
        <v>2</v>
      </c>
      <c r="B121" s="71"/>
      <c r="C121" s="39" t="s">
        <v>181</v>
      </c>
      <c r="D121" s="39">
        <f>24.098*10.764</f>
        <v>259.39087199999994</v>
      </c>
      <c r="E121" s="39">
        <v>0</v>
      </c>
      <c r="F121" s="39">
        <v>520</v>
      </c>
      <c r="G121" s="63"/>
      <c r="H121" s="64"/>
    </row>
    <row r="122" spans="1:8" s="11" customFormat="1">
      <c r="A122" s="71">
        <v>3</v>
      </c>
      <c r="B122" s="71"/>
      <c r="C122" s="39" t="s">
        <v>181</v>
      </c>
      <c r="D122" s="39">
        <f>12.75*10.764</f>
        <v>137.24099999999999</v>
      </c>
      <c r="E122" s="39">
        <v>0</v>
      </c>
      <c r="F122" s="39">
        <v>275</v>
      </c>
      <c r="G122" s="63"/>
      <c r="H122" s="64"/>
    </row>
    <row r="123" spans="1:8" s="11" customFormat="1">
      <c r="A123" s="71">
        <v>4</v>
      </c>
      <c r="B123" s="71"/>
      <c r="C123" s="39" t="s">
        <v>181</v>
      </c>
      <c r="D123" s="39">
        <f>12.75*10.764</f>
        <v>137.24099999999999</v>
      </c>
      <c r="E123" s="39">
        <v>0</v>
      </c>
      <c r="F123" s="39">
        <v>275</v>
      </c>
      <c r="G123" s="63"/>
      <c r="H123" s="64"/>
    </row>
    <row r="124" spans="1:8" s="11" customFormat="1">
      <c r="A124" s="71">
        <v>5</v>
      </c>
      <c r="B124" s="71"/>
      <c r="C124" s="39" t="s">
        <v>181</v>
      </c>
      <c r="D124" s="39">
        <f>24.098*10.764</f>
        <v>259.39087199999994</v>
      </c>
      <c r="E124" s="39">
        <v>0</v>
      </c>
      <c r="F124" s="39">
        <v>520</v>
      </c>
      <c r="G124" s="63"/>
      <c r="H124" s="64"/>
    </row>
    <row r="125" spans="1:8" s="11" customFormat="1">
      <c r="A125" s="71">
        <v>6</v>
      </c>
      <c r="B125" s="71"/>
      <c r="C125" s="39" t="s">
        <v>181</v>
      </c>
      <c r="D125" s="39">
        <f>12.75*10.764</f>
        <v>137.24099999999999</v>
      </c>
      <c r="E125" s="39">
        <v>0</v>
      </c>
      <c r="F125" s="39">
        <v>275</v>
      </c>
      <c r="G125" s="63"/>
      <c r="H125" s="64"/>
    </row>
    <row r="126" spans="1:8" s="11" customFormat="1">
      <c r="A126" s="71">
        <v>7</v>
      </c>
      <c r="B126" s="71"/>
      <c r="C126" s="39" t="s">
        <v>181</v>
      </c>
      <c r="D126" s="39">
        <f>12.75*10.764</f>
        <v>137.24099999999999</v>
      </c>
      <c r="E126" s="39">
        <v>0</v>
      </c>
      <c r="F126" s="39">
        <v>275</v>
      </c>
      <c r="G126" s="63"/>
      <c r="H126" s="64"/>
    </row>
    <row r="127" spans="1:8" s="11" customFormat="1">
      <c r="A127" s="71">
        <v>8</v>
      </c>
      <c r="B127" s="71"/>
      <c r="C127" s="39" t="s">
        <v>181</v>
      </c>
      <c r="D127" s="39">
        <f>24.098*10.764</f>
        <v>259.39087199999994</v>
      </c>
      <c r="E127" s="39">
        <v>0</v>
      </c>
      <c r="F127" s="39">
        <v>520</v>
      </c>
      <c r="G127" s="63"/>
      <c r="H127" s="64"/>
    </row>
    <row r="128" spans="1:8" s="11" customFormat="1">
      <c r="A128" s="71">
        <v>9</v>
      </c>
      <c r="B128" s="71"/>
      <c r="C128" s="39" t="s">
        <v>181</v>
      </c>
      <c r="D128" s="39">
        <f>33.408*10.764</f>
        <v>359.60371199999997</v>
      </c>
      <c r="E128" s="39">
        <v>0</v>
      </c>
      <c r="F128" s="39">
        <v>725</v>
      </c>
      <c r="G128" s="65"/>
      <c r="H128" s="66"/>
    </row>
    <row r="129" spans="1:10" s="11" customFormat="1">
      <c r="A129" s="74" t="s">
        <v>182</v>
      </c>
      <c r="B129" s="74"/>
      <c r="C129" s="74"/>
      <c r="D129" s="74"/>
      <c r="E129" s="74"/>
      <c r="F129" s="74"/>
      <c r="G129" s="74"/>
      <c r="H129" s="74"/>
    </row>
    <row r="130" spans="1:10" s="11" customFormat="1">
      <c r="A130" s="71">
        <v>1</v>
      </c>
      <c r="B130" s="71"/>
      <c r="C130" s="39" t="s">
        <v>183</v>
      </c>
      <c r="D130" s="39">
        <f>32.973*10.764</f>
        <v>354.92137199999996</v>
      </c>
      <c r="E130" s="39">
        <v>0</v>
      </c>
      <c r="F130" s="39">
        <v>715</v>
      </c>
      <c r="G130" s="61" t="str">
        <f>A129</f>
        <v>1st Floor for Commercial &amp; Residential</v>
      </c>
      <c r="H130" s="62"/>
    </row>
    <row r="131" spans="1:10" s="11" customFormat="1">
      <c r="A131" s="71">
        <v>2</v>
      </c>
      <c r="B131" s="71"/>
      <c r="C131" s="39" t="s">
        <v>183</v>
      </c>
      <c r="D131" s="39">
        <f>19.129*10.764</f>
        <v>205.90455600000001</v>
      </c>
      <c r="E131" s="39">
        <v>0</v>
      </c>
      <c r="F131" s="39">
        <v>410</v>
      </c>
      <c r="G131" s="63"/>
      <c r="H131" s="64"/>
    </row>
    <row r="132" spans="1:10" s="11" customFormat="1">
      <c r="A132" s="71">
        <v>3</v>
      </c>
      <c r="B132" s="71"/>
      <c r="C132" s="39" t="s">
        <v>183</v>
      </c>
      <c r="D132" s="39">
        <f>19.055*10.764</f>
        <v>205.10801999999998</v>
      </c>
      <c r="E132" s="39">
        <v>0</v>
      </c>
      <c r="F132" s="39">
        <v>410</v>
      </c>
      <c r="G132" s="63"/>
      <c r="H132" s="64"/>
    </row>
    <row r="133" spans="1:10" s="11" customFormat="1">
      <c r="A133" s="71">
        <v>4</v>
      </c>
      <c r="B133" s="71"/>
      <c r="C133" s="39" t="s">
        <v>183</v>
      </c>
      <c r="D133" s="39">
        <f>19.129*10.764</f>
        <v>205.90455600000001</v>
      </c>
      <c r="E133" s="39">
        <v>0</v>
      </c>
      <c r="F133" s="39">
        <v>410</v>
      </c>
      <c r="G133" s="63"/>
      <c r="H133" s="64"/>
    </row>
    <row r="134" spans="1:10" s="11" customFormat="1">
      <c r="A134" s="71">
        <v>5</v>
      </c>
      <c r="B134" s="71"/>
      <c r="C134" s="39" t="s">
        <v>183</v>
      </c>
      <c r="D134" s="39">
        <f>19.055*10.764</f>
        <v>205.10801999999998</v>
      </c>
      <c r="E134" s="39">
        <v>0</v>
      </c>
      <c r="F134" s="39">
        <v>410</v>
      </c>
      <c r="G134" s="63"/>
      <c r="H134" s="64"/>
    </row>
    <row r="135" spans="1:10" s="11" customFormat="1">
      <c r="A135" s="71">
        <v>6</v>
      </c>
      <c r="B135" s="71"/>
      <c r="C135" s="39" t="s">
        <v>183</v>
      </c>
      <c r="D135" s="39">
        <f>19.129*10.764</f>
        <v>205.90455600000001</v>
      </c>
      <c r="E135" s="39">
        <v>0</v>
      </c>
      <c r="F135" s="39">
        <v>410</v>
      </c>
      <c r="G135" s="63"/>
      <c r="H135" s="64"/>
    </row>
    <row r="136" spans="1:10" s="11" customFormat="1">
      <c r="A136" s="71">
        <v>7</v>
      </c>
      <c r="B136" s="71"/>
      <c r="C136" s="39" t="s">
        <v>183</v>
      </c>
      <c r="D136" s="39">
        <f>32.974*10.764</f>
        <v>354.93213599999996</v>
      </c>
      <c r="E136" s="39">
        <v>0</v>
      </c>
      <c r="F136" s="39">
        <v>715</v>
      </c>
      <c r="G136" s="63"/>
      <c r="H136" s="64"/>
    </row>
    <row r="137" spans="1:10" s="11" customFormat="1">
      <c r="A137" s="71">
        <v>1</v>
      </c>
      <c r="B137" s="71"/>
      <c r="C137" s="39" t="s">
        <v>184</v>
      </c>
      <c r="D137" s="39">
        <f>((24.95)+(2.1*1+2.575*1.2))*10.764</f>
        <v>324.42696000000001</v>
      </c>
      <c r="E137" s="39">
        <v>0</v>
      </c>
      <c r="F137" s="39">
        <v>575</v>
      </c>
      <c r="G137" s="63"/>
      <c r="H137" s="64"/>
    </row>
    <row r="138" spans="1:10" s="11" customFormat="1">
      <c r="A138" s="71">
        <v>2</v>
      </c>
      <c r="B138" s="71"/>
      <c r="C138" s="39" t="s">
        <v>184</v>
      </c>
      <c r="D138" s="39">
        <f>((25.007)+(2.75*1+3.05*1))*10.764</f>
        <v>331.60654799999998</v>
      </c>
      <c r="E138" s="39">
        <v>0</v>
      </c>
      <c r="F138" s="39">
        <v>595</v>
      </c>
      <c r="G138" s="63"/>
      <c r="H138" s="64"/>
    </row>
    <row r="139" spans="1:10" s="11" customFormat="1">
      <c r="A139" s="71">
        <v>3</v>
      </c>
      <c r="B139" s="71"/>
      <c r="C139" s="39" t="s">
        <v>184</v>
      </c>
      <c r="D139" s="39">
        <f>((25.007)+(2.75*1+3.05*1))*10.764</f>
        <v>331.60654799999998</v>
      </c>
      <c r="E139" s="39">
        <v>0</v>
      </c>
      <c r="F139" s="39">
        <v>595</v>
      </c>
      <c r="G139" s="63"/>
      <c r="H139" s="64"/>
    </row>
    <row r="140" spans="1:10" s="11" customFormat="1">
      <c r="A140" s="71">
        <v>4</v>
      </c>
      <c r="B140" s="71"/>
      <c r="C140" s="39" t="s">
        <v>184</v>
      </c>
      <c r="D140" s="39">
        <f>((24.95)+(2.1*1+2.575*1.2))*10.764</f>
        <v>324.42696000000001</v>
      </c>
      <c r="E140" s="39">
        <v>0</v>
      </c>
      <c r="F140" s="39">
        <v>575</v>
      </c>
      <c r="G140" s="63"/>
      <c r="H140" s="64"/>
    </row>
    <row r="141" spans="1:10" s="11" customFormat="1">
      <c r="A141" s="71">
        <v>5</v>
      </c>
      <c r="B141" s="71"/>
      <c r="C141" s="39" t="s">
        <v>184</v>
      </c>
      <c r="D141" s="39">
        <f>((24.95)+(2.1*1+2.575*1.2))*10.764</f>
        <v>324.42696000000001</v>
      </c>
      <c r="E141" s="39">
        <v>0</v>
      </c>
      <c r="F141" s="39">
        <v>575</v>
      </c>
      <c r="G141" s="63"/>
      <c r="H141" s="64"/>
      <c r="J141" s="11">
        <f>F141/D141</f>
        <v>1.7723557869543272</v>
      </c>
    </row>
    <row r="142" spans="1:10" s="11" customFormat="1">
      <c r="A142" s="71">
        <v>6</v>
      </c>
      <c r="B142" s="71"/>
      <c r="C142" s="39" t="s">
        <v>184</v>
      </c>
      <c r="D142" s="39">
        <f>((24.95)+(2.1*1+2.575*1.2))*10.764</f>
        <v>324.42696000000001</v>
      </c>
      <c r="E142" s="39">
        <v>0</v>
      </c>
      <c r="F142" s="39">
        <v>575</v>
      </c>
      <c r="G142" s="65"/>
      <c r="H142" s="66"/>
    </row>
    <row r="143" spans="1:10" s="11" customFormat="1">
      <c r="A143" s="74" t="s">
        <v>185</v>
      </c>
      <c r="B143" s="74"/>
      <c r="C143" s="74"/>
      <c r="D143" s="74"/>
      <c r="E143" s="74"/>
      <c r="F143" s="74"/>
      <c r="G143" s="74"/>
      <c r="H143" s="74"/>
    </row>
    <row r="144" spans="1:10" s="11" customFormat="1">
      <c r="A144" s="71">
        <v>1</v>
      </c>
      <c r="B144" s="71"/>
      <c r="C144" s="39" t="s">
        <v>184</v>
      </c>
      <c r="D144" s="39">
        <f>((24.95)+(2.1*1+2.575*1.2))*10.764</f>
        <v>324.42696000000001</v>
      </c>
      <c r="E144" s="39">
        <f>(1.75*2.75)*10.764</f>
        <v>51.801749999999998</v>
      </c>
      <c r="F144" s="39">
        <v>635</v>
      </c>
      <c r="G144" s="61" t="str">
        <f>A143</f>
        <v>2nd Floor for Residential</v>
      </c>
      <c r="H144" s="62"/>
    </row>
    <row r="145" spans="1:8" s="11" customFormat="1">
      <c r="A145" s="71">
        <v>2</v>
      </c>
      <c r="B145" s="71"/>
      <c r="C145" s="39" t="s">
        <v>184</v>
      </c>
      <c r="D145" s="39">
        <f>((25.007)+(2.825*1+3.05*1))*10.764</f>
        <v>332.41384799999997</v>
      </c>
      <c r="E145" s="39">
        <f>(1.75*2.85)*10.764</f>
        <v>53.685449999999996</v>
      </c>
      <c r="F145" s="39">
        <v>670</v>
      </c>
      <c r="G145" s="63"/>
      <c r="H145" s="64"/>
    </row>
    <row r="146" spans="1:8" s="11" customFormat="1">
      <c r="A146" s="71">
        <v>3</v>
      </c>
      <c r="B146" s="71"/>
      <c r="C146" s="39" t="s">
        <v>184</v>
      </c>
      <c r="D146" s="39">
        <f>((25.007)+(2.825*1+3.05*1))*10.764</f>
        <v>332.41384799999997</v>
      </c>
      <c r="E146" s="39">
        <f>(1.75*2.85)*10.764</f>
        <v>53.685449999999996</v>
      </c>
      <c r="F146" s="39">
        <v>670</v>
      </c>
      <c r="G146" s="63"/>
      <c r="H146" s="64"/>
    </row>
    <row r="147" spans="1:8" s="11" customFormat="1">
      <c r="A147" s="71">
        <v>4</v>
      </c>
      <c r="B147" s="71"/>
      <c r="C147" s="39" t="s">
        <v>184</v>
      </c>
      <c r="D147" s="39">
        <f>((24.95)+(2.1*1+2.575*1.2))*10.764</f>
        <v>324.42696000000001</v>
      </c>
      <c r="E147" s="39">
        <f t="shared" ref="E147:E150" si="0">(1.75*2.75)*10.764</f>
        <v>51.801749999999998</v>
      </c>
      <c r="F147" s="39">
        <v>635</v>
      </c>
      <c r="G147" s="63"/>
      <c r="H147" s="64"/>
    </row>
    <row r="148" spans="1:8" s="11" customFormat="1">
      <c r="A148" s="71">
        <v>5</v>
      </c>
      <c r="B148" s="71"/>
      <c r="C148" s="39" t="s">
        <v>184</v>
      </c>
      <c r="D148" s="39">
        <f>((24.95)+(2.1*1+2.575*1.2))*10.764</f>
        <v>324.42696000000001</v>
      </c>
      <c r="E148" s="39">
        <f>(1.675*2.75)*10.764</f>
        <v>49.581674999999997</v>
      </c>
      <c r="F148" s="39">
        <v>635</v>
      </c>
      <c r="G148" s="63"/>
      <c r="H148" s="64"/>
    </row>
    <row r="149" spans="1:8" s="11" customFormat="1">
      <c r="A149" s="71">
        <v>6</v>
      </c>
      <c r="B149" s="71"/>
      <c r="C149" s="39" t="s">
        <v>184</v>
      </c>
      <c r="D149" s="39">
        <f>((24.95)+(2.1*1+2.575*1.2))*10.764</f>
        <v>324.42696000000001</v>
      </c>
      <c r="E149" s="39">
        <f>(1.675*2.75)*10.764</f>
        <v>49.581674999999997</v>
      </c>
      <c r="F149" s="39">
        <v>635</v>
      </c>
      <c r="G149" s="63"/>
      <c r="H149" s="64"/>
    </row>
    <row r="150" spans="1:8" s="11" customFormat="1">
      <c r="A150" s="71">
        <v>7</v>
      </c>
      <c r="B150" s="71"/>
      <c r="C150" s="39" t="s">
        <v>184</v>
      </c>
      <c r="D150" s="39">
        <f>((24.95)+(2.1*1+2.575*1.2))*10.764</f>
        <v>324.42696000000001</v>
      </c>
      <c r="E150" s="39">
        <f t="shared" si="0"/>
        <v>51.801749999999998</v>
      </c>
      <c r="F150" s="39">
        <v>635</v>
      </c>
      <c r="G150" s="63"/>
      <c r="H150" s="64"/>
    </row>
    <row r="151" spans="1:8" s="11" customFormat="1">
      <c r="A151" s="71">
        <v>8</v>
      </c>
      <c r="B151" s="71"/>
      <c r="C151" s="39" t="s">
        <v>184</v>
      </c>
      <c r="D151" s="39">
        <f>((25.007)+(2.825*1+3.05*1))*10.764</f>
        <v>332.41384799999997</v>
      </c>
      <c r="E151" s="39">
        <f>(1.75*2.85)*10.764</f>
        <v>53.685449999999996</v>
      </c>
      <c r="F151" s="39">
        <v>670</v>
      </c>
      <c r="G151" s="63"/>
      <c r="H151" s="64"/>
    </row>
    <row r="152" spans="1:8" s="11" customFormat="1">
      <c r="A152" s="71">
        <v>9</v>
      </c>
      <c r="B152" s="71"/>
      <c r="C152" s="39" t="s">
        <v>184</v>
      </c>
      <c r="D152" s="39">
        <f>((25.007)+(2.825*1+3.05*1))*10.764</f>
        <v>332.41384799999997</v>
      </c>
      <c r="E152" s="39">
        <f>(1.75*2.85)*10.764</f>
        <v>53.685449999999996</v>
      </c>
      <c r="F152" s="39">
        <v>670</v>
      </c>
      <c r="G152" s="63"/>
      <c r="H152" s="64"/>
    </row>
    <row r="153" spans="1:8" s="11" customFormat="1">
      <c r="A153" s="71">
        <v>10</v>
      </c>
      <c r="B153" s="71"/>
      <c r="C153" s="39" t="s">
        <v>184</v>
      </c>
      <c r="D153" s="39">
        <f>((24.95)+(2.1*1+2.575*1.2))*10.764</f>
        <v>324.42696000000001</v>
      </c>
      <c r="E153" s="39">
        <f t="shared" ref="E153" si="1">(1.75*2.75)*10.764</f>
        <v>51.801749999999998</v>
      </c>
      <c r="F153" s="39">
        <v>635</v>
      </c>
      <c r="G153" s="63"/>
      <c r="H153" s="64"/>
    </row>
    <row r="154" spans="1:8" s="11" customFormat="1">
      <c r="A154" s="71">
        <v>11</v>
      </c>
      <c r="B154" s="71"/>
      <c r="C154" s="39" t="s">
        <v>184</v>
      </c>
      <c r="D154" s="39">
        <f>((24.95)+(2.1*1+2.575*1.2))*10.764</f>
        <v>324.42696000000001</v>
      </c>
      <c r="E154" s="39">
        <f>(1.675*2.75)*10.764</f>
        <v>49.581674999999997</v>
      </c>
      <c r="F154" s="39">
        <v>635</v>
      </c>
      <c r="G154" s="63"/>
      <c r="H154" s="64"/>
    </row>
    <row r="155" spans="1:8" s="11" customFormat="1">
      <c r="A155" s="71">
        <v>12</v>
      </c>
      <c r="B155" s="71"/>
      <c r="C155" s="39" t="s">
        <v>184</v>
      </c>
      <c r="D155" s="39">
        <f>((24.95)+(2.1*1+2.575*1.2))*10.764</f>
        <v>324.42696000000001</v>
      </c>
      <c r="E155" s="39">
        <f>(1.675*2.75)*10.764</f>
        <v>49.581674999999997</v>
      </c>
      <c r="F155" s="39">
        <v>635</v>
      </c>
      <c r="G155" s="65"/>
      <c r="H155" s="66"/>
    </row>
    <row r="156" spans="1:8" s="11" customFormat="1">
      <c r="A156" s="74" t="s">
        <v>186</v>
      </c>
      <c r="B156" s="74"/>
      <c r="C156" s="74"/>
      <c r="D156" s="74"/>
      <c r="E156" s="74"/>
      <c r="F156" s="74"/>
      <c r="G156" s="74"/>
      <c r="H156" s="74"/>
    </row>
    <row r="157" spans="1:8" s="11" customFormat="1">
      <c r="A157" s="71">
        <v>1</v>
      </c>
      <c r="B157" s="71"/>
      <c r="C157" s="39" t="s">
        <v>184</v>
      </c>
      <c r="D157" s="39">
        <f>((24.95)+(2.1*1+2.575*1.2))*10.764</f>
        <v>324.42696000000001</v>
      </c>
      <c r="E157" s="39">
        <v>0</v>
      </c>
      <c r="F157" s="39">
        <v>575</v>
      </c>
      <c r="G157" s="61" t="str">
        <f>A156</f>
        <v xml:space="preserve">3rd, 5th &amp; 7th Floor </v>
      </c>
      <c r="H157" s="62"/>
    </row>
    <row r="158" spans="1:8" s="11" customFormat="1">
      <c r="A158" s="71">
        <v>2</v>
      </c>
      <c r="B158" s="71"/>
      <c r="C158" s="39" t="s">
        <v>184</v>
      </c>
      <c r="D158" s="39">
        <f>((25.007)+(2.825*1+3.05*1))*10.764</f>
        <v>332.41384799999997</v>
      </c>
      <c r="E158" s="39">
        <v>0</v>
      </c>
      <c r="F158" s="39">
        <v>595</v>
      </c>
      <c r="G158" s="63"/>
      <c r="H158" s="64"/>
    </row>
    <row r="159" spans="1:8" s="11" customFormat="1">
      <c r="A159" s="71">
        <v>3</v>
      </c>
      <c r="B159" s="71"/>
      <c r="C159" s="39" t="s">
        <v>184</v>
      </c>
      <c r="D159" s="39">
        <f>((25.007)+(2.825*1+3.05*1))*10.764</f>
        <v>332.41384799999997</v>
      </c>
      <c r="E159" s="39">
        <v>0</v>
      </c>
      <c r="F159" s="39">
        <v>595</v>
      </c>
      <c r="G159" s="63"/>
      <c r="H159" s="64"/>
    </row>
    <row r="160" spans="1:8" s="11" customFormat="1">
      <c r="A160" s="71">
        <v>4</v>
      </c>
      <c r="B160" s="71"/>
      <c r="C160" s="39" t="s">
        <v>184</v>
      </c>
      <c r="D160" s="39">
        <f>((24.95)+(2.1*1+2.575*1.2))*10.764</f>
        <v>324.42696000000001</v>
      </c>
      <c r="E160" s="39">
        <v>0</v>
      </c>
      <c r="F160" s="39">
        <v>575</v>
      </c>
      <c r="G160" s="63"/>
      <c r="H160" s="64"/>
    </row>
    <row r="161" spans="1:8" s="11" customFormat="1">
      <c r="A161" s="71">
        <v>5</v>
      </c>
      <c r="B161" s="71"/>
      <c r="C161" s="39" t="s">
        <v>184</v>
      </c>
      <c r="D161" s="39">
        <f>((24.95)+(2.1*1+2.575*1.2))*10.764</f>
        <v>324.42696000000001</v>
      </c>
      <c r="E161" s="39">
        <v>0</v>
      </c>
      <c r="F161" s="39">
        <v>575</v>
      </c>
      <c r="G161" s="63"/>
      <c r="H161" s="64"/>
    </row>
    <row r="162" spans="1:8" s="11" customFormat="1">
      <c r="A162" s="71">
        <v>6</v>
      </c>
      <c r="B162" s="71"/>
      <c r="C162" s="39" t="s">
        <v>184</v>
      </c>
      <c r="D162" s="39">
        <f>((24.95)+(2.1*1+2.575*1.2))*10.764</f>
        <v>324.42696000000001</v>
      </c>
      <c r="E162" s="39">
        <v>0</v>
      </c>
      <c r="F162" s="39">
        <v>575</v>
      </c>
      <c r="G162" s="63"/>
      <c r="H162" s="64"/>
    </row>
    <row r="163" spans="1:8" s="11" customFormat="1">
      <c r="A163" s="71">
        <v>7</v>
      </c>
      <c r="B163" s="71"/>
      <c r="C163" s="39" t="s">
        <v>184</v>
      </c>
      <c r="D163" s="39">
        <f>((24.95)+(2.1*1+2.575*1.2))*10.764</f>
        <v>324.42696000000001</v>
      </c>
      <c r="E163" s="39">
        <v>0</v>
      </c>
      <c r="F163" s="39">
        <v>575</v>
      </c>
      <c r="G163" s="63"/>
      <c r="H163" s="64"/>
    </row>
    <row r="164" spans="1:8" s="11" customFormat="1">
      <c r="A164" s="71">
        <v>8</v>
      </c>
      <c r="B164" s="71"/>
      <c r="C164" s="39" t="s">
        <v>184</v>
      </c>
      <c r="D164" s="39">
        <f>((25.007)+(2.825*1+3.05*1))*10.764</f>
        <v>332.41384799999997</v>
      </c>
      <c r="E164" s="39">
        <v>0</v>
      </c>
      <c r="F164" s="39">
        <v>595</v>
      </c>
      <c r="G164" s="63"/>
      <c r="H164" s="64"/>
    </row>
    <row r="165" spans="1:8" s="11" customFormat="1">
      <c r="A165" s="71">
        <v>9</v>
      </c>
      <c r="B165" s="71"/>
      <c r="C165" s="39" t="s">
        <v>184</v>
      </c>
      <c r="D165" s="39">
        <f>((25.007)+(2.825*1+3.05*1))*10.764</f>
        <v>332.41384799999997</v>
      </c>
      <c r="E165" s="39">
        <v>0</v>
      </c>
      <c r="F165" s="39">
        <v>595</v>
      </c>
      <c r="G165" s="63"/>
      <c r="H165" s="64"/>
    </row>
    <row r="166" spans="1:8" s="11" customFormat="1">
      <c r="A166" s="71">
        <v>10</v>
      </c>
      <c r="B166" s="71"/>
      <c r="C166" s="39" t="s">
        <v>184</v>
      </c>
      <c r="D166" s="39">
        <f>((24.95)+(2.1*1+2.575*1.2))*10.764</f>
        <v>324.42696000000001</v>
      </c>
      <c r="E166" s="39">
        <v>0</v>
      </c>
      <c r="F166" s="39">
        <v>575</v>
      </c>
      <c r="G166" s="63"/>
      <c r="H166" s="64"/>
    </row>
    <row r="167" spans="1:8" s="11" customFormat="1">
      <c r="A167" s="71">
        <v>11</v>
      </c>
      <c r="B167" s="71"/>
      <c r="C167" s="39" t="s">
        <v>184</v>
      </c>
      <c r="D167" s="39">
        <f>((24.95)+(2.1*1+2.575*1.2))*10.764</f>
        <v>324.42696000000001</v>
      </c>
      <c r="E167" s="39">
        <v>0</v>
      </c>
      <c r="F167" s="39">
        <v>575</v>
      </c>
      <c r="G167" s="63"/>
      <c r="H167" s="64"/>
    </row>
    <row r="168" spans="1:8" s="11" customFormat="1">
      <c r="A168" s="71">
        <v>12</v>
      </c>
      <c r="B168" s="71"/>
      <c r="C168" s="39" t="s">
        <v>184</v>
      </c>
      <c r="D168" s="39">
        <f>((24.95)+(2.1*1+2.575*1.2))*10.764</f>
        <v>324.42696000000001</v>
      </c>
      <c r="E168" s="39">
        <v>0</v>
      </c>
      <c r="F168" s="39">
        <v>575</v>
      </c>
      <c r="G168" s="65"/>
      <c r="H168" s="66"/>
    </row>
    <row r="169" spans="1:8" s="11" customFormat="1">
      <c r="A169" s="74" t="s">
        <v>187</v>
      </c>
      <c r="B169" s="74"/>
      <c r="C169" s="74"/>
      <c r="D169" s="74"/>
      <c r="E169" s="74"/>
      <c r="F169" s="74"/>
      <c r="G169" s="74"/>
      <c r="H169" s="74"/>
    </row>
    <row r="170" spans="1:8" s="11" customFormat="1">
      <c r="A170" s="71">
        <v>1</v>
      </c>
      <c r="B170" s="71"/>
      <c r="C170" s="39" t="s">
        <v>184</v>
      </c>
      <c r="D170" s="39">
        <f>((24.95)+(2.1*1+2.575*1.2))*10.764</f>
        <v>324.42696000000001</v>
      </c>
      <c r="E170" s="39">
        <f>(1.75*2.75)*10.764</f>
        <v>51.801749999999998</v>
      </c>
      <c r="F170" s="39">
        <v>635</v>
      </c>
      <c r="G170" s="61" t="str">
        <f>A169</f>
        <v>4th, 6th &amp; 8th Floor</v>
      </c>
      <c r="H170" s="62"/>
    </row>
    <row r="171" spans="1:8" s="11" customFormat="1">
      <c r="A171" s="71">
        <v>2</v>
      </c>
      <c r="B171" s="71"/>
      <c r="C171" s="39" t="s">
        <v>184</v>
      </c>
      <c r="D171" s="39">
        <f>((25.007)+(2.825*1+3.05*1))*10.764</f>
        <v>332.41384799999997</v>
      </c>
      <c r="E171" s="39">
        <f>(1.75*2.85)*10.764</f>
        <v>53.685449999999996</v>
      </c>
      <c r="F171" s="39">
        <v>670</v>
      </c>
      <c r="G171" s="63"/>
      <c r="H171" s="64"/>
    </row>
    <row r="172" spans="1:8" s="11" customFormat="1">
      <c r="A172" s="71">
        <v>3</v>
      </c>
      <c r="B172" s="71"/>
      <c r="C172" s="39" t="s">
        <v>184</v>
      </c>
      <c r="D172" s="39">
        <f>((25.007)+(2.825*1+3.05*1))*10.764</f>
        <v>332.41384799999997</v>
      </c>
      <c r="E172" s="39">
        <f>(1.75*2.85)*10.764</f>
        <v>53.685449999999996</v>
      </c>
      <c r="F172" s="39">
        <v>670</v>
      </c>
      <c r="G172" s="63"/>
      <c r="H172" s="64"/>
    </row>
    <row r="173" spans="1:8" s="11" customFormat="1">
      <c r="A173" s="71">
        <v>4</v>
      </c>
      <c r="B173" s="71"/>
      <c r="C173" s="39" t="s">
        <v>184</v>
      </c>
      <c r="D173" s="39">
        <f>((24.95)+(2.1*1+2.575*1.2))*10.764</f>
        <v>324.42696000000001</v>
      </c>
      <c r="E173" s="39">
        <f t="shared" ref="E173:E176" si="2">(1.75*2.75)*10.764</f>
        <v>51.801749999999998</v>
      </c>
      <c r="F173" s="39">
        <v>635</v>
      </c>
      <c r="G173" s="63"/>
      <c r="H173" s="64"/>
    </row>
    <row r="174" spans="1:8" s="11" customFormat="1">
      <c r="A174" s="71">
        <v>5</v>
      </c>
      <c r="B174" s="71"/>
      <c r="C174" s="39" t="s">
        <v>184</v>
      </c>
      <c r="D174" s="39">
        <f>((24.95)+(2.1*1+2.575*1.2))*10.764</f>
        <v>324.42696000000001</v>
      </c>
      <c r="E174" s="39">
        <f>(1.675*2.75)*10.764</f>
        <v>49.581674999999997</v>
      </c>
      <c r="F174" s="39">
        <v>635</v>
      </c>
      <c r="G174" s="63"/>
      <c r="H174" s="64"/>
    </row>
    <row r="175" spans="1:8" s="11" customFormat="1">
      <c r="A175" s="71">
        <v>6</v>
      </c>
      <c r="B175" s="71"/>
      <c r="C175" s="39" t="s">
        <v>184</v>
      </c>
      <c r="D175" s="39">
        <f>((24.95)+(2.1*1+2.575*1.2))*10.764</f>
        <v>324.42696000000001</v>
      </c>
      <c r="E175" s="39">
        <f>(1.675*2.75)*10.764</f>
        <v>49.581674999999997</v>
      </c>
      <c r="F175" s="39">
        <v>635</v>
      </c>
      <c r="G175" s="63"/>
      <c r="H175" s="64"/>
    </row>
    <row r="176" spans="1:8" s="11" customFormat="1">
      <c r="A176" s="71">
        <v>7</v>
      </c>
      <c r="B176" s="71"/>
      <c r="C176" s="39" t="s">
        <v>184</v>
      </c>
      <c r="D176" s="39">
        <f>((24.95)+(2.1*1+2.575*1.2))*10.764</f>
        <v>324.42696000000001</v>
      </c>
      <c r="E176" s="39">
        <f t="shared" si="2"/>
        <v>51.801749999999998</v>
      </c>
      <c r="F176" s="39">
        <v>635</v>
      </c>
      <c r="G176" s="63"/>
      <c r="H176" s="64"/>
    </row>
    <row r="177" spans="1:8" s="11" customFormat="1">
      <c r="A177" s="71">
        <v>8</v>
      </c>
      <c r="B177" s="71"/>
      <c r="C177" s="39" t="s">
        <v>184</v>
      </c>
      <c r="D177" s="39">
        <f>((25.007)+(2.825*1+3.05*1))*10.764</f>
        <v>332.41384799999997</v>
      </c>
      <c r="E177" s="39">
        <f>(1.75*2.85)*10.764</f>
        <v>53.685449999999996</v>
      </c>
      <c r="F177" s="39">
        <v>670</v>
      </c>
      <c r="G177" s="63"/>
      <c r="H177" s="64"/>
    </row>
    <row r="178" spans="1:8" s="11" customFormat="1">
      <c r="A178" s="71">
        <v>9</v>
      </c>
      <c r="B178" s="71"/>
      <c r="C178" s="39" t="s">
        <v>184</v>
      </c>
      <c r="D178" s="39">
        <f>((25.007)+(2.825*1+3.05*1))*10.764</f>
        <v>332.41384799999997</v>
      </c>
      <c r="E178" s="39">
        <f>(1.75*2.85)*10.764</f>
        <v>53.685449999999996</v>
      </c>
      <c r="F178" s="39">
        <v>670</v>
      </c>
      <c r="G178" s="63"/>
      <c r="H178" s="64"/>
    </row>
    <row r="179" spans="1:8" s="11" customFormat="1">
      <c r="A179" s="71">
        <v>10</v>
      </c>
      <c r="B179" s="71"/>
      <c r="C179" s="39" t="s">
        <v>184</v>
      </c>
      <c r="D179" s="39">
        <f>((24.95)+(2.1*1+2.575*1.2))*10.764</f>
        <v>324.42696000000001</v>
      </c>
      <c r="E179" s="39">
        <f t="shared" ref="E179" si="3">(1.75*2.75)*10.764</f>
        <v>51.801749999999998</v>
      </c>
      <c r="F179" s="39">
        <v>635</v>
      </c>
      <c r="G179" s="63"/>
      <c r="H179" s="64"/>
    </row>
    <row r="180" spans="1:8" s="11" customFormat="1">
      <c r="A180" s="71">
        <v>11</v>
      </c>
      <c r="B180" s="71"/>
      <c r="C180" s="39" t="s">
        <v>184</v>
      </c>
      <c r="D180" s="39">
        <f>((24.95)+(2.1*1+2.575*1.2))*10.764</f>
        <v>324.42696000000001</v>
      </c>
      <c r="E180" s="39">
        <f>(1.675*2.75)*10.764</f>
        <v>49.581674999999997</v>
      </c>
      <c r="F180" s="39">
        <v>635</v>
      </c>
      <c r="G180" s="63"/>
      <c r="H180" s="64"/>
    </row>
    <row r="181" spans="1:8" s="11" customFormat="1">
      <c r="A181" s="71">
        <v>12</v>
      </c>
      <c r="B181" s="71"/>
      <c r="C181" s="39" t="s">
        <v>184</v>
      </c>
      <c r="D181" s="39">
        <f>((24.95)+(2.1*1+2.575*1.2))*10.764</f>
        <v>324.42696000000001</v>
      </c>
      <c r="E181" s="39">
        <f>(1.675*2.75)*10.764</f>
        <v>49.581674999999997</v>
      </c>
      <c r="F181" s="39">
        <v>635</v>
      </c>
      <c r="G181" s="65"/>
      <c r="H181" s="66"/>
    </row>
    <row r="182" spans="1:8" s="11" customFormat="1">
      <c r="A182" s="74" t="s">
        <v>188</v>
      </c>
      <c r="B182" s="74"/>
      <c r="C182" s="74"/>
      <c r="D182" s="74"/>
      <c r="E182" s="74"/>
      <c r="F182" s="74"/>
      <c r="G182" s="74"/>
      <c r="H182" s="74"/>
    </row>
    <row r="183" spans="1:8" s="11" customFormat="1">
      <c r="A183" s="74" t="s">
        <v>180</v>
      </c>
      <c r="B183" s="74"/>
      <c r="C183" s="74"/>
      <c r="D183" s="74"/>
      <c r="E183" s="74"/>
      <c r="F183" s="74"/>
      <c r="G183" s="74"/>
      <c r="H183" s="74"/>
    </row>
    <row r="184" spans="1:8" s="11" customFormat="1">
      <c r="A184" s="71">
        <v>10</v>
      </c>
      <c r="B184" s="71"/>
      <c r="C184" s="39" t="s">
        <v>181</v>
      </c>
      <c r="D184" s="39">
        <f>22.73*10.764</f>
        <v>244.66571999999999</v>
      </c>
      <c r="E184" s="39">
        <v>0</v>
      </c>
      <c r="F184" s="39">
        <v>495</v>
      </c>
      <c r="G184" s="61" t="str">
        <f>A183</f>
        <v>Ground Floor for Commercial &amp; Parking</v>
      </c>
      <c r="H184" s="62"/>
    </row>
    <row r="185" spans="1:8" s="11" customFormat="1">
      <c r="A185" s="71">
        <v>11</v>
      </c>
      <c r="B185" s="71"/>
      <c r="C185" s="39" t="s">
        <v>181</v>
      </c>
      <c r="D185" s="39">
        <f>17.625*10.764</f>
        <v>189.71549999999999</v>
      </c>
      <c r="E185" s="39">
        <v>0</v>
      </c>
      <c r="F185" s="39">
        <v>380</v>
      </c>
      <c r="G185" s="63"/>
      <c r="H185" s="64"/>
    </row>
    <row r="186" spans="1:8" s="11" customFormat="1">
      <c r="A186" s="71">
        <v>12</v>
      </c>
      <c r="B186" s="71"/>
      <c r="C186" s="39" t="s">
        <v>181</v>
      </c>
      <c r="D186" s="39">
        <f>25.518*10.764</f>
        <v>274.67575199999999</v>
      </c>
      <c r="E186" s="39">
        <v>0</v>
      </c>
      <c r="F186" s="39">
        <v>550</v>
      </c>
      <c r="G186" s="63"/>
      <c r="H186" s="64"/>
    </row>
    <row r="187" spans="1:8" s="11" customFormat="1">
      <c r="A187" s="71">
        <v>13</v>
      </c>
      <c r="B187" s="71"/>
      <c r="C187" s="39" t="s">
        <v>181</v>
      </c>
      <c r="D187" s="39">
        <f>16.5*10.764</f>
        <v>177.60599999999999</v>
      </c>
      <c r="E187" s="39">
        <v>0</v>
      </c>
      <c r="F187" s="39">
        <v>355</v>
      </c>
      <c r="G187" s="63"/>
      <c r="H187" s="64"/>
    </row>
    <row r="188" spans="1:8" s="11" customFormat="1">
      <c r="A188" s="71">
        <v>14</v>
      </c>
      <c r="B188" s="71"/>
      <c r="C188" s="39" t="s">
        <v>181</v>
      </c>
      <c r="D188" s="39">
        <f>16.5*10.764</f>
        <v>177.60599999999999</v>
      </c>
      <c r="E188" s="39">
        <v>0</v>
      </c>
      <c r="F188" s="39">
        <v>355</v>
      </c>
      <c r="G188" s="63"/>
      <c r="H188" s="64"/>
    </row>
    <row r="189" spans="1:8" s="11" customFormat="1">
      <c r="A189" s="71">
        <v>15</v>
      </c>
      <c r="B189" s="71"/>
      <c r="C189" s="39" t="s">
        <v>181</v>
      </c>
      <c r="D189" s="39">
        <f>29.423*10.764</f>
        <v>316.70917199999997</v>
      </c>
      <c r="E189" s="39">
        <v>0</v>
      </c>
      <c r="F189" s="39">
        <v>635</v>
      </c>
      <c r="G189" s="63"/>
      <c r="H189" s="64"/>
    </row>
    <row r="190" spans="1:8" s="11" customFormat="1">
      <c r="A190" s="71">
        <v>16</v>
      </c>
      <c r="B190" s="71"/>
      <c r="C190" s="39" t="s">
        <v>181</v>
      </c>
      <c r="D190" s="39">
        <f>20.25*10.764</f>
        <v>217.97099999999998</v>
      </c>
      <c r="E190" s="39">
        <v>0</v>
      </c>
      <c r="F190" s="39">
        <v>435</v>
      </c>
      <c r="G190" s="63"/>
      <c r="H190" s="64"/>
    </row>
    <row r="191" spans="1:8" s="11" customFormat="1">
      <c r="A191" s="71">
        <v>17</v>
      </c>
      <c r="B191" s="71"/>
      <c r="C191" s="39" t="s">
        <v>181</v>
      </c>
      <c r="D191" s="39">
        <f>22.75*10.764</f>
        <v>244.88099999999997</v>
      </c>
      <c r="E191" s="39">
        <v>0</v>
      </c>
      <c r="F191" s="39">
        <v>490</v>
      </c>
      <c r="G191" s="63"/>
      <c r="H191" s="64"/>
    </row>
    <row r="192" spans="1:8" s="11" customFormat="1">
      <c r="A192" s="71">
        <v>18</v>
      </c>
      <c r="B192" s="71"/>
      <c r="C192" s="39" t="s">
        <v>181</v>
      </c>
      <c r="D192" s="39">
        <f>38.297*10.764</f>
        <v>412.22890799999993</v>
      </c>
      <c r="E192" s="39">
        <v>0</v>
      </c>
      <c r="F192" s="39">
        <v>825</v>
      </c>
      <c r="G192" s="63"/>
      <c r="H192" s="64"/>
    </row>
    <row r="193" spans="1:8" s="11" customFormat="1">
      <c r="A193" s="71">
        <v>19</v>
      </c>
      <c r="B193" s="71"/>
      <c r="C193" s="39" t="s">
        <v>181</v>
      </c>
      <c r="D193" s="39">
        <f>24.694*10.764</f>
        <v>265.80621599999995</v>
      </c>
      <c r="E193" s="39">
        <v>0</v>
      </c>
      <c r="F193" s="39">
        <v>535</v>
      </c>
      <c r="G193" s="63"/>
      <c r="H193" s="64"/>
    </row>
    <row r="194" spans="1:8" s="11" customFormat="1">
      <c r="A194" s="71">
        <v>20</v>
      </c>
      <c r="B194" s="71"/>
      <c r="C194" s="39" t="s">
        <v>181</v>
      </c>
      <c r="D194" s="39">
        <f>30.68*10.764</f>
        <v>330.23951999999997</v>
      </c>
      <c r="E194" s="39">
        <v>0</v>
      </c>
      <c r="F194" s="39">
        <v>660</v>
      </c>
      <c r="G194" s="63"/>
      <c r="H194" s="64"/>
    </row>
    <row r="195" spans="1:8" s="11" customFormat="1">
      <c r="A195" s="71">
        <v>21</v>
      </c>
      <c r="B195" s="71"/>
      <c r="C195" s="39" t="s">
        <v>181</v>
      </c>
      <c r="D195" s="39">
        <f>17.118*10.764</f>
        <v>184.25815199999997</v>
      </c>
      <c r="E195" s="39">
        <v>0</v>
      </c>
      <c r="F195" s="39">
        <v>370</v>
      </c>
      <c r="G195" s="63"/>
      <c r="H195" s="64"/>
    </row>
    <row r="196" spans="1:8" s="11" customFormat="1">
      <c r="A196" s="71">
        <v>22</v>
      </c>
      <c r="B196" s="71"/>
      <c r="C196" s="39" t="s">
        <v>181</v>
      </c>
      <c r="D196" s="39">
        <f>23.462*10.764</f>
        <v>252.54496799999998</v>
      </c>
      <c r="E196" s="39">
        <v>0</v>
      </c>
      <c r="F196" s="39">
        <v>510</v>
      </c>
      <c r="G196" s="63"/>
      <c r="H196" s="64"/>
    </row>
    <row r="197" spans="1:8" s="11" customFormat="1">
      <c r="A197" s="71">
        <v>23</v>
      </c>
      <c r="B197" s="71"/>
      <c r="C197" s="39" t="s">
        <v>181</v>
      </c>
      <c r="D197" s="39">
        <f>24.445*10.764</f>
        <v>263.12597999999997</v>
      </c>
      <c r="E197" s="39">
        <v>0</v>
      </c>
      <c r="F197" s="39">
        <v>525</v>
      </c>
      <c r="G197" s="65"/>
      <c r="H197" s="66"/>
    </row>
    <row r="198" spans="1:8" s="11" customFormat="1">
      <c r="A198" s="74" t="s">
        <v>182</v>
      </c>
      <c r="B198" s="74"/>
      <c r="C198" s="74"/>
      <c r="D198" s="74"/>
      <c r="E198" s="74"/>
      <c r="F198" s="74"/>
      <c r="G198" s="74"/>
      <c r="H198" s="74"/>
    </row>
    <row r="199" spans="1:8" s="11" customFormat="1">
      <c r="A199" s="71">
        <v>8</v>
      </c>
      <c r="B199" s="71"/>
      <c r="C199" s="39" t="s">
        <v>183</v>
      </c>
      <c r="D199" s="39">
        <f>22.49*10.764</f>
        <v>242.08235999999997</v>
      </c>
      <c r="E199" s="39">
        <v>0</v>
      </c>
      <c r="F199" s="39">
        <v>490</v>
      </c>
      <c r="G199" s="61" t="str">
        <f>A198</f>
        <v>1st Floor for Commercial &amp; Residential</v>
      </c>
      <c r="H199" s="62"/>
    </row>
    <row r="200" spans="1:8" s="11" customFormat="1">
      <c r="A200" s="71">
        <v>9</v>
      </c>
      <c r="B200" s="71"/>
      <c r="C200" s="39" t="s">
        <v>183</v>
      </c>
      <c r="D200" s="39">
        <f>14.125*10.764</f>
        <v>152.04149999999998</v>
      </c>
      <c r="E200" s="39">
        <v>0</v>
      </c>
      <c r="F200" s="39">
        <v>305</v>
      </c>
      <c r="G200" s="63"/>
      <c r="H200" s="64"/>
    </row>
    <row r="201" spans="1:8" s="11" customFormat="1">
      <c r="A201" s="71">
        <v>10</v>
      </c>
      <c r="B201" s="71"/>
      <c r="C201" s="39" t="s">
        <v>183</v>
      </c>
      <c r="D201" s="39">
        <f>20.548*10.764</f>
        <v>221.17867199999998</v>
      </c>
      <c r="E201" s="39">
        <v>0</v>
      </c>
      <c r="F201" s="39">
        <v>440</v>
      </c>
      <c r="G201" s="63"/>
      <c r="H201" s="64"/>
    </row>
    <row r="202" spans="1:8" s="11" customFormat="1">
      <c r="A202" s="71">
        <v>11</v>
      </c>
      <c r="B202" s="71"/>
      <c r="C202" s="39" t="s">
        <v>183</v>
      </c>
      <c r="D202" s="39">
        <f>23.218*10.764</f>
        <v>249.91855199999998</v>
      </c>
      <c r="E202" s="39">
        <v>0</v>
      </c>
      <c r="F202" s="39">
        <v>500</v>
      </c>
      <c r="G202" s="63"/>
      <c r="H202" s="64"/>
    </row>
    <row r="203" spans="1:8" s="11" customFormat="1">
      <c r="A203" s="71">
        <v>12</v>
      </c>
      <c r="B203" s="71"/>
      <c r="C203" s="39" t="s">
        <v>183</v>
      </c>
      <c r="D203" s="39">
        <f>24.098*10.764</f>
        <v>259.39087199999994</v>
      </c>
      <c r="E203" s="39">
        <v>0</v>
      </c>
      <c r="F203" s="39">
        <v>520</v>
      </c>
      <c r="G203" s="63"/>
      <c r="H203" s="64"/>
    </row>
    <row r="204" spans="1:8" s="11" customFormat="1">
      <c r="A204" s="71">
        <v>13</v>
      </c>
      <c r="B204" s="71"/>
      <c r="C204" s="39" t="s">
        <v>183</v>
      </c>
      <c r="D204" s="39">
        <f>12.75*10.764</f>
        <v>137.24099999999999</v>
      </c>
      <c r="E204" s="39">
        <v>0</v>
      </c>
      <c r="F204" s="39">
        <v>275</v>
      </c>
      <c r="G204" s="63"/>
      <c r="H204" s="64"/>
    </row>
    <row r="205" spans="1:8" s="11" customFormat="1">
      <c r="A205" s="71">
        <v>14</v>
      </c>
      <c r="B205" s="71"/>
      <c r="C205" s="39" t="s">
        <v>183</v>
      </c>
      <c r="D205" s="39">
        <f>16.75*10.764</f>
        <v>180.297</v>
      </c>
      <c r="E205" s="39">
        <v>0</v>
      </c>
      <c r="F205" s="39">
        <v>360</v>
      </c>
      <c r="G205" s="63"/>
      <c r="H205" s="64"/>
    </row>
    <row r="206" spans="1:8" s="11" customFormat="1">
      <c r="A206" s="71">
        <v>15</v>
      </c>
      <c r="B206" s="71"/>
      <c r="C206" s="39" t="s">
        <v>183</v>
      </c>
      <c r="D206" s="39">
        <f>33.328*10.764</f>
        <v>358.742592</v>
      </c>
      <c r="E206" s="39">
        <v>0</v>
      </c>
      <c r="F206" s="39">
        <v>715</v>
      </c>
      <c r="G206" s="63"/>
      <c r="H206" s="64"/>
    </row>
    <row r="207" spans="1:8" s="11" customFormat="1">
      <c r="A207" s="71">
        <v>16</v>
      </c>
      <c r="B207" s="71"/>
      <c r="C207" s="39" t="s">
        <v>183</v>
      </c>
      <c r="D207" s="39">
        <f>36.102*10.764</f>
        <v>388.60192799999993</v>
      </c>
      <c r="E207" s="39">
        <v>0</v>
      </c>
      <c r="F207" s="39">
        <v>780</v>
      </c>
      <c r="G207" s="63"/>
      <c r="H207" s="64"/>
    </row>
    <row r="208" spans="1:8" s="11" customFormat="1">
      <c r="A208" s="71">
        <v>1</v>
      </c>
      <c r="B208" s="71"/>
      <c r="C208" s="39" t="s">
        <v>184</v>
      </c>
      <c r="D208" s="39">
        <f>((24.95)+(2.1*1+2.575*1.2))*10.764</f>
        <v>324.42696000000001</v>
      </c>
      <c r="E208" s="39">
        <v>0</v>
      </c>
      <c r="F208" s="39">
        <v>575</v>
      </c>
      <c r="G208" s="63"/>
      <c r="H208" s="64"/>
    </row>
    <row r="209" spans="1:9" s="11" customFormat="1">
      <c r="A209" s="71">
        <v>2</v>
      </c>
      <c r="B209" s="71"/>
      <c r="C209" s="39" t="s">
        <v>184</v>
      </c>
      <c r="D209" s="39">
        <f>((27.17)+(2.25*1))*10.764</f>
        <v>316.67687999999998</v>
      </c>
      <c r="E209" s="39">
        <v>0</v>
      </c>
      <c r="F209" s="39">
        <v>565</v>
      </c>
      <c r="G209" s="63"/>
      <c r="H209" s="64"/>
    </row>
    <row r="210" spans="1:9" s="11" customFormat="1">
      <c r="A210" s="71">
        <v>3</v>
      </c>
      <c r="B210" s="71"/>
      <c r="C210" s="39" t="s">
        <v>189</v>
      </c>
      <c r="D210" s="39">
        <f>((18.22)+(2.2*1))*10.764</f>
        <v>219.80087999999998</v>
      </c>
      <c r="E210" s="39">
        <v>0</v>
      </c>
      <c r="F210" s="39">
        <v>420</v>
      </c>
      <c r="G210" s="63"/>
      <c r="H210" s="64"/>
      <c r="I210" s="11">
        <f>1399000/F210</f>
        <v>3330.9523809523807</v>
      </c>
    </row>
    <row r="211" spans="1:9" s="11" customFormat="1">
      <c r="A211" s="71">
        <v>4</v>
      </c>
      <c r="B211" s="71"/>
      <c r="C211" s="39" t="s">
        <v>184</v>
      </c>
      <c r="D211" s="39">
        <f>((26.02)+(2.35*1+2.9*1))*10.764</f>
        <v>336.59027999999995</v>
      </c>
      <c r="E211" s="39">
        <f>(2.15*2.7)*10.764</f>
        <v>62.485019999999992</v>
      </c>
      <c r="F211" s="39">
        <v>670</v>
      </c>
      <c r="G211" s="63"/>
      <c r="H211" s="64"/>
      <c r="I211" s="11">
        <f>2387000/F211</f>
        <v>3562.686567164179</v>
      </c>
    </row>
    <row r="212" spans="1:9" s="11" customFormat="1">
      <c r="A212" s="71">
        <v>5</v>
      </c>
      <c r="B212" s="71"/>
      <c r="C212" s="39" t="s">
        <v>190</v>
      </c>
      <c r="D212" s="39">
        <f>(35.71+(2.75+3.05+2.15)*1)*10.764</f>
        <v>469.95623999999992</v>
      </c>
      <c r="E212" s="39">
        <v>0</v>
      </c>
      <c r="F212" s="39">
        <v>800</v>
      </c>
      <c r="G212" s="63"/>
      <c r="H212" s="64"/>
      <c r="I212" s="11">
        <f>2862000/F212</f>
        <v>3577.5</v>
      </c>
    </row>
    <row r="213" spans="1:9" s="11" customFormat="1">
      <c r="A213" s="71">
        <v>6</v>
      </c>
      <c r="B213" s="71"/>
      <c r="C213" s="39" t="s">
        <v>184</v>
      </c>
      <c r="D213" s="39">
        <f>((24.95)+(2.1*1+2.575*1.2))*10.764</f>
        <v>324.42696000000001</v>
      </c>
      <c r="E213" s="39">
        <v>0</v>
      </c>
      <c r="F213" s="39">
        <v>575</v>
      </c>
      <c r="G213" s="63"/>
      <c r="H213" s="64"/>
      <c r="I213" s="11">
        <f>2273000/F213</f>
        <v>3953.0434782608695</v>
      </c>
    </row>
    <row r="214" spans="1:9" s="11" customFormat="1">
      <c r="A214" s="71">
        <v>7</v>
      </c>
      <c r="B214" s="71"/>
      <c r="C214" s="39" t="s">
        <v>184</v>
      </c>
      <c r="D214" s="39">
        <f>((24.95)+(2.1*1+2.575*1.2))*10.764</f>
        <v>324.42696000000001</v>
      </c>
      <c r="E214" s="39">
        <v>0</v>
      </c>
      <c r="F214" s="39">
        <v>575</v>
      </c>
      <c r="G214" s="63"/>
      <c r="H214" s="64"/>
    </row>
    <row r="215" spans="1:9" s="11" customFormat="1">
      <c r="A215" s="71">
        <v>8</v>
      </c>
      <c r="B215" s="71"/>
      <c r="C215" s="39" t="s">
        <v>184</v>
      </c>
      <c r="D215" s="39">
        <f>((24.95)+(2.575*1.2+2.1*1))*10.764</f>
        <v>324.42696000000001</v>
      </c>
      <c r="E215" s="39">
        <v>0</v>
      </c>
      <c r="F215" s="39">
        <v>575</v>
      </c>
      <c r="G215" s="65"/>
      <c r="H215" s="66"/>
    </row>
    <row r="216" spans="1:9" s="11" customFormat="1">
      <c r="A216" s="74" t="s">
        <v>185</v>
      </c>
      <c r="B216" s="74"/>
      <c r="C216" s="74"/>
      <c r="D216" s="74"/>
      <c r="E216" s="74"/>
      <c r="F216" s="74"/>
      <c r="G216" s="74"/>
      <c r="H216" s="74"/>
    </row>
    <row r="217" spans="1:9" s="11" customFormat="1">
      <c r="A217" s="71">
        <v>1</v>
      </c>
      <c r="B217" s="71"/>
      <c r="C217" s="39" t="s">
        <v>184</v>
      </c>
      <c r="D217" s="39">
        <f>((24.95)+(2.1*1+2.575*1.2))*10.764</f>
        <v>324.42696000000001</v>
      </c>
      <c r="E217" s="39">
        <f>(1.675*2.76)*10.764</f>
        <v>49.761971999999993</v>
      </c>
      <c r="F217" s="39">
        <v>635</v>
      </c>
      <c r="G217" s="61" t="str">
        <f>A216</f>
        <v>2nd Floor for Residential</v>
      </c>
      <c r="H217" s="62"/>
    </row>
    <row r="218" spans="1:9" s="11" customFormat="1">
      <c r="A218" s="71">
        <v>2</v>
      </c>
      <c r="B218" s="71"/>
      <c r="C218" s="39" t="s">
        <v>184</v>
      </c>
      <c r="D218" s="39">
        <f>((27.17)+(2.25*1))*10.764</f>
        <v>316.67687999999998</v>
      </c>
      <c r="E218" s="39">
        <f>(1.775*2.75)*10.764</f>
        <v>52.541774999999994</v>
      </c>
      <c r="F218" s="39">
        <v>630</v>
      </c>
      <c r="G218" s="63"/>
      <c r="H218" s="64"/>
    </row>
    <row r="219" spans="1:9" s="11" customFormat="1">
      <c r="A219" s="71">
        <v>3</v>
      </c>
      <c r="B219" s="71"/>
      <c r="C219" s="39" t="s">
        <v>189</v>
      </c>
      <c r="D219" s="39">
        <f>((18.22)+(2.2*1))*10.764</f>
        <v>219.80087999999998</v>
      </c>
      <c r="E219" s="39">
        <v>0</v>
      </c>
      <c r="F219" s="39">
        <v>365</v>
      </c>
      <c r="G219" s="63"/>
      <c r="H219" s="64"/>
      <c r="I219" s="11">
        <f>1400000/Report!F219</f>
        <v>3835.6164383561645</v>
      </c>
    </row>
    <row r="220" spans="1:9" s="11" customFormat="1">
      <c r="A220" s="71">
        <v>4</v>
      </c>
      <c r="B220" s="71"/>
      <c r="C220" s="39" t="s">
        <v>184</v>
      </c>
      <c r="D220" s="39">
        <f>((26.02)+(2.35*1+2.9*1))*10.764</f>
        <v>336.59027999999995</v>
      </c>
      <c r="E220" s="39">
        <v>0</v>
      </c>
      <c r="F220" s="39">
        <v>600</v>
      </c>
      <c r="G220" s="63"/>
      <c r="H220" s="64"/>
    </row>
    <row r="221" spans="1:9" s="11" customFormat="1">
      <c r="A221" s="71">
        <v>5</v>
      </c>
      <c r="B221" s="71"/>
      <c r="C221" s="39" t="s">
        <v>184</v>
      </c>
      <c r="D221" s="39">
        <f>((27.25)+(2.55*1+2.45*1+2.7*1))*10.764</f>
        <v>376.20179999999999</v>
      </c>
      <c r="E221" s="39">
        <f>(3.5*0.85)*10.764</f>
        <v>32.0229</v>
      </c>
      <c r="F221" s="39">
        <v>630</v>
      </c>
      <c r="G221" s="63"/>
      <c r="H221" s="64"/>
    </row>
    <row r="222" spans="1:9" s="11" customFormat="1">
      <c r="A222" s="71">
        <v>6</v>
      </c>
      <c r="B222" s="71"/>
      <c r="C222" s="39" t="s">
        <v>184</v>
      </c>
      <c r="D222" s="39">
        <f>((24.95)+(2.1*1+2.575*1.2))*10.764</f>
        <v>324.42696000000001</v>
      </c>
      <c r="E222" s="39">
        <f>(6.35*4.25+1.6*2.75)*10.764</f>
        <v>337.85504999999995</v>
      </c>
      <c r="F222" s="39">
        <v>770</v>
      </c>
      <c r="G222" s="63"/>
      <c r="H222" s="64"/>
    </row>
    <row r="223" spans="1:9" s="11" customFormat="1">
      <c r="A223" s="71">
        <v>7</v>
      </c>
      <c r="B223" s="71"/>
      <c r="C223" s="39" t="s">
        <v>184</v>
      </c>
      <c r="D223" s="39">
        <f>((24.95)+(2.1*1+2.575*1.2))*10.764</f>
        <v>324.42696000000001</v>
      </c>
      <c r="E223" s="39">
        <f>(1.675*4.4+1.95*1.65+2.65*3.25)*10.764</f>
        <v>206.66879999999998</v>
      </c>
      <c r="F223" s="39">
        <v>670</v>
      </c>
      <c r="G223" s="63"/>
      <c r="H223" s="64"/>
    </row>
    <row r="224" spans="1:9" s="11" customFormat="1">
      <c r="A224" s="71">
        <v>8</v>
      </c>
      <c r="B224" s="71"/>
      <c r="C224" s="39" t="s">
        <v>184</v>
      </c>
      <c r="D224" s="39">
        <f>((24.95)+(2.1*1+2.575*1.2))*10.764</f>
        <v>324.42696000000001</v>
      </c>
      <c r="E224" s="39">
        <f>(1.675*2.75+6.35*1.65)*10.764</f>
        <v>162.36148499999996</v>
      </c>
      <c r="F224" s="39">
        <v>635</v>
      </c>
      <c r="G224" s="63"/>
      <c r="H224" s="64"/>
    </row>
    <row r="225" spans="1:9" s="11" customFormat="1">
      <c r="A225" s="71">
        <v>9</v>
      </c>
      <c r="B225" s="71"/>
      <c r="C225" s="39" t="s">
        <v>184</v>
      </c>
      <c r="D225" s="39">
        <f>((24.95)+(2.1*1+2.575*1.2))*10.764</f>
        <v>324.42696000000001</v>
      </c>
      <c r="E225" s="39">
        <f>(1.6*3.4+1.95*0.65+2.725*1.65)*10.764</f>
        <v>120.59716499999999</v>
      </c>
      <c r="F225" s="39">
        <v>605</v>
      </c>
      <c r="G225" s="63"/>
      <c r="H225" s="64"/>
    </row>
    <row r="226" spans="1:9" s="11" customFormat="1">
      <c r="A226" s="71">
        <v>10</v>
      </c>
      <c r="B226" s="71"/>
      <c r="C226" s="39" t="s">
        <v>189</v>
      </c>
      <c r="D226" s="39">
        <f>((26.235)+(2.97*1))*10.764</f>
        <v>314.36261999999994</v>
      </c>
      <c r="E226" s="39">
        <f>(1.75*2.95)*10.764</f>
        <v>55.56915</v>
      </c>
      <c r="F226" s="39">
        <v>585</v>
      </c>
      <c r="G226" s="63"/>
      <c r="H226" s="64"/>
      <c r="I226" s="11">
        <f>1400000/Report!F226</f>
        <v>2393.1623931623931</v>
      </c>
    </row>
    <row r="227" spans="1:9" s="11" customFormat="1">
      <c r="A227" s="71">
        <v>11</v>
      </c>
      <c r="B227" s="71"/>
      <c r="C227" s="39" t="s">
        <v>189</v>
      </c>
      <c r="D227" s="39">
        <f>((18.043)+(2.75*1+2.05*1))*10.764</f>
        <v>245.88205199999999</v>
      </c>
      <c r="E227" s="39">
        <v>0</v>
      </c>
      <c r="F227" s="39">
        <v>410</v>
      </c>
      <c r="G227" s="63"/>
      <c r="H227" s="64"/>
      <c r="I227" s="11">
        <f>1400000/Report!F227</f>
        <v>3414.6341463414633</v>
      </c>
    </row>
    <row r="228" spans="1:9" s="11" customFormat="1">
      <c r="A228" s="71">
        <v>12</v>
      </c>
      <c r="B228" s="71"/>
      <c r="C228" s="39" t="s">
        <v>184</v>
      </c>
      <c r="D228" s="39">
        <f>((26.775)+(3.05*1+2.15*1))*10.764</f>
        <v>344.17889999999994</v>
      </c>
      <c r="E228" s="39">
        <f>(1.675*2.75)*10.764</f>
        <v>49.581674999999997</v>
      </c>
      <c r="F228" s="39">
        <v>635</v>
      </c>
      <c r="G228" s="63"/>
      <c r="H228" s="64"/>
    </row>
    <row r="229" spans="1:9" s="11" customFormat="1">
      <c r="A229" s="71">
        <v>13</v>
      </c>
      <c r="B229" s="71"/>
      <c r="C229" s="39" t="s">
        <v>184</v>
      </c>
      <c r="D229" s="39">
        <f>((24.95)+(2.1*1+2.575*1.2))*10.764</f>
        <v>324.42696000000001</v>
      </c>
      <c r="E229" s="39">
        <f>(1.675*2.75)*10.764</f>
        <v>49.581674999999997</v>
      </c>
      <c r="F229" s="39">
        <v>635</v>
      </c>
      <c r="G229" s="63"/>
      <c r="H229" s="64"/>
    </row>
    <row r="230" spans="1:9" s="11" customFormat="1">
      <c r="A230" s="71">
        <v>14</v>
      </c>
      <c r="B230" s="71"/>
      <c r="C230" s="39" t="s">
        <v>184</v>
      </c>
      <c r="D230" s="39">
        <f>((24.95)+(2.1*1+2.575*1.2))*10.764</f>
        <v>324.42696000000001</v>
      </c>
      <c r="E230" s="39">
        <f>(1.675*2.75)*10.764</f>
        <v>49.581674999999997</v>
      </c>
      <c r="F230" s="39">
        <v>635</v>
      </c>
      <c r="G230" s="63"/>
      <c r="H230" s="64"/>
    </row>
    <row r="231" spans="1:9" s="11" customFormat="1">
      <c r="A231" s="71">
        <v>15</v>
      </c>
      <c r="B231" s="71"/>
      <c r="C231" s="39" t="s">
        <v>184</v>
      </c>
      <c r="D231" s="39">
        <f>((24.95)+(2.1*1+2.575*1.2))*10.764</f>
        <v>324.42696000000001</v>
      </c>
      <c r="E231" s="39">
        <f>(1.675*2.75)*10.764</f>
        <v>49.581674999999997</v>
      </c>
      <c r="F231" s="39">
        <v>635</v>
      </c>
      <c r="G231" s="65"/>
      <c r="H231" s="66"/>
    </row>
    <row r="232" spans="1:9" s="11" customFormat="1">
      <c r="A232" s="74" t="s">
        <v>186</v>
      </c>
      <c r="B232" s="74"/>
      <c r="C232" s="74"/>
      <c r="D232" s="74"/>
      <c r="E232" s="74"/>
      <c r="F232" s="74"/>
      <c r="G232" s="74"/>
      <c r="H232" s="74"/>
    </row>
    <row r="233" spans="1:9" s="11" customFormat="1">
      <c r="A233" s="71">
        <v>1</v>
      </c>
      <c r="B233" s="71"/>
      <c r="C233" s="39" t="s">
        <v>184</v>
      </c>
      <c r="D233" s="39">
        <f>((24.95)+(2.1*1+2.575*1.2))*10.764</f>
        <v>324.42696000000001</v>
      </c>
      <c r="E233" s="39">
        <v>0</v>
      </c>
      <c r="F233" s="39">
        <v>575</v>
      </c>
      <c r="G233" s="61" t="str">
        <f>A232</f>
        <v xml:space="preserve">3rd, 5th &amp; 7th Floor </v>
      </c>
      <c r="H233" s="62"/>
    </row>
    <row r="234" spans="1:9" s="11" customFormat="1">
      <c r="A234" s="71">
        <v>2</v>
      </c>
      <c r="B234" s="71"/>
      <c r="C234" s="39" t="s">
        <v>184</v>
      </c>
      <c r="D234" s="39">
        <f>((27.17)+(2.25*1))*10.764</f>
        <v>316.67687999999998</v>
      </c>
      <c r="E234" s="39">
        <v>0</v>
      </c>
      <c r="F234" s="39">
        <v>565</v>
      </c>
      <c r="G234" s="63"/>
      <c r="H234" s="64"/>
    </row>
    <row r="235" spans="1:9" s="11" customFormat="1">
      <c r="A235" s="71">
        <v>3</v>
      </c>
      <c r="B235" s="71"/>
      <c r="C235" s="39" t="s">
        <v>189</v>
      </c>
      <c r="D235" s="39">
        <f>((18.22)+(2.2*1))*10.764</f>
        <v>219.80087999999998</v>
      </c>
      <c r="E235" s="39">
        <f>2.2*1.96*10.764</f>
        <v>46.414368000000003</v>
      </c>
      <c r="F235" s="39">
        <v>420</v>
      </c>
      <c r="G235" s="63"/>
      <c r="H235" s="64"/>
    </row>
    <row r="236" spans="1:9" s="11" customFormat="1">
      <c r="A236" s="71">
        <v>4</v>
      </c>
      <c r="B236" s="71"/>
      <c r="C236" s="39" t="s">
        <v>184</v>
      </c>
      <c r="D236" s="39">
        <f>((26.02)+(2.35*1+2.9*1))*10.764</f>
        <v>336.59027999999995</v>
      </c>
      <c r="E236" s="39">
        <f>2.16*2.7*10.764</f>
        <v>62.775648000000004</v>
      </c>
      <c r="F236" s="39">
        <v>670</v>
      </c>
      <c r="G236" s="63"/>
      <c r="H236" s="64"/>
    </row>
    <row r="237" spans="1:9" s="11" customFormat="1">
      <c r="A237" s="71">
        <v>5</v>
      </c>
      <c r="B237" s="71"/>
      <c r="C237" s="39" t="s">
        <v>184</v>
      </c>
      <c r="D237" s="39">
        <f>((27.25)+(2.55*1+2.45*1+2.7*1))*10.764</f>
        <v>376.20179999999999</v>
      </c>
      <c r="E237" s="39">
        <f>(3.5*0.85)*10.764</f>
        <v>32.0229</v>
      </c>
      <c r="F237" s="39">
        <v>630</v>
      </c>
      <c r="G237" s="63"/>
      <c r="H237" s="64"/>
    </row>
    <row r="238" spans="1:9" s="11" customFormat="1">
      <c r="A238" s="71">
        <v>6</v>
      </c>
      <c r="B238" s="71"/>
      <c r="C238" s="39" t="s">
        <v>184</v>
      </c>
      <c r="D238" s="39">
        <f>((24.95)+(2.1*1+2.575*1.2))*10.764</f>
        <v>324.42696000000001</v>
      </c>
      <c r="E238" s="39">
        <v>0</v>
      </c>
      <c r="F238" s="39">
        <v>575</v>
      </c>
      <c r="G238" s="63"/>
      <c r="H238" s="64"/>
    </row>
    <row r="239" spans="1:9" s="11" customFormat="1">
      <c r="A239" s="71">
        <v>7</v>
      </c>
      <c r="B239" s="71"/>
      <c r="C239" s="39" t="s">
        <v>184</v>
      </c>
      <c r="D239" s="39">
        <f>((24.95)+(2.1*1+2.575*1.2))*10.764</f>
        <v>324.42696000000001</v>
      </c>
      <c r="E239" s="39">
        <v>0</v>
      </c>
      <c r="F239" s="39">
        <v>575</v>
      </c>
      <c r="G239" s="63"/>
      <c r="H239" s="64"/>
    </row>
    <row r="240" spans="1:9" s="11" customFormat="1">
      <c r="A240" s="71">
        <v>8</v>
      </c>
      <c r="B240" s="71"/>
      <c r="C240" s="39" t="s">
        <v>184</v>
      </c>
      <c r="D240" s="39">
        <f>((24.95)+(2.1*1+2.575*1.2))*10.764</f>
        <v>324.42696000000001</v>
      </c>
      <c r="E240" s="39">
        <v>0</v>
      </c>
      <c r="F240" s="39">
        <v>575</v>
      </c>
      <c r="G240" s="63"/>
      <c r="H240" s="64"/>
    </row>
    <row r="241" spans="1:10" s="11" customFormat="1">
      <c r="A241" s="71">
        <v>9</v>
      </c>
      <c r="B241" s="71"/>
      <c r="C241" s="39" t="s">
        <v>184</v>
      </c>
      <c r="D241" s="39">
        <f>((24.95)+(2.1*1+2.575*1.2))*10.764</f>
        <v>324.42696000000001</v>
      </c>
      <c r="E241" s="39">
        <v>0</v>
      </c>
      <c r="F241" s="39">
        <v>575</v>
      </c>
      <c r="G241" s="63"/>
      <c r="H241" s="64"/>
    </row>
    <row r="242" spans="1:10" s="11" customFormat="1">
      <c r="A242" s="71">
        <v>10</v>
      </c>
      <c r="B242" s="71"/>
      <c r="C242" s="39" t="s">
        <v>189</v>
      </c>
      <c r="D242" s="39">
        <f>((26.235)+(2.97*1))*10.764</f>
        <v>314.36261999999994</v>
      </c>
      <c r="E242" s="39">
        <v>0</v>
      </c>
      <c r="F242" s="39">
        <v>550</v>
      </c>
      <c r="G242" s="63"/>
      <c r="H242" s="64"/>
    </row>
    <row r="243" spans="1:10" s="11" customFormat="1">
      <c r="A243" s="71">
        <v>11</v>
      </c>
      <c r="B243" s="71"/>
      <c r="C243" s="39" t="s">
        <v>189</v>
      </c>
      <c r="D243" s="39">
        <f>((18.043)+(2.75*1+2.05*1))*10.764</f>
        <v>245.88205199999999</v>
      </c>
      <c r="E243" s="39">
        <v>0</v>
      </c>
      <c r="F243" s="39">
        <v>410</v>
      </c>
      <c r="G243" s="63"/>
      <c r="H243" s="64"/>
    </row>
    <row r="244" spans="1:10" s="11" customFormat="1">
      <c r="A244" s="71">
        <v>12</v>
      </c>
      <c r="B244" s="71"/>
      <c r="C244" s="39" t="s">
        <v>184</v>
      </c>
      <c r="D244" s="39">
        <f>((26.775)+(3.05*1+2.15*1))*10.764</f>
        <v>344.17889999999994</v>
      </c>
      <c r="E244" s="39">
        <v>0</v>
      </c>
      <c r="F244" s="39">
        <v>575</v>
      </c>
      <c r="G244" s="63"/>
      <c r="H244" s="64"/>
    </row>
    <row r="245" spans="1:10" s="11" customFormat="1">
      <c r="A245" s="71">
        <v>13</v>
      </c>
      <c r="B245" s="71"/>
      <c r="C245" s="39" t="s">
        <v>184</v>
      </c>
      <c r="D245" s="39">
        <f>((24.95)+(2.1*1+2.575*1.2))*10.764</f>
        <v>324.42696000000001</v>
      </c>
      <c r="E245" s="39">
        <v>0</v>
      </c>
      <c r="F245" s="39">
        <v>575</v>
      </c>
      <c r="G245" s="63"/>
      <c r="H245" s="64"/>
    </row>
    <row r="246" spans="1:10" s="11" customFormat="1">
      <c r="A246" s="71">
        <v>14</v>
      </c>
      <c r="B246" s="71"/>
      <c r="C246" s="39" t="s">
        <v>184</v>
      </c>
      <c r="D246" s="39">
        <f>((24.95)+(2.1*1+2.575*1.2))*10.764</f>
        <v>324.42696000000001</v>
      </c>
      <c r="E246" s="39">
        <v>0</v>
      </c>
      <c r="F246" s="39">
        <v>575</v>
      </c>
      <c r="G246" s="63"/>
      <c r="H246" s="64"/>
    </row>
    <row r="247" spans="1:10" s="11" customFormat="1">
      <c r="A247" s="71">
        <v>15</v>
      </c>
      <c r="B247" s="71"/>
      <c r="C247" s="39" t="s">
        <v>184</v>
      </c>
      <c r="D247" s="39">
        <f>((24.95)+(2.1*1+2.575*1.2))*10.764</f>
        <v>324.42696000000001</v>
      </c>
      <c r="E247" s="39">
        <v>0</v>
      </c>
      <c r="F247" s="39">
        <v>575</v>
      </c>
      <c r="G247" s="65"/>
      <c r="H247" s="66"/>
    </row>
    <row r="248" spans="1:10" s="11" customFormat="1">
      <c r="A248" s="74" t="s">
        <v>191</v>
      </c>
      <c r="B248" s="74"/>
      <c r="C248" s="74"/>
      <c r="D248" s="74"/>
      <c r="E248" s="74"/>
      <c r="F248" s="74"/>
      <c r="G248" s="74"/>
      <c r="H248" s="74"/>
    </row>
    <row r="249" spans="1:10" s="11" customFormat="1">
      <c r="A249" s="71">
        <v>1</v>
      </c>
      <c r="B249" s="71"/>
      <c r="C249" s="39" t="s">
        <v>184</v>
      </c>
      <c r="D249" s="39">
        <f>((24.95)+(2.1*1+2.575*1.2))*10.764</f>
        <v>324.42696000000001</v>
      </c>
      <c r="E249" s="39">
        <f>(1.675*2.76)*10.764</f>
        <v>49.761971999999993</v>
      </c>
      <c r="F249" s="39">
        <v>635</v>
      </c>
      <c r="G249" s="61" t="str">
        <f>A248</f>
        <v xml:space="preserve">4th, 6th &amp; 8th Floor </v>
      </c>
      <c r="H249" s="62"/>
      <c r="J249" s="45"/>
    </row>
    <row r="250" spans="1:10" s="11" customFormat="1">
      <c r="A250" s="71">
        <v>2</v>
      </c>
      <c r="B250" s="71"/>
      <c r="C250" s="39" t="s">
        <v>184</v>
      </c>
      <c r="D250" s="39">
        <f>((27.17)+(2.25*1))*10.764</f>
        <v>316.67687999999998</v>
      </c>
      <c r="E250" s="39">
        <f>(1.775*2.75)*10.764</f>
        <v>52.541774999999994</v>
      </c>
      <c r="F250" s="39">
        <v>630</v>
      </c>
      <c r="G250" s="63"/>
      <c r="H250" s="64"/>
      <c r="J250" s="45"/>
    </row>
    <row r="251" spans="1:10" s="11" customFormat="1">
      <c r="A251" s="71">
        <v>3</v>
      </c>
      <c r="B251" s="71"/>
      <c r="C251" s="39" t="s">
        <v>189</v>
      </c>
      <c r="D251" s="39">
        <f>((18.22)+(2.2*1))*10.764</f>
        <v>219.80087999999998</v>
      </c>
      <c r="E251" s="39">
        <v>0</v>
      </c>
      <c r="F251" s="39">
        <v>365</v>
      </c>
      <c r="G251" s="63"/>
      <c r="H251" s="64"/>
      <c r="J251" s="45"/>
    </row>
    <row r="252" spans="1:10" s="11" customFormat="1">
      <c r="A252" s="71">
        <v>4</v>
      </c>
      <c r="B252" s="71"/>
      <c r="C252" s="39" t="s">
        <v>184</v>
      </c>
      <c r="D252" s="39">
        <f>((26.02)+(2.35*1+2.9*1))*10.764</f>
        <v>336.59027999999995</v>
      </c>
      <c r="E252" s="39">
        <v>0</v>
      </c>
      <c r="F252" s="39">
        <v>600</v>
      </c>
      <c r="G252" s="63"/>
      <c r="H252" s="64"/>
      <c r="J252" s="45"/>
    </row>
    <row r="253" spans="1:10" s="11" customFormat="1">
      <c r="A253" s="71">
        <v>5</v>
      </c>
      <c r="B253" s="71"/>
      <c r="C253" s="39" t="s">
        <v>184</v>
      </c>
      <c r="D253" s="39">
        <f>((27.25)+(2.55*1+2.45*1+2.7*1))*10.764</f>
        <v>376.20179999999999</v>
      </c>
      <c r="E253" s="39">
        <v>0</v>
      </c>
      <c r="F253" s="39">
        <v>630</v>
      </c>
      <c r="G253" s="63"/>
      <c r="H253" s="64"/>
      <c r="J253" s="45"/>
    </row>
    <row r="254" spans="1:10" s="11" customFormat="1">
      <c r="A254" s="71">
        <v>6</v>
      </c>
      <c r="B254" s="71"/>
      <c r="C254" s="39" t="s">
        <v>184</v>
      </c>
      <c r="D254" s="39">
        <f>((24.95)+(2.1*1+2.575*1.2))*10.764</f>
        <v>324.42696000000001</v>
      </c>
      <c r="E254" s="39">
        <f>(1.6*2.75)*10.764</f>
        <v>47.361600000000003</v>
      </c>
      <c r="F254" s="39">
        <v>635</v>
      </c>
      <c r="G254" s="63"/>
      <c r="H254" s="64"/>
      <c r="J254" s="45"/>
    </row>
    <row r="255" spans="1:10" s="11" customFormat="1">
      <c r="A255" s="71">
        <v>7</v>
      </c>
      <c r="B255" s="71"/>
      <c r="C255" s="39" t="s">
        <v>184</v>
      </c>
      <c r="D255" s="39">
        <f>((24.95)+(2.1*1+2.575*1.2))*10.764</f>
        <v>324.42696000000001</v>
      </c>
      <c r="E255" s="39">
        <f>(1.675*2.75)*10.764</f>
        <v>49.581674999999997</v>
      </c>
      <c r="F255" s="39">
        <v>635</v>
      </c>
      <c r="G255" s="63"/>
      <c r="H255" s="64"/>
      <c r="J255" s="45"/>
    </row>
    <row r="256" spans="1:10" s="11" customFormat="1">
      <c r="A256" s="71">
        <v>8</v>
      </c>
      <c r="B256" s="71"/>
      <c r="C256" s="39" t="s">
        <v>184</v>
      </c>
      <c r="D256" s="39">
        <f>((24.95)+(2.1*1+2.575*1.2))*10.764</f>
        <v>324.42696000000001</v>
      </c>
      <c r="E256" s="39">
        <f>(1.675*2.75)*10.764</f>
        <v>49.581674999999997</v>
      </c>
      <c r="F256" s="39">
        <v>635</v>
      </c>
      <c r="G256" s="63"/>
      <c r="H256" s="64"/>
      <c r="J256" s="45"/>
    </row>
    <row r="257" spans="1:10" s="11" customFormat="1">
      <c r="A257" s="71">
        <v>9</v>
      </c>
      <c r="B257" s="71"/>
      <c r="C257" s="39" t="s">
        <v>184</v>
      </c>
      <c r="D257" s="39">
        <f>((24.95)+(2.1*1+2.575*1.2))*10.764</f>
        <v>324.42696000000001</v>
      </c>
      <c r="E257" s="39">
        <f>(1.6*2.75)*10.764</f>
        <v>47.361600000000003</v>
      </c>
      <c r="F257" s="39">
        <v>635</v>
      </c>
      <c r="G257" s="63"/>
      <c r="H257" s="64"/>
      <c r="J257" s="45"/>
    </row>
    <row r="258" spans="1:10" s="11" customFormat="1">
      <c r="A258" s="71">
        <v>10</v>
      </c>
      <c r="B258" s="71"/>
      <c r="C258" s="39" t="s">
        <v>189</v>
      </c>
      <c r="D258" s="39">
        <f>((26.235)+(2.97*1))*10.764</f>
        <v>314.36261999999994</v>
      </c>
      <c r="E258" s="39">
        <f>(1.75*2.3)*10.764</f>
        <v>43.325099999999992</v>
      </c>
      <c r="F258" s="39">
        <v>600</v>
      </c>
      <c r="G258" s="63"/>
      <c r="H258" s="64"/>
      <c r="J258" s="45"/>
    </row>
    <row r="259" spans="1:10" s="11" customFormat="1">
      <c r="A259" s="71">
        <v>11</v>
      </c>
      <c r="B259" s="71"/>
      <c r="C259" s="39" t="s">
        <v>189</v>
      </c>
      <c r="D259" s="39">
        <f>((18.043)+(2.75*1+2.05*1))*10.764</f>
        <v>245.88205199999999</v>
      </c>
      <c r="E259" s="39">
        <v>0</v>
      </c>
      <c r="F259" s="39">
        <v>410</v>
      </c>
      <c r="G259" s="63"/>
      <c r="H259" s="64"/>
      <c r="J259" s="45"/>
    </row>
    <row r="260" spans="1:10" s="11" customFormat="1">
      <c r="A260" s="71">
        <v>12</v>
      </c>
      <c r="B260" s="71"/>
      <c r="C260" s="39" t="s">
        <v>184</v>
      </c>
      <c r="D260" s="39">
        <f>((26.775)+(3.05*1+2.15*1))*10.764</f>
        <v>344.17889999999994</v>
      </c>
      <c r="E260" s="39">
        <f>(1.675*2.75)*10.764</f>
        <v>49.581674999999997</v>
      </c>
      <c r="F260" s="39">
        <v>635</v>
      </c>
      <c r="G260" s="63"/>
      <c r="H260" s="64"/>
      <c r="J260" s="45"/>
    </row>
    <row r="261" spans="1:10" s="11" customFormat="1">
      <c r="A261" s="71">
        <v>13</v>
      </c>
      <c r="B261" s="71"/>
      <c r="C261" s="39" t="s">
        <v>184</v>
      </c>
      <c r="D261" s="39">
        <f>((24.95)+(2.1*1+2.575*1.2))*10.764</f>
        <v>324.42696000000001</v>
      </c>
      <c r="E261" s="39">
        <f>(1.675*2.75)*10.764</f>
        <v>49.581674999999997</v>
      </c>
      <c r="F261" s="39">
        <v>635</v>
      </c>
      <c r="G261" s="63"/>
      <c r="H261" s="64"/>
      <c r="J261" s="45"/>
    </row>
    <row r="262" spans="1:10" s="11" customFormat="1">
      <c r="A262" s="71">
        <v>14</v>
      </c>
      <c r="B262" s="71"/>
      <c r="C262" s="39" t="s">
        <v>184</v>
      </c>
      <c r="D262" s="39">
        <f>((24.95)+(2.1*1+2.575*1.2))*10.764</f>
        <v>324.42696000000001</v>
      </c>
      <c r="E262" s="39">
        <f>(1.675*2.75)*10.764</f>
        <v>49.581674999999997</v>
      </c>
      <c r="F262" s="39">
        <v>635</v>
      </c>
      <c r="G262" s="63"/>
      <c r="H262" s="64"/>
      <c r="J262" s="45"/>
    </row>
    <row r="263" spans="1:10" s="11" customFormat="1">
      <c r="A263" s="71">
        <v>15</v>
      </c>
      <c r="B263" s="71"/>
      <c r="C263" s="39" t="s">
        <v>184</v>
      </c>
      <c r="D263" s="39">
        <f>((24.95)+(2.1*1+2.575*1))*10.764</f>
        <v>318.88349999999997</v>
      </c>
      <c r="E263" s="39">
        <f>(1.675*2.75)*10.764</f>
        <v>49.581674999999997</v>
      </c>
      <c r="F263" s="39">
        <v>635</v>
      </c>
      <c r="G263" s="65"/>
      <c r="H263" s="66"/>
      <c r="J263" s="45"/>
    </row>
    <row r="264" spans="1:10" s="10" customFormat="1">
      <c r="A264" s="72" t="s">
        <v>192</v>
      </c>
      <c r="B264" s="72"/>
      <c r="C264" s="72"/>
      <c r="D264" s="72"/>
      <c r="E264" s="72"/>
      <c r="F264" s="72"/>
      <c r="G264" s="72"/>
      <c r="H264" s="72"/>
    </row>
    <row r="265" spans="1:10" s="12" customFormat="1" ht="145.5" customHeight="1">
      <c r="A265" s="73" t="s">
        <v>234</v>
      </c>
      <c r="B265" s="73"/>
      <c r="C265" s="73"/>
      <c r="D265" s="73"/>
      <c r="E265" s="73"/>
      <c r="F265" s="73"/>
      <c r="G265" s="73"/>
      <c r="H265" s="73"/>
    </row>
    <row r="266" spans="1:10">
      <c r="A266" s="68" t="s">
        <v>193</v>
      </c>
      <c r="B266" s="68"/>
      <c r="C266" s="68"/>
      <c r="D266" s="68"/>
      <c r="E266" s="68"/>
      <c r="F266" s="68"/>
      <c r="G266" s="68"/>
      <c r="H266" s="68"/>
    </row>
    <row r="267" spans="1:10">
      <c r="A267" s="67" t="s">
        <v>194</v>
      </c>
      <c r="B267" s="67"/>
      <c r="C267" s="67"/>
      <c r="D267" s="67"/>
      <c r="E267" s="67"/>
      <c r="F267" s="67"/>
      <c r="G267" s="67"/>
      <c r="H267" s="67"/>
    </row>
    <row r="268" spans="1:10" ht="15.75" customHeight="1">
      <c r="A268" s="68" t="s">
        <v>195</v>
      </c>
      <c r="B268" s="68"/>
      <c r="C268" s="68"/>
      <c r="D268" s="68"/>
      <c r="E268" s="68"/>
      <c r="F268" s="68"/>
      <c r="G268" s="68"/>
      <c r="H268" s="68"/>
    </row>
    <row r="269" spans="1:10">
      <c r="A269" s="67" t="s">
        <v>196</v>
      </c>
      <c r="B269" s="67"/>
      <c r="C269" s="67"/>
      <c r="D269" s="67"/>
      <c r="E269" s="67"/>
      <c r="F269" s="67"/>
      <c r="G269" s="67"/>
      <c r="H269" s="67"/>
    </row>
    <row r="270" spans="1:10">
      <c r="A270" s="67" t="s">
        <v>197</v>
      </c>
      <c r="B270" s="67"/>
      <c r="C270" s="67"/>
      <c r="D270" s="67"/>
      <c r="E270" s="67"/>
      <c r="F270" s="67"/>
      <c r="G270" s="67"/>
      <c r="H270" s="67"/>
    </row>
    <row r="271" spans="1:10">
      <c r="A271" s="67" t="s">
        <v>198</v>
      </c>
      <c r="B271" s="67"/>
      <c r="C271" s="67"/>
      <c r="D271" s="67"/>
      <c r="E271" s="67"/>
      <c r="F271" s="67"/>
      <c r="G271" s="67"/>
      <c r="H271" s="67"/>
      <c r="I271" s="14">
        <v>16</v>
      </c>
    </row>
    <row r="272" spans="1:10" ht="35.25" hidden="1" customHeight="1">
      <c r="A272" s="69" t="s">
        <v>199</v>
      </c>
      <c r="B272" s="69"/>
      <c r="C272" s="69"/>
      <c r="D272" s="69"/>
      <c r="E272" s="69"/>
      <c r="F272" s="69"/>
      <c r="G272" s="69"/>
      <c r="H272" s="69"/>
    </row>
    <row r="273" spans="1:8">
      <c r="A273" s="70" t="s">
        <v>200</v>
      </c>
      <c r="B273" s="70"/>
      <c r="C273" s="70" t="s">
        <v>201</v>
      </c>
      <c r="D273" s="70"/>
      <c r="E273" s="70" t="s">
        <v>202</v>
      </c>
      <c r="F273" s="70"/>
      <c r="G273" s="70" t="s">
        <v>233</v>
      </c>
      <c r="H273" s="70"/>
    </row>
    <row r="274" spans="1:8">
      <c r="A274" s="49" t="s">
        <v>203</v>
      </c>
      <c r="B274" s="49"/>
      <c r="C274" s="49"/>
      <c r="D274" s="49"/>
      <c r="E274" s="49"/>
      <c r="F274" s="49"/>
      <c r="G274" s="49"/>
      <c r="H274" s="49"/>
    </row>
    <row r="275" spans="1:8">
      <c r="A275" s="49"/>
      <c r="B275" s="49"/>
      <c r="C275" s="49"/>
      <c r="D275" s="49"/>
      <c r="E275" s="49"/>
      <c r="F275" s="49"/>
      <c r="G275" s="49"/>
      <c r="H275" s="49"/>
    </row>
    <row r="276" spans="1:8">
      <c r="A276" s="49"/>
      <c r="B276" s="49"/>
      <c r="C276" s="49"/>
      <c r="D276" s="49"/>
      <c r="E276" s="49"/>
      <c r="F276" s="49"/>
      <c r="G276" s="49"/>
      <c r="H276" s="49"/>
    </row>
    <row r="277" spans="1:8">
      <c r="A277" s="49"/>
      <c r="B277" s="49"/>
      <c r="C277" s="49"/>
      <c r="D277" s="49"/>
      <c r="E277" s="49"/>
      <c r="F277" s="49"/>
      <c r="G277" s="49"/>
      <c r="H277" s="49"/>
    </row>
    <row r="278" spans="1:8">
      <c r="A278" s="46" t="s">
        <v>204</v>
      </c>
      <c r="B278" s="47"/>
      <c r="C278" s="47"/>
      <c r="D278" s="46" t="str">
        <f>E8</f>
        <v>Gurukrupa Heights</v>
      </c>
      <c r="F278" s="47"/>
      <c r="G278" s="47"/>
      <c r="H278" s="47"/>
    </row>
    <row r="279" spans="1:8">
      <c r="A279" s="47"/>
      <c r="B279" s="47"/>
      <c r="C279" s="47"/>
      <c r="D279" s="47"/>
      <c r="E279" s="47"/>
      <c r="F279" s="47"/>
      <c r="G279" s="47"/>
      <c r="H279" s="47"/>
    </row>
    <row r="280" spans="1:8">
      <c r="A280" s="47"/>
      <c r="B280" s="47"/>
      <c r="C280" s="47"/>
      <c r="D280" s="47"/>
      <c r="E280" s="47"/>
      <c r="F280" s="47"/>
      <c r="G280" s="47"/>
      <c r="H280" s="47"/>
    </row>
    <row r="281" spans="1:8" ht="15" customHeight="1">
      <c r="B281"/>
    </row>
    <row r="318" ht="15" customHeight="1"/>
    <row r="321" spans="1:1">
      <c r="A321" s="48" t="s">
        <v>205</v>
      </c>
    </row>
  </sheetData>
  <mergeCells count="396">
    <mergeCell ref="I11:L11"/>
    <mergeCell ref="A1:H1"/>
    <mergeCell ref="A2:H2"/>
    <mergeCell ref="A3:D3"/>
    <mergeCell ref="E3:H3"/>
    <mergeCell ref="A4:D4"/>
    <mergeCell ref="E4:H4"/>
    <mergeCell ref="A5:D5"/>
    <mergeCell ref="E5:H5"/>
    <mergeCell ref="A6:D6"/>
    <mergeCell ref="E6:H6"/>
    <mergeCell ref="A7:D7"/>
    <mergeCell ref="E7:H7"/>
    <mergeCell ref="A8:D8"/>
    <mergeCell ref="E8:H8"/>
    <mergeCell ref="A9:D9"/>
    <mergeCell ref="E9:H9"/>
    <mergeCell ref="A10:D10"/>
    <mergeCell ref="E10:H10"/>
    <mergeCell ref="A11:D11"/>
    <mergeCell ref="E11:H11"/>
    <mergeCell ref="A12:D12"/>
    <mergeCell ref="E12:H12"/>
    <mergeCell ref="A13:D13"/>
    <mergeCell ref="E13:H13"/>
    <mergeCell ref="A14:B14"/>
    <mergeCell ref="C14:H14"/>
    <mergeCell ref="A15:B15"/>
    <mergeCell ref="C15:H15"/>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A22:D22"/>
    <mergeCell ref="E22:H22"/>
    <mergeCell ref="A23:D23"/>
    <mergeCell ref="E23:H23"/>
    <mergeCell ref="A24:D24"/>
    <mergeCell ref="E24:H24"/>
    <mergeCell ref="A25:D25"/>
    <mergeCell ref="E25:H25"/>
    <mergeCell ref="A26:D26"/>
    <mergeCell ref="E26:H26"/>
    <mergeCell ref="A27:D27"/>
    <mergeCell ref="E27:H27"/>
    <mergeCell ref="A28:D28"/>
    <mergeCell ref="E28:H28"/>
    <mergeCell ref="A29:D29"/>
    <mergeCell ref="E29:H29"/>
    <mergeCell ref="A30:B30"/>
    <mergeCell ref="C30:E30"/>
    <mergeCell ref="F30:H30"/>
    <mergeCell ref="A31:B31"/>
    <mergeCell ref="C31:E31"/>
    <mergeCell ref="F31:H31"/>
    <mergeCell ref="A32:B32"/>
    <mergeCell ref="C32:E32"/>
    <mergeCell ref="F32:H32"/>
    <mergeCell ref="A33:B33"/>
    <mergeCell ref="C33:E33"/>
    <mergeCell ref="F33:H33"/>
    <mergeCell ref="A34:B34"/>
    <mergeCell ref="C34:E34"/>
    <mergeCell ref="F34:H34"/>
    <mergeCell ref="A35:H35"/>
    <mergeCell ref="A36:B36"/>
    <mergeCell ref="C36:H36"/>
    <mergeCell ref="A37:B37"/>
    <mergeCell ref="C37:H37"/>
    <mergeCell ref="A38:H38"/>
    <mergeCell ref="A39:D39"/>
    <mergeCell ref="E39:H39"/>
    <mergeCell ref="A40:D40"/>
    <mergeCell ref="E40:H40"/>
    <mergeCell ref="A41:D41"/>
    <mergeCell ref="E41:H41"/>
    <mergeCell ref="A42:D42"/>
    <mergeCell ref="E42:H42"/>
    <mergeCell ref="A43:D43"/>
    <mergeCell ref="E43:H43"/>
    <mergeCell ref="A44:D44"/>
    <mergeCell ref="E44:H44"/>
    <mergeCell ref="A45:H45"/>
    <mergeCell ref="A46:B46"/>
    <mergeCell ref="C46:E46"/>
    <mergeCell ref="G46:H46"/>
    <mergeCell ref="A47:B47"/>
    <mergeCell ref="C47:E47"/>
    <mergeCell ref="G47:H47"/>
    <mergeCell ref="C48:E48"/>
    <mergeCell ref="G48:H48"/>
    <mergeCell ref="C49:H49"/>
    <mergeCell ref="A50:B50"/>
    <mergeCell ref="C50:E50"/>
    <mergeCell ref="G50:H50"/>
    <mergeCell ref="A51:H51"/>
    <mergeCell ref="A52:C52"/>
    <mergeCell ref="D52:H52"/>
    <mergeCell ref="A48:B49"/>
    <mergeCell ref="A53:C53"/>
    <mergeCell ref="D53:H53"/>
    <mergeCell ref="A54:C54"/>
    <mergeCell ref="D54:H54"/>
    <mergeCell ref="A55:C55"/>
    <mergeCell ref="D55:H55"/>
    <mergeCell ref="A56:C56"/>
    <mergeCell ref="D56:H56"/>
    <mergeCell ref="A57:C57"/>
    <mergeCell ref="D57:H57"/>
    <mergeCell ref="A58:C58"/>
    <mergeCell ref="D58:H58"/>
    <mergeCell ref="A59:C59"/>
    <mergeCell ref="D59:H59"/>
    <mergeCell ref="A60:B60"/>
    <mergeCell ref="C60:H60"/>
    <mergeCell ref="A62:B62"/>
    <mergeCell ref="C62:H62"/>
    <mergeCell ref="A63:B63"/>
    <mergeCell ref="E63:F63"/>
    <mergeCell ref="G63:H63"/>
    <mergeCell ref="A64:B64"/>
    <mergeCell ref="A65:B65"/>
    <mergeCell ref="A66:B66"/>
    <mergeCell ref="A67:B67"/>
    <mergeCell ref="A68:B68"/>
    <mergeCell ref="A69:B69"/>
    <mergeCell ref="A70:B70"/>
    <mergeCell ref="A71:B71"/>
    <mergeCell ref="A72:B72"/>
    <mergeCell ref="A73:B73"/>
    <mergeCell ref="A74:B74"/>
    <mergeCell ref="C74:H74"/>
    <mergeCell ref="A76:B76"/>
    <mergeCell ref="C76:H76"/>
    <mergeCell ref="A77:B77"/>
    <mergeCell ref="E77:F77"/>
    <mergeCell ref="G77:H77"/>
    <mergeCell ref="A78:B78"/>
    <mergeCell ref="A79:B79"/>
    <mergeCell ref="A80:B80"/>
    <mergeCell ref="A81:B81"/>
    <mergeCell ref="A82:B82"/>
    <mergeCell ref="A83:B83"/>
    <mergeCell ref="A84:B84"/>
    <mergeCell ref="A85:B85"/>
    <mergeCell ref="A86:B86"/>
    <mergeCell ref="A87:B87"/>
    <mergeCell ref="A88:H88"/>
    <mergeCell ref="A89:H89"/>
    <mergeCell ref="A90:B90"/>
    <mergeCell ref="C90:H90"/>
    <mergeCell ref="A91:H91"/>
    <mergeCell ref="A92:E92"/>
    <mergeCell ref="F92:H92"/>
    <mergeCell ref="A93:E93"/>
    <mergeCell ref="F93:H93"/>
    <mergeCell ref="A94:E94"/>
    <mergeCell ref="F94:H94"/>
    <mergeCell ref="A95:E95"/>
    <mergeCell ref="F95:H95"/>
    <mergeCell ref="A96:E96"/>
    <mergeCell ref="F96:H96"/>
    <mergeCell ref="A97:E97"/>
    <mergeCell ref="F97:H97"/>
    <mergeCell ref="A98:E98"/>
    <mergeCell ref="F98:H98"/>
    <mergeCell ref="A99:E99"/>
    <mergeCell ref="F99:H99"/>
    <mergeCell ref="A100:E100"/>
    <mergeCell ref="F100:H100"/>
    <mergeCell ref="A101:E101"/>
    <mergeCell ref="F101:H101"/>
    <mergeCell ref="A102:E102"/>
    <mergeCell ref="F102:H102"/>
    <mergeCell ref="A103:E103"/>
    <mergeCell ref="F103:H103"/>
    <mergeCell ref="A104:E104"/>
    <mergeCell ref="F104:H104"/>
    <mergeCell ref="A105:H105"/>
    <mergeCell ref="A106:B106"/>
    <mergeCell ref="D106:E106"/>
    <mergeCell ref="F106:H106"/>
    <mergeCell ref="A107:B107"/>
    <mergeCell ref="D107:E107"/>
    <mergeCell ref="F107:H107"/>
    <mergeCell ref="A108:B108"/>
    <mergeCell ref="D108:E108"/>
    <mergeCell ref="F108:H108"/>
    <mergeCell ref="A109:B109"/>
    <mergeCell ref="D109:E109"/>
    <mergeCell ref="F109:H109"/>
    <mergeCell ref="A110:H110"/>
    <mergeCell ref="A111:B111"/>
    <mergeCell ref="D111:E111"/>
    <mergeCell ref="F111:H111"/>
    <mergeCell ref="A112:B112"/>
    <mergeCell ref="D112:E112"/>
    <mergeCell ref="F112:H112"/>
    <mergeCell ref="A113:B113"/>
    <mergeCell ref="D113:E113"/>
    <mergeCell ref="F113:H113"/>
    <mergeCell ref="A114:B114"/>
    <mergeCell ref="D114:E114"/>
    <mergeCell ref="F114:H114"/>
    <mergeCell ref="A115:H115"/>
    <mergeCell ref="A116:H116"/>
    <mergeCell ref="A117:B117"/>
    <mergeCell ref="G117:H117"/>
    <mergeCell ref="A118:H118"/>
    <mergeCell ref="A119:H119"/>
    <mergeCell ref="A120:B120"/>
    <mergeCell ref="A121:B121"/>
    <mergeCell ref="A122:B122"/>
    <mergeCell ref="A123:B123"/>
    <mergeCell ref="A124:B124"/>
    <mergeCell ref="A125:B125"/>
    <mergeCell ref="A126:B126"/>
    <mergeCell ref="A127:B127"/>
    <mergeCell ref="A128:B128"/>
    <mergeCell ref="A129:H129"/>
    <mergeCell ref="A130:B130"/>
    <mergeCell ref="A131:B131"/>
    <mergeCell ref="A132:B132"/>
    <mergeCell ref="A133:B133"/>
    <mergeCell ref="A134:B134"/>
    <mergeCell ref="A135:B135"/>
    <mergeCell ref="A136:B136"/>
    <mergeCell ref="A137:B137"/>
    <mergeCell ref="A138:B138"/>
    <mergeCell ref="A139:B139"/>
    <mergeCell ref="A140:B140"/>
    <mergeCell ref="A141:B141"/>
    <mergeCell ref="A142:B142"/>
    <mergeCell ref="A143:H143"/>
    <mergeCell ref="A144:B144"/>
    <mergeCell ref="A145:B145"/>
    <mergeCell ref="A146:B146"/>
    <mergeCell ref="A147:B147"/>
    <mergeCell ref="A148:B148"/>
    <mergeCell ref="A149:B149"/>
    <mergeCell ref="A150:B150"/>
    <mergeCell ref="A151:B151"/>
    <mergeCell ref="A152:B152"/>
    <mergeCell ref="A153:B153"/>
    <mergeCell ref="A154:B154"/>
    <mergeCell ref="A155:B155"/>
    <mergeCell ref="A156:H156"/>
    <mergeCell ref="A157:B157"/>
    <mergeCell ref="A158:B158"/>
    <mergeCell ref="G144:H155"/>
    <mergeCell ref="A168:B168"/>
    <mergeCell ref="A169:H169"/>
    <mergeCell ref="A170:B170"/>
    <mergeCell ref="A171:B171"/>
    <mergeCell ref="A172:B172"/>
    <mergeCell ref="A173:B173"/>
    <mergeCell ref="A174:B174"/>
    <mergeCell ref="A175:B175"/>
    <mergeCell ref="A176:B176"/>
    <mergeCell ref="G157:H168"/>
    <mergeCell ref="A159:B159"/>
    <mergeCell ref="A160:B160"/>
    <mergeCell ref="A161:B161"/>
    <mergeCell ref="A162:B162"/>
    <mergeCell ref="A163:B163"/>
    <mergeCell ref="A164:B164"/>
    <mergeCell ref="A165:B165"/>
    <mergeCell ref="A166:B166"/>
    <mergeCell ref="A167:B167"/>
    <mergeCell ref="A177:B177"/>
    <mergeCell ref="A178:B178"/>
    <mergeCell ref="A179:B179"/>
    <mergeCell ref="A180:B180"/>
    <mergeCell ref="A181:B181"/>
    <mergeCell ref="A182:H182"/>
    <mergeCell ref="A183:H183"/>
    <mergeCell ref="A184:B184"/>
    <mergeCell ref="A185:B185"/>
    <mergeCell ref="G170:H181"/>
    <mergeCell ref="A195:B195"/>
    <mergeCell ref="A196:B196"/>
    <mergeCell ref="A197:B197"/>
    <mergeCell ref="A198:H198"/>
    <mergeCell ref="A199:B199"/>
    <mergeCell ref="A200:B200"/>
    <mergeCell ref="A201:B201"/>
    <mergeCell ref="A202:B202"/>
    <mergeCell ref="A203:B203"/>
    <mergeCell ref="G184:H197"/>
    <mergeCell ref="A186:B186"/>
    <mergeCell ref="A187:B187"/>
    <mergeCell ref="A188:B188"/>
    <mergeCell ref="A189:B189"/>
    <mergeCell ref="A190:B190"/>
    <mergeCell ref="A191:B191"/>
    <mergeCell ref="A192:B192"/>
    <mergeCell ref="A193:B193"/>
    <mergeCell ref="A194:B194"/>
    <mergeCell ref="A213:B213"/>
    <mergeCell ref="A214:B214"/>
    <mergeCell ref="A215:B215"/>
    <mergeCell ref="A216:H216"/>
    <mergeCell ref="A217:B217"/>
    <mergeCell ref="A218:B218"/>
    <mergeCell ref="A219:B219"/>
    <mergeCell ref="A220:B220"/>
    <mergeCell ref="A221:B221"/>
    <mergeCell ref="G199:H215"/>
    <mergeCell ref="A204:B204"/>
    <mergeCell ref="A205:B205"/>
    <mergeCell ref="A206:B206"/>
    <mergeCell ref="A207:B207"/>
    <mergeCell ref="A208:B208"/>
    <mergeCell ref="A209:B209"/>
    <mergeCell ref="A210:B210"/>
    <mergeCell ref="A211:B211"/>
    <mergeCell ref="A212:B212"/>
    <mergeCell ref="A231:B231"/>
    <mergeCell ref="A232:H232"/>
    <mergeCell ref="A233:B233"/>
    <mergeCell ref="A234:B234"/>
    <mergeCell ref="A235:B235"/>
    <mergeCell ref="A236:B236"/>
    <mergeCell ref="A237:B237"/>
    <mergeCell ref="A238:B238"/>
    <mergeCell ref="A239:B239"/>
    <mergeCell ref="G217:H231"/>
    <mergeCell ref="A222:B222"/>
    <mergeCell ref="A223:B223"/>
    <mergeCell ref="A224:B224"/>
    <mergeCell ref="A225:B225"/>
    <mergeCell ref="A226:B226"/>
    <mergeCell ref="A227:B227"/>
    <mergeCell ref="A228:B228"/>
    <mergeCell ref="A229:B229"/>
    <mergeCell ref="A230:B230"/>
    <mergeCell ref="A240:B240"/>
    <mergeCell ref="A241:B241"/>
    <mergeCell ref="A242:B242"/>
    <mergeCell ref="A243:B243"/>
    <mergeCell ref="A244:B244"/>
    <mergeCell ref="A245:B245"/>
    <mergeCell ref="A246:B246"/>
    <mergeCell ref="A247:B247"/>
    <mergeCell ref="A248:H248"/>
    <mergeCell ref="G233:H247"/>
    <mergeCell ref="A263:B263"/>
    <mergeCell ref="A264:H264"/>
    <mergeCell ref="A265:H265"/>
    <mergeCell ref="A266:H266"/>
    <mergeCell ref="G249:H263"/>
    <mergeCell ref="A249:B249"/>
    <mergeCell ref="A250:B250"/>
    <mergeCell ref="A251:B251"/>
    <mergeCell ref="A252:B252"/>
    <mergeCell ref="A253:B253"/>
    <mergeCell ref="A254:B254"/>
    <mergeCell ref="A255:B255"/>
    <mergeCell ref="A256:B256"/>
    <mergeCell ref="A257:B257"/>
    <mergeCell ref="A274:H277"/>
    <mergeCell ref="A20:D21"/>
    <mergeCell ref="E20:H21"/>
    <mergeCell ref="E64:F73"/>
    <mergeCell ref="G64:H73"/>
    <mergeCell ref="G130:H142"/>
    <mergeCell ref="G120:H128"/>
    <mergeCell ref="E78:F87"/>
    <mergeCell ref="G78:H87"/>
    <mergeCell ref="A267:H267"/>
    <mergeCell ref="A268:H268"/>
    <mergeCell ref="A269:H269"/>
    <mergeCell ref="A270:H270"/>
    <mergeCell ref="A271:H271"/>
    <mergeCell ref="A272:H272"/>
    <mergeCell ref="A273:B273"/>
    <mergeCell ref="C273:D273"/>
    <mergeCell ref="E273:F273"/>
    <mergeCell ref="G273:H273"/>
    <mergeCell ref="A258:B258"/>
    <mergeCell ref="A259:B259"/>
    <mergeCell ref="A260:B260"/>
    <mergeCell ref="A261:B261"/>
    <mergeCell ref="A262:B262"/>
  </mergeCells>
  <hyperlinks>
    <hyperlink ref="C37" r:id="rId1" xr:uid="{00000000-0004-0000-0000-000000000000}"/>
  </hyperlinks>
  <printOptions horizontalCentered="1"/>
  <pageMargins left="0.39370078740157499" right="0.39370078740157499" top="0.78740157480314998" bottom="0.78740157480314998" header="0.196850393700787" footer="0.196850393700787"/>
  <pageSetup fitToHeight="0" orientation="portrait" r:id="rId2"/>
  <headerFooter>
    <oddHeader>&amp;C&amp;G</oddHeader>
    <oddFooter>&amp;L&amp;"Times New Roman,Bold"&amp;12Ref No: &amp;F&amp;C&amp;G&amp;R&amp;"Times New Roman,Bold"&amp;12                                                                       &amp;P</oddFooter>
  </headerFooter>
  <rowBreaks count="3" manualBreakCount="3">
    <brk id="73" max="16383" man="1"/>
    <brk id="277" max="16383" man="1"/>
    <brk id="320"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42"/>
  <sheetViews>
    <sheetView workbookViewId="0">
      <selection activeCell="D28" sqref="D28"/>
    </sheetView>
  </sheetViews>
  <sheetFormatPr defaultColWidth="9" defaultRowHeight="15"/>
  <cols>
    <col min="2" max="2" width="12.28515625" customWidth="1"/>
  </cols>
  <sheetData>
    <row r="2" spans="1:12">
      <c r="B2" s="1" t="s">
        <v>206</v>
      </c>
      <c r="C2" s="134"/>
      <c r="D2" s="134"/>
    </row>
    <row r="3" spans="1:12">
      <c r="D3" s="2"/>
      <c r="E3" s="2"/>
      <c r="F3" s="2"/>
      <c r="G3" s="2"/>
      <c r="H3" s="2"/>
      <c r="I3" s="2"/>
    </row>
    <row r="4" spans="1:12">
      <c r="A4" s="1" t="s">
        <v>207</v>
      </c>
      <c r="B4" s="3" t="s">
        <v>208</v>
      </c>
      <c r="C4" s="135" t="s">
        <v>209</v>
      </c>
      <c r="D4" s="135"/>
      <c r="E4" s="135"/>
      <c r="F4" s="4"/>
      <c r="G4" s="135" t="s">
        <v>210</v>
      </c>
      <c r="H4" s="135"/>
      <c r="I4" s="135"/>
      <c r="J4" s="135" t="s">
        <v>211</v>
      </c>
      <c r="K4" s="135"/>
      <c r="L4" s="135"/>
    </row>
    <row r="5" spans="1:12">
      <c r="A5" s="1">
        <v>202</v>
      </c>
      <c r="B5" s="3"/>
      <c r="C5" s="3" t="s">
        <v>212</v>
      </c>
      <c r="D5" s="3" t="s">
        <v>213</v>
      </c>
      <c r="E5" s="3" t="s">
        <v>214</v>
      </c>
      <c r="F5" s="3"/>
      <c r="G5" s="3" t="s">
        <v>212</v>
      </c>
      <c r="H5" s="3" t="s">
        <v>213</v>
      </c>
      <c r="I5" s="3" t="s">
        <v>214</v>
      </c>
      <c r="J5" s="3" t="s">
        <v>212</v>
      </c>
      <c r="K5" s="3" t="s">
        <v>213</v>
      </c>
      <c r="L5" s="3" t="s">
        <v>214</v>
      </c>
    </row>
    <row r="6" spans="1:12">
      <c r="B6" s="5" t="s">
        <v>215</v>
      </c>
      <c r="C6" s="5">
        <v>2.65</v>
      </c>
      <c r="D6" s="5">
        <v>3.7</v>
      </c>
      <c r="E6" s="5">
        <f>C6*D6</f>
        <v>9.8049999999999997</v>
      </c>
      <c r="F6" s="5" t="s">
        <v>216</v>
      </c>
      <c r="G6" s="5"/>
      <c r="H6" s="5"/>
      <c r="I6" s="5">
        <f>G6*H6</f>
        <v>0</v>
      </c>
      <c r="J6" s="5"/>
      <c r="K6" s="5"/>
      <c r="L6" s="5">
        <f>J6*K6</f>
        <v>0</v>
      </c>
    </row>
    <row r="7" spans="1:12">
      <c r="B7" s="5"/>
      <c r="C7" s="5"/>
      <c r="D7" s="5"/>
      <c r="E7" s="5">
        <f t="shared" ref="E7:E33" si="0">C7*D7</f>
        <v>0</v>
      </c>
      <c r="F7" s="5" t="s">
        <v>217</v>
      </c>
      <c r="G7" s="5"/>
      <c r="H7" s="5"/>
      <c r="I7" s="5">
        <f t="shared" ref="I7:I33" si="1">G7*H7</f>
        <v>0</v>
      </c>
      <c r="J7" s="5"/>
      <c r="K7" s="5"/>
      <c r="L7" s="5">
        <f t="shared" ref="L7:L33" si="2">J7*K7</f>
        <v>0</v>
      </c>
    </row>
    <row r="8" spans="1:12">
      <c r="B8" s="5"/>
      <c r="C8" s="5"/>
      <c r="D8" s="5"/>
      <c r="E8" s="5">
        <f t="shared" si="0"/>
        <v>0</v>
      </c>
      <c r="F8" s="5"/>
      <c r="G8" s="5"/>
      <c r="H8" s="5"/>
      <c r="I8" s="5">
        <f t="shared" si="1"/>
        <v>0</v>
      </c>
      <c r="J8" s="5"/>
      <c r="K8" s="5"/>
      <c r="L8" s="5">
        <f t="shared" si="2"/>
        <v>0</v>
      </c>
    </row>
    <row r="9" spans="1:12">
      <c r="B9" s="5" t="s">
        <v>218</v>
      </c>
      <c r="C9" s="5">
        <v>1.65</v>
      </c>
      <c r="D9" s="5">
        <v>1.8</v>
      </c>
      <c r="E9" s="5">
        <f t="shared" si="0"/>
        <v>2.9699999999999998</v>
      </c>
      <c r="F9" s="5" t="s">
        <v>216</v>
      </c>
      <c r="G9" s="5"/>
      <c r="H9" s="5"/>
      <c r="I9" s="5">
        <f t="shared" si="1"/>
        <v>0</v>
      </c>
      <c r="J9" s="5"/>
      <c r="K9" s="5"/>
      <c r="L9" s="5">
        <f t="shared" si="2"/>
        <v>0</v>
      </c>
    </row>
    <row r="10" spans="1:12">
      <c r="B10" s="5"/>
      <c r="C10" s="5"/>
      <c r="D10" s="5"/>
      <c r="E10" s="5">
        <f t="shared" si="0"/>
        <v>0</v>
      </c>
      <c r="F10" s="5" t="s">
        <v>217</v>
      </c>
      <c r="G10" s="5"/>
      <c r="H10" s="5"/>
      <c r="I10" s="5">
        <f t="shared" si="1"/>
        <v>0</v>
      </c>
      <c r="J10" s="5"/>
      <c r="K10" s="5"/>
      <c r="L10" s="5">
        <f t="shared" si="2"/>
        <v>0</v>
      </c>
    </row>
    <row r="11" spans="1:12">
      <c r="B11" s="5"/>
      <c r="C11" s="5"/>
      <c r="D11" s="5"/>
      <c r="E11" s="5">
        <f t="shared" si="0"/>
        <v>0</v>
      </c>
      <c r="F11" s="5"/>
      <c r="G11" s="5"/>
      <c r="H11" s="5"/>
      <c r="I11" s="5">
        <f t="shared" si="1"/>
        <v>0</v>
      </c>
      <c r="J11" s="5"/>
      <c r="K11" s="5"/>
      <c r="L11" s="5">
        <f t="shared" si="2"/>
        <v>0</v>
      </c>
    </row>
    <row r="12" spans="1:12">
      <c r="B12" s="5"/>
      <c r="C12" s="5"/>
      <c r="D12" s="5"/>
      <c r="E12" s="5">
        <f t="shared" si="0"/>
        <v>0</v>
      </c>
      <c r="F12" s="5"/>
      <c r="G12" s="5"/>
      <c r="H12" s="5"/>
      <c r="I12" s="5">
        <f t="shared" si="1"/>
        <v>0</v>
      </c>
      <c r="J12" s="5"/>
      <c r="K12" s="5"/>
      <c r="L12" s="5">
        <f t="shared" si="2"/>
        <v>0</v>
      </c>
    </row>
    <row r="13" spans="1:12">
      <c r="B13" s="5" t="s">
        <v>219</v>
      </c>
      <c r="C13" s="5">
        <v>2.5</v>
      </c>
      <c r="D13" s="5">
        <v>2.6</v>
      </c>
      <c r="E13" s="5">
        <f t="shared" si="0"/>
        <v>6.5</v>
      </c>
      <c r="F13" s="5" t="s">
        <v>216</v>
      </c>
      <c r="G13" s="5"/>
      <c r="H13" s="5"/>
      <c r="I13" s="5">
        <f t="shared" si="1"/>
        <v>0</v>
      </c>
      <c r="J13" s="5"/>
      <c r="K13" s="5"/>
      <c r="L13" s="5">
        <f t="shared" si="2"/>
        <v>0</v>
      </c>
    </row>
    <row r="14" spans="1:12">
      <c r="B14" s="5"/>
      <c r="C14" s="5"/>
      <c r="D14" s="5"/>
      <c r="E14" s="5">
        <f t="shared" si="0"/>
        <v>0</v>
      </c>
      <c r="F14" s="5" t="s">
        <v>217</v>
      </c>
      <c r="G14" s="5"/>
      <c r="H14" s="5"/>
      <c r="I14" s="5">
        <f t="shared" si="1"/>
        <v>0</v>
      </c>
      <c r="J14" s="5"/>
      <c r="K14" s="5"/>
      <c r="L14" s="5">
        <f t="shared" si="2"/>
        <v>0</v>
      </c>
    </row>
    <row r="15" spans="1:12">
      <c r="B15" s="5"/>
      <c r="C15" s="5"/>
      <c r="D15" s="5"/>
      <c r="E15" s="5">
        <f t="shared" si="0"/>
        <v>0</v>
      </c>
      <c r="F15" s="5"/>
      <c r="G15" s="5"/>
      <c r="H15" s="5"/>
      <c r="I15" s="5">
        <f t="shared" si="1"/>
        <v>0</v>
      </c>
      <c r="J15" s="5"/>
      <c r="K15" s="5"/>
      <c r="L15" s="5">
        <f t="shared" si="2"/>
        <v>0</v>
      </c>
    </row>
    <row r="16" spans="1:12">
      <c r="B16" s="5"/>
      <c r="C16" s="5"/>
      <c r="D16" s="5"/>
      <c r="E16" s="5">
        <f t="shared" si="0"/>
        <v>0</v>
      </c>
      <c r="F16" s="5"/>
      <c r="G16" s="5"/>
      <c r="H16" s="5"/>
      <c r="I16" s="5">
        <f t="shared" si="1"/>
        <v>0</v>
      </c>
      <c r="J16" s="5"/>
      <c r="K16" s="5"/>
      <c r="L16" s="5">
        <f t="shared" si="2"/>
        <v>0</v>
      </c>
    </row>
    <row r="17" spans="2:12">
      <c r="B17" s="5" t="s">
        <v>220</v>
      </c>
      <c r="C17" s="5"/>
      <c r="D17" s="5"/>
      <c r="E17" s="5">
        <f t="shared" si="0"/>
        <v>0</v>
      </c>
      <c r="F17" s="5" t="s">
        <v>216</v>
      </c>
      <c r="G17" s="5"/>
      <c r="H17" s="5"/>
      <c r="I17" s="5">
        <f t="shared" si="1"/>
        <v>0</v>
      </c>
      <c r="J17" s="5"/>
      <c r="K17" s="5"/>
      <c r="L17" s="5">
        <f t="shared" si="2"/>
        <v>0</v>
      </c>
    </row>
    <row r="18" spans="2:12">
      <c r="B18" s="5"/>
      <c r="C18" s="5"/>
      <c r="D18" s="5"/>
      <c r="E18" s="5">
        <f t="shared" si="0"/>
        <v>0</v>
      </c>
      <c r="F18" s="5" t="s">
        <v>217</v>
      </c>
      <c r="G18" s="5"/>
      <c r="H18" s="5"/>
      <c r="I18" s="5">
        <f t="shared" si="1"/>
        <v>0</v>
      </c>
      <c r="J18" s="5"/>
      <c r="K18" s="5"/>
      <c r="L18" s="5">
        <f t="shared" si="2"/>
        <v>0</v>
      </c>
    </row>
    <row r="19" spans="2:12">
      <c r="B19" s="5"/>
      <c r="C19" s="5"/>
      <c r="D19" s="5"/>
      <c r="E19" s="5">
        <f t="shared" si="0"/>
        <v>0</v>
      </c>
      <c r="F19" s="5"/>
      <c r="G19" s="5"/>
      <c r="H19" s="5"/>
      <c r="I19" s="5">
        <f t="shared" si="1"/>
        <v>0</v>
      </c>
      <c r="J19" s="5"/>
      <c r="K19" s="5"/>
      <c r="L19" s="5">
        <f t="shared" si="2"/>
        <v>0</v>
      </c>
    </row>
    <row r="20" spans="2:12">
      <c r="B20" s="5" t="s">
        <v>220</v>
      </c>
      <c r="C20" s="5"/>
      <c r="D20" s="5"/>
      <c r="E20" s="5">
        <f t="shared" si="0"/>
        <v>0</v>
      </c>
      <c r="F20" s="5" t="s">
        <v>216</v>
      </c>
      <c r="G20" s="5"/>
      <c r="H20" s="5"/>
      <c r="I20" s="5">
        <f t="shared" si="1"/>
        <v>0</v>
      </c>
      <c r="J20" s="5"/>
      <c r="K20" s="5"/>
      <c r="L20" s="5">
        <f t="shared" si="2"/>
        <v>0</v>
      </c>
    </row>
    <row r="21" spans="2:12">
      <c r="B21" s="5"/>
      <c r="C21" s="5"/>
      <c r="D21" s="5"/>
      <c r="E21" s="5">
        <f t="shared" si="0"/>
        <v>0</v>
      </c>
      <c r="F21" s="5" t="s">
        <v>217</v>
      </c>
      <c r="G21" s="5"/>
      <c r="H21" s="5"/>
      <c r="I21" s="5">
        <f t="shared" si="1"/>
        <v>0</v>
      </c>
      <c r="J21" s="5"/>
      <c r="K21" s="5"/>
      <c r="L21" s="5">
        <f t="shared" si="2"/>
        <v>0</v>
      </c>
    </row>
    <row r="22" spans="2:12">
      <c r="B22" s="5"/>
      <c r="C22" s="5"/>
      <c r="D22" s="5"/>
      <c r="E22" s="5">
        <f t="shared" si="0"/>
        <v>0</v>
      </c>
      <c r="F22" s="5"/>
      <c r="G22" s="5"/>
      <c r="H22" s="5"/>
      <c r="I22" s="5">
        <f t="shared" si="1"/>
        <v>0</v>
      </c>
      <c r="J22" s="5"/>
      <c r="K22" s="5"/>
      <c r="L22" s="5">
        <f t="shared" si="2"/>
        <v>0</v>
      </c>
    </row>
    <row r="23" spans="2:12">
      <c r="B23" s="5" t="s">
        <v>221</v>
      </c>
      <c r="C23" s="5">
        <v>0.9</v>
      </c>
      <c r="D23" s="5">
        <v>1.2</v>
      </c>
      <c r="E23" s="5">
        <f t="shared" si="0"/>
        <v>1.08</v>
      </c>
      <c r="F23" s="5" t="s">
        <v>222</v>
      </c>
      <c r="G23" s="5"/>
      <c r="H23" s="5"/>
      <c r="I23" s="5">
        <f t="shared" si="1"/>
        <v>0</v>
      </c>
      <c r="J23" s="5"/>
      <c r="K23" s="5"/>
      <c r="L23" s="5">
        <f t="shared" si="2"/>
        <v>0</v>
      </c>
    </row>
    <row r="24" spans="2:12">
      <c r="B24" s="5" t="s">
        <v>223</v>
      </c>
      <c r="C24" s="5">
        <v>1.25</v>
      </c>
      <c r="D24" s="5">
        <v>1.45</v>
      </c>
      <c r="E24" s="5">
        <f t="shared" si="0"/>
        <v>1.8125</v>
      </c>
      <c r="F24" s="5" t="s">
        <v>222</v>
      </c>
      <c r="G24" s="5"/>
      <c r="H24" s="5"/>
      <c r="I24" s="5">
        <f t="shared" si="1"/>
        <v>0</v>
      </c>
      <c r="J24" s="5"/>
      <c r="K24" s="5"/>
      <c r="L24" s="5">
        <f t="shared" si="2"/>
        <v>0</v>
      </c>
    </row>
    <row r="25" spans="2:12">
      <c r="B25" s="5" t="s">
        <v>224</v>
      </c>
      <c r="C25" s="5"/>
      <c r="D25" s="5"/>
      <c r="E25" s="5">
        <f t="shared" si="0"/>
        <v>0</v>
      </c>
      <c r="F25" s="5" t="s">
        <v>222</v>
      </c>
      <c r="G25" s="5"/>
      <c r="H25" s="5"/>
      <c r="I25" s="5">
        <f t="shared" si="1"/>
        <v>0</v>
      </c>
      <c r="J25" s="5"/>
      <c r="K25" s="5"/>
      <c r="L25" s="5">
        <f t="shared" si="2"/>
        <v>0</v>
      </c>
    </row>
    <row r="26" spans="2:12">
      <c r="B26" s="5"/>
      <c r="C26" s="5"/>
      <c r="D26" s="5"/>
      <c r="E26" s="5">
        <f t="shared" si="0"/>
        <v>0</v>
      </c>
      <c r="F26" s="5"/>
      <c r="G26" s="5"/>
      <c r="H26" s="5"/>
      <c r="I26" s="5">
        <f t="shared" si="1"/>
        <v>0</v>
      </c>
      <c r="J26" s="5"/>
      <c r="K26" s="5"/>
      <c r="L26" s="5">
        <f t="shared" si="2"/>
        <v>0</v>
      </c>
    </row>
    <row r="27" spans="2:12">
      <c r="B27" s="5" t="s">
        <v>225</v>
      </c>
      <c r="C27" s="5">
        <v>0.9</v>
      </c>
      <c r="D27" s="5">
        <v>2.2000000000000002</v>
      </c>
      <c r="E27" s="5">
        <f t="shared" si="0"/>
        <v>1.9800000000000002</v>
      </c>
      <c r="F27" s="5"/>
      <c r="G27" s="5"/>
      <c r="H27" s="5"/>
      <c r="I27" s="5">
        <f t="shared" si="1"/>
        <v>0</v>
      </c>
      <c r="J27" s="5"/>
      <c r="K27" s="5"/>
      <c r="L27" s="5">
        <f t="shared" si="2"/>
        <v>0</v>
      </c>
    </row>
    <row r="28" spans="2:12">
      <c r="B28" s="5" t="s">
        <v>226</v>
      </c>
      <c r="C28" s="5"/>
      <c r="D28" s="5"/>
      <c r="E28" s="5">
        <f t="shared" si="0"/>
        <v>0</v>
      </c>
      <c r="F28" s="5"/>
      <c r="G28" s="5"/>
      <c r="H28" s="5"/>
      <c r="I28" s="5">
        <f t="shared" si="1"/>
        <v>0</v>
      </c>
      <c r="J28" s="5"/>
      <c r="K28" s="5"/>
      <c r="L28" s="5">
        <f t="shared" si="2"/>
        <v>0</v>
      </c>
    </row>
    <row r="29" spans="2:12">
      <c r="B29" s="5" t="s">
        <v>227</v>
      </c>
      <c r="C29" s="5"/>
      <c r="D29" s="5"/>
      <c r="E29" s="5">
        <f t="shared" si="0"/>
        <v>0</v>
      </c>
      <c r="F29" s="5"/>
      <c r="G29" s="5"/>
      <c r="H29" s="5"/>
      <c r="I29" s="5">
        <f t="shared" si="1"/>
        <v>0</v>
      </c>
      <c r="J29" s="5"/>
      <c r="K29" s="5"/>
      <c r="L29" s="5">
        <f t="shared" si="2"/>
        <v>0</v>
      </c>
    </row>
    <row r="30" spans="2:12">
      <c r="B30" s="5" t="s">
        <v>228</v>
      </c>
      <c r="C30" s="5"/>
      <c r="D30" s="5"/>
      <c r="E30" s="5">
        <f t="shared" si="0"/>
        <v>0</v>
      </c>
      <c r="F30" s="5"/>
      <c r="G30" s="5"/>
      <c r="H30" s="5"/>
      <c r="I30" s="5">
        <f t="shared" si="1"/>
        <v>0</v>
      </c>
      <c r="J30" s="5"/>
      <c r="K30" s="5"/>
      <c r="L30" s="5">
        <f t="shared" si="2"/>
        <v>0</v>
      </c>
    </row>
    <row r="31" spans="2:12">
      <c r="B31" s="5"/>
      <c r="C31" s="5"/>
      <c r="D31" s="5"/>
      <c r="E31" s="5">
        <f t="shared" si="0"/>
        <v>0</v>
      </c>
      <c r="F31" s="5"/>
      <c r="G31" s="5"/>
      <c r="H31" s="5"/>
      <c r="I31" s="5">
        <f t="shared" si="1"/>
        <v>0</v>
      </c>
      <c r="J31" s="5"/>
      <c r="K31" s="5"/>
      <c r="L31" s="5">
        <f t="shared" si="2"/>
        <v>0</v>
      </c>
    </row>
    <row r="32" spans="2:12">
      <c r="B32" s="5"/>
      <c r="C32" s="5"/>
      <c r="D32" s="5"/>
      <c r="E32" s="5">
        <f t="shared" si="0"/>
        <v>0</v>
      </c>
      <c r="F32" s="5"/>
      <c r="G32" s="5"/>
      <c r="H32" s="5"/>
      <c r="I32" s="5">
        <f t="shared" si="1"/>
        <v>0</v>
      </c>
      <c r="J32" s="5"/>
      <c r="K32" s="5"/>
      <c r="L32" s="5">
        <f t="shared" si="2"/>
        <v>0</v>
      </c>
    </row>
    <row r="33" spans="2:12">
      <c r="B33" s="5"/>
      <c r="C33" s="5"/>
      <c r="D33" s="5"/>
      <c r="E33" s="5">
        <f t="shared" si="0"/>
        <v>0</v>
      </c>
      <c r="F33" s="5"/>
      <c r="G33" s="5"/>
      <c r="H33" s="5"/>
      <c r="I33" s="5">
        <f t="shared" si="1"/>
        <v>0</v>
      </c>
      <c r="J33" s="5"/>
      <c r="K33" s="5"/>
      <c r="L33" s="5">
        <f t="shared" si="2"/>
        <v>0</v>
      </c>
    </row>
    <row r="34" spans="2:12">
      <c r="B34" s="5" t="s">
        <v>169</v>
      </c>
      <c r="C34" s="5"/>
      <c r="D34" s="5">
        <f>E34*10.764</f>
        <v>259.92368999999997</v>
      </c>
      <c r="E34" s="5">
        <f>SUM(E6:E33)</f>
        <v>24.147499999999997</v>
      </c>
      <c r="F34" s="5"/>
      <c r="G34" s="5"/>
      <c r="H34" s="5">
        <f>I34*10.764</f>
        <v>0</v>
      </c>
      <c r="I34" s="5">
        <f>SUM(I6:I33)</f>
        <v>0</v>
      </c>
      <c r="J34" s="5"/>
      <c r="K34" s="5">
        <f>L34*10.764</f>
        <v>0</v>
      </c>
      <c r="L34" s="5">
        <f>SUM(L6:L33)</f>
        <v>0</v>
      </c>
    </row>
    <row r="36" spans="2:12">
      <c r="D36">
        <f>D34+H34</f>
        <v>259.92368999999997</v>
      </c>
      <c r="E36">
        <f>E34+I34</f>
        <v>24.147499999999997</v>
      </c>
    </row>
    <row r="39" spans="2:12">
      <c r="G39">
        <f>2.5*6.6</f>
        <v>16.5</v>
      </c>
    </row>
    <row r="40" spans="2:12">
      <c r="J40">
        <f>2.5*6.1</f>
        <v>15.25</v>
      </c>
    </row>
    <row r="42" spans="2:12">
      <c r="G42">
        <f>(3.35*8.65+1.56*1.05)</f>
        <v>30.615500000000004</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B42" sqref="B42"/>
    </sheetView>
  </sheetViews>
  <sheetFormatPr defaultColWidth="9" defaultRowHeight="15"/>
  <sheetData>
    <row r="1" spans="1:1">
      <c r="A1" t="s">
        <v>229</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
  <sheetViews>
    <sheetView workbookViewId="0">
      <selection activeCell="D1" sqref="D1"/>
    </sheetView>
  </sheetViews>
  <sheetFormatPr defaultColWidth="9" defaultRowHeight="15"/>
  <cols>
    <col min="1" max="1" width="12.85546875" customWidth="1"/>
  </cols>
  <sheetData>
    <row r="1" spans="1:2">
      <c r="A1" t="s">
        <v>230</v>
      </c>
      <c r="B1" t="s">
        <v>231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Rate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2025-09-09T09:12:31Z</cp:lastPrinted>
  <dcterms:created xsi:type="dcterms:W3CDTF">2019-07-16T09:29:00Z</dcterms:created>
  <dcterms:modified xsi:type="dcterms:W3CDTF">2025-09-09T09:13:01Z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510177</vt:lpwstr>
  </property>
  <property fmtid="{D5CDD505-2E9C-101B-9397-08002B2CF9AE}" pid="3" name="NXPowerLiteSettings">
    <vt:lpwstr>C7000400038000</vt:lpwstr>
  </property>
  <property fmtid="{D5CDD505-2E9C-101B-9397-08002B2CF9AE}" pid="4" name="NXPowerLiteVersion">
    <vt:lpwstr>S9.0.3</vt:lpwstr>
  </property>
  <property fmtid="{D5CDD505-2E9C-101B-9397-08002B2CF9AE}" pid="5" name="ICV">
    <vt:lpwstr>D1DDAF2D0307493DB429A14800D19184_12</vt:lpwstr>
  </property>
  <property fmtid="{D5CDD505-2E9C-101B-9397-08002B2CF9AE}" pid="6" name="KSOProductBuildVer">
    <vt:lpwstr>1033-12.2.0.19805</vt:lpwstr>
  </property>
</Properties>
</file>