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Sep 25\DUMP\"/>
    </mc:Choice>
  </mc:AlternateContent>
  <xr:revisionPtr revIDLastSave="0" documentId="13_ncr:1_{D870DEBF-3093-46EF-8AD9-148F45D5FF09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1" i="1" l="1"/>
  <c r="D139" i="1" l="1"/>
  <c r="D138" i="1"/>
  <c r="D137" i="1"/>
  <c r="D136" i="1"/>
  <c r="D135" i="1"/>
  <c r="G134" i="1"/>
  <c r="D134" i="1"/>
  <c r="A134" i="1"/>
  <c r="A135" i="1" s="1"/>
  <c r="A136" i="1" s="1"/>
  <c r="A137" i="1" s="1"/>
  <c r="A138" i="1" s="1"/>
  <c r="A139" i="1" s="1"/>
  <c r="D155" i="1"/>
  <c r="D154" i="1"/>
  <c r="D153" i="1"/>
  <c r="D152" i="1"/>
  <c r="D151" i="1"/>
  <c r="D150" i="1"/>
  <c r="G150" i="1"/>
  <c r="J144" i="1"/>
  <c r="I148" i="1"/>
  <c r="I147" i="1"/>
  <c r="I146" i="1"/>
  <c r="I145" i="1"/>
  <c r="I144" i="1"/>
  <c r="I143" i="1"/>
  <c r="D148" i="1"/>
  <c r="D147" i="1"/>
  <c r="D146" i="1"/>
  <c r="D145" i="1"/>
  <c r="D144" i="1"/>
  <c r="D143" i="1"/>
  <c r="G143" i="1"/>
  <c r="A143" i="1"/>
  <c r="A144" i="1" s="1"/>
  <c r="A145" i="1" s="1"/>
  <c r="A146" i="1" s="1"/>
  <c r="A147" i="1" s="1"/>
  <c r="A148" i="1" s="1"/>
  <c r="J124" i="1"/>
  <c r="J121" i="1"/>
  <c r="J120" i="1"/>
  <c r="I125" i="1"/>
  <c r="I124" i="1"/>
  <c r="I123" i="1"/>
  <c r="I122" i="1"/>
  <c r="I121" i="1"/>
  <c r="I120" i="1"/>
  <c r="D132" i="1"/>
  <c r="D131" i="1"/>
  <c r="D130" i="1"/>
  <c r="D129" i="1"/>
  <c r="D128" i="1"/>
  <c r="D127" i="1"/>
  <c r="D125" i="1"/>
  <c r="D124" i="1"/>
  <c r="D123" i="1"/>
  <c r="D122" i="1"/>
  <c r="D121" i="1"/>
  <c r="D120" i="1"/>
  <c r="A150" i="1"/>
  <c r="E111" i="1" l="1"/>
  <c r="C111" i="1"/>
  <c r="G112" i="1"/>
  <c r="C112" i="1"/>
  <c r="E112" i="1"/>
  <c r="Z12" i="1"/>
  <c r="I14" i="1"/>
  <c r="A151" i="1"/>
  <c r="E113" i="1" l="1"/>
  <c r="C113" i="1"/>
  <c r="E43" i="1"/>
  <c r="E44" i="1" s="1"/>
  <c r="A152" i="1"/>
  <c r="C15" i="1" l="1"/>
  <c r="A153" i="1"/>
  <c r="E30" i="1" l="1"/>
  <c r="A154" i="1"/>
  <c r="F108" i="1" l="1"/>
  <c r="A155" i="1"/>
  <c r="B158" i="1" l="1"/>
  <c r="A127" i="1"/>
  <c r="G113" i="1" l="1"/>
  <c r="A128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8" i="1"/>
  <c r="G127" i="1"/>
  <c r="G120" i="1"/>
  <c r="A120" i="1"/>
  <c r="A121" i="1" s="1"/>
  <c r="A122" i="1" s="1"/>
  <c r="A123" i="1" s="1"/>
  <c r="A124" i="1" s="1"/>
  <c r="A125" i="1" s="1"/>
  <c r="C81" i="1"/>
  <c r="B82" i="1" s="1"/>
  <c r="C67" i="1"/>
  <c r="B68" i="1" s="1"/>
  <c r="D55" i="1"/>
  <c r="G50" i="1"/>
  <c r="G51" i="1" s="1"/>
  <c r="C50" i="1"/>
  <c r="C51" i="1" s="1"/>
  <c r="E27" i="1"/>
  <c r="E25" i="1"/>
  <c r="E7" i="1"/>
  <c r="E3" i="1"/>
  <c r="A129" i="1"/>
  <c r="D61" i="1" l="1"/>
  <c r="H68" i="1"/>
  <c r="H82" i="1"/>
  <c r="A130" i="1"/>
  <c r="J86" i="1" l="1"/>
  <c r="J84" i="1"/>
  <c r="J87" i="1"/>
  <c r="J88" i="1" s="1"/>
  <c r="J93" i="1" s="1"/>
  <c r="J81" i="1"/>
  <c r="J83" i="1" s="1"/>
  <c r="D89" i="1"/>
  <c r="D91" i="1"/>
  <c r="D94" i="1"/>
  <c r="D88" i="1"/>
  <c r="D92" i="1"/>
  <c r="D93" i="1"/>
  <c r="D90" i="1"/>
  <c r="J85" i="1"/>
  <c r="D80" i="1"/>
  <c r="D78" i="1"/>
  <c r="D77" i="1"/>
  <c r="D74" i="1"/>
  <c r="D76" i="1"/>
  <c r="J73" i="1"/>
  <c r="J74" i="1" s="1"/>
  <c r="J79" i="1" s="1"/>
  <c r="D79" i="1"/>
  <c r="J67" i="1"/>
  <c r="J69" i="1" s="1"/>
  <c r="D75" i="1"/>
  <c r="J71" i="1"/>
  <c r="J72" i="1"/>
  <c r="J70" i="1"/>
  <c r="J89" i="1"/>
  <c r="J90" i="1" s="1"/>
  <c r="J91" i="1" s="1"/>
  <c r="J92" i="1" s="1"/>
  <c r="J75" i="1"/>
  <c r="J76" i="1" s="1"/>
  <c r="J77" i="1" s="1"/>
  <c r="J78" i="1" s="1"/>
  <c r="D87" i="1"/>
  <c r="D73" i="1"/>
  <c r="A131" i="1"/>
  <c r="C85" i="1" l="1"/>
  <c r="D85" i="1" s="1"/>
  <c r="C71" i="1"/>
  <c r="D71" i="1" s="1"/>
  <c r="J80" i="1"/>
  <c r="C72" i="1" s="1"/>
  <c r="J94" i="1"/>
  <c r="C86" i="1" s="1"/>
  <c r="A132" i="1"/>
  <c r="G71" i="1" l="1"/>
  <c r="D65" i="1" s="1"/>
  <c r="D66" i="1" s="1"/>
  <c r="J82" i="1"/>
  <c r="J68" i="1"/>
  <c r="D72" i="1"/>
  <c r="I68" i="1" s="1"/>
  <c r="I69" i="1" s="1"/>
  <c r="E71" i="1"/>
  <c r="E85" i="1"/>
  <c r="G85" i="1"/>
  <c r="D86" i="1"/>
  <c r="I82" i="1" s="1"/>
  <c r="I83" i="1" s="1"/>
  <c r="F66" i="1" l="1"/>
  <c r="I67" i="1"/>
  <c r="C69" i="1" s="1"/>
  <c r="I81" i="1"/>
  <c r="C8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<sst xmlns="http://schemas.openxmlformats.org/spreadsheetml/2006/main" count="434" uniqueCount="279">
  <si>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</si>
  <si>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</si>
  <si>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</si>
  <si>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</si>
  <si>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</si>
  <si>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</si>
  <si>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</si>
  <si>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</si>
  <si>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</si>
  <si>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</si>
  <si>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</si>
  <si>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</si>
  <si>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</si>
  <si>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</si>
  <si>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</si>
  <si>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</si>
  <si>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</si>
  <si>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</si>
  <si>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</si>
  <si>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</si>
  <si>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</si>
  <si>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</si>
  <si>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</si>
  <si>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</si>
  <si>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</si>
  <si>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</si>
  <si>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</si>
  <si>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</si>
  <si>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</si>
  <si>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</si>
  <si>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</si>
  <si>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</si>
  <si>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</si>
  <si>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</si>
  <si>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</si>
  <si>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</si>
  <si>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</si>
  <si>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</si>
  <si>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</si>
  <si>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</si>
  <si>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</si>
  <si>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</si>
  <si>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</si>
  <si>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</si>
  <si>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</si>
  <si>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</si>
  <si>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</si>
  <si>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</si>
  <si>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</si>
  <si>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</si>
  <si>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</si>
  <si>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</si>
  <si>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</si>
  <si>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</si>
  <si>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</si>
  <si>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</si>
  <si>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</si>
  <si>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</si>
  <si>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</si>
  <si>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</si>
  <si>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</si>
  <si>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</si>
  <si>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</si>
  <si>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</si>
  <si>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</si>
  <si>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</si>
  <si>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</si>
  <si>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</si>
  <si>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</si>
  <si>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</si>
  <si>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</si>
  <si>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</si>
  <si>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</si>
  <si>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</si>
  <si>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</si>
  <si>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</si>
  <si>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</si>
  <si>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</si>
  <si>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</si>
  <si>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</si>
  <si>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</si>
  <si>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</si>
  <si>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</si>
  <si>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</si>
  <si>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</si>
  <si>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</si>
  <si>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</si>
  <si>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</si>
  <si>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</si>
  <si>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</si>
  <si>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</si>
  <si>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</si>
  <si>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</si>
  <si>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</si>
  <si>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</si>
  <si>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</si>
  <si>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</si>
  <si>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</si>
  <si>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</si>
  <si>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</si>
  <si>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</si>
  <si>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</si>
  <si>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</si>
  <si>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</si>
  <si>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</si>
  <si>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</si>
  <si>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</si>
  <si>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</si>
  <si>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</si>
  <si>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</si>
  <si>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</si>
  <si>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</si>
  <si>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</si>
  <si>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</si>
  <si>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</si>
  <si>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</si>
  <si>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</si>
  <si>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</si>
  <si>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</si>
  <si>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</si>
  <si>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</si>
  <si>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</si>
  <si>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</si>
  <si>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</si>
  <si>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</si>
  <si>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</si>
  <si>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</si>
  <si>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</si>
  <si>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</si>
  <si>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</si>
  <si>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</si>
  <si>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</si>
  <si>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</si>
  <si>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</si>
  <si>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</si>
  <si>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</si>
  <si>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</si>
  <si>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</si>
  <si>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</si>
  <si>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</si>
  <si>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</si>
  <si>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</si>
  <si>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</si>
  <si>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</si>
  <si>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</si>
  <si>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</si>
  <si>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</si>
  <si>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</si>
  <si>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</si>
  <si>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</si>
  <si>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</si>
  <si>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</si>
  <si>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</si>
  <si>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</si>
  <si>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</si>
  <si>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</si>
  <si>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</si>
  <si>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</si>
  <si>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</si>
  <si>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</si>
  <si>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</si>
  <si>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</si>
  <si>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</si>
  <si>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</si>
  <si>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</si>
  <si>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</si>
  <si>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</si>
  <si>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>Floor Rise Rate from    Floor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</si>
  <si>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</si>
  <si>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</si>
  <si>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</si>
  <si>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</si>
  <si>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</si>
  <si>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</si>
  <si>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</si>
  <si>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</si>
  <si>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</si>
  <si>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</si>
  <si>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</si>
  <si>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</si>
  <si>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</si>
  <si>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</si>
  <si>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</si>
  <si>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</si>
  <si>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</si>
  <si>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</si>
  <si>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</si>
  <si>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</si>
  <si>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</si>
  <si>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</si>
  <si>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</si>
  <si>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</si>
  <si>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</si>
  <si>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</si>
  <si>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</si>
  <si>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</si>
  <si>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</si>
  <si>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</si>
  <si>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</si>
  <si>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</si>
  <si>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</si>
  <si>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</si>
  <si>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</si>
  <si>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</si>
  <si>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</si>
  <si>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</si>
  <si>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</si>
  <si>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</si>
  <si>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</si>
  <si>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</si>
  <si>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</si>
  <si>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</si>
  <si>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</si>
  <si>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</si>
  <si>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</si>
  <si>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</si>
  <si>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</si>
  <si>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</si>
  <si>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</si>
  <si>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</si>
  <si>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</si>
  <si>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</si>
  <si>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Commencement-CC No</t>
  </si>
  <si>
    <t xml:space="preserve">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</si>
  <si>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</si>
  <si>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Axis Sanpada</t>
  </si>
  <si>
    <t>Shree Krushna Enterprises</t>
  </si>
  <si>
    <t>Wing A &amp; B</t>
  </si>
  <si>
    <t>Survey No</t>
  </si>
  <si>
    <t>82/0</t>
  </si>
  <si>
    <t>Hatnoli</t>
  </si>
  <si>
    <t>Maharashtra State Road Development Corporation LTD.</t>
  </si>
  <si>
    <t>A Wing = G + 1st to 7th Floor</t>
  </si>
  <si>
    <t>As per RERA - 01/02/2026</t>
  </si>
  <si>
    <t>Krushna Riverside</t>
  </si>
  <si>
    <t>02 Wings</t>
  </si>
  <si>
    <t>Wing A</t>
  </si>
  <si>
    <t>Ground Floor For Parking &amp; Drivers Room</t>
  </si>
  <si>
    <t>1BHK</t>
  </si>
  <si>
    <t>2BHK</t>
  </si>
  <si>
    <t>Wing B</t>
  </si>
  <si>
    <t xml:space="preserve">2nd to 6th Floor </t>
  </si>
  <si>
    <t>Ground Floor For Parking &amp; Meter Room</t>
  </si>
  <si>
    <t>7th Floor</t>
  </si>
  <si>
    <t>We considered Gross carpet area = Net carpet + Enclose balcony.</t>
  </si>
  <si>
    <t xml:space="preserve">Details of Residential in Building   </t>
  </si>
  <si>
    <t>Flats - 78</t>
  </si>
  <si>
    <t>A Wing = G + 1st to 7th Floor
B Wing = G + 1st to 6th Floor</t>
  </si>
  <si>
    <t>P52000050464</t>
  </si>
  <si>
    <t>Builder Saleable area</t>
  </si>
  <si>
    <t>18.898464,73.245283</t>
  </si>
  <si>
    <t>https://goo.gl/maps/JLgu1aPowhm5V9Yi9</t>
  </si>
  <si>
    <t>Internal Road</t>
  </si>
  <si>
    <t>0.85 KM from Chauk Railway Station</t>
  </si>
  <si>
    <t>Chauk</t>
  </si>
  <si>
    <t>Chauk Manivali</t>
  </si>
  <si>
    <t>Sir Nobat Netaji Palkar Vidyamandir</t>
  </si>
  <si>
    <t xml:space="preserve">9.0 M. W. Road </t>
  </si>
  <si>
    <t>Other plot</t>
  </si>
  <si>
    <t>Survey No. 25, 26</t>
  </si>
  <si>
    <t>Open Plot/ Road</t>
  </si>
  <si>
    <t>Open Plot</t>
  </si>
  <si>
    <t>Internal Road/ Houses</t>
  </si>
  <si>
    <t>1st Floor For Residential</t>
  </si>
  <si>
    <t>Mr. Virendra Gupta 9322531176</t>
  </si>
  <si>
    <t>Approved Plans, CC, Builder Saleable Area, Cost Sheet.</t>
  </si>
  <si>
    <t>Gymnasium, Children's play area, jogging track, landscape &amp; garden, Fitness centre, etc.</t>
  </si>
  <si>
    <t>MSRDC/SPA/Hatnoli/Khalapur/BP.224/CC/2021/880</t>
  </si>
  <si>
    <t>A Wing = G + 1st to 7th Floor &amp; 
B Wing = G + 1st to 6th Floor</t>
  </si>
  <si>
    <t>Society Formation Charges + Advance Maintenance Charges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</si>
  <si>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</si>
  <si>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We have done APF for Wing A &amp; B as they are registered on RERA.</t>
  </si>
  <si>
    <t>SSS</t>
  </si>
  <si>
    <t>Mr Ramjan Ali 9082882676</t>
  </si>
  <si>
    <t>B Wing = G + 1st to 7th Floor</t>
  </si>
  <si>
    <t>Mr. Vikrant Jadhav 8433853445</t>
  </si>
  <si>
    <t>Gaurav Panchal</t>
  </si>
  <si>
    <t>Nitesh Patil</t>
  </si>
  <si>
    <t>Construction work is in process at the time of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</si>
</sst>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" fontId="8" fillId="0" borderId="7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10" fillId="0" borderId="32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center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7" fillId="0" borderId="2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g"/><Relationship Id="rId22" Type="http://schemas.openxmlformats.org/officeDocument/2006/relationships/image" Target="../media/image22.jp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518764</xdr:colOff>
      <xdr:row>240</xdr:row>
      <xdr:rowOff>184090</xdr:rowOff>
    </xdr:from>
    <xdr:to>
      <xdr:col>6</xdr:col>
      <xdr:colOff>365416</xdr:colOff>
      <xdr:row>254</xdr:row>
      <xdr:rowOff>124441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5193" y="50853688"/>
          <a:ext cx="4320000" cy="279785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772326</xdr:colOff>
      <xdr:row>227</xdr:row>
      <xdr:rowOff>42523</xdr:rowOff>
    </xdr:from>
    <xdr:to>
      <xdr:col>6</xdr:col>
      <xdr:colOff>111854</xdr:colOff>
      <xdr:row>240</xdr:row>
      <xdr:rowOff>97825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88755" y="48058728"/>
          <a:ext cx="3812876" cy="270869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144576</xdr:colOff>
      <xdr:row>243</xdr:row>
      <xdr:rowOff>195602</xdr:rowOff>
    </xdr:from>
    <xdr:to>
      <xdr:col>3</xdr:col>
      <xdr:colOff>102053</xdr:colOff>
      <xdr:row>248</xdr:row>
      <xdr:rowOff>59532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819955" y="51477522"/>
          <a:ext cx="875960" cy="88446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IN" sz="1100">
            <a:ln>
              <a:noFill/>
            </a:ln>
            <a:noFill/>
          </a:endParaRPr>
        </a:p>
      </xdr:txBody>
    </xdr:sp>
    <xdr:clientData/>
  </xdr:twoCellAnchor>
  <xdr:oneCellAnchor>
    <xdr:from>
      <xdr:col>2</xdr:col>
      <xdr:colOff>263639</xdr:colOff>
      <xdr:row>242</xdr:row>
      <xdr:rowOff>93549</xdr:rowOff>
    </xdr:from>
    <xdr:ext cx="596574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901939" y="48226549"/>
          <a:ext cx="59657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>
              <a:solidFill>
                <a:srgbClr val="FF0000"/>
              </a:solidFill>
            </a:rPr>
            <a:t>Wing</a:t>
          </a:r>
          <a:r>
            <a:rPr lang="en-IN" sz="1100" baseline="0">
              <a:solidFill>
                <a:srgbClr val="FF0000"/>
              </a:solidFill>
            </a:rPr>
            <a:t> A</a:t>
          </a:r>
          <a:endParaRPr lang="en-IN" sz="1100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212612</xdr:colOff>
      <xdr:row>248</xdr:row>
      <xdr:rowOff>51027</xdr:rowOff>
    </xdr:from>
    <xdr:to>
      <xdr:col>3</xdr:col>
      <xdr:colOff>484754</xdr:colOff>
      <xdr:row>251</xdr:row>
      <xdr:rowOff>153080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887991" y="52353482"/>
          <a:ext cx="1190625" cy="7143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3</xdr:col>
      <xdr:colOff>535773</xdr:colOff>
      <xdr:row>249</xdr:row>
      <xdr:rowOff>73532</xdr:rowOff>
    </xdr:from>
    <xdr:ext cx="5917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129635" y="52580095"/>
          <a:ext cx="59170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>
              <a:solidFill>
                <a:srgbClr val="FF0000"/>
              </a:solidFill>
            </a:rPr>
            <a:t>Wing</a:t>
          </a:r>
          <a:r>
            <a:rPr lang="en-IN" sz="1100" baseline="0">
              <a:solidFill>
                <a:srgbClr val="FF0000"/>
              </a:solidFill>
            </a:rPr>
            <a:t> B</a:t>
          </a:r>
          <a:endParaRPr lang="en-IN" sz="11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1</xdr:col>
      <xdr:colOff>391212</xdr:colOff>
      <xdr:row>288</xdr:row>
      <xdr:rowOff>18182</xdr:rowOff>
    </xdr:from>
    <xdr:to>
      <xdr:col>6</xdr:col>
      <xdr:colOff>429403</xdr:colOff>
      <xdr:row>305</xdr:row>
      <xdr:rowOff>148361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07641" y="60893137"/>
          <a:ext cx="451153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391212</xdr:colOff>
      <xdr:row>270</xdr:row>
      <xdr:rowOff>5</xdr:rowOff>
    </xdr:from>
    <xdr:to>
      <xdr:col>6</xdr:col>
      <xdr:colOff>435285</xdr:colOff>
      <xdr:row>287</xdr:row>
      <xdr:rowOff>130183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07641" y="57201032"/>
          <a:ext cx="451742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387238</xdr:colOff>
      <xdr:row>297</xdr:row>
      <xdr:rowOff>9607</xdr:rowOff>
    </xdr:from>
    <xdr:to>
      <xdr:col>4</xdr:col>
      <xdr:colOff>187523</xdr:colOff>
      <xdr:row>299</xdr:row>
      <xdr:rowOff>174028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635749">
          <a:off x="2981100" y="62849094"/>
          <a:ext cx="812316" cy="572635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oneCellAnchor>
    <xdr:from>
      <xdr:col>9</xdr:col>
      <xdr:colOff>0</xdr:colOff>
      <xdr:row>178</xdr:row>
      <xdr:rowOff>44450</xdr:rowOff>
    </xdr:from>
    <xdr:ext cx="596574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7912100" y="3735070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</a:t>
          </a:r>
          <a:r>
            <a:rPr lang="en-IN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A</a:t>
          </a:r>
          <a:endParaRPr lang="en-IN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12</xdr:col>
      <xdr:colOff>226544</xdr:colOff>
      <xdr:row>177</xdr:row>
      <xdr:rowOff>0</xdr:rowOff>
    </xdr:from>
    <xdr:ext cx="591700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0411944" y="37109400"/>
          <a:ext cx="5917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</a:t>
          </a:r>
          <a:r>
            <a:rPr lang="en-IN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B</a:t>
          </a:r>
          <a:endParaRPr lang="en-IN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15</xdr:col>
      <xdr:colOff>33988</xdr:colOff>
      <xdr:row>177</xdr:row>
      <xdr:rowOff>158750</xdr:rowOff>
    </xdr:from>
    <xdr:ext cx="591700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2606988" y="37268150"/>
          <a:ext cx="5917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</a:t>
          </a:r>
          <a:r>
            <a:rPr lang="en-IN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B</a:t>
          </a:r>
          <a:endParaRPr lang="en-IN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15</xdr:col>
      <xdr:colOff>394335</xdr:colOff>
      <xdr:row>203</xdr:row>
      <xdr:rowOff>13334</xdr:rowOff>
    </xdr:from>
    <xdr:to>
      <xdr:col>17</xdr:col>
      <xdr:colOff>579118</xdr:colOff>
      <xdr:row>213</xdr:row>
      <xdr:rowOff>106409</xdr:rowOff>
    </xdr:to>
    <xdr:pic>
      <xdr:nvPicPr>
        <xdr:cNvPr id="20" name="Picture 19" descr="https://vsjcllp.vsjadon.com/upload/insp-220647-1525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31115" y="42464354"/>
          <a:ext cx="1609723" cy="207427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308610</xdr:colOff>
      <xdr:row>203</xdr:row>
      <xdr:rowOff>10159</xdr:rowOff>
    </xdr:from>
    <xdr:to>
      <xdr:col>13</xdr:col>
      <xdr:colOff>114508</xdr:colOff>
      <xdr:row>213</xdr:row>
      <xdr:rowOff>103234</xdr:rowOff>
    </xdr:to>
    <xdr:pic>
      <xdr:nvPicPr>
        <xdr:cNvPr id="22" name="Picture 21" descr="https://vsjcllp.vsjadon.com/upload/insp-220647-845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42461179"/>
          <a:ext cx="2853898" cy="207427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422314</xdr:colOff>
      <xdr:row>191</xdr:row>
      <xdr:rowOff>67310</xdr:rowOff>
    </xdr:from>
    <xdr:to>
      <xdr:col>17</xdr:col>
      <xdr:colOff>553805</xdr:colOff>
      <xdr:row>202</xdr:row>
      <xdr:rowOff>127635</xdr:rowOff>
    </xdr:to>
    <xdr:pic>
      <xdr:nvPicPr>
        <xdr:cNvPr id="23" name="Picture 22" descr="https://vsjcllp.vsjadon.com/upload/insp-220647-849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19854" y="40140890"/>
          <a:ext cx="3095671" cy="223964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308014</xdr:colOff>
      <xdr:row>191</xdr:row>
      <xdr:rowOff>67310</xdr:rowOff>
    </xdr:from>
    <xdr:to>
      <xdr:col>13</xdr:col>
      <xdr:colOff>336635</xdr:colOff>
      <xdr:row>202</xdr:row>
      <xdr:rowOff>127635</xdr:rowOff>
    </xdr:to>
    <xdr:pic>
      <xdr:nvPicPr>
        <xdr:cNvPr id="24" name="Picture 23" descr="https://vsjcllp.vsjadon.com/upload/insp-220647-851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7554" y="40140890"/>
          <a:ext cx="3076621" cy="223964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222885</xdr:colOff>
      <xdr:row>203</xdr:row>
      <xdr:rowOff>13334</xdr:rowOff>
    </xdr:from>
    <xdr:to>
      <xdr:col>15</xdr:col>
      <xdr:colOff>295273</xdr:colOff>
      <xdr:row>213</xdr:row>
      <xdr:rowOff>106409</xdr:rowOff>
    </xdr:to>
    <xdr:pic>
      <xdr:nvPicPr>
        <xdr:cNvPr id="26" name="Picture 25" descr="https://vsjcllp.vsjadon.com/upload/insp-220647-877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20425" y="42464354"/>
          <a:ext cx="1611628" cy="207427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3809</xdr:colOff>
      <xdr:row>177</xdr:row>
      <xdr:rowOff>60960</xdr:rowOff>
    </xdr:from>
    <xdr:to>
      <xdr:col>18</xdr:col>
      <xdr:colOff>21946</xdr:colOff>
      <xdr:row>190</xdr:row>
      <xdr:rowOff>165735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2005309" y="37703760"/>
          <a:ext cx="2018387" cy="2705100"/>
          <a:chOff x="4305299" y="37919025"/>
          <a:chExt cx="2026007" cy="2705100"/>
        </a:xfrm>
      </xdr:grpSpPr>
      <xdr:pic>
        <xdr:nvPicPr>
          <xdr:cNvPr id="25" name="Picture 24" descr="https://vsjcllp.vsjadon.com/upload/insp-220647-862.jpg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05299" y="37919025"/>
            <a:ext cx="2026007" cy="27051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4305299" y="37919025"/>
            <a:ext cx="5917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Wing</a:t>
            </a:r>
            <a:r>
              <a:rPr lang="en-IN" sz="1100" b="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 B</a:t>
            </a:r>
            <a:endPara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  <xdr:twoCellAnchor>
    <xdr:from>
      <xdr:col>12</xdr:col>
      <xdr:colOff>179069</xdr:colOff>
      <xdr:row>177</xdr:row>
      <xdr:rowOff>60960</xdr:rowOff>
    </xdr:from>
    <xdr:to>
      <xdr:col>14</xdr:col>
      <xdr:colOff>593446</xdr:colOff>
      <xdr:row>190</xdr:row>
      <xdr:rowOff>165735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9894569" y="37703760"/>
          <a:ext cx="2043152" cy="2705100"/>
          <a:chOff x="2190749" y="37919025"/>
          <a:chExt cx="2026007" cy="2705100"/>
        </a:xfrm>
      </xdr:grpSpPr>
      <xdr:pic>
        <xdr:nvPicPr>
          <xdr:cNvPr id="27" name="Picture 26" descr="https://vsjcllp.vsjadon.com/upload/insp-220647-883.jpg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90749" y="37919025"/>
            <a:ext cx="2026007" cy="27051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2190749" y="37919025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Wing</a:t>
            </a:r>
            <a:r>
              <a:rPr lang="en-IN" sz="1100" b="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 A</a:t>
            </a:r>
            <a:endPara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  <xdr:twoCellAnchor>
    <xdr:from>
      <xdr:col>9</xdr:col>
      <xdr:colOff>241934</xdr:colOff>
      <xdr:row>177</xdr:row>
      <xdr:rowOff>60960</xdr:rowOff>
    </xdr:from>
    <xdr:to>
      <xdr:col>12</xdr:col>
      <xdr:colOff>81001</xdr:colOff>
      <xdr:row>190</xdr:row>
      <xdr:rowOff>165735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785734" y="37703760"/>
          <a:ext cx="2010767" cy="2705100"/>
          <a:chOff x="66674" y="37919025"/>
          <a:chExt cx="2026007" cy="2705100"/>
        </a:xfrm>
      </xdr:grpSpPr>
      <xdr:pic>
        <xdr:nvPicPr>
          <xdr:cNvPr id="21" name="Picture 20" descr="https://vsjcllp.vsjadon.com/upload/insp-220647-843.jpg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6674" y="37919025"/>
            <a:ext cx="2026007" cy="27051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66674" y="37919025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Wing</a:t>
            </a:r>
            <a:r>
              <a:rPr lang="en-IN" sz="1100" b="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 A</a:t>
            </a:r>
            <a:endPara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  <xdr:twoCellAnchor>
    <xdr:from>
      <xdr:col>8</xdr:col>
      <xdr:colOff>944880</xdr:colOff>
      <xdr:row>179</xdr:row>
      <xdr:rowOff>24766</xdr:rowOff>
    </xdr:from>
    <xdr:to>
      <xdr:col>16</xdr:col>
      <xdr:colOff>289560</xdr:colOff>
      <xdr:row>217</xdr:row>
      <xdr:rowOff>192406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F2F4AC5B-CE5D-8B01-0E2A-9FF1DDA696A5}"/>
            </a:ext>
          </a:extLst>
        </xdr:cNvPr>
        <xdr:cNvGrpSpPr/>
      </xdr:nvGrpSpPr>
      <xdr:grpSpPr>
        <a:xfrm>
          <a:off x="7326630" y="38067616"/>
          <a:ext cx="5745480" cy="7768590"/>
          <a:chOff x="261257" y="216104"/>
          <a:chExt cx="5920966" cy="8147925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E55DA5E9-713F-7AF5-0EC0-550DE11ACC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02223" y="6564029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EE3CA657-AD4B-2686-435C-8C7ED1893F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1257" y="216104"/>
            <a:ext cx="2880000" cy="384534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E2FAE3D2-DABF-A65B-C902-3C011003BE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02223" y="4231235"/>
            <a:ext cx="2880000" cy="216300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7235BFA0-D46F-5B73-78CE-752041C303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93132" y="6564029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B3C826E0-0C59-7EE5-C644-EE5BD340C2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1257" y="4231235"/>
            <a:ext cx="2880000" cy="216300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F346256A-14D2-4EF4-42D9-757389F1D7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02223" y="216104"/>
            <a:ext cx="2880000" cy="384534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2" name="TextBox 32">
            <a:extLst>
              <a:ext uri="{FF2B5EF4-FFF2-40B4-BE49-F238E27FC236}">
                <a16:creationId xmlns:a16="http://schemas.microsoft.com/office/drawing/2014/main" id="{694254E5-1069-4737-4D84-587928A3932A}"/>
              </a:ext>
            </a:extLst>
          </xdr:cNvPr>
          <xdr:cNvSpPr txBox="1"/>
        </xdr:nvSpPr>
        <xdr:spPr>
          <a:xfrm>
            <a:off x="3961219" y="585436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B</a:t>
            </a:r>
          </a:p>
        </xdr:txBody>
      </xdr:sp>
      <xdr:sp macro="" textlink="">
        <xdr:nvSpPr>
          <xdr:cNvPr id="33" name="TextBox 33">
            <a:extLst>
              <a:ext uri="{FF2B5EF4-FFF2-40B4-BE49-F238E27FC236}">
                <a16:creationId xmlns:a16="http://schemas.microsoft.com/office/drawing/2014/main" id="{42DBE97C-DD44-ADF0-79C4-190AE356005B}"/>
              </a:ext>
            </a:extLst>
          </xdr:cNvPr>
          <xdr:cNvSpPr txBox="1"/>
        </xdr:nvSpPr>
        <xdr:spPr>
          <a:xfrm>
            <a:off x="874020" y="216104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A</a:t>
            </a:r>
          </a:p>
        </xdr:txBody>
      </xdr:sp>
    </xdr:grpSp>
    <xdr:clientData/>
  </xdr:twoCellAnchor>
  <xdr:twoCellAnchor>
    <xdr:from>
      <xdr:col>0</xdr:col>
      <xdr:colOff>180975</xdr:colOff>
      <xdr:row>178</xdr:row>
      <xdr:rowOff>104775</xdr:rowOff>
    </xdr:from>
    <xdr:to>
      <xdr:col>7</xdr:col>
      <xdr:colOff>574699</xdr:colOff>
      <xdr:row>208</xdr:row>
      <xdr:rowOff>9525</xdr:rowOff>
    </xdr:to>
    <xdr:grpSp>
      <xdr:nvGrpSpPr>
        <xdr:cNvPr id="76" name="Group 75">
          <a:extLst>
            <a:ext uri="{FF2B5EF4-FFF2-40B4-BE49-F238E27FC236}">
              <a16:creationId xmlns:a16="http://schemas.microsoft.com/office/drawing/2014/main" id="{E63D2D97-B1B0-4556-B7F6-DC95EEC243CC}"/>
            </a:ext>
          </a:extLst>
        </xdr:cNvPr>
        <xdr:cNvGrpSpPr/>
      </xdr:nvGrpSpPr>
      <xdr:grpSpPr>
        <a:xfrm>
          <a:off x="180975" y="37947600"/>
          <a:ext cx="6070624" cy="5905500"/>
          <a:chOff x="319087" y="1745933"/>
          <a:chExt cx="6070624" cy="5652134"/>
        </a:xfrm>
      </xdr:grpSpPr>
      <xdr:pic>
        <xdr:nvPicPr>
          <xdr:cNvPr id="77" name="Picture 76">
            <a:extLst>
              <a:ext uri="{FF2B5EF4-FFF2-40B4-BE49-F238E27FC236}">
                <a16:creationId xmlns:a16="http://schemas.microsoft.com/office/drawing/2014/main" id="{D4572E02-4C53-4884-8A59-28BDFD17C5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6574" y="1787842"/>
            <a:ext cx="3479808" cy="241825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8" name="Picture 77">
            <a:extLst>
              <a:ext uri="{FF2B5EF4-FFF2-40B4-BE49-F238E27FC236}">
                <a16:creationId xmlns:a16="http://schemas.microsoft.com/office/drawing/2014/main" id="{058C5BF4-9FE0-47CC-B620-59B4AF0524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04591" y="1787842"/>
            <a:ext cx="1957393" cy="241825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9" name="Picture 78">
            <a:extLst>
              <a:ext uri="{FF2B5EF4-FFF2-40B4-BE49-F238E27FC236}">
                <a16:creationId xmlns:a16="http://schemas.microsoft.com/office/drawing/2014/main" id="{09C6912E-A78D-4B21-93D3-7E7B6FDE11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32319" y="4366243"/>
            <a:ext cx="1957392" cy="136026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0" name="Picture 79">
            <a:extLst>
              <a:ext uri="{FF2B5EF4-FFF2-40B4-BE49-F238E27FC236}">
                <a16:creationId xmlns:a16="http://schemas.microsoft.com/office/drawing/2014/main" id="{B424C13D-0CD5-45D8-9364-CCA8939070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9087" y="4366243"/>
            <a:ext cx="1957392" cy="136026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1" name="Picture 80">
            <a:extLst>
              <a:ext uri="{FF2B5EF4-FFF2-40B4-BE49-F238E27FC236}">
                <a16:creationId xmlns:a16="http://schemas.microsoft.com/office/drawing/2014/main" id="{AD37CCEA-A27C-48EC-89E7-5F5C318D44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5703" y="4366243"/>
            <a:ext cx="1957392" cy="136026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2" name="Picture 81">
            <a:extLst>
              <a:ext uri="{FF2B5EF4-FFF2-40B4-BE49-F238E27FC236}">
                <a16:creationId xmlns:a16="http://schemas.microsoft.com/office/drawing/2014/main" id="{96D4D923-9048-4093-862B-CFE61FA22A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9576" y="5886658"/>
            <a:ext cx="2174880" cy="151140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3" name="Picture 82">
            <a:extLst>
              <a:ext uri="{FF2B5EF4-FFF2-40B4-BE49-F238E27FC236}">
                <a16:creationId xmlns:a16="http://schemas.microsoft.com/office/drawing/2014/main" id="{0B5CD76A-C5B6-4A28-AC62-2E0F97A614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77928" y="5886658"/>
            <a:ext cx="1223370" cy="151140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4" name="Picture 83">
            <a:extLst>
              <a:ext uri="{FF2B5EF4-FFF2-40B4-BE49-F238E27FC236}">
                <a16:creationId xmlns:a16="http://schemas.microsoft.com/office/drawing/2014/main" id="{4207D79E-0B24-44A3-B73A-8469FC5B0D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4770" y="5886658"/>
            <a:ext cx="1223370" cy="151140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5" name="TextBox 33">
            <a:extLst>
              <a:ext uri="{FF2B5EF4-FFF2-40B4-BE49-F238E27FC236}">
                <a16:creationId xmlns:a16="http://schemas.microsoft.com/office/drawing/2014/main" id="{384558FA-C596-4819-8600-0F61ED6FA8FE}"/>
              </a:ext>
            </a:extLst>
          </xdr:cNvPr>
          <xdr:cNvSpPr txBox="1"/>
        </xdr:nvSpPr>
        <xdr:spPr>
          <a:xfrm>
            <a:off x="606742" y="1936433"/>
            <a:ext cx="998220" cy="35213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B</a:t>
            </a:r>
          </a:p>
        </xdr:txBody>
      </xdr:sp>
      <xdr:sp macro="" textlink="">
        <xdr:nvSpPr>
          <xdr:cNvPr id="86" name="TextBox 33">
            <a:extLst>
              <a:ext uri="{FF2B5EF4-FFF2-40B4-BE49-F238E27FC236}">
                <a16:creationId xmlns:a16="http://schemas.microsoft.com/office/drawing/2014/main" id="{697C9D8B-FC7C-4153-B752-A801AA59FDE8}"/>
              </a:ext>
            </a:extLst>
          </xdr:cNvPr>
          <xdr:cNvSpPr txBox="1"/>
        </xdr:nvSpPr>
        <xdr:spPr>
          <a:xfrm>
            <a:off x="1721167" y="1755458"/>
            <a:ext cx="998220" cy="35213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A</a:t>
            </a:r>
          </a:p>
        </xdr:txBody>
      </xdr:sp>
      <xdr:sp macro="" textlink="">
        <xdr:nvSpPr>
          <xdr:cNvPr id="87" name="TextBox 33">
            <a:extLst>
              <a:ext uri="{FF2B5EF4-FFF2-40B4-BE49-F238E27FC236}">
                <a16:creationId xmlns:a16="http://schemas.microsoft.com/office/drawing/2014/main" id="{36B3531B-F1AA-46FE-8BA6-42BB51D5F80E}"/>
              </a:ext>
            </a:extLst>
          </xdr:cNvPr>
          <xdr:cNvSpPr txBox="1"/>
        </xdr:nvSpPr>
        <xdr:spPr>
          <a:xfrm>
            <a:off x="4483417" y="1745933"/>
            <a:ext cx="998220" cy="35213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A</a:t>
            </a:r>
          </a:p>
        </xdr:txBody>
      </xdr:sp>
      <xdr:sp macro="" textlink="">
        <xdr:nvSpPr>
          <xdr:cNvPr id="88" name="TextBox 33">
            <a:extLst>
              <a:ext uri="{FF2B5EF4-FFF2-40B4-BE49-F238E27FC236}">
                <a16:creationId xmlns:a16="http://schemas.microsoft.com/office/drawing/2014/main" id="{BEC5EEE9-B7C1-4E21-AFE8-1E7991C66D3B}"/>
              </a:ext>
            </a:extLst>
          </xdr:cNvPr>
          <xdr:cNvSpPr txBox="1"/>
        </xdr:nvSpPr>
        <xdr:spPr>
          <a:xfrm>
            <a:off x="749616" y="4679633"/>
            <a:ext cx="1483995" cy="35213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rgbClr val="FFFF00"/>
                </a:solidFill>
              </a:rPr>
              <a:t>Wing A 1st floor</a:t>
            </a:r>
          </a:p>
        </xdr:txBody>
      </xdr:sp>
      <xdr:sp macro="" textlink="">
        <xdr:nvSpPr>
          <xdr:cNvPr id="89" name="TextBox 33">
            <a:extLst>
              <a:ext uri="{FF2B5EF4-FFF2-40B4-BE49-F238E27FC236}">
                <a16:creationId xmlns:a16="http://schemas.microsoft.com/office/drawing/2014/main" id="{5D9FA031-B5C2-4633-9096-5BB4D91039D6}"/>
              </a:ext>
            </a:extLst>
          </xdr:cNvPr>
          <xdr:cNvSpPr txBox="1"/>
        </xdr:nvSpPr>
        <xdr:spPr>
          <a:xfrm>
            <a:off x="4760456" y="4489133"/>
            <a:ext cx="1483995" cy="35213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rgbClr val="FFFF00"/>
                </a:solidFill>
              </a:rPr>
              <a:t>Wing B 6th floor</a:t>
            </a:r>
          </a:p>
        </xdr:txBody>
      </xdr:sp>
      <xdr:sp macro="" textlink="">
        <xdr:nvSpPr>
          <xdr:cNvPr id="90" name="TextBox 33">
            <a:extLst>
              <a:ext uri="{FF2B5EF4-FFF2-40B4-BE49-F238E27FC236}">
                <a16:creationId xmlns:a16="http://schemas.microsoft.com/office/drawing/2014/main" id="{75DD6313-4C55-45F8-9F97-3EDF029DD5F6}"/>
              </a:ext>
            </a:extLst>
          </xdr:cNvPr>
          <xdr:cNvSpPr txBox="1"/>
        </xdr:nvSpPr>
        <xdr:spPr>
          <a:xfrm>
            <a:off x="2677649" y="4393883"/>
            <a:ext cx="1483995" cy="35213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rgbClr val="FFFF00"/>
                </a:solidFill>
              </a:rPr>
              <a:t>Wing B 1st floor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JLgu1aPowhm5V9Yi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269"/>
  <sheetViews>
    <sheetView tabSelected="1" view="pageBreakPreview" topLeftCell="A174" zoomScaleNormal="100" zoomScaleSheetLayoutView="100" zoomScalePageLayoutView="85" workbookViewId="0">
      <selection activeCell="I186" sqref="I186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6" width="11.7109375" style="39" customWidth="1"/>
    <col min="7" max="7" width="11.42578125" style="39" customWidth="1"/>
    <col min="8" max="8" width="10.5703125" style="39" customWidth="1"/>
    <col min="9" max="9" width="17.42578125" style="20" customWidth="1"/>
    <col min="10" max="10" width="11.42578125" style="20" customWidth="1"/>
    <col min="11" max="11" width="10.570312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26" ht="46.5" customHeight="1" x14ac:dyDescent="0.25">
      <c r="A1" s="149" t="s">
        <v>270</v>
      </c>
      <c r="B1" s="149"/>
      <c r="C1" s="149"/>
      <c r="D1" s="149"/>
      <c r="E1" s="149"/>
      <c r="F1" s="149"/>
      <c r="G1" s="149"/>
      <c r="H1" s="149"/>
    </row>
    <row r="2" spans="1:26" ht="16.5" customHeight="1" x14ac:dyDescent="0.25">
      <c r="A2" s="150" t="s">
        <v>0</v>
      </c>
      <c r="B2" s="150"/>
      <c r="C2" s="150"/>
      <c r="D2" s="150"/>
      <c r="E2" s="150"/>
      <c r="F2" s="150"/>
      <c r="G2" s="150"/>
      <c r="H2" s="150"/>
    </row>
    <row r="3" spans="1:26" x14ac:dyDescent="0.25">
      <c r="A3" s="113" t="s">
        <v>1</v>
      </c>
      <c r="B3" s="113"/>
      <c r="C3" s="113"/>
      <c r="D3" s="113"/>
      <c r="E3" s="113" t="str">
        <f ca="1">TEXT(TODAY(),"DD/MM/YYYY")</f>
        <v>10/09/2025</v>
      </c>
      <c r="F3" s="113"/>
      <c r="G3" s="113"/>
      <c r="H3" s="113"/>
    </row>
    <row r="4" spans="1:26" ht="15" customHeight="1" x14ac:dyDescent="0.25">
      <c r="A4" s="113" t="s">
        <v>2</v>
      </c>
      <c r="B4" s="113"/>
      <c r="C4" s="113"/>
      <c r="D4" s="113"/>
      <c r="E4" s="113" t="s">
        <v>225</v>
      </c>
      <c r="F4" s="113"/>
      <c r="G4" s="113"/>
      <c r="H4" s="113"/>
    </row>
    <row r="5" spans="1:26" x14ac:dyDescent="0.25">
      <c r="A5" s="113" t="s">
        <v>3</v>
      </c>
      <c r="B5" s="113"/>
      <c r="C5" s="113"/>
      <c r="D5" s="113"/>
      <c r="E5" s="151">
        <v>45907</v>
      </c>
      <c r="F5" s="113"/>
      <c r="G5" s="113"/>
      <c r="H5" s="113"/>
    </row>
    <row r="6" spans="1:26" ht="16.5" customHeight="1" x14ac:dyDescent="0.25">
      <c r="A6" s="113" t="s">
        <v>4</v>
      </c>
      <c r="B6" s="113"/>
      <c r="C6" s="113"/>
      <c r="D6" s="113"/>
      <c r="E6" s="113" t="s">
        <v>226</v>
      </c>
      <c r="F6" s="113"/>
      <c r="G6" s="113"/>
      <c r="H6" s="113"/>
    </row>
    <row r="7" spans="1:26" ht="15" customHeight="1" x14ac:dyDescent="0.25">
      <c r="A7" s="113" t="s">
        <v>5</v>
      </c>
      <c r="B7" s="113"/>
      <c r="C7" s="113"/>
      <c r="D7" s="113"/>
      <c r="E7" s="113" t="str">
        <f>E6</f>
        <v>Shree Krushna Enterprises</v>
      </c>
      <c r="F7" s="113"/>
      <c r="G7" s="113"/>
      <c r="H7" s="113"/>
    </row>
    <row r="8" spans="1:26" x14ac:dyDescent="0.25">
      <c r="A8" s="113" t="s">
        <v>6</v>
      </c>
      <c r="B8" s="113"/>
      <c r="C8" s="113"/>
      <c r="D8" s="113"/>
      <c r="E8" s="123" t="s">
        <v>234</v>
      </c>
      <c r="F8" s="123"/>
      <c r="G8" s="123"/>
      <c r="H8" s="123"/>
    </row>
    <row r="9" spans="1:26" x14ac:dyDescent="0.25">
      <c r="A9" s="113" t="s">
        <v>161</v>
      </c>
      <c r="B9" s="113"/>
      <c r="C9" s="113"/>
      <c r="D9" s="113"/>
      <c r="E9" s="113" t="s">
        <v>264</v>
      </c>
      <c r="F9" s="113"/>
      <c r="G9" s="113"/>
      <c r="H9" s="113"/>
    </row>
    <row r="10" spans="1:26" x14ac:dyDescent="0.25">
      <c r="A10" s="113" t="s">
        <v>162</v>
      </c>
      <c r="B10" s="113"/>
      <c r="C10" s="113"/>
      <c r="D10" s="113"/>
      <c r="E10" s="113" t="s">
        <v>275</v>
      </c>
      <c r="F10" s="113"/>
      <c r="G10" s="113"/>
      <c r="H10" s="113"/>
      <c r="I10" s="113" t="s">
        <v>273</v>
      </c>
      <c r="J10" s="113"/>
      <c r="K10" s="113"/>
      <c r="L10" s="113"/>
    </row>
    <row r="11" spans="1:26" x14ac:dyDescent="0.25">
      <c r="A11" s="113" t="s">
        <v>7</v>
      </c>
      <c r="B11" s="113"/>
      <c r="C11" s="113"/>
      <c r="D11" s="113"/>
      <c r="E11" s="113" t="s">
        <v>227</v>
      </c>
      <c r="F11" s="113"/>
      <c r="G11" s="113"/>
      <c r="H11" s="113"/>
    </row>
    <row r="12" spans="1:26" x14ac:dyDescent="0.25">
      <c r="A12" s="113" t="s">
        <v>164</v>
      </c>
      <c r="B12" s="113"/>
      <c r="C12" s="113"/>
      <c r="D12" s="113"/>
      <c r="E12" s="113" t="s">
        <v>29</v>
      </c>
      <c r="F12" s="113"/>
      <c r="G12" s="113"/>
      <c r="H12" s="113"/>
      <c r="S12" s="54" t="s">
        <v>169</v>
      </c>
      <c r="T12" s="54" t="s">
        <v>179</v>
      </c>
      <c r="U12" s="54" t="s">
        <v>165</v>
      </c>
      <c r="V12" s="54" t="s">
        <v>184</v>
      </c>
      <c r="W12" s="54" t="s">
        <v>202</v>
      </c>
      <c r="X12"/>
      <c r="Y12" t="s">
        <v>184</v>
      </c>
      <c r="Z12" t="e">
        <f ca="1">OFFSET($S$12,1,MATCH($G19,$S$12:$W$12,0)-1,15,1)</f>
        <v>#VALUE!</v>
      </c>
    </row>
    <row r="13" spans="1:26" ht="32.25" customHeight="1" x14ac:dyDescent="0.25">
      <c r="A13" s="81" t="s">
        <v>8</v>
      </c>
      <c r="B13" s="81"/>
      <c r="C13" s="81"/>
      <c r="D13" s="81"/>
      <c r="E13" s="108" t="s">
        <v>265</v>
      </c>
      <c r="F13" s="108"/>
      <c r="G13" s="108"/>
      <c r="H13" s="108"/>
      <c r="S13" s="54" t="s">
        <v>170</v>
      </c>
      <c r="T13" s="54" t="s">
        <v>177</v>
      </c>
      <c r="U13" s="54" t="s">
        <v>199</v>
      </c>
      <c r="V13" s="54" t="s">
        <v>185</v>
      </c>
      <c r="W13" s="54" t="s">
        <v>203</v>
      </c>
      <c r="X13"/>
      <c r="Y13"/>
      <c r="Z13"/>
    </row>
    <row r="14" spans="1:26" x14ac:dyDescent="0.25">
      <c r="A14" s="81" t="s">
        <v>9</v>
      </c>
      <c r="B14" s="81"/>
      <c r="C14" s="81"/>
      <c r="D14" s="81"/>
      <c r="E14" s="108" t="s">
        <v>248</v>
      </c>
      <c r="F14" s="113"/>
      <c r="G14" s="113"/>
      <c r="H14" s="113"/>
      <c r="I14" s="174" t="e">
        <f ca="1">OFFSET($D$4,1,MATCH($J12,$D$4:$H$4,0)-1,15,1)</f>
        <v>#N/A</v>
      </c>
      <c r="J14" s="175"/>
      <c r="K14" s="175"/>
      <c r="L14" s="175"/>
      <c r="M14" s="175"/>
      <c r="N14" s="175"/>
      <c r="O14" s="175"/>
      <c r="P14" s="175"/>
      <c r="S14" s="54" t="s">
        <v>171</v>
      </c>
      <c r="T14" s="54" t="s">
        <v>178</v>
      </c>
      <c r="U14" s="54" t="s">
        <v>200</v>
      </c>
      <c r="V14" s="54" t="s">
        <v>186</v>
      </c>
      <c r="W14" s="54" t="s">
        <v>216</v>
      </c>
      <c r="X14"/>
      <c r="Y14"/>
      <c r="Z14"/>
    </row>
    <row r="15" spans="1:26" ht="34.5" customHeight="1" x14ac:dyDescent="0.25">
      <c r="A15" s="112" t="s">
        <v>10</v>
      </c>
      <c r="B15" s="112"/>
      <c r="C15" s="112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Krushna Riverside, Survey No.82/0, near Sir Nobat Netaji Palkar Vidyamandir, Internal Road, Chauk Manivali, Hatnoli, Chauk, Khalapur, Raigad - 410206.</v>
      </c>
      <c r="D15" s="112"/>
      <c r="E15" s="112"/>
      <c r="F15" s="112"/>
      <c r="G15" s="112"/>
      <c r="H15" s="112"/>
      <c r="S15" s="54" t="s">
        <v>172</v>
      </c>
      <c r="T15" s="54" t="s">
        <v>180</v>
      </c>
      <c r="U15" s="54" t="s">
        <v>201</v>
      </c>
      <c r="V15" s="54" t="s">
        <v>187</v>
      </c>
      <c r="W15" s="54" t="s">
        <v>204</v>
      </c>
      <c r="X15"/>
      <c r="Y15"/>
      <c r="Z15"/>
    </row>
    <row r="16" spans="1:26" x14ac:dyDescent="0.25">
      <c r="A16" s="108" t="s">
        <v>228</v>
      </c>
      <c r="B16" s="108"/>
      <c r="C16" s="108" t="s">
        <v>229</v>
      </c>
      <c r="D16" s="108"/>
      <c r="E16" s="108"/>
      <c r="F16" s="108"/>
      <c r="G16" s="108"/>
      <c r="H16" s="108"/>
      <c r="S16" s="54" t="s">
        <v>173</v>
      </c>
      <c r="T16" s="54" t="s">
        <v>181</v>
      </c>
      <c r="U16" s="54"/>
      <c r="V16" s="54" t="s">
        <v>188</v>
      </c>
      <c r="W16" s="54" t="s">
        <v>205</v>
      </c>
      <c r="X16"/>
      <c r="Y16"/>
      <c r="Z16"/>
    </row>
    <row r="17" spans="1:26" ht="15.75" customHeight="1" x14ac:dyDescent="0.25">
      <c r="A17" s="108" t="s">
        <v>157</v>
      </c>
      <c r="B17" s="108"/>
      <c r="C17" s="108" t="s">
        <v>255</v>
      </c>
      <c r="D17" s="108"/>
      <c r="E17" s="108"/>
      <c r="F17" s="108"/>
      <c r="G17" s="108"/>
      <c r="H17" s="108"/>
      <c r="S17" s="54" t="s">
        <v>174</v>
      </c>
      <c r="T17" s="54" t="s">
        <v>179</v>
      </c>
      <c r="U17" s="54"/>
      <c r="V17" s="54" t="s">
        <v>189</v>
      </c>
      <c r="W17" s="54" t="s">
        <v>206</v>
      </c>
      <c r="X17"/>
      <c r="Y17"/>
      <c r="Z17"/>
    </row>
    <row r="18" spans="1:26" ht="15.75" customHeight="1" x14ac:dyDescent="0.25">
      <c r="A18" s="112" t="s">
        <v>11</v>
      </c>
      <c r="B18" s="112"/>
      <c r="C18" s="113" t="s">
        <v>252</v>
      </c>
      <c r="D18" s="113"/>
      <c r="E18" s="112" t="s">
        <v>73</v>
      </c>
      <c r="F18" s="112"/>
      <c r="G18" s="108" t="s">
        <v>230</v>
      </c>
      <c r="H18" s="108"/>
      <c r="S18" s="54" t="s">
        <v>175</v>
      </c>
      <c r="T18" s="54" t="s">
        <v>182</v>
      </c>
      <c r="U18" s="54"/>
      <c r="V18" s="54" t="s">
        <v>190</v>
      </c>
      <c r="W18" s="54" t="s">
        <v>207</v>
      </c>
      <c r="X18"/>
      <c r="Y18"/>
      <c r="Z18"/>
    </row>
    <row r="19" spans="1:26" x14ac:dyDescent="0.25">
      <c r="A19" s="81" t="s">
        <v>13</v>
      </c>
      <c r="B19" s="81"/>
      <c r="C19" s="108" t="s">
        <v>254</v>
      </c>
      <c r="D19" s="108"/>
      <c r="E19" s="112" t="s">
        <v>12</v>
      </c>
      <c r="F19" s="112"/>
      <c r="G19" s="148" t="s">
        <v>184</v>
      </c>
      <c r="H19" s="148"/>
      <c r="S19" s="54" t="s">
        <v>176</v>
      </c>
      <c r="T19" s="54" t="s">
        <v>183</v>
      </c>
      <c r="U19" s="54"/>
      <c r="V19" s="54" t="s">
        <v>191</v>
      </c>
      <c r="W19" s="54" t="s">
        <v>208</v>
      </c>
      <c r="X19"/>
      <c r="Y19"/>
      <c r="Z19"/>
    </row>
    <row r="20" spans="1:26" x14ac:dyDescent="0.25">
      <c r="A20" s="81" t="s">
        <v>74</v>
      </c>
      <c r="B20" s="81"/>
      <c r="C20" s="108" t="s">
        <v>189</v>
      </c>
      <c r="D20" s="108"/>
      <c r="E20" s="112" t="s">
        <v>14</v>
      </c>
      <c r="F20" s="112"/>
      <c r="G20" s="108">
        <v>410206</v>
      </c>
      <c r="H20" s="108"/>
      <c r="S20" s="54"/>
      <c r="T20" s="54"/>
      <c r="U20" s="54"/>
      <c r="V20" s="54" t="s">
        <v>192</v>
      </c>
      <c r="W20" s="54" t="s">
        <v>209</v>
      </c>
      <c r="X20"/>
      <c r="Y20"/>
      <c r="Z20"/>
    </row>
    <row r="21" spans="1:26" ht="32.25" customHeight="1" x14ac:dyDescent="0.25">
      <c r="A21" s="81" t="s">
        <v>119</v>
      </c>
      <c r="B21" s="81"/>
      <c r="C21" s="108" t="s">
        <v>256</v>
      </c>
      <c r="D21" s="108"/>
      <c r="E21" s="112" t="s">
        <v>15</v>
      </c>
      <c r="F21" s="112"/>
      <c r="G21" s="108" t="s">
        <v>253</v>
      </c>
      <c r="H21" s="108"/>
      <c r="S21" s="54"/>
      <c r="T21" s="54"/>
      <c r="U21" s="54"/>
      <c r="V21" s="54" t="s">
        <v>193</v>
      </c>
      <c r="W21" s="54" t="s">
        <v>210</v>
      </c>
      <c r="X21"/>
      <c r="Y21"/>
      <c r="Z21"/>
    </row>
    <row r="22" spans="1:26" ht="15" customHeight="1" x14ac:dyDescent="0.25">
      <c r="A22" s="112" t="s">
        <v>75</v>
      </c>
      <c r="B22" s="112"/>
      <c r="C22" s="112"/>
      <c r="D22" s="112"/>
      <c r="E22" s="113" t="s">
        <v>16</v>
      </c>
      <c r="F22" s="113"/>
      <c r="G22" s="113"/>
      <c r="H22" s="113"/>
      <c r="S22" s="54"/>
      <c r="T22" s="54"/>
      <c r="U22" s="54"/>
      <c r="V22" s="54" t="s">
        <v>194</v>
      </c>
      <c r="W22" s="54" t="s">
        <v>211</v>
      </c>
      <c r="X22"/>
      <c r="Y22"/>
      <c r="Z22"/>
    </row>
    <row r="23" spans="1:26" ht="18.75" customHeight="1" x14ac:dyDescent="0.25">
      <c r="A23" s="112"/>
      <c r="B23" s="112"/>
      <c r="C23" s="112"/>
      <c r="D23" s="112"/>
      <c r="E23" s="113"/>
      <c r="F23" s="113"/>
      <c r="G23" s="113"/>
      <c r="H23" s="113"/>
      <c r="S23" s="54"/>
      <c r="T23" s="54"/>
      <c r="U23" s="54"/>
      <c r="V23" s="54" t="s">
        <v>195</v>
      </c>
      <c r="W23" s="54" t="s">
        <v>212</v>
      </c>
      <c r="X23"/>
      <c r="Y23"/>
      <c r="Z23"/>
    </row>
    <row r="24" spans="1:26" ht="15" customHeight="1" x14ac:dyDescent="0.25">
      <c r="A24" s="112" t="s">
        <v>17</v>
      </c>
      <c r="B24" s="112"/>
      <c r="C24" s="112"/>
      <c r="D24" s="112"/>
      <c r="E24" s="108" t="s">
        <v>18</v>
      </c>
      <c r="F24" s="108"/>
      <c r="G24" s="108"/>
      <c r="H24" s="108"/>
      <c r="S24" s="54"/>
      <c r="T24" s="54"/>
      <c r="U24" s="54"/>
      <c r="V24" s="54" t="s">
        <v>196</v>
      </c>
      <c r="W24" s="54" t="s">
        <v>213</v>
      </c>
      <c r="X24"/>
      <c r="Y24"/>
      <c r="Z24"/>
    </row>
    <row r="25" spans="1:26" ht="15" customHeight="1" x14ac:dyDescent="0.25">
      <c r="A25" s="81" t="s">
        <v>19</v>
      </c>
      <c r="B25" s="81"/>
      <c r="C25" s="81"/>
      <c r="D25" s="81"/>
      <c r="E25" s="108" t="str">
        <f>IF(AND(G19="Mumbai"),"Upper Class","Middle Class")</f>
        <v>Middle Class</v>
      </c>
      <c r="F25" s="108"/>
      <c r="G25" s="108"/>
      <c r="H25" s="108"/>
      <c r="S25" s="54"/>
      <c r="T25" s="54"/>
      <c r="U25" s="54"/>
      <c r="V25" s="54" t="s">
        <v>197</v>
      </c>
      <c r="W25" s="54" t="s">
        <v>214</v>
      </c>
      <c r="X25"/>
      <c r="Y25"/>
      <c r="Z25"/>
    </row>
    <row r="26" spans="1:26" x14ac:dyDescent="0.25">
      <c r="A26" s="81" t="s">
        <v>20</v>
      </c>
      <c r="B26" s="81"/>
      <c r="C26" s="81"/>
      <c r="D26" s="81"/>
      <c r="E26" s="108" t="s">
        <v>21</v>
      </c>
      <c r="F26" s="108"/>
      <c r="G26" s="108"/>
      <c r="H26" s="108"/>
      <c r="S26" s="54"/>
      <c r="T26" s="54"/>
      <c r="U26" s="54"/>
      <c r="V26" s="54" t="s">
        <v>198</v>
      </c>
      <c r="W26" s="54" t="s">
        <v>215</v>
      </c>
      <c r="X26"/>
      <c r="Y26"/>
      <c r="Z26"/>
    </row>
    <row r="27" spans="1:26" ht="15.75" customHeight="1" x14ac:dyDescent="0.25">
      <c r="A27" s="81" t="s">
        <v>22</v>
      </c>
      <c r="B27" s="81"/>
      <c r="C27" s="81"/>
      <c r="D27" s="81"/>
      <c r="E27" s="108" t="str">
        <f>IF(AND(G19="Mumbai"),"Developed","Developing")</f>
        <v>Developing</v>
      </c>
      <c r="F27" s="108"/>
      <c r="G27" s="108"/>
      <c r="H27" s="108"/>
    </row>
    <row r="28" spans="1:26" x14ac:dyDescent="0.25">
      <c r="A28" s="81" t="s">
        <v>23</v>
      </c>
      <c r="B28" s="81"/>
      <c r="C28" s="81"/>
      <c r="D28" s="81"/>
      <c r="E28" s="108" t="s">
        <v>24</v>
      </c>
      <c r="F28" s="108"/>
      <c r="G28" s="108"/>
      <c r="H28" s="108"/>
    </row>
    <row r="29" spans="1:26" ht="15.75" customHeight="1" x14ac:dyDescent="0.25">
      <c r="A29" s="81" t="s">
        <v>80</v>
      </c>
      <c r="B29" s="81"/>
      <c r="C29" s="81"/>
      <c r="D29" s="81"/>
      <c r="E29" s="108" t="s">
        <v>81</v>
      </c>
      <c r="F29" s="108"/>
      <c r="G29" s="108"/>
      <c r="H29" s="108"/>
    </row>
    <row r="30" spans="1:26" ht="15" customHeight="1" x14ac:dyDescent="0.25">
      <c r="A30" s="81" t="s">
        <v>32</v>
      </c>
      <c r="B30" s="81"/>
      <c r="C30" s="81"/>
      <c r="D30" s="81"/>
      <c r="E30" s="108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108"/>
      <c r="G30" s="108"/>
      <c r="H30" s="108"/>
    </row>
    <row r="31" spans="1:26" ht="15.75" customHeight="1" x14ac:dyDescent="0.25">
      <c r="A31" s="81" t="s">
        <v>92</v>
      </c>
      <c r="B31" s="81"/>
      <c r="C31" s="81"/>
      <c r="D31" s="81"/>
      <c r="E31" s="108" t="s">
        <v>33</v>
      </c>
      <c r="F31" s="108"/>
      <c r="G31" s="108"/>
      <c r="H31" s="108"/>
    </row>
    <row r="32" spans="1:26" s="21" customFormat="1" x14ac:dyDescent="0.25">
      <c r="A32" s="147" t="s">
        <v>93</v>
      </c>
      <c r="B32" s="147"/>
      <c r="C32" s="144" t="s">
        <v>166</v>
      </c>
      <c r="D32" s="145"/>
      <c r="E32" s="146"/>
      <c r="F32" s="144" t="s">
        <v>30</v>
      </c>
      <c r="G32" s="145"/>
      <c r="H32" s="146"/>
    </row>
    <row r="33" spans="1:8" s="21" customFormat="1" x14ac:dyDescent="0.25">
      <c r="A33" s="121" t="s">
        <v>25</v>
      </c>
      <c r="B33" s="121" t="s">
        <v>29</v>
      </c>
      <c r="C33" s="103" t="s">
        <v>258</v>
      </c>
      <c r="D33" s="104"/>
      <c r="E33" s="105"/>
      <c r="F33" s="103" t="s">
        <v>260</v>
      </c>
      <c r="G33" s="104"/>
      <c r="H33" s="105"/>
    </row>
    <row r="34" spans="1:8" x14ac:dyDescent="0.25">
      <c r="A34" s="121" t="s">
        <v>26</v>
      </c>
      <c r="B34" s="121" t="s">
        <v>29</v>
      </c>
      <c r="C34" s="103" t="s">
        <v>258</v>
      </c>
      <c r="D34" s="104"/>
      <c r="E34" s="105"/>
      <c r="F34" s="103" t="s">
        <v>261</v>
      </c>
      <c r="G34" s="104"/>
      <c r="H34" s="105"/>
    </row>
    <row r="35" spans="1:8" s="21" customFormat="1" x14ac:dyDescent="0.25">
      <c r="A35" s="121" t="s">
        <v>28</v>
      </c>
      <c r="B35" s="121" t="s">
        <v>29</v>
      </c>
      <c r="C35" s="103" t="s">
        <v>257</v>
      </c>
      <c r="D35" s="104"/>
      <c r="E35" s="105"/>
      <c r="F35" s="103" t="s">
        <v>262</v>
      </c>
      <c r="G35" s="104"/>
      <c r="H35" s="105"/>
    </row>
    <row r="36" spans="1:8" x14ac:dyDescent="0.25">
      <c r="A36" s="121" t="s">
        <v>27</v>
      </c>
      <c r="B36" s="121" t="s">
        <v>29</v>
      </c>
      <c r="C36" s="103" t="s">
        <v>259</v>
      </c>
      <c r="D36" s="104"/>
      <c r="E36" s="105"/>
      <c r="F36" s="103" t="s">
        <v>261</v>
      </c>
      <c r="G36" s="104"/>
      <c r="H36" s="105"/>
    </row>
    <row r="37" spans="1:8" x14ac:dyDescent="0.25">
      <c r="A37" s="81" t="s">
        <v>31</v>
      </c>
      <c r="B37" s="81"/>
      <c r="C37" s="81"/>
      <c r="D37" s="81"/>
      <c r="E37" s="81"/>
      <c r="F37" s="81"/>
      <c r="G37" s="81"/>
      <c r="H37" s="81"/>
    </row>
    <row r="38" spans="1:8" ht="15.75" customHeight="1" x14ac:dyDescent="0.25">
      <c r="A38" s="106" t="s">
        <v>159</v>
      </c>
      <c r="B38" s="106"/>
      <c r="C38" s="81" t="s">
        <v>250</v>
      </c>
      <c r="D38" s="81"/>
      <c r="E38" s="81"/>
      <c r="F38" s="81"/>
      <c r="G38" s="81"/>
      <c r="H38" s="81"/>
    </row>
    <row r="39" spans="1:8" x14ac:dyDescent="0.25">
      <c r="A39" s="106" t="s">
        <v>156</v>
      </c>
      <c r="B39" s="106"/>
      <c r="C39" s="107" t="s">
        <v>251</v>
      </c>
      <c r="D39" s="108"/>
      <c r="E39" s="108"/>
      <c r="F39" s="108"/>
      <c r="G39" s="108"/>
      <c r="H39" s="108"/>
    </row>
    <row r="40" spans="1:8" x14ac:dyDescent="0.25">
      <c r="A40" s="106" t="s">
        <v>34</v>
      </c>
      <c r="B40" s="106"/>
      <c r="C40" s="106"/>
      <c r="D40" s="106"/>
      <c r="E40" s="106"/>
      <c r="F40" s="106"/>
      <c r="G40" s="106"/>
      <c r="H40" s="106"/>
    </row>
    <row r="41" spans="1:8" x14ac:dyDescent="0.25">
      <c r="A41" s="81" t="s">
        <v>35</v>
      </c>
      <c r="B41" s="81"/>
      <c r="C41" s="81"/>
      <c r="D41" s="81"/>
      <c r="E41" s="166">
        <v>3190</v>
      </c>
      <c r="F41" s="166"/>
      <c r="G41" s="166"/>
      <c r="H41" s="166"/>
    </row>
    <row r="42" spans="1:8" x14ac:dyDescent="0.25">
      <c r="A42" s="81" t="s">
        <v>36</v>
      </c>
      <c r="B42" s="81"/>
      <c r="C42" s="81"/>
      <c r="D42" s="81"/>
      <c r="E42" s="142">
        <v>1.1000000000000001</v>
      </c>
      <c r="F42" s="142"/>
      <c r="G42" s="142"/>
      <c r="H42" s="142"/>
    </row>
    <row r="43" spans="1:8" x14ac:dyDescent="0.25">
      <c r="A43" s="81" t="s">
        <v>37</v>
      </c>
      <c r="B43" s="81"/>
      <c r="C43" s="81"/>
      <c r="D43" s="81"/>
      <c r="E43" s="142">
        <f>E45/E41-E42</f>
        <v>1.1328858934169279</v>
      </c>
      <c r="F43" s="142"/>
      <c r="G43" s="142"/>
      <c r="H43" s="142"/>
    </row>
    <row r="44" spans="1:8" x14ac:dyDescent="0.25">
      <c r="A44" s="81" t="s">
        <v>38</v>
      </c>
      <c r="B44" s="81"/>
      <c r="C44" s="81"/>
      <c r="D44" s="81"/>
      <c r="E44" s="142">
        <f>E42+E43</f>
        <v>2.232885893416928</v>
      </c>
      <c r="F44" s="142"/>
      <c r="G44" s="142"/>
      <c r="H44" s="142"/>
    </row>
    <row r="45" spans="1:8" x14ac:dyDescent="0.25">
      <c r="A45" s="81" t="s">
        <v>91</v>
      </c>
      <c r="B45" s="81"/>
      <c r="C45" s="81"/>
      <c r="D45" s="81"/>
      <c r="E45" s="143">
        <v>7122.9059999999999</v>
      </c>
      <c r="F45" s="143"/>
      <c r="G45" s="143"/>
      <c r="H45" s="143"/>
    </row>
    <row r="46" spans="1:8" x14ac:dyDescent="0.25">
      <c r="A46" s="113" t="s">
        <v>39</v>
      </c>
      <c r="B46" s="113"/>
      <c r="C46" s="113"/>
      <c r="D46" s="113"/>
      <c r="E46" s="113" t="s">
        <v>235</v>
      </c>
      <c r="F46" s="113"/>
      <c r="G46" s="113"/>
      <c r="H46" s="113"/>
    </row>
    <row r="47" spans="1:8" x14ac:dyDescent="0.25">
      <c r="A47" s="106" t="s">
        <v>40</v>
      </c>
      <c r="B47" s="106"/>
      <c r="C47" s="106"/>
      <c r="D47" s="106"/>
      <c r="E47" s="106"/>
      <c r="F47" s="106"/>
      <c r="G47" s="106"/>
      <c r="H47" s="106"/>
    </row>
    <row r="48" spans="1:8" ht="33.75" customHeight="1" x14ac:dyDescent="0.25">
      <c r="A48" s="89" t="s">
        <v>146</v>
      </c>
      <c r="B48" s="90"/>
      <c r="C48" s="91" t="s">
        <v>231</v>
      </c>
      <c r="D48" s="92"/>
      <c r="E48" s="92"/>
      <c r="F48" s="92"/>
      <c r="G48" s="92"/>
      <c r="H48" s="93"/>
    </row>
    <row r="49" spans="1:14" ht="32.25" customHeight="1" x14ac:dyDescent="0.25">
      <c r="A49" s="89" t="s">
        <v>41</v>
      </c>
      <c r="B49" s="90"/>
      <c r="C49" s="89" t="s">
        <v>267</v>
      </c>
      <c r="D49" s="109"/>
      <c r="E49" s="90"/>
      <c r="F49" s="17" t="s">
        <v>42</v>
      </c>
      <c r="G49" s="114">
        <v>44413</v>
      </c>
      <c r="H49" s="90"/>
    </row>
    <row r="50" spans="1:14" ht="33" customHeight="1" x14ac:dyDescent="0.25">
      <c r="A50" s="89" t="s">
        <v>43</v>
      </c>
      <c r="B50" s="90"/>
      <c r="C50" s="89" t="str">
        <f>C49</f>
        <v>MSRDC/SPA/Hatnoli/Khalapur/BP.224/CC/2021/880</v>
      </c>
      <c r="D50" s="109"/>
      <c r="E50" s="90"/>
      <c r="F50" s="17" t="s">
        <v>42</v>
      </c>
      <c r="G50" s="114">
        <f>G49</f>
        <v>44413</v>
      </c>
      <c r="H50" s="115"/>
    </row>
    <row r="51" spans="1:14" s="22" customFormat="1" ht="32.25" customHeight="1" x14ac:dyDescent="0.25">
      <c r="A51" s="167" t="s">
        <v>222</v>
      </c>
      <c r="B51" s="168"/>
      <c r="C51" s="89" t="str">
        <f>C50</f>
        <v>MSRDC/SPA/Hatnoli/Khalapur/BP.224/CC/2021/880</v>
      </c>
      <c r="D51" s="109"/>
      <c r="E51" s="90"/>
      <c r="F51" s="17" t="s">
        <v>42</v>
      </c>
      <c r="G51" s="114">
        <f>G50</f>
        <v>44413</v>
      </c>
      <c r="H51" s="115"/>
    </row>
    <row r="52" spans="1:14" s="22" customFormat="1" ht="33" customHeight="1" x14ac:dyDescent="0.25">
      <c r="A52" s="169" t="s">
        <v>223</v>
      </c>
      <c r="B52" s="170"/>
      <c r="C52" s="89" t="s">
        <v>268</v>
      </c>
      <c r="D52" s="109"/>
      <c r="E52" s="109"/>
      <c r="F52" s="109"/>
      <c r="G52" s="109"/>
      <c r="H52" s="90"/>
    </row>
    <row r="53" spans="1:14" x14ac:dyDescent="0.25">
      <c r="A53" s="171" t="s">
        <v>44</v>
      </c>
      <c r="B53" s="172"/>
      <c r="C53" s="171" t="s">
        <v>104</v>
      </c>
      <c r="D53" s="173"/>
      <c r="E53" s="172"/>
      <c r="F53" s="44" t="s">
        <v>42</v>
      </c>
      <c r="G53" s="110" t="s">
        <v>29</v>
      </c>
      <c r="H53" s="111"/>
    </row>
    <row r="54" spans="1:14" x14ac:dyDescent="0.25">
      <c r="A54" s="158" t="s">
        <v>46</v>
      </c>
      <c r="B54" s="158"/>
      <c r="C54" s="158"/>
      <c r="D54" s="158"/>
      <c r="E54" s="158"/>
      <c r="F54" s="158"/>
      <c r="G54" s="158"/>
      <c r="H54" s="158"/>
    </row>
    <row r="55" spans="1:14" x14ac:dyDescent="0.25">
      <c r="A55" s="112" t="s">
        <v>90</v>
      </c>
      <c r="B55" s="112"/>
      <c r="C55" s="112"/>
      <c r="D55" s="81">
        <f>E45</f>
        <v>7122.9059999999999</v>
      </c>
      <c r="E55" s="81"/>
      <c r="F55" s="81"/>
      <c r="G55" s="81"/>
      <c r="H55" s="81"/>
    </row>
    <row r="56" spans="1:14" x14ac:dyDescent="0.25">
      <c r="A56" s="108" t="s">
        <v>47</v>
      </c>
      <c r="B56" s="113"/>
      <c r="C56" s="113"/>
      <c r="D56" s="113" t="s">
        <v>246</v>
      </c>
      <c r="E56" s="113"/>
      <c r="F56" s="113"/>
      <c r="G56" s="113"/>
      <c r="H56" s="113"/>
      <c r="I56" s="23"/>
    </row>
    <row r="57" spans="1:14" ht="32.25" customHeight="1" x14ac:dyDescent="0.25">
      <c r="A57" s="116" t="s">
        <v>48</v>
      </c>
      <c r="B57" s="117"/>
      <c r="C57" s="154"/>
      <c r="D57" s="126" t="s">
        <v>247</v>
      </c>
      <c r="E57" s="153"/>
      <c r="F57" s="153"/>
      <c r="G57" s="153"/>
      <c r="H57" s="153"/>
    </row>
    <row r="58" spans="1:14" ht="15.75" customHeight="1" x14ac:dyDescent="0.25">
      <c r="A58" s="116" t="s">
        <v>88</v>
      </c>
      <c r="B58" s="117"/>
      <c r="C58" s="117"/>
      <c r="D58" s="113" t="s">
        <v>232</v>
      </c>
      <c r="E58" s="113"/>
      <c r="F58" s="113"/>
      <c r="G58" s="113"/>
      <c r="H58" s="113"/>
    </row>
    <row r="59" spans="1:14" ht="15.75" customHeight="1" x14ac:dyDescent="0.25">
      <c r="A59" s="118"/>
      <c r="B59" s="119"/>
      <c r="C59" s="119"/>
      <c r="D59" s="113" t="s">
        <v>274</v>
      </c>
      <c r="E59" s="113"/>
      <c r="F59" s="113"/>
      <c r="G59" s="113"/>
      <c r="H59" s="113"/>
    </row>
    <row r="60" spans="1:14" ht="15.75" customHeight="1" x14ac:dyDescent="0.25">
      <c r="A60" s="81" t="s">
        <v>45</v>
      </c>
      <c r="B60" s="81"/>
      <c r="C60" s="81"/>
      <c r="D60" s="120" t="s">
        <v>233</v>
      </c>
      <c r="E60" s="120"/>
      <c r="F60" s="120"/>
      <c r="G60" s="120"/>
      <c r="H60" s="120"/>
      <c r="J60" s="24"/>
      <c r="K60" s="23"/>
      <c r="N60" s="23"/>
    </row>
    <row r="61" spans="1:14" ht="15.75" customHeight="1" x14ac:dyDescent="0.25">
      <c r="A61" s="81" t="s">
        <v>86</v>
      </c>
      <c r="B61" s="81"/>
      <c r="C61" s="81"/>
      <c r="D61" s="141" t="str">
        <f>(IF(G53="NA","60 Years After Completion",IF(G53&lt;&gt;"NA",""&amp;60-ROUNDDOWN((E3-G53)/360,0)&amp;" Years"," ")))</f>
        <v>60 Years After Completion</v>
      </c>
      <c r="E61" s="141"/>
      <c r="F61" s="141"/>
      <c r="G61" s="141"/>
      <c r="H61" s="141"/>
      <c r="N61" s="23"/>
    </row>
    <row r="62" spans="1:14" ht="15.75" customHeight="1" x14ac:dyDescent="0.25">
      <c r="A62" s="81" t="s">
        <v>87</v>
      </c>
      <c r="B62" s="81"/>
      <c r="C62" s="81"/>
      <c r="D62" s="112" t="s">
        <v>24</v>
      </c>
      <c r="E62" s="112"/>
      <c r="F62" s="112"/>
      <c r="G62" s="112"/>
      <c r="H62" s="112"/>
      <c r="J62" s="25"/>
      <c r="K62" s="25"/>
    </row>
    <row r="63" spans="1:14" ht="32.25" customHeight="1" x14ac:dyDescent="0.25">
      <c r="A63" s="113" t="s">
        <v>224</v>
      </c>
      <c r="B63" s="113"/>
      <c r="C63" s="113"/>
      <c r="D63" s="108" t="s">
        <v>266</v>
      </c>
      <c r="E63" s="112"/>
      <c r="F63" s="112"/>
      <c r="G63" s="112"/>
      <c r="H63" s="112"/>
    </row>
    <row r="64" spans="1:14" x14ac:dyDescent="0.25">
      <c r="A64" s="112" t="s">
        <v>145</v>
      </c>
      <c r="B64" s="112"/>
      <c r="C64" s="112"/>
      <c r="D64" s="112" t="s">
        <v>29</v>
      </c>
      <c r="E64" s="112"/>
      <c r="F64" s="112"/>
      <c r="G64" s="112"/>
      <c r="H64" s="112"/>
      <c r="I64" s="26"/>
      <c r="J64" s="26"/>
      <c r="K64" s="26"/>
      <c r="L64" s="26"/>
      <c r="M64" s="26"/>
      <c r="N64" s="26"/>
    </row>
    <row r="65" spans="1:10" ht="15.75" customHeight="1" x14ac:dyDescent="0.25">
      <c r="A65" s="135" t="s">
        <v>85</v>
      </c>
      <c r="B65" s="135"/>
      <c r="C65" s="135"/>
      <c r="D65" s="126" t="str">
        <f ca="1">(IF(G71&gt;95%,"Nothing",IF(G71&gt;0%,"Cement, Aggregate, Steel, etc",IF(G71=0%,"Work not yet Started"))))</f>
        <v>Cement, Aggregate, Steel, etc</v>
      </c>
      <c r="E65" s="126"/>
      <c r="F65" s="126"/>
      <c r="G65" s="126"/>
      <c r="H65" s="126"/>
      <c r="J65" s="25"/>
    </row>
    <row r="66" spans="1:10" ht="33.75" customHeight="1" thickBot="1" x14ac:dyDescent="0.3">
      <c r="A66" s="136" t="s">
        <v>117</v>
      </c>
      <c r="B66" s="136"/>
      <c r="C66" s="136"/>
      <c r="D66" s="126" t="str">
        <f ca="1">(IF(D65="Nothing","Yes",IF(D65="Cement, Aggregate, Steel, etc","Under Construction",IF(D65="Work not yet Started","Work not yet Started"))))</f>
        <v>Under Construction</v>
      </c>
      <c r="E66" s="126"/>
      <c r="F66" s="126" t="str">
        <f ca="1">(IF(D65="Nothing","Yes",IF(D65="Cement, Aggregate, Steel, etc","Under Construction",IF(D65="Work not yet Started","Work not yet Started"))))</f>
        <v>Under Construction</v>
      </c>
      <c r="G66" s="126"/>
      <c r="H66" s="126"/>
    </row>
    <row r="67" spans="1:10" ht="15.75" customHeight="1" x14ac:dyDescent="0.25">
      <c r="A67" s="130" t="s">
        <v>137</v>
      </c>
      <c r="B67" s="131"/>
      <c r="C67" s="132" t="str">
        <f>D58</f>
        <v>A Wing = G + 1st to 7th Floor</v>
      </c>
      <c r="D67" s="133"/>
      <c r="E67" s="133"/>
      <c r="F67" s="133"/>
      <c r="G67" s="133"/>
      <c r="H67" s="134"/>
      <c r="I67" s="48" t="str">
        <f ca="1">IF(D80=100%,"All work Completed. Possession granted to the Building.",IF(D79=100%,"All work Completed, Waiting for OC",I68&amp;""&amp;I69&amp;""&amp;J68&amp;""&amp;J67&amp;" "&amp;J69))</f>
        <v>Excavation, Plinth Completed, RCC upto 7 Slab, Brickwork upto 5 Floor Completed</v>
      </c>
      <c r="J67" s="49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7 Slab, Brickwork upto 5 Floor</v>
      </c>
    </row>
    <row r="68" spans="1:10" x14ac:dyDescent="0.25">
      <c r="A68" s="15" t="s">
        <v>139</v>
      </c>
      <c r="B68" s="46">
        <f>IF(AND(ISNUMBER(SEARCH("1B",C67))),1,IF(AND(ISNUMBER(SEARCH("2B",C67))),2,IF(AND(ISNUMBER(SEARCH("3B",C67))),3,IF(AND(ISNUMBER(SEARCH("4B",C67))),4,IF(ISNUMBER(SEARCH("5B",C67)),5,0)))))</f>
        <v>0</v>
      </c>
      <c r="C68" s="46" t="s">
        <v>72</v>
      </c>
      <c r="D68" s="46">
        <v>1</v>
      </c>
      <c r="E68" s="46" t="s">
        <v>71</v>
      </c>
      <c r="F68" s="46">
        <v>0</v>
      </c>
      <c r="G68" s="47" t="s">
        <v>79</v>
      </c>
      <c r="H68" s="16">
        <f ca="1">--TRIM(RIGHT(SUBSTITUTE(LEFT(C67,_xlfn.AGGREGATE(16,6,FIND({0,1,2,3,4,5,6,7,8,9},C67,ROW(INDIRECT("1:"&amp;LEN(C67)))),1))," ",REPT(" ",LEN(C67))),LEN(C67)))</f>
        <v>7</v>
      </c>
      <c r="I68" s="50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51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2.25" customHeight="1" x14ac:dyDescent="0.25">
      <c r="A69" s="122" t="s">
        <v>89</v>
      </c>
      <c r="B69" s="123"/>
      <c r="C69" s="124" t="str">
        <f ca="1">I67</f>
        <v>Excavation, Plinth Completed, RCC upto 7 Slab, Brickwork upto 5 Floor Completed</v>
      </c>
      <c r="D69" s="124"/>
      <c r="E69" s="124"/>
      <c r="F69" s="124"/>
      <c r="G69" s="124"/>
      <c r="H69" s="125"/>
      <c r="I69" s="50" t="str">
        <f ca="1">IF(I68&lt;&gt;""," Completed","")</f>
        <v xml:space="preserve"> Completed</v>
      </c>
      <c r="J69" s="51" t="str">
        <f ca="1">IF(J67&lt;&gt;"","Completed","")</f>
        <v>Completed</v>
      </c>
    </row>
    <row r="70" spans="1:10" ht="15.75" customHeight="1" x14ac:dyDescent="0.25">
      <c r="A70" s="64" t="s">
        <v>49</v>
      </c>
      <c r="B70" s="65"/>
      <c r="C70" s="42" t="s">
        <v>136</v>
      </c>
      <c r="D70" s="42" t="s">
        <v>82</v>
      </c>
      <c r="E70" s="65" t="s">
        <v>84</v>
      </c>
      <c r="F70" s="65"/>
      <c r="G70" s="65" t="s">
        <v>83</v>
      </c>
      <c r="H70" s="66"/>
      <c r="I70" s="13" t="s">
        <v>138</v>
      </c>
      <c r="J70" s="27">
        <f ca="1">H68*25%</f>
        <v>1.75</v>
      </c>
    </row>
    <row r="71" spans="1:10" x14ac:dyDescent="0.25">
      <c r="A71" s="64" t="s">
        <v>125</v>
      </c>
      <c r="B71" s="65"/>
      <c r="C71" s="42">
        <f ca="1">J72</f>
        <v>7</v>
      </c>
      <c r="D71" s="18">
        <f ca="1">((100/H68)*C71)/100</f>
        <v>1</v>
      </c>
      <c r="E71" s="94">
        <f ca="1">(((C72/H68*10)+(40/(D68+F68+H68)*C73)+(7.5/(H68)*C74)+(7.5/(H68)*C75)+(10/H68*C76)+(10/H68*C77)+(5/H68*C78)+(5/H68*C79)+(5/H68*C80))/100)</f>
        <v>0.50357142857142856</v>
      </c>
      <c r="F71" s="127"/>
      <c r="G71" s="94">
        <f ca="1">((((C71/H68)*20)+((C72/H68)*25)+(30/(H68+F68+D68)*C73)+(5/H68*C74)+(5/H68*C75)+(5/H68*C76)+(5/H68*C77)+(0/H68*C78)+(0/H68*C79)+(5/H68*C80))/100)</f>
        <v>0.74821428571428572</v>
      </c>
      <c r="H71" s="95"/>
      <c r="I71" s="13" t="s">
        <v>99</v>
      </c>
      <c r="J71" s="28">
        <f ca="1">H68*50%</f>
        <v>3.5</v>
      </c>
    </row>
    <row r="72" spans="1:10" x14ac:dyDescent="0.25">
      <c r="A72" s="64" t="s">
        <v>50</v>
      </c>
      <c r="B72" s="65"/>
      <c r="C72" s="52">
        <f ca="1">J80</f>
        <v>7</v>
      </c>
      <c r="D72" s="18">
        <f ca="1">((100/H68)*C72)/100</f>
        <v>1</v>
      </c>
      <c r="E72" s="96"/>
      <c r="F72" s="128"/>
      <c r="G72" s="96"/>
      <c r="H72" s="97"/>
      <c r="I72" s="13" t="s">
        <v>100</v>
      </c>
      <c r="J72" s="28">
        <f ca="1">H68</f>
        <v>7</v>
      </c>
    </row>
    <row r="73" spans="1:10" ht="15.75" customHeight="1" x14ac:dyDescent="0.25">
      <c r="A73" s="64" t="s">
        <v>126</v>
      </c>
      <c r="B73" s="65"/>
      <c r="C73" s="42">
        <v>7</v>
      </c>
      <c r="D73" s="18">
        <f ca="1">((100/(D68+F68+H68))*C73)/100</f>
        <v>0.875</v>
      </c>
      <c r="E73" s="96"/>
      <c r="F73" s="128"/>
      <c r="G73" s="96"/>
      <c r="H73" s="97"/>
      <c r="I73" s="13" t="s">
        <v>101</v>
      </c>
      <c r="J73" s="29">
        <f ca="1">(IF(B68&gt;1,(H68/(B68+2)),H68/4))</f>
        <v>1.75</v>
      </c>
    </row>
    <row r="74" spans="1:10" ht="15.75" customHeight="1" x14ac:dyDescent="0.25">
      <c r="A74" s="64" t="s">
        <v>133</v>
      </c>
      <c r="B74" s="65" t="s">
        <v>127</v>
      </c>
      <c r="C74" s="42">
        <v>5</v>
      </c>
      <c r="D74" s="18">
        <f ca="1">((100/H68)*C74)/100</f>
        <v>0.7142857142857143</v>
      </c>
      <c r="E74" s="96"/>
      <c r="F74" s="128"/>
      <c r="G74" s="96"/>
      <c r="H74" s="97"/>
      <c r="I74" s="13" t="s">
        <v>102</v>
      </c>
      <c r="J74" s="29">
        <f ca="1">(IF(B68&gt;1,(H68/(B68+2)+J73),H68/4+J73))</f>
        <v>3.5</v>
      </c>
    </row>
    <row r="75" spans="1:10" ht="15.75" customHeight="1" x14ac:dyDescent="0.25">
      <c r="A75" s="64" t="s">
        <v>134</v>
      </c>
      <c r="B75" s="65" t="s">
        <v>127</v>
      </c>
      <c r="C75" s="42">
        <v>0</v>
      </c>
      <c r="D75" s="18">
        <f ca="1">((100/H68)*C75)/100</f>
        <v>0</v>
      </c>
      <c r="E75" s="96"/>
      <c r="F75" s="128"/>
      <c r="G75" s="96"/>
      <c r="H75" s="97"/>
      <c r="I75" s="13" t="s">
        <v>143</v>
      </c>
      <c r="J75" s="29">
        <f>(IF(B68&gt;1,(H68/(B68+2)+J74),0))</f>
        <v>0</v>
      </c>
    </row>
    <row r="76" spans="1:10" ht="15" customHeight="1" x14ac:dyDescent="0.25">
      <c r="A76" s="64" t="s">
        <v>132</v>
      </c>
      <c r="B76" s="65" t="s">
        <v>129</v>
      </c>
      <c r="C76" s="42">
        <v>0</v>
      </c>
      <c r="D76" s="18">
        <f ca="1">((100/(H68))*C76)/100</f>
        <v>0</v>
      </c>
      <c r="E76" s="96"/>
      <c r="F76" s="128"/>
      <c r="G76" s="96"/>
      <c r="H76" s="97"/>
      <c r="I76" s="13" t="s">
        <v>140</v>
      </c>
      <c r="J76" s="29">
        <f>(IF(B68&gt;2,(H68/(B68+2)+J75),0))</f>
        <v>0</v>
      </c>
    </row>
    <row r="77" spans="1:10" ht="15.75" customHeight="1" x14ac:dyDescent="0.25">
      <c r="A77" s="64" t="s">
        <v>128</v>
      </c>
      <c r="B77" s="65" t="s">
        <v>128</v>
      </c>
      <c r="C77" s="42">
        <v>0</v>
      </c>
      <c r="D77" s="18">
        <f ca="1">((100/H68)*C77)/100</f>
        <v>0</v>
      </c>
      <c r="E77" s="96"/>
      <c r="F77" s="128"/>
      <c r="G77" s="96"/>
      <c r="H77" s="97"/>
      <c r="I77" s="13" t="s">
        <v>141</v>
      </c>
      <c r="J77" s="30">
        <f>(IF(B68&gt;3,(H68/(B68+2)+J76),0))</f>
        <v>0</v>
      </c>
    </row>
    <row r="78" spans="1:10" ht="15.75" customHeight="1" x14ac:dyDescent="0.25">
      <c r="A78" s="64" t="s">
        <v>135</v>
      </c>
      <c r="B78" s="65"/>
      <c r="C78" s="42">
        <v>0</v>
      </c>
      <c r="D78" s="18">
        <f ca="1">((100/H68)*C78)/100</f>
        <v>0</v>
      </c>
      <c r="E78" s="96"/>
      <c r="F78" s="128"/>
      <c r="G78" s="96"/>
      <c r="H78" s="97"/>
      <c r="I78" s="13" t="s">
        <v>142</v>
      </c>
      <c r="J78" s="29">
        <f>(IF(B68&gt;4,(H68/(B68+2)+J77),0))</f>
        <v>0</v>
      </c>
    </row>
    <row r="79" spans="1:10" ht="15.75" customHeight="1" x14ac:dyDescent="0.25">
      <c r="A79" s="64" t="s">
        <v>130</v>
      </c>
      <c r="B79" s="65" t="s">
        <v>130</v>
      </c>
      <c r="C79" s="42">
        <v>0</v>
      </c>
      <c r="D79" s="18">
        <f ca="1">((100/(H68))*C79)/100</f>
        <v>0</v>
      </c>
      <c r="E79" s="96"/>
      <c r="F79" s="128"/>
      <c r="G79" s="96"/>
      <c r="H79" s="97"/>
      <c r="I79" s="13" t="s">
        <v>144</v>
      </c>
      <c r="J79" s="29">
        <f ca="1">(IF(B68=1,(H68/(B68+3)+J74),IF(B68=0,(H68/4+J74),IF(B68&gt;1,0))))</f>
        <v>5.25</v>
      </c>
    </row>
    <row r="80" spans="1:10" ht="16.5" thickBot="1" x14ac:dyDescent="0.3">
      <c r="A80" s="139" t="s">
        <v>131</v>
      </c>
      <c r="B80" s="140"/>
      <c r="C80" s="43">
        <v>0</v>
      </c>
      <c r="D80" s="19">
        <f ca="1">((100/(H68))*C80)/100</f>
        <v>0</v>
      </c>
      <c r="E80" s="98"/>
      <c r="F80" s="129"/>
      <c r="G80" s="98"/>
      <c r="H80" s="99"/>
      <c r="I80" s="14" t="s">
        <v>103</v>
      </c>
      <c r="J80" s="31">
        <f ca="1">(IF(B68&gt;1.5,(H68/(B68+2)+J74+MAX(0,J75-J74)+MAX(0,J76-J75)+MAX(0,J77-J76)+MAX(0,J78-J77)+MAX(0,J79-J78)),IF(B68=1,(H68/(B68+3)+J79),IF(B68=0,H68/4+J79))))</f>
        <v>7</v>
      </c>
    </row>
    <row r="81" spans="1:10" ht="15.75" customHeight="1" x14ac:dyDescent="0.25">
      <c r="A81" s="130" t="s">
        <v>137</v>
      </c>
      <c r="B81" s="131"/>
      <c r="C81" s="132" t="str">
        <f>D59</f>
        <v>B Wing = G + 1st to 7th Floor</v>
      </c>
      <c r="D81" s="133"/>
      <c r="E81" s="133"/>
      <c r="F81" s="133"/>
      <c r="G81" s="133"/>
      <c r="H81" s="134"/>
      <c r="I81" s="48" t="str">
        <f ca="1">IF(D94=100%,"All work Completed. Possession granted to the Building.",IF(D93=100%,"All work Completed, Waiting for OC",I82&amp;""&amp;I83&amp;""&amp;J82&amp;""&amp;J81&amp;" "&amp;J83))</f>
        <v>Excavation, Plinth Completed, RCC upto 7 Slab, Brickwork upto 6 Floor Completed</v>
      </c>
      <c r="J81" s="49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RCC upto 7 Slab, Brickwork upto 6 Floor</v>
      </c>
    </row>
    <row r="82" spans="1:10" x14ac:dyDescent="0.25">
      <c r="A82" s="15" t="s">
        <v>139</v>
      </c>
      <c r="B82" s="46">
        <f>IF(AND(ISNUMBER(SEARCH("1B",C81))),1,IF(AND(ISNUMBER(SEARCH("2B",C81))),2,IF(AND(ISNUMBER(SEARCH("3B",C81))),3,IF(AND(ISNUMBER(SEARCH("4B",C81))),4,IF(ISNUMBER(SEARCH("5B",C81)),5,0)))))</f>
        <v>0</v>
      </c>
      <c r="C82" s="46" t="s">
        <v>72</v>
      </c>
      <c r="D82" s="46">
        <v>1</v>
      </c>
      <c r="E82" s="46" t="s">
        <v>71</v>
      </c>
      <c r="F82" s="46">
        <v>0</v>
      </c>
      <c r="G82" s="47" t="s">
        <v>79</v>
      </c>
      <c r="H82" s="16">
        <f ca="1">--TRIM(RIGHT(SUBSTITUTE(LEFT(C81,_xlfn.AGGREGATE(16,6,FIND({0,1,2,3,4,5,6,7,8,9},C81,ROW(INDIRECT("1:"&amp;LEN(C81)))),1))," ",REPT(" ",LEN(C81))),LEN(C81)))</f>
        <v>7</v>
      </c>
      <c r="I82" s="50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</v>
      </c>
      <c r="J82" s="51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3" customHeight="1" x14ac:dyDescent="0.25">
      <c r="A83" s="122" t="s">
        <v>89</v>
      </c>
      <c r="B83" s="123"/>
      <c r="C83" s="124" t="str">
        <f ca="1">(IF($G$53="NA",I81,"All work Completed. OC Received."))</f>
        <v>Excavation, Plinth Completed, RCC upto 7 Slab, Brickwork upto 6 Floor Completed</v>
      </c>
      <c r="D83" s="124"/>
      <c r="E83" s="124"/>
      <c r="F83" s="124"/>
      <c r="G83" s="124"/>
      <c r="H83" s="125"/>
      <c r="I83" s="50" t="str">
        <f ca="1">IF(I82&lt;&gt;""," Completed","")</f>
        <v xml:space="preserve"> Completed</v>
      </c>
      <c r="J83" s="51" t="str">
        <f ca="1">IF(J81&lt;&gt;"","Completed","")</f>
        <v>Completed</v>
      </c>
    </row>
    <row r="84" spans="1:10" ht="15.75" customHeight="1" x14ac:dyDescent="0.25">
      <c r="A84" s="64" t="s">
        <v>49</v>
      </c>
      <c r="B84" s="65"/>
      <c r="C84" s="42" t="s">
        <v>136</v>
      </c>
      <c r="D84" s="42" t="s">
        <v>82</v>
      </c>
      <c r="E84" s="65" t="s">
        <v>84</v>
      </c>
      <c r="F84" s="65"/>
      <c r="G84" s="65" t="s">
        <v>83</v>
      </c>
      <c r="H84" s="66"/>
      <c r="I84" s="13" t="s">
        <v>138</v>
      </c>
      <c r="J84" s="27">
        <f ca="1">H82*25%</f>
        <v>1.75</v>
      </c>
    </row>
    <row r="85" spans="1:10" x14ac:dyDescent="0.25">
      <c r="A85" s="64" t="s">
        <v>125</v>
      </c>
      <c r="B85" s="65"/>
      <c r="C85" s="42">
        <f ca="1">J86</f>
        <v>7</v>
      </c>
      <c r="D85" s="18">
        <f ca="1">((100/H82)*C85)/100</f>
        <v>1</v>
      </c>
      <c r="E85" s="94">
        <f ca="1">(((C86/H82*10)+(40/(D82+F82+H82)*C87)+(7.5/(H82)*C88)+(7.5/(H82)*C89)+(10/H82*C90)+(10/H82*C91)+(5/H82*C92)+(5/H82*C93)+(5/H82*C94))/100)</f>
        <v>0.51428571428571435</v>
      </c>
      <c r="F85" s="127"/>
      <c r="G85" s="94">
        <f ca="1">((((C85/H82)*20)+((C86/H82)*25)+(30/(H82+F82+D82)*C87)+(5/H82*C88)+(5/H82*C89)+(5/H82*C90)+(5/H82*C91)+(0/H82*C92)+(0/H82*C93)+(5/H82*C94))/100)</f>
        <v>0.75535714285714295</v>
      </c>
      <c r="H85" s="95"/>
      <c r="I85" s="13" t="s">
        <v>99</v>
      </c>
      <c r="J85" s="28">
        <f ca="1">H82*50%</f>
        <v>3.5</v>
      </c>
    </row>
    <row r="86" spans="1:10" x14ac:dyDescent="0.25">
      <c r="A86" s="64" t="s">
        <v>50</v>
      </c>
      <c r="B86" s="65"/>
      <c r="C86" s="52">
        <f ca="1">J94</f>
        <v>7</v>
      </c>
      <c r="D86" s="18">
        <f ca="1">((100/H82)*C86)/100</f>
        <v>1</v>
      </c>
      <c r="E86" s="96"/>
      <c r="F86" s="128"/>
      <c r="G86" s="96"/>
      <c r="H86" s="97"/>
      <c r="I86" s="13" t="s">
        <v>100</v>
      </c>
      <c r="J86" s="28">
        <f ca="1">H82</f>
        <v>7</v>
      </c>
    </row>
    <row r="87" spans="1:10" ht="15.75" customHeight="1" x14ac:dyDescent="0.25">
      <c r="A87" s="64" t="s">
        <v>126</v>
      </c>
      <c r="B87" s="65"/>
      <c r="C87" s="42">
        <v>7</v>
      </c>
      <c r="D87" s="18">
        <f ca="1">((100/(D82+F82+H82))*C87)/100</f>
        <v>0.875</v>
      </c>
      <c r="E87" s="96"/>
      <c r="F87" s="128"/>
      <c r="G87" s="96"/>
      <c r="H87" s="97"/>
      <c r="I87" s="13" t="s">
        <v>101</v>
      </c>
      <c r="J87" s="29">
        <f ca="1">(IF(B82&gt;1,(H82/(B82+2)),H82/4))</f>
        <v>1.75</v>
      </c>
    </row>
    <row r="88" spans="1:10" ht="15.75" customHeight="1" x14ac:dyDescent="0.25">
      <c r="A88" s="64" t="s">
        <v>133</v>
      </c>
      <c r="B88" s="65" t="s">
        <v>127</v>
      </c>
      <c r="C88" s="42">
        <v>6</v>
      </c>
      <c r="D88" s="18">
        <f ca="1">((100/H82)*C88)/100</f>
        <v>0.85714285714285721</v>
      </c>
      <c r="E88" s="96"/>
      <c r="F88" s="128"/>
      <c r="G88" s="96"/>
      <c r="H88" s="97"/>
      <c r="I88" s="13" t="s">
        <v>102</v>
      </c>
      <c r="J88" s="29">
        <f ca="1">(IF(B82&gt;1,(H82/(B82+2)+J87),H82/4+J87))</f>
        <v>3.5</v>
      </c>
    </row>
    <row r="89" spans="1:10" ht="15.75" customHeight="1" x14ac:dyDescent="0.25">
      <c r="A89" s="64" t="s">
        <v>134</v>
      </c>
      <c r="B89" s="65" t="s">
        <v>127</v>
      </c>
      <c r="C89" s="42">
        <v>0</v>
      </c>
      <c r="D89" s="18">
        <f ca="1">((100/H82)*C89)/100</f>
        <v>0</v>
      </c>
      <c r="E89" s="96"/>
      <c r="F89" s="128"/>
      <c r="G89" s="96"/>
      <c r="H89" s="97"/>
      <c r="I89" s="13" t="s">
        <v>143</v>
      </c>
      <c r="J89" s="29">
        <f>(IF(B82&gt;1,(H82/(B82+2)+J88),0))</f>
        <v>0</v>
      </c>
    </row>
    <row r="90" spans="1:10" ht="15" customHeight="1" x14ac:dyDescent="0.25">
      <c r="A90" s="64" t="s">
        <v>132</v>
      </c>
      <c r="B90" s="65" t="s">
        <v>129</v>
      </c>
      <c r="C90" s="42">
        <v>0</v>
      </c>
      <c r="D90" s="18">
        <f ca="1">((100/(H82))*C90)/100</f>
        <v>0</v>
      </c>
      <c r="E90" s="96"/>
      <c r="F90" s="128"/>
      <c r="G90" s="96"/>
      <c r="H90" s="97"/>
      <c r="I90" s="13" t="s">
        <v>140</v>
      </c>
      <c r="J90" s="29">
        <f>(IF(B82&gt;2,(H82/(B82+2)+J89),0))</f>
        <v>0</v>
      </c>
    </row>
    <row r="91" spans="1:10" ht="15.75" customHeight="1" x14ac:dyDescent="0.25">
      <c r="A91" s="64" t="s">
        <v>128</v>
      </c>
      <c r="B91" s="65" t="s">
        <v>128</v>
      </c>
      <c r="C91" s="42">
        <v>0</v>
      </c>
      <c r="D91" s="18">
        <f ca="1">((100/H82)*C91)/100</f>
        <v>0</v>
      </c>
      <c r="E91" s="96"/>
      <c r="F91" s="128"/>
      <c r="G91" s="96"/>
      <c r="H91" s="97"/>
      <c r="I91" s="13" t="s">
        <v>141</v>
      </c>
      <c r="J91" s="30">
        <f>(IF(B82&gt;3,(H82/(B82+2)+J90),0))</f>
        <v>0</v>
      </c>
    </row>
    <row r="92" spans="1:10" ht="15.75" customHeight="1" x14ac:dyDescent="0.25">
      <c r="A92" s="64" t="s">
        <v>135</v>
      </c>
      <c r="B92" s="65"/>
      <c r="C92" s="42">
        <v>0</v>
      </c>
      <c r="D92" s="18">
        <f ca="1">((100/H82)*C92)/100</f>
        <v>0</v>
      </c>
      <c r="E92" s="96"/>
      <c r="F92" s="128"/>
      <c r="G92" s="96"/>
      <c r="H92" s="97"/>
      <c r="I92" s="13" t="s">
        <v>142</v>
      </c>
      <c r="J92" s="29">
        <f>(IF(B82&gt;4,(H82/(B82+2)+J91),0))</f>
        <v>0</v>
      </c>
    </row>
    <row r="93" spans="1:10" ht="15.75" customHeight="1" x14ac:dyDescent="0.25">
      <c r="A93" s="64" t="s">
        <v>130</v>
      </c>
      <c r="B93" s="65" t="s">
        <v>130</v>
      </c>
      <c r="C93" s="42">
        <v>0</v>
      </c>
      <c r="D93" s="18">
        <f ca="1">((100/(H82))*C93)/100</f>
        <v>0</v>
      </c>
      <c r="E93" s="96"/>
      <c r="F93" s="128"/>
      <c r="G93" s="96"/>
      <c r="H93" s="97"/>
      <c r="I93" s="13" t="s">
        <v>144</v>
      </c>
      <c r="J93" s="29">
        <f ca="1">(IF(B82=1,(H82/(B82+3)+J88),IF(B82=0,(H82/4+J88),IF(B82&gt;1,0))))</f>
        <v>5.25</v>
      </c>
    </row>
    <row r="94" spans="1:10" ht="16.5" thickBot="1" x14ac:dyDescent="0.3">
      <c r="A94" s="139" t="s">
        <v>131</v>
      </c>
      <c r="B94" s="140"/>
      <c r="C94" s="43">
        <v>0</v>
      </c>
      <c r="D94" s="19">
        <f ca="1">((100/(H82))*C94)/100</f>
        <v>0</v>
      </c>
      <c r="E94" s="98"/>
      <c r="F94" s="129"/>
      <c r="G94" s="98"/>
      <c r="H94" s="99"/>
      <c r="I94" s="14" t="s">
        <v>103</v>
      </c>
      <c r="J94" s="31">
        <f ca="1">(IF(B82&gt;1.5,(H82/(B82+2)+J88+MAX(0,J89-J88)+MAX(0,J90-J89)+MAX(0,J91-J90)+MAX(0,J92-J91)+MAX(0,J93-J92)),IF(B82=1,(H82/(B82+3)+J93),IF(B82=0,H82/4+J93))))</f>
        <v>7</v>
      </c>
    </row>
    <row r="95" spans="1:10" x14ac:dyDescent="0.25">
      <c r="A95" s="101" t="s">
        <v>150</v>
      </c>
      <c r="B95" s="101"/>
      <c r="C95" s="101"/>
      <c r="D95" s="101"/>
      <c r="E95" s="101"/>
      <c r="F95" s="160" t="s">
        <v>154</v>
      </c>
      <c r="G95" s="160"/>
      <c r="H95" s="160"/>
    </row>
    <row r="96" spans="1:10" x14ac:dyDescent="0.25">
      <c r="A96" s="81" t="s">
        <v>152</v>
      </c>
      <c r="B96" s="81"/>
      <c r="C96" s="81"/>
      <c r="D96" s="81"/>
      <c r="E96" s="81"/>
      <c r="F96" s="100">
        <v>4000</v>
      </c>
      <c r="G96" s="100"/>
      <c r="H96" s="100"/>
    </row>
    <row r="97" spans="1:8" hidden="1" x14ac:dyDescent="0.25">
      <c r="A97" s="81" t="s">
        <v>151</v>
      </c>
      <c r="B97" s="81"/>
      <c r="C97" s="81"/>
      <c r="D97" s="81"/>
      <c r="E97" s="81"/>
      <c r="F97" s="100"/>
      <c r="G97" s="100"/>
      <c r="H97" s="100"/>
    </row>
    <row r="98" spans="1:8" hidden="1" x14ac:dyDescent="0.25">
      <c r="A98" s="81" t="s">
        <v>153</v>
      </c>
      <c r="B98" s="81"/>
      <c r="C98" s="81"/>
      <c r="D98" s="81"/>
      <c r="E98" s="81"/>
      <c r="F98" s="100"/>
      <c r="G98" s="100"/>
      <c r="H98" s="100"/>
    </row>
    <row r="99" spans="1:8" s="32" customFormat="1" hidden="1" x14ac:dyDescent="0.25">
      <c r="A99" s="81" t="s">
        <v>167</v>
      </c>
      <c r="B99" s="81"/>
      <c r="C99" s="81"/>
      <c r="D99" s="81"/>
      <c r="E99" s="81"/>
      <c r="F99" s="100"/>
      <c r="G99" s="100"/>
      <c r="H99" s="100"/>
    </row>
    <row r="100" spans="1:8" s="32" customFormat="1" x14ac:dyDescent="0.25">
      <c r="A100" s="81" t="s">
        <v>94</v>
      </c>
      <c r="B100" s="81"/>
      <c r="C100" s="81"/>
      <c r="D100" s="81"/>
      <c r="E100" s="81"/>
      <c r="F100" s="100">
        <v>200000</v>
      </c>
      <c r="G100" s="100"/>
      <c r="H100" s="100"/>
    </row>
    <row r="101" spans="1:8" s="32" customFormat="1" hidden="1" x14ac:dyDescent="0.25">
      <c r="A101" s="81" t="s">
        <v>95</v>
      </c>
      <c r="B101" s="81"/>
      <c r="C101" s="81"/>
      <c r="D101" s="81"/>
      <c r="E101" s="81"/>
      <c r="F101" s="100"/>
      <c r="G101" s="100"/>
      <c r="H101" s="100"/>
    </row>
    <row r="102" spans="1:8" s="32" customFormat="1" hidden="1" x14ac:dyDescent="0.25">
      <c r="A102" s="81" t="s">
        <v>155</v>
      </c>
      <c r="B102" s="81"/>
      <c r="C102" s="81"/>
      <c r="D102" s="81"/>
      <c r="E102" s="81"/>
      <c r="F102" s="100"/>
      <c r="G102" s="100"/>
      <c r="H102" s="100"/>
    </row>
    <row r="103" spans="1:8" s="32" customFormat="1" hidden="1" x14ac:dyDescent="0.25">
      <c r="A103" s="81" t="s">
        <v>96</v>
      </c>
      <c r="B103" s="81"/>
      <c r="C103" s="81"/>
      <c r="D103" s="81"/>
      <c r="E103" s="81"/>
      <c r="F103" s="100"/>
      <c r="G103" s="100"/>
      <c r="H103" s="100"/>
    </row>
    <row r="104" spans="1:8" s="32" customFormat="1" hidden="1" x14ac:dyDescent="0.25">
      <c r="A104" s="81" t="s">
        <v>97</v>
      </c>
      <c r="B104" s="81"/>
      <c r="C104" s="81"/>
      <c r="D104" s="81"/>
      <c r="E104" s="81"/>
      <c r="F104" s="100"/>
      <c r="G104" s="100"/>
      <c r="H104" s="100"/>
    </row>
    <row r="105" spans="1:8" s="32" customFormat="1" x14ac:dyDescent="0.25">
      <c r="A105" s="81" t="s">
        <v>269</v>
      </c>
      <c r="B105" s="81"/>
      <c r="C105" s="81"/>
      <c r="D105" s="81"/>
      <c r="E105" s="81"/>
      <c r="F105" s="100">
        <v>50000</v>
      </c>
      <c r="G105" s="100"/>
      <c r="H105" s="100"/>
    </row>
    <row r="106" spans="1:8" s="32" customFormat="1" hidden="1" x14ac:dyDescent="0.25">
      <c r="A106" s="81" t="s">
        <v>98</v>
      </c>
      <c r="B106" s="81"/>
      <c r="C106" s="81"/>
      <c r="D106" s="81"/>
      <c r="E106" s="81"/>
      <c r="F106" s="100"/>
      <c r="G106" s="100"/>
      <c r="H106" s="100"/>
    </row>
    <row r="107" spans="1:8" x14ac:dyDescent="0.25">
      <c r="A107" s="81" t="s">
        <v>51</v>
      </c>
      <c r="B107" s="81"/>
      <c r="C107" s="81"/>
      <c r="D107" s="81"/>
      <c r="E107" s="81"/>
      <c r="F107" s="100">
        <v>200000</v>
      </c>
      <c r="G107" s="100"/>
      <c r="H107" s="100"/>
    </row>
    <row r="108" spans="1:8" s="33" customFormat="1" x14ac:dyDescent="0.25">
      <c r="A108" s="106" t="s">
        <v>52</v>
      </c>
      <c r="B108" s="106"/>
      <c r="C108" s="106"/>
      <c r="D108" s="106"/>
      <c r="E108" s="106"/>
      <c r="F108" s="100">
        <f>F96*0.8</f>
        <v>3200</v>
      </c>
      <c r="G108" s="100"/>
      <c r="H108" s="100"/>
    </row>
    <row r="109" spans="1:8" s="34" customFormat="1" x14ac:dyDescent="0.25">
      <c r="A109" s="157" t="s">
        <v>70</v>
      </c>
      <c r="B109" s="157"/>
      <c r="C109" s="157"/>
      <c r="D109" s="157"/>
      <c r="E109" s="157"/>
      <c r="F109" s="157"/>
      <c r="G109" s="157"/>
      <c r="H109" s="157"/>
    </row>
    <row r="110" spans="1:8" s="34" customFormat="1" ht="15.75" customHeight="1" x14ac:dyDescent="0.25">
      <c r="A110" s="159" t="s">
        <v>53</v>
      </c>
      <c r="B110" s="159"/>
      <c r="C110" s="162" t="s">
        <v>77</v>
      </c>
      <c r="D110" s="162"/>
      <c r="E110" s="152" t="s">
        <v>54</v>
      </c>
      <c r="F110" s="152"/>
      <c r="G110" s="159" t="s">
        <v>55</v>
      </c>
      <c r="H110" s="159"/>
    </row>
    <row r="111" spans="1:8" s="34" customFormat="1" x14ac:dyDescent="0.25">
      <c r="A111" s="84" t="s">
        <v>236</v>
      </c>
      <c r="B111" s="84"/>
      <c r="C111" s="85">
        <f>COUNT(D120:D125)+COUNT(D127:D132)*5+COUNT(D134:D139)</f>
        <v>42</v>
      </c>
      <c r="D111" s="85"/>
      <c r="E111" s="83">
        <f>SUM(D120:D125)+SUM(D127:D132)*5+SUM(D134:D139)</f>
        <v>16305.307200000003</v>
      </c>
      <c r="F111" s="138"/>
      <c r="G111" s="83">
        <f>SUM(F120:F125)+SUM(F127:F132)*5+SUM(F134:F139)</f>
        <v>24360</v>
      </c>
      <c r="H111" s="138"/>
    </row>
    <row r="112" spans="1:8" s="34" customFormat="1" ht="16.5" thickBot="1" x14ac:dyDescent="0.3">
      <c r="A112" s="84" t="s">
        <v>240</v>
      </c>
      <c r="B112" s="84"/>
      <c r="C112" s="85">
        <f>COUNT(D143:D148)+COUNT(D150:D155)*5</f>
        <v>36</v>
      </c>
      <c r="D112" s="85"/>
      <c r="E112" s="83">
        <f>SUM(D143:D148)+SUM(D150:D155)*5</f>
        <v>12936.821039999999</v>
      </c>
      <c r="F112" s="83"/>
      <c r="G112" s="83">
        <f>SUM(F143:F148)+SUM(F150:F155)*5</f>
        <v>19380</v>
      </c>
      <c r="H112" s="83"/>
    </row>
    <row r="113" spans="1:14" s="34" customFormat="1" ht="16.5" thickBot="1" x14ac:dyDescent="0.3">
      <c r="A113" s="163" t="s">
        <v>160</v>
      </c>
      <c r="B113" s="164"/>
      <c r="C113" s="165">
        <f>C111+C112</f>
        <v>78</v>
      </c>
      <c r="D113" s="165"/>
      <c r="E113" s="82">
        <f t="shared" ref="E113" si="0">E111+E112</f>
        <v>29242.128240000002</v>
      </c>
      <c r="F113" s="82"/>
      <c r="G113" s="82">
        <f t="shared" ref="G113" si="1">G111+G112</f>
        <v>43740</v>
      </c>
      <c r="H113" s="82"/>
    </row>
    <row r="114" spans="1:14" s="33" customFormat="1" x14ac:dyDescent="0.25">
      <c r="A114" s="160" t="s">
        <v>56</v>
      </c>
      <c r="B114" s="160"/>
      <c r="C114" s="160"/>
      <c r="D114" s="160"/>
      <c r="E114" s="160"/>
      <c r="F114" s="160"/>
      <c r="G114" s="160"/>
      <c r="H114" s="160"/>
    </row>
    <row r="115" spans="1:14" x14ac:dyDescent="0.25">
      <c r="A115" s="150" t="s">
        <v>245</v>
      </c>
      <c r="B115" s="150"/>
      <c r="C115" s="150"/>
      <c r="D115" s="150"/>
      <c r="E115" s="150"/>
      <c r="F115" s="150"/>
      <c r="G115" s="150"/>
      <c r="H115" s="150"/>
    </row>
    <row r="116" spans="1:14" ht="47.25" customHeight="1" x14ac:dyDescent="0.25">
      <c r="A116" s="57" t="s">
        <v>118</v>
      </c>
      <c r="B116" s="58" t="s">
        <v>168</v>
      </c>
      <c r="C116" s="58" t="s">
        <v>57</v>
      </c>
      <c r="D116" s="58" t="s">
        <v>58</v>
      </c>
      <c r="E116" s="59" t="s">
        <v>59</v>
      </c>
      <c r="F116" s="58" t="s">
        <v>249</v>
      </c>
      <c r="G116" s="79" t="s">
        <v>60</v>
      </c>
      <c r="H116" s="80"/>
      <c r="I116" s="35"/>
    </row>
    <row r="117" spans="1:14" s="36" customFormat="1" x14ac:dyDescent="0.25">
      <c r="A117" s="76" t="s">
        <v>236</v>
      </c>
      <c r="B117" s="77"/>
      <c r="C117" s="77"/>
      <c r="D117" s="77"/>
      <c r="E117" s="77"/>
      <c r="F117" s="77"/>
      <c r="G117" s="77"/>
      <c r="H117" s="78"/>
      <c r="J117" s="35"/>
    </row>
    <row r="118" spans="1:14" s="36" customFormat="1" x14ac:dyDescent="0.25">
      <c r="A118" s="76" t="s">
        <v>237</v>
      </c>
      <c r="B118" s="77"/>
      <c r="C118" s="77"/>
      <c r="D118" s="77"/>
      <c r="E118" s="77"/>
      <c r="F118" s="77"/>
      <c r="G118" s="77"/>
      <c r="H118" s="78"/>
      <c r="I118" s="35"/>
      <c r="L118" s="137"/>
      <c r="M118" s="137"/>
      <c r="N118" s="35"/>
    </row>
    <row r="119" spans="1:14" s="36" customFormat="1" x14ac:dyDescent="0.25">
      <c r="A119" s="75" t="s">
        <v>263</v>
      </c>
      <c r="B119" s="75"/>
      <c r="C119" s="75"/>
      <c r="D119" s="75"/>
      <c r="E119" s="75"/>
      <c r="F119" s="75"/>
      <c r="G119" s="75"/>
      <c r="H119" s="75"/>
      <c r="I119" s="35"/>
      <c r="N119" s="35"/>
    </row>
    <row r="120" spans="1:14" s="36" customFormat="1" x14ac:dyDescent="0.25">
      <c r="A120" s="60">
        <f>LEFT(A119,SUM(LEN(A119)-LEN(SUBSTITUTE(A119,{"0","1","2","3","4","5","6","7","8","9"},""))))*100+1</f>
        <v>101</v>
      </c>
      <c r="B120" s="60"/>
      <c r="C120" s="41" t="s">
        <v>238</v>
      </c>
      <c r="D120" s="41">
        <f>(33.7)*10.764</f>
        <v>362.74680000000001</v>
      </c>
      <c r="E120" s="41">
        <v>0</v>
      </c>
      <c r="F120" s="41">
        <v>545</v>
      </c>
      <c r="G120" s="69" t="str">
        <f>A119</f>
        <v>1st Floor For Residential</v>
      </c>
      <c r="H120" s="70"/>
      <c r="I120" s="35">
        <f>(33.7)</f>
        <v>33.700000000000003</v>
      </c>
      <c r="J120" s="35">
        <f>(3.05*4.12+2.45*2.22+3.35*2.75+0.92*1.43+1.53*1.22+1.5*1.22)</f>
        <v>32.229700000000001</v>
      </c>
      <c r="L120" s="56"/>
      <c r="N120" s="35"/>
    </row>
    <row r="121" spans="1:14" s="36" customFormat="1" x14ac:dyDescent="0.25">
      <c r="A121" s="60">
        <f>A120+1</f>
        <v>102</v>
      </c>
      <c r="B121" s="60"/>
      <c r="C121" s="41" t="s">
        <v>238</v>
      </c>
      <c r="D121" s="41">
        <f>(32.77)*10.764</f>
        <v>352.73628000000002</v>
      </c>
      <c r="E121" s="41">
        <v>0</v>
      </c>
      <c r="F121" s="41">
        <v>530</v>
      </c>
      <c r="G121" s="71"/>
      <c r="H121" s="72"/>
      <c r="I121" s="35">
        <f>(32.77)</f>
        <v>32.770000000000003</v>
      </c>
      <c r="J121" s="35">
        <f>(3.05*4.12+2.45*2.22+3.35*2.75+0.92*1.22+1.5*1.22+1*1.22)</f>
        <v>31.389899999999997</v>
      </c>
      <c r="L121" s="56"/>
      <c r="N121" s="35"/>
    </row>
    <row r="122" spans="1:14" s="36" customFormat="1" x14ac:dyDescent="0.25">
      <c r="A122" s="60">
        <f>A121+1</f>
        <v>103</v>
      </c>
      <c r="B122" s="60"/>
      <c r="C122" s="41" t="s">
        <v>238</v>
      </c>
      <c r="D122" s="41">
        <f>(33.55)*10.764</f>
        <v>361.13219999999995</v>
      </c>
      <c r="E122" s="41">
        <v>0</v>
      </c>
      <c r="F122" s="41">
        <v>540</v>
      </c>
      <c r="G122" s="71"/>
      <c r="H122" s="72"/>
      <c r="I122" s="35">
        <f>(33.55)</f>
        <v>33.549999999999997</v>
      </c>
      <c r="N122" s="35"/>
    </row>
    <row r="123" spans="1:14" s="36" customFormat="1" x14ac:dyDescent="0.25">
      <c r="A123" s="60">
        <f>A122+1</f>
        <v>104</v>
      </c>
      <c r="B123" s="60"/>
      <c r="C123" s="41" t="s">
        <v>238</v>
      </c>
      <c r="D123" s="41">
        <f>(33.55)*10.764</f>
        <v>361.13219999999995</v>
      </c>
      <c r="E123" s="41">
        <v>0</v>
      </c>
      <c r="F123" s="41">
        <v>540</v>
      </c>
      <c r="G123" s="71"/>
      <c r="H123" s="72"/>
      <c r="I123" s="35">
        <f>(33.55)</f>
        <v>33.549999999999997</v>
      </c>
      <c r="N123" s="35"/>
    </row>
    <row r="124" spans="1:14" s="36" customFormat="1" ht="15.75" customHeight="1" x14ac:dyDescent="0.25">
      <c r="A124" s="60">
        <f>A123+1</f>
        <v>105</v>
      </c>
      <c r="B124" s="60"/>
      <c r="C124" s="41" t="s">
        <v>239</v>
      </c>
      <c r="D124" s="41">
        <f>(45.78+3.35)*10.764</f>
        <v>528.83532000000002</v>
      </c>
      <c r="E124" s="41">
        <v>0</v>
      </c>
      <c r="F124" s="41">
        <v>780</v>
      </c>
      <c r="G124" s="71"/>
      <c r="H124" s="72"/>
      <c r="I124" s="35">
        <f>(45.78+3.35)</f>
        <v>49.13</v>
      </c>
      <c r="J124" s="35">
        <f>(4.7*3.05+2.14*2.25+2.75*3.25+2.5*3.05+1.83*1.22+1.22*2.25+3.8*0.9+3.35)</f>
        <v>47.460099999999997</v>
      </c>
    </row>
    <row r="125" spans="1:14" s="36" customFormat="1" x14ac:dyDescent="0.25">
      <c r="A125" s="60">
        <f>A124+1</f>
        <v>106</v>
      </c>
      <c r="B125" s="60"/>
      <c r="C125" s="41" t="s">
        <v>238</v>
      </c>
      <c r="D125" s="41">
        <f>(33.7)*10.764</f>
        <v>362.74680000000001</v>
      </c>
      <c r="E125" s="41">
        <v>0</v>
      </c>
      <c r="F125" s="41">
        <v>545</v>
      </c>
      <c r="G125" s="73"/>
      <c r="H125" s="74"/>
      <c r="I125" s="35">
        <f>(33.7)</f>
        <v>33.700000000000003</v>
      </c>
    </row>
    <row r="126" spans="1:14" s="36" customFormat="1" ht="15.75" customHeight="1" x14ac:dyDescent="0.25">
      <c r="A126" s="76" t="s">
        <v>241</v>
      </c>
      <c r="B126" s="77"/>
      <c r="C126" s="77"/>
      <c r="D126" s="77"/>
      <c r="E126" s="77"/>
      <c r="F126" s="77"/>
      <c r="G126" s="77"/>
      <c r="H126" s="78"/>
      <c r="I126" s="35"/>
    </row>
    <row r="127" spans="1:14" s="36" customFormat="1" ht="15.75" customHeight="1" x14ac:dyDescent="0.25">
      <c r="A127" s="67" t="str">
        <f ca="1">(SUMPRODUCT(MID(0&amp;(LEFT(A126,SUM(LEN(A126)-LEN(SUBSTITUTE(A126,{"0","1","2"},""))))), LARGE(INDEX(ISNUMBER(--MID((LEFT(A126,SUM(LEN(A126)-LEN(SUBSTITUTE(A126,{"0","1","2"},""))))), ROW(INDIRECT("1:"&amp;LEN((LEFT(A126,SUM(LEN(A126)-LEN(SUBSTITUTE(A126,{"0","1","2"},"")))))))), 1)) * ROW(INDIRECT("1:"&amp;LEN((LEFT(A126,SUM(LEN(A126)-LEN(SUBSTITUTE(A126,{"0","1","2"},"")))))))), 0), ROW(INDIRECT("1:"&amp;LEN((LEFT(A126,SUM(LEN(A126)-LEN(SUBSTITUTE(A126,{"0","1","2"},"")))))))))+1, 1) * 10^ROW(INDIRECT("1:"&amp;LEN((LEFT(A126,SUM(LEN(A126)-LEN(SUBSTITUTE(A126,{"0","1","2"},""))))))))/10))*100+1&amp;""&amp;" to "&amp;""&amp;(SUMPRODUCT(MID(0&amp;(--TRIM(RIGHT(SUBSTITUTE(LEFT(A126,_xlfn.AGGREGATE(16,6,FIND({0,1,2,3,4,5,6,7,8,9},A126,ROW(INDIRECT("1:"&amp;LEN(A126)))),1))," ",REPT(" ",LEN(A126))),LEN(A126)))), LARGE(INDEX(ISNUMBER(--MID((--TRIM(RIGHT(SUBSTITUTE(LEFT(A126,_xlfn.AGGREGATE(16,6,FIND({0,1,2,3,4,5,6,7,8,9},A126,ROW(INDIRECT("1:"&amp;LEN(A126)))),1))," ",REPT(" ",LEN(A126))),LEN(A126)))), ROW(INDIRECT("1:"&amp;LEN((--TRIM(RIGHT(SUBSTITUTE(LEFT(A126,_xlfn.AGGREGATE(16,6,FIND({0,1,2,3,4,5,6,7,8,9},A126,ROW(INDIRECT("1:"&amp;LEN(A126)))),1))," ",REPT(" ",LEN(A126))),LEN(A126))))))), 1)) * ROW(INDIRECT("1:"&amp;LEN((--TRIM(RIGHT(SUBSTITUTE(LEFT(A126,_xlfn.AGGREGATE(16,6,FIND({0,1,2,3,4,5,6,7,8,9},A126,ROW(INDIRECT("1:"&amp;LEN(A126)))),1))," ",REPT(" ",LEN(A126))),LEN(A126))))))), 0), ROW(INDIRECT("1:"&amp;LEN((--TRIM(RIGHT(SUBSTITUTE(LEFT(A126,_xlfn.AGGREGATE(16,6,FIND({0,1,2,3,4,5,6,7,8,9},A126,ROW(INDIRECT("1:"&amp;LEN(A126)))),1))," ",REPT(" ",LEN(A126))),LEN(A126))))))))+1, 1) * 10^ROW(INDIRECT("1:"&amp;LEN((--TRIM(RIGHT(SUBSTITUTE(LEFT(A126,_xlfn.AGGREGATE(16,6,FIND({0,1,2,3,4,5,6,7,8,9},A126,ROW(INDIRECT("1:"&amp;LEN(A126)))),1))," ",REPT(" ",LEN(A126))),LEN(A126)))))))/10))*100+1</f>
        <v>201 to 601</v>
      </c>
      <c r="B127" s="68"/>
      <c r="C127" s="41" t="s">
        <v>238</v>
      </c>
      <c r="D127" s="41">
        <f>(33.7)*10.764</f>
        <v>362.74680000000001</v>
      </c>
      <c r="E127" s="41">
        <v>0</v>
      </c>
      <c r="F127" s="41">
        <v>545</v>
      </c>
      <c r="G127" s="69" t="str">
        <f>A126</f>
        <v xml:space="preserve">2nd to 6th Floor </v>
      </c>
      <c r="H127" s="70"/>
      <c r="I127" s="35"/>
    </row>
    <row r="128" spans="1:14" s="36" customFormat="1" ht="15.75" customHeight="1" x14ac:dyDescent="0.25">
      <c r="A128" s="67" t="str">
        <f ca="1">(SUMPRODUCT(MID(0&amp;(LEFT(A127,SUM(LEN(A127)-LEN(SUBSTITUTE(A127,{"0","1","2"},""))))), LARGE(INDEX(ISNUMBER(--MID((LEFT(A127,SUM(LEN(A127)-LEN(SUBSTITUTE(A127,{"0","1","2"},""))))), ROW(INDIRECT("1:"&amp;LEN((LEFT(A127,SUM(LEN(A127)-LEN(SUBSTITUTE(A127,{"0","1","2"},"")))))))), 1)) * ROW(INDIRECT("1:"&amp;LEN((LEFT(A127,SUM(LEN(A127)-LEN(SUBSTITUTE(A127,{"0","1","2"},"")))))))), 0), ROW(INDIRECT("1:"&amp;LEN((LEFT(A127,SUM(LEN(A127)-LEN(SUBSTITUTE(A127,{"0","1","2"},"")))))))))+1, 1) * 10^ROW(INDIRECT("1:"&amp;LEN((LEFT(A127,SUM(LEN(A127)-LEN(SUBSTITUTE(A127,{"0","1","2"},""))))))))/10))*1+1&amp;""&amp;" to "&amp;""&amp;(SUMPRODUCT(MID(0&amp;(--TRIM(RIGHT(SUBSTITUTE(LEFT(A127,_xlfn.AGGREGATE(16,6,FIND({0,1,2,3,4,5,6,7,8,9},A127,ROW(INDIRECT("1:"&amp;LEN(A127)))),1))," ",REPT(" ",LEN(A127))),LEN(A127)))), LARGE(INDEX(ISNUMBER(--MID((--TRIM(RIGHT(SUBSTITUTE(LEFT(A127,_xlfn.AGGREGATE(16,6,FIND({0,1,2,3,4,5,6,7,8,9},A127,ROW(INDIRECT("1:"&amp;LEN(A127)))),1))," ",REPT(" ",LEN(A127))),LEN(A127)))), ROW(INDIRECT("1:"&amp;LEN((--TRIM(RIGHT(SUBSTITUTE(LEFT(A127,_xlfn.AGGREGATE(16,6,FIND({0,1,2,3,4,5,6,7,8,9},A127,ROW(INDIRECT("1:"&amp;LEN(A127)))),1))," ",REPT(" ",LEN(A127))),LEN(A127))))))), 1)) * ROW(INDIRECT("1:"&amp;LEN((--TRIM(RIGHT(SUBSTITUTE(LEFT(A127,_xlfn.AGGREGATE(16,6,FIND({0,1,2,3,4,5,6,7,8,9},A127,ROW(INDIRECT("1:"&amp;LEN(A127)))),1))," ",REPT(" ",LEN(A127))),LEN(A127))))))), 0), ROW(INDIRECT("1:"&amp;LEN((--TRIM(RIGHT(SUBSTITUTE(LEFT(A127,_xlfn.AGGREGATE(16,6,FIND({0,1,2,3,4,5,6,7,8,9},A127,ROW(INDIRECT("1:"&amp;LEN(A127)))),1))," ",REPT(" ",LEN(A127))),LEN(A127))))))))+1, 1) * 10^ROW(INDIRECT("1:"&amp;LEN((--TRIM(RIGHT(SUBSTITUTE(LEFT(A127,_xlfn.AGGREGATE(16,6,FIND({0,1,2,3,4,5,6,7,8,9},A127,ROW(INDIRECT("1:"&amp;LEN(A127)))),1))," ",REPT(" ",LEN(A127))),LEN(A127)))))))/10))*1+1</f>
        <v>202 to 602</v>
      </c>
      <c r="B128" s="68"/>
      <c r="C128" s="41" t="s">
        <v>238</v>
      </c>
      <c r="D128" s="41">
        <f>(32.77)*10.764</f>
        <v>352.73628000000002</v>
      </c>
      <c r="E128" s="41">
        <v>0</v>
      </c>
      <c r="F128" s="41">
        <v>530</v>
      </c>
      <c r="G128" s="71"/>
      <c r="H128" s="72"/>
      <c r="I128" s="35"/>
    </row>
    <row r="129" spans="1:10" s="36" customFormat="1" ht="15.75" customHeight="1" x14ac:dyDescent="0.25">
      <c r="A129" s="67" t="str">
        <f ca="1">(SUMPRODUCT(MID(0&amp;(LEFT(A128,SUM(LEN(A128)-LEN(SUBSTITUTE(A128,{"0","1","2"},""))))), LARGE(INDEX(ISNUMBER(--MID((LEFT(A128,SUM(LEN(A128)-LEN(SUBSTITUTE(A128,{"0","1","2"},""))))), ROW(INDIRECT("1:"&amp;LEN((LEFT(A128,SUM(LEN(A128)-LEN(SUBSTITUTE(A128,{"0","1","2"},"")))))))), 1)) * ROW(INDIRECT("1:"&amp;LEN((LEFT(A128,SUM(LEN(A128)-LEN(SUBSTITUTE(A128,{"0","1","2"},"")))))))), 0), ROW(INDIRECT("1:"&amp;LEN((LEFT(A128,SUM(LEN(A128)-LEN(SUBSTITUTE(A128,{"0","1","2"},"")))))))))+1, 1) * 10^ROW(INDIRECT("1:"&amp;LEN((LEFT(A128,SUM(LEN(A128)-LEN(SUBSTITUTE(A128,{"0","1","2"},""))))))))/10))*1+1&amp;""&amp;" to "&amp;""&amp;(SUMPRODUCT(MID(0&amp;(--TRIM(RIGHT(SUBSTITUTE(LEFT(A128,_xlfn.AGGREGATE(16,6,FIND({0,1,2,3,4,5,6,7,8,9},A128,ROW(INDIRECT("1:"&amp;LEN(A128)))),1))," ",REPT(" ",LEN(A128))),LEN(A128)))), LARGE(INDEX(ISNUMBER(--MID((--TRIM(RIGHT(SUBSTITUTE(LEFT(A128,_xlfn.AGGREGATE(16,6,FIND({0,1,2,3,4,5,6,7,8,9},A128,ROW(INDIRECT("1:"&amp;LEN(A128)))),1))," ",REPT(" ",LEN(A128))),LEN(A128)))), ROW(INDIRECT("1:"&amp;LEN((--TRIM(RIGHT(SUBSTITUTE(LEFT(A128,_xlfn.AGGREGATE(16,6,FIND({0,1,2,3,4,5,6,7,8,9},A128,ROW(INDIRECT("1:"&amp;LEN(A128)))),1))," ",REPT(" ",LEN(A128))),LEN(A128))))))), 1)) * ROW(INDIRECT("1:"&amp;LEN((--TRIM(RIGHT(SUBSTITUTE(LEFT(A128,_xlfn.AGGREGATE(16,6,FIND({0,1,2,3,4,5,6,7,8,9},A128,ROW(INDIRECT("1:"&amp;LEN(A128)))),1))," ",REPT(" ",LEN(A128))),LEN(A128))))))), 0), ROW(INDIRECT("1:"&amp;LEN((--TRIM(RIGHT(SUBSTITUTE(LEFT(A128,_xlfn.AGGREGATE(16,6,FIND({0,1,2,3,4,5,6,7,8,9},A128,ROW(INDIRECT("1:"&amp;LEN(A128)))),1))," ",REPT(" ",LEN(A128))),LEN(A128))))))))+1, 1) * 10^ROW(INDIRECT("1:"&amp;LEN((--TRIM(RIGHT(SUBSTITUTE(LEFT(A128,_xlfn.AGGREGATE(16,6,FIND({0,1,2,3,4,5,6,7,8,9},A128,ROW(INDIRECT("1:"&amp;LEN(A128)))),1))," ",REPT(" ",LEN(A128))),LEN(A128)))))))/10))*1+1</f>
        <v>203 to 603</v>
      </c>
      <c r="B129" s="68"/>
      <c r="C129" s="41" t="s">
        <v>238</v>
      </c>
      <c r="D129" s="41">
        <f>(33.55)*10.764</f>
        <v>361.13219999999995</v>
      </c>
      <c r="E129" s="41">
        <v>0</v>
      </c>
      <c r="F129" s="41">
        <v>540</v>
      </c>
      <c r="G129" s="71"/>
      <c r="H129" s="72"/>
      <c r="I129" s="35"/>
    </row>
    <row r="130" spans="1:10" s="36" customFormat="1" ht="15.75" customHeight="1" x14ac:dyDescent="0.25">
      <c r="A130" s="67" t="str">
        <f ca="1">(SUMPRODUCT(MID(0&amp;(LEFT(A129,SUM(LEN(A129)-LEN(SUBSTITUTE(A129,{"0","1","2"},""))))), LARGE(INDEX(ISNUMBER(--MID((LEFT(A129,SUM(LEN(A129)-LEN(SUBSTITUTE(A129,{"0","1","2"},""))))), ROW(INDIRECT("1:"&amp;LEN((LEFT(A129,SUM(LEN(A129)-LEN(SUBSTITUTE(A129,{"0","1","2"},"")))))))), 1)) * ROW(INDIRECT("1:"&amp;LEN((LEFT(A129,SUM(LEN(A129)-LEN(SUBSTITUTE(A129,{"0","1","2"},"")))))))), 0), ROW(INDIRECT("1:"&amp;LEN((LEFT(A129,SUM(LEN(A129)-LEN(SUBSTITUTE(A129,{"0","1","2"},"")))))))))+1, 1) * 10^ROW(INDIRECT("1:"&amp;LEN((LEFT(A129,SUM(LEN(A129)-LEN(SUBSTITUTE(A129,{"0","1","2"},""))))))))/10))*1+1&amp;""&amp;" to "&amp;""&amp;(SUMPRODUCT(MID(0&amp;(--TRIM(RIGHT(SUBSTITUTE(LEFT(A129,_xlfn.AGGREGATE(16,6,FIND({0,1,2,3,4,5,6,7,8,9},A129,ROW(INDIRECT("1:"&amp;LEN(A129)))),1))," ",REPT(" ",LEN(A129))),LEN(A129)))), LARGE(INDEX(ISNUMBER(--MID((--TRIM(RIGHT(SUBSTITUTE(LEFT(A129,_xlfn.AGGREGATE(16,6,FIND({0,1,2,3,4,5,6,7,8,9},A129,ROW(INDIRECT("1:"&amp;LEN(A129)))),1))," ",REPT(" ",LEN(A129))),LEN(A129)))), ROW(INDIRECT("1:"&amp;LEN((--TRIM(RIGHT(SUBSTITUTE(LEFT(A129,_xlfn.AGGREGATE(16,6,FIND({0,1,2,3,4,5,6,7,8,9},A129,ROW(INDIRECT("1:"&amp;LEN(A129)))),1))," ",REPT(" ",LEN(A129))),LEN(A129))))))), 1)) * ROW(INDIRECT("1:"&amp;LEN((--TRIM(RIGHT(SUBSTITUTE(LEFT(A129,_xlfn.AGGREGATE(16,6,FIND({0,1,2,3,4,5,6,7,8,9},A129,ROW(INDIRECT("1:"&amp;LEN(A129)))),1))," ",REPT(" ",LEN(A129))),LEN(A129))))))), 0), ROW(INDIRECT("1:"&amp;LEN((--TRIM(RIGHT(SUBSTITUTE(LEFT(A129,_xlfn.AGGREGATE(16,6,FIND({0,1,2,3,4,5,6,7,8,9},A129,ROW(INDIRECT("1:"&amp;LEN(A129)))),1))," ",REPT(" ",LEN(A129))),LEN(A129))))))))+1, 1) * 10^ROW(INDIRECT("1:"&amp;LEN((--TRIM(RIGHT(SUBSTITUTE(LEFT(A129,_xlfn.AGGREGATE(16,6,FIND({0,1,2,3,4,5,6,7,8,9},A129,ROW(INDIRECT("1:"&amp;LEN(A129)))),1))," ",REPT(" ",LEN(A129))),LEN(A129)))))))/10))*1+1</f>
        <v>204 to 604</v>
      </c>
      <c r="B130" s="68"/>
      <c r="C130" s="41" t="s">
        <v>238</v>
      </c>
      <c r="D130" s="41">
        <f>(33.55)*10.764</f>
        <v>361.13219999999995</v>
      </c>
      <c r="E130" s="41">
        <v>0</v>
      </c>
      <c r="F130" s="41">
        <v>540</v>
      </c>
      <c r="G130" s="71"/>
      <c r="H130" s="72"/>
      <c r="I130" s="35"/>
    </row>
    <row r="131" spans="1:10" s="36" customFormat="1" ht="15.75" customHeight="1" x14ac:dyDescent="0.25">
      <c r="A131" s="67" t="str">
        <f ca="1">(SUMPRODUCT(MID(0&amp;(LEFT(A130,SUM(LEN(A130)-LEN(SUBSTITUTE(A130,{"0","1","2"},""))))), LARGE(INDEX(ISNUMBER(--MID((LEFT(A130,SUM(LEN(A130)-LEN(SUBSTITUTE(A130,{"0","1","2"},""))))), ROW(INDIRECT("1:"&amp;LEN((LEFT(A130,SUM(LEN(A130)-LEN(SUBSTITUTE(A130,{"0","1","2"},"")))))))), 1)) * ROW(INDIRECT("1:"&amp;LEN((LEFT(A130,SUM(LEN(A130)-LEN(SUBSTITUTE(A130,{"0","1","2"},"")))))))), 0), ROW(INDIRECT("1:"&amp;LEN((LEFT(A130,SUM(LEN(A130)-LEN(SUBSTITUTE(A130,{"0","1","2"},"")))))))))+1, 1) * 10^ROW(INDIRECT("1:"&amp;LEN((LEFT(A130,SUM(LEN(A130)-LEN(SUBSTITUTE(A130,{"0","1","2"},""))))))))/10))*1+1&amp;""&amp;" to "&amp;""&amp;(SUMPRODUCT(MID(0&amp;(--TRIM(RIGHT(SUBSTITUTE(LEFT(A130,_xlfn.AGGREGATE(16,6,FIND({0,1,2,3,4,5,6,7,8,9},A130,ROW(INDIRECT("1:"&amp;LEN(A130)))),1))," ",REPT(" ",LEN(A130))),LEN(A130)))), LARGE(INDEX(ISNUMBER(--MID((--TRIM(RIGHT(SUBSTITUTE(LEFT(A130,_xlfn.AGGREGATE(16,6,FIND({0,1,2,3,4,5,6,7,8,9},A130,ROW(INDIRECT("1:"&amp;LEN(A130)))),1))," ",REPT(" ",LEN(A130))),LEN(A130)))), ROW(INDIRECT("1:"&amp;LEN((--TRIM(RIGHT(SUBSTITUTE(LEFT(A130,_xlfn.AGGREGATE(16,6,FIND({0,1,2,3,4,5,6,7,8,9},A130,ROW(INDIRECT("1:"&amp;LEN(A130)))),1))," ",REPT(" ",LEN(A130))),LEN(A130))))))), 1)) * ROW(INDIRECT("1:"&amp;LEN((--TRIM(RIGHT(SUBSTITUTE(LEFT(A130,_xlfn.AGGREGATE(16,6,FIND({0,1,2,3,4,5,6,7,8,9},A130,ROW(INDIRECT("1:"&amp;LEN(A130)))),1))," ",REPT(" ",LEN(A130))),LEN(A130))))))), 0), ROW(INDIRECT("1:"&amp;LEN((--TRIM(RIGHT(SUBSTITUTE(LEFT(A130,_xlfn.AGGREGATE(16,6,FIND({0,1,2,3,4,5,6,7,8,9},A130,ROW(INDIRECT("1:"&amp;LEN(A130)))),1))," ",REPT(" ",LEN(A130))),LEN(A130))))))))+1, 1) * 10^ROW(INDIRECT("1:"&amp;LEN((--TRIM(RIGHT(SUBSTITUTE(LEFT(A130,_xlfn.AGGREGATE(16,6,FIND({0,1,2,3,4,5,6,7,8,9},A130,ROW(INDIRECT("1:"&amp;LEN(A130)))),1))," ",REPT(" ",LEN(A130))),LEN(A130)))))))/10))*1+1</f>
        <v>205 to 605</v>
      </c>
      <c r="B131" s="68"/>
      <c r="C131" s="41" t="s">
        <v>239</v>
      </c>
      <c r="D131" s="41">
        <f>(45.78+3.35)*10.764</f>
        <v>528.83532000000002</v>
      </c>
      <c r="E131" s="41">
        <v>0</v>
      </c>
      <c r="F131" s="41">
        <v>780</v>
      </c>
      <c r="G131" s="71"/>
      <c r="H131" s="72"/>
      <c r="I131" s="35"/>
    </row>
    <row r="132" spans="1:10" s="36" customFormat="1" ht="15.75" customHeight="1" x14ac:dyDescent="0.25">
      <c r="A132" s="67" t="str">
        <f ca="1">(SUMPRODUCT(MID(0&amp;(LEFT(A131,SUM(LEN(A131)-LEN(SUBSTITUTE(A131,{"0","1","2"},""))))), LARGE(INDEX(ISNUMBER(--MID((LEFT(A131,SUM(LEN(A131)-LEN(SUBSTITUTE(A131,{"0","1","2"},""))))), ROW(INDIRECT("1:"&amp;LEN((LEFT(A131,SUM(LEN(A131)-LEN(SUBSTITUTE(A131,{"0","1","2"},"")))))))), 1)) * ROW(INDIRECT("1:"&amp;LEN((LEFT(A131,SUM(LEN(A131)-LEN(SUBSTITUTE(A131,{"0","1","2"},"")))))))), 0), ROW(INDIRECT("1:"&amp;LEN((LEFT(A131,SUM(LEN(A131)-LEN(SUBSTITUTE(A131,{"0","1","2"},"")))))))))+1, 1) * 10^ROW(INDIRECT("1:"&amp;LEN((LEFT(A131,SUM(LEN(A131)-LEN(SUBSTITUTE(A131,{"0","1","2"},""))))))))/10))*1+1&amp;""&amp;" to "&amp;""&amp;(SUMPRODUCT(MID(0&amp;(--TRIM(RIGHT(SUBSTITUTE(LEFT(A131,_xlfn.AGGREGATE(16,6,FIND({0,1,2,3,4,5,6,7,8,9},A131,ROW(INDIRECT("1:"&amp;LEN(A131)))),1))," ",REPT(" ",LEN(A131))),LEN(A131)))), LARGE(INDEX(ISNUMBER(--MID((--TRIM(RIGHT(SUBSTITUTE(LEFT(A131,_xlfn.AGGREGATE(16,6,FIND({0,1,2,3,4,5,6,7,8,9},A131,ROW(INDIRECT("1:"&amp;LEN(A131)))),1))," ",REPT(" ",LEN(A131))),LEN(A131)))), ROW(INDIRECT("1:"&amp;LEN((--TRIM(RIGHT(SUBSTITUTE(LEFT(A131,_xlfn.AGGREGATE(16,6,FIND({0,1,2,3,4,5,6,7,8,9},A131,ROW(INDIRECT("1:"&amp;LEN(A131)))),1))," ",REPT(" ",LEN(A131))),LEN(A131))))))), 1)) * ROW(INDIRECT("1:"&amp;LEN((--TRIM(RIGHT(SUBSTITUTE(LEFT(A131,_xlfn.AGGREGATE(16,6,FIND({0,1,2,3,4,5,6,7,8,9},A131,ROW(INDIRECT("1:"&amp;LEN(A131)))),1))," ",REPT(" ",LEN(A131))),LEN(A131))))))), 0), ROW(INDIRECT("1:"&amp;LEN((--TRIM(RIGHT(SUBSTITUTE(LEFT(A131,_xlfn.AGGREGATE(16,6,FIND({0,1,2,3,4,5,6,7,8,9},A131,ROW(INDIRECT("1:"&amp;LEN(A131)))),1))," ",REPT(" ",LEN(A131))),LEN(A131))))))))+1, 1) * 10^ROW(INDIRECT("1:"&amp;LEN((--TRIM(RIGHT(SUBSTITUTE(LEFT(A131,_xlfn.AGGREGATE(16,6,FIND({0,1,2,3,4,5,6,7,8,9},A131,ROW(INDIRECT("1:"&amp;LEN(A131)))),1))," ",REPT(" ",LEN(A131))),LEN(A131)))))))/10))*1+1</f>
        <v>206 to 606</v>
      </c>
      <c r="B132" s="68"/>
      <c r="C132" s="41" t="s">
        <v>238</v>
      </c>
      <c r="D132" s="41">
        <f>(33.7)*10.764</f>
        <v>362.74680000000001</v>
      </c>
      <c r="E132" s="41">
        <v>0</v>
      </c>
      <c r="F132" s="41">
        <v>545</v>
      </c>
      <c r="G132" s="73"/>
      <c r="H132" s="74"/>
      <c r="I132" s="35"/>
    </row>
    <row r="133" spans="1:10" s="36" customFormat="1" x14ac:dyDescent="0.25">
      <c r="A133" s="75" t="s">
        <v>243</v>
      </c>
      <c r="B133" s="75"/>
      <c r="C133" s="75"/>
      <c r="D133" s="75"/>
      <c r="E133" s="75"/>
      <c r="F133" s="75"/>
      <c r="G133" s="75"/>
      <c r="H133" s="75"/>
      <c r="I133" s="35"/>
    </row>
    <row r="134" spans="1:10" s="36" customFormat="1" x14ac:dyDescent="0.25">
      <c r="A134" s="60">
        <f>LEFT(A133,SUM(LEN(A133)-LEN(SUBSTITUTE(A133,{"0","1","2","3","4","5","6","7","8","9"},""))))*100+1</f>
        <v>701</v>
      </c>
      <c r="B134" s="60"/>
      <c r="C134" s="41" t="s">
        <v>238</v>
      </c>
      <c r="D134" s="41">
        <f>(33.7)*10.764</f>
        <v>362.74680000000001</v>
      </c>
      <c r="E134" s="41">
        <v>0</v>
      </c>
      <c r="F134" s="41">
        <v>545</v>
      </c>
      <c r="G134" s="69" t="str">
        <f>A133</f>
        <v>7th Floor</v>
      </c>
      <c r="H134" s="70"/>
      <c r="I134" s="35"/>
    </row>
    <row r="135" spans="1:10" s="36" customFormat="1" x14ac:dyDescent="0.25">
      <c r="A135" s="60">
        <f>A134+1</f>
        <v>702</v>
      </c>
      <c r="B135" s="60"/>
      <c r="C135" s="41" t="s">
        <v>238</v>
      </c>
      <c r="D135" s="41">
        <f>(32.77)*10.764</f>
        <v>352.73628000000002</v>
      </c>
      <c r="E135" s="41">
        <v>0</v>
      </c>
      <c r="F135" s="41">
        <v>530</v>
      </c>
      <c r="G135" s="71"/>
      <c r="H135" s="72"/>
      <c r="I135" s="35"/>
    </row>
    <row r="136" spans="1:10" s="34" customFormat="1" x14ac:dyDescent="0.25">
      <c r="A136" s="60">
        <f>A135+1</f>
        <v>703</v>
      </c>
      <c r="B136" s="60"/>
      <c r="C136" s="41" t="s">
        <v>238</v>
      </c>
      <c r="D136" s="41">
        <f>(33.55)*10.764</f>
        <v>361.13219999999995</v>
      </c>
      <c r="E136" s="41">
        <v>0</v>
      </c>
      <c r="F136" s="41">
        <v>540</v>
      </c>
      <c r="G136" s="71"/>
      <c r="H136" s="72"/>
    </row>
    <row r="137" spans="1:10" s="34" customFormat="1" x14ac:dyDescent="0.25">
      <c r="A137" s="60">
        <f>A136+1</f>
        <v>704</v>
      </c>
      <c r="B137" s="60"/>
      <c r="C137" s="41" t="s">
        <v>238</v>
      </c>
      <c r="D137" s="41">
        <f>(33.55)*10.764</f>
        <v>361.13219999999995</v>
      </c>
      <c r="E137" s="41">
        <v>0</v>
      </c>
      <c r="F137" s="41">
        <v>540</v>
      </c>
      <c r="G137" s="71"/>
      <c r="H137" s="72"/>
    </row>
    <row r="138" spans="1:10" s="34" customFormat="1" x14ac:dyDescent="0.25">
      <c r="A138" s="60">
        <f>A137+1</f>
        <v>705</v>
      </c>
      <c r="B138" s="60"/>
      <c r="C138" s="41" t="s">
        <v>239</v>
      </c>
      <c r="D138" s="41">
        <f>(45.78+3.35)*10.764</f>
        <v>528.83532000000002</v>
      </c>
      <c r="E138" s="41">
        <v>0</v>
      </c>
      <c r="F138" s="41">
        <v>780</v>
      </c>
      <c r="G138" s="71"/>
      <c r="H138" s="72"/>
    </row>
    <row r="139" spans="1:10" s="34" customFormat="1" x14ac:dyDescent="0.25">
      <c r="A139" s="60">
        <f>A138+1</f>
        <v>706</v>
      </c>
      <c r="B139" s="60"/>
      <c r="C139" s="41" t="s">
        <v>238</v>
      </c>
      <c r="D139" s="41">
        <f>(33.7)*10.764</f>
        <v>362.74680000000001</v>
      </c>
      <c r="E139" s="41">
        <v>0</v>
      </c>
      <c r="F139" s="41">
        <v>545</v>
      </c>
      <c r="G139" s="73"/>
      <c r="H139" s="74"/>
    </row>
    <row r="140" spans="1:10" s="34" customFormat="1" x14ac:dyDescent="0.25">
      <c r="A140" s="76" t="s">
        <v>240</v>
      </c>
      <c r="B140" s="77"/>
      <c r="C140" s="77"/>
      <c r="D140" s="77"/>
      <c r="E140" s="77"/>
      <c r="F140" s="77"/>
      <c r="G140" s="77"/>
      <c r="H140" s="78"/>
    </row>
    <row r="141" spans="1:10" s="34" customFormat="1" x14ac:dyDescent="0.25">
      <c r="A141" s="76" t="s">
        <v>242</v>
      </c>
      <c r="B141" s="77"/>
      <c r="C141" s="77"/>
      <c r="D141" s="77"/>
      <c r="E141" s="77"/>
      <c r="F141" s="77"/>
      <c r="G141" s="77"/>
      <c r="H141" s="78"/>
    </row>
    <row r="142" spans="1:10" s="34" customFormat="1" x14ac:dyDescent="0.25">
      <c r="A142" s="75" t="s">
        <v>263</v>
      </c>
      <c r="B142" s="75"/>
      <c r="C142" s="75"/>
      <c r="D142" s="75"/>
      <c r="E142" s="75"/>
      <c r="F142" s="75"/>
      <c r="G142" s="75"/>
      <c r="H142" s="75"/>
    </row>
    <row r="143" spans="1:10" s="34" customFormat="1" ht="15.75" customHeight="1" x14ac:dyDescent="0.25">
      <c r="A143" s="60">
        <f>LEFT(A142,SUM(LEN(A142)-LEN(SUBSTITUTE(A142,{"0","1","2","3","4","5","6","7","8","9"},""))))*100+1</f>
        <v>101</v>
      </c>
      <c r="B143" s="60"/>
      <c r="C143" s="41" t="s">
        <v>238</v>
      </c>
      <c r="D143" s="41">
        <f>(33.65)*10.764</f>
        <v>362.20859999999999</v>
      </c>
      <c r="E143" s="41">
        <v>0</v>
      </c>
      <c r="F143" s="41">
        <v>540</v>
      </c>
      <c r="G143" s="69" t="str">
        <f>A142</f>
        <v>1st Floor For Residential</v>
      </c>
      <c r="H143" s="70"/>
      <c r="I143" s="55">
        <f>(33.65)</f>
        <v>33.65</v>
      </c>
    </row>
    <row r="144" spans="1:10" s="34" customFormat="1" ht="15.75" customHeight="1" x14ac:dyDescent="0.25">
      <c r="A144" s="60">
        <f>A143+1</f>
        <v>102</v>
      </c>
      <c r="B144" s="60"/>
      <c r="C144" s="41" t="s">
        <v>238</v>
      </c>
      <c r="D144" s="41">
        <f>(33.55)*10.764</f>
        <v>361.13219999999995</v>
      </c>
      <c r="E144" s="41">
        <v>0</v>
      </c>
      <c r="F144" s="41">
        <v>545</v>
      </c>
      <c r="G144" s="71"/>
      <c r="H144" s="72"/>
      <c r="I144" s="55">
        <f>(33.55)</f>
        <v>33.549999999999997</v>
      </c>
      <c r="J144" s="55">
        <f>(4.12*3.05+2.22*2.45+2.75*3.35+1.43*0.92+1.22*1.53+1.22*1.5)</f>
        <v>32.229700000000001</v>
      </c>
    </row>
    <row r="145" spans="1:10" s="34" customFormat="1" ht="15.75" customHeight="1" x14ac:dyDescent="0.25">
      <c r="A145" s="60">
        <f>A144+1</f>
        <v>103</v>
      </c>
      <c r="B145" s="60"/>
      <c r="C145" s="41" t="s">
        <v>238</v>
      </c>
      <c r="D145" s="41">
        <f>(33.55)*10.764</f>
        <v>361.13219999999995</v>
      </c>
      <c r="E145" s="41">
        <v>0</v>
      </c>
      <c r="F145" s="41">
        <v>540</v>
      </c>
      <c r="G145" s="71"/>
      <c r="H145" s="72"/>
      <c r="I145" s="55">
        <f>(33.55)</f>
        <v>33.549999999999997</v>
      </c>
    </row>
    <row r="146" spans="1:10" s="34" customFormat="1" ht="15.75" customHeight="1" x14ac:dyDescent="0.25">
      <c r="A146" s="60">
        <f>A145+1</f>
        <v>104</v>
      </c>
      <c r="B146" s="60"/>
      <c r="C146" s="41" t="s">
        <v>238</v>
      </c>
      <c r="D146" s="41">
        <f>(33.55)*10.764</f>
        <v>361.13219999999995</v>
      </c>
      <c r="E146" s="41">
        <v>0</v>
      </c>
      <c r="F146" s="41">
        <v>540</v>
      </c>
      <c r="G146" s="71"/>
      <c r="H146" s="72"/>
      <c r="I146" s="55">
        <f>(33.55)</f>
        <v>33.549999999999997</v>
      </c>
    </row>
    <row r="147" spans="1:10" ht="15.75" customHeight="1" x14ac:dyDescent="0.25">
      <c r="A147" s="60">
        <f>A146+1</f>
        <v>105</v>
      </c>
      <c r="B147" s="60"/>
      <c r="C147" s="41" t="s">
        <v>238</v>
      </c>
      <c r="D147" s="41">
        <f>(33.55)*10.764</f>
        <v>361.13219999999995</v>
      </c>
      <c r="E147" s="41">
        <v>0</v>
      </c>
      <c r="F147" s="41">
        <v>540</v>
      </c>
      <c r="G147" s="71"/>
      <c r="H147" s="72"/>
      <c r="I147" s="55">
        <f>(33.55)</f>
        <v>33.549999999999997</v>
      </c>
      <c r="J147" s="34"/>
    </row>
    <row r="148" spans="1:10" ht="15.75" customHeight="1" x14ac:dyDescent="0.25">
      <c r="A148" s="60">
        <f>A147+1</f>
        <v>106</v>
      </c>
      <c r="B148" s="60"/>
      <c r="C148" s="41" t="s">
        <v>238</v>
      </c>
      <c r="D148" s="41">
        <f>(32.46)*10.764</f>
        <v>349.39943999999997</v>
      </c>
      <c r="E148" s="41">
        <v>0</v>
      </c>
      <c r="F148" s="41">
        <v>525</v>
      </c>
      <c r="G148" s="73"/>
      <c r="H148" s="74"/>
      <c r="I148" s="55">
        <f>(32.46)</f>
        <v>32.46</v>
      </c>
      <c r="J148" s="34"/>
    </row>
    <row r="149" spans="1:10" x14ac:dyDescent="0.25">
      <c r="A149" s="76" t="s">
        <v>241</v>
      </c>
      <c r="B149" s="77"/>
      <c r="C149" s="77"/>
      <c r="D149" s="77"/>
      <c r="E149" s="77"/>
      <c r="F149" s="77"/>
      <c r="G149" s="77"/>
      <c r="H149" s="78"/>
    </row>
    <row r="150" spans="1:10" x14ac:dyDescent="0.25">
      <c r="A150" s="67" t="str">
        <f ca="1">(SUMPRODUCT(MID(0&amp;(LEFT(A149,SUM(LEN(A149)-LEN(SUBSTITUTE(A149,{"0","1","2"},""))))), LARGE(INDEX(ISNUMBER(--MID((LEFT(A149,SUM(LEN(A149)-LEN(SUBSTITUTE(A149,{"0","1","2"},""))))), ROW(INDIRECT("1:"&amp;LEN((LEFT(A149,SUM(LEN(A149)-LEN(SUBSTITUTE(A149,{"0","1","2"},"")))))))), 1)) * ROW(INDIRECT("1:"&amp;LEN((LEFT(A149,SUM(LEN(A149)-LEN(SUBSTITUTE(A149,{"0","1","2"},"")))))))), 0), ROW(INDIRECT("1:"&amp;LEN((LEFT(A149,SUM(LEN(A149)-LEN(SUBSTITUTE(A149,{"0","1","2"},"")))))))))+1, 1) * 10^ROW(INDIRECT("1:"&amp;LEN((LEFT(A149,SUM(LEN(A149)-LEN(SUBSTITUTE(A149,{"0","1","2"},""))))))))/10))*100+1&amp;""&amp;" to "&amp;""&amp;(SUMPRODUCT(MID(0&amp;(--TRIM(RIGHT(SUBSTITUTE(LEFT(A149,_xlfn.AGGREGATE(16,6,FIND({0,1,2,3,4,5,6,7,8,9},A149,ROW(INDIRECT("1:"&amp;LEN(A149)))),1))," ",REPT(" ",LEN(A149))),LEN(A149)))), LARGE(INDEX(ISNUMBER(--MID((--TRIM(RIGHT(SUBSTITUTE(LEFT(A149,_xlfn.AGGREGATE(16,6,FIND({0,1,2,3,4,5,6,7,8,9},A149,ROW(INDIRECT("1:"&amp;LEN(A149)))),1))," ",REPT(" ",LEN(A149))),LEN(A149)))), ROW(INDIRECT("1:"&amp;LEN((--TRIM(RIGHT(SUBSTITUTE(LEFT(A149,_xlfn.AGGREGATE(16,6,FIND({0,1,2,3,4,5,6,7,8,9},A149,ROW(INDIRECT("1:"&amp;LEN(A149)))),1))," ",REPT(" ",LEN(A149))),LEN(A149))))))), 1)) * ROW(INDIRECT("1:"&amp;LEN((--TRIM(RIGHT(SUBSTITUTE(LEFT(A149,_xlfn.AGGREGATE(16,6,FIND({0,1,2,3,4,5,6,7,8,9},A149,ROW(INDIRECT("1:"&amp;LEN(A149)))),1))," ",REPT(" ",LEN(A149))),LEN(A149))))))), 0), ROW(INDIRECT("1:"&amp;LEN((--TRIM(RIGHT(SUBSTITUTE(LEFT(A149,_xlfn.AGGREGATE(16,6,FIND({0,1,2,3,4,5,6,7,8,9},A149,ROW(INDIRECT("1:"&amp;LEN(A149)))),1))," ",REPT(" ",LEN(A149))),LEN(A149))))))))+1, 1) * 10^ROW(INDIRECT("1:"&amp;LEN((--TRIM(RIGHT(SUBSTITUTE(LEFT(A149,_xlfn.AGGREGATE(16,6,FIND({0,1,2,3,4,5,6,7,8,9},A149,ROW(INDIRECT("1:"&amp;LEN(A149)))),1))," ",REPT(" ",LEN(A149))),LEN(A149)))))))/10))*100+1</f>
        <v>201 to 601</v>
      </c>
      <c r="B150" s="68"/>
      <c r="C150" s="41" t="s">
        <v>238</v>
      </c>
      <c r="D150" s="41">
        <f>(33.65)*10.764</f>
        <v>362.20859999999999</v>
      </c>
      <c r="E150" s="41">
        <v>0</v>
      </c>
      <c r="F150" s="41">
        <v>540</v>
      </c>
      <c r="G150" s="69" t="str">
        <f>A149</f>
        <v xml:space="preserve">2nd to 6th Floor </v>
      </c>
      <c r="H150" s="70"/>
    </row>
    <row r="151" spans="1:10" x14ac:dyDescent="0.25">
      <c r="A151" s="67" t="str">
        <f ca="1">(SUMPRODUCT(MID(0&amp;(LEFT(A150,SUM(LEN(A150)-LEN(SUBSTITUTE(A150,{"0","1","2"},""))))), LARGE(INDEX(ISNUMBER(--MID((LEFT(A150,SUM(LEN(A150)-LEN(SUBSTITUTE(A150,{"0","1","2"},""))))), ROW(INDIRECT("1:"&amp;LEN((LEFT(A150,SUM(LEN(A150)-LEN(SUBSTITUTE(A150,{"0","1","2"},"")))))))), 1)) * ROW(INDIRECT("1:"&amp;LEN((LEFT(A150,SUM(LEN(A150)-LEN(SUBSTITUTE(A150,{"0","1","2"},"")))))))), 0), ROW(INDIRECT("1:"&amp;LEN((LEFT(A150,SUM(LEN(A150)-LEN(SUBSTITUTE(A150,{"0","1","2"},"")))))))))+1, 1) * 10^ROW(INDIRECT("1:"&amp;LEN((LEFT(A150,SUM(LEN(A150)-LEN(SUBSTITUTE(A150,{"0","1","2"},""))))))))/10))*1+1&amp;""&amp;" to "&amp;""&amp;(SUMPRODUCT(MID(0&amp;(--TRIM(RIGHT(SUBSTITUTE(LEFT(A150,_xlfn.AGGREGATE(16,6,FIND({0,1,2,3,4,5,6,7,8,9},A150,ROW(INDIRECT("1:"&amp;LEN(A150)))),1))," ",REPT(" ",LEN(A150))),LEN(A150)))), LARGE(INDEX(ISNUMBER(--MID((--TRIM(RIGHT(SUBSTITUTE(LEFT(A150,_xlfn.AGGREGATE(16,6,FIND({0,1,2,3,4,5,6,7,8,9},A150,ROW(INDIRECT("1:"&amp;LEN(A150)))),1))," ",REPT(" ",LEN(A150))),LEN(A150)))), ROW(INDIRECT("1:"&amp;LEN((--TRIM(RIGHT(SUBSTITUTE(LEFT(A150,_xlfn.AGGREGATE(16,6,FIND({0,1,2,3,4,5,6,7,8,9},A150,ROW(INDIRECT("1:"&amp;LEN(A150)))),1))," ",REPT(" ",LEN(A150))),LEN(A150))))))), 1)) * ROW(INDIRECT("1:"&amp;LEN((--TRIM(RIGHT(SUBSTITUTE(LEFT(A150,_xlfn.AGGREGATE(16,6,FIND({0,1,2,3,4,5,6,7,8,9},A150,ROW(INDIRECT("1:"&amp;LEN(A150)))),1))," ",REPT(" ",LEN(A150))),LEN(A150))))))), 0), ROW(INDIRECT("1:"&amp;LEN((--TRIM(RIGHT(SUBSTITUTE(LEFT(A150,_xlfn.AGGREGATE(16,6,FIND({0,1,2,3,4,5,6,7,8,9},A150,ROW(INDIRECT("1:"&amp;LEN(A150)))),1))," ",REPT(" ",LEN(A150))),LEN(A150))))))))+1, 1) * 10^ROW(INDIRECT("1:"&amp;LEN((--TRIM(RIGHT(SUBSTITUTE(LEFT(A150,_xlfn.AGGREGATE(16,6,FIND({0,1,2,3,4,5,6,7,8,9},A150,ROW(INDIRECT("1:"&amp;LEN(A150)))),1))," ",REPT(" ",LEN(A150))),LEN(A150)))))))/10))*1+1</f>
        <v>202 to 602</v>
      </c>
      <c r="B151" s="68"/>
      <c r="C151" s="41" t="s">
        <v>238</v>
      </c>
      <c r="D151" s="41">
        <f>(33.55)*10.764</f>
        <v>361.13219999999995</v>
      </c>
      <c r="E151" s="41">
        <v>0</v>
      </c>
      <c r="F151" s="41">
        <v>545</v>
      </c>
      <c r="G151" s="71"/>
      <c r="H151" s="72"/>
    </row>
    <row r="152" spans="1:10" x14ac:dyDescent="0.25">
      <c r="A152" s="67" t="str">
        <f ca="1">(SUMPRODUCT(MID(0&amp;(LEFT(A151,SUM(LEN(A151)-LEN(SUBSTITUTE(A151,{"0","1","2"},""))))), LARGE(INDEX(ISNUMBER(--MID((LEFT(A151,SUM(LEN(A151)-LEN(SUBSTITUTE(A151,{"0","1","2"},""))))), ROW(INDIRECT("1:"&amp;LEN((LEFT(A151,SUM(LEN(A151)-LEN(SUBSTITUTE(A151,{"0","1","2"},"")))))))), 1)) * ROW(INDIRECT("1:"&amp;LEN((LEFT(A151,SUM(LEN(A151)-LEN(SUBSTITUTE(A151,{"0","1","2"},"")))))))), 0), ROW(INDIRECT("1:"&amp;LEN((LEFT(A151,SUM(LEN(A151)-LEN(SUBSTITUTE(A151,{"0","1","2"},"")))))))))+1, 1) * 10^ROW(INDIRECT("1:"&amp;LEN((LEFT(A151,SUM(LEN(A151)-LEN(SUBSTITUTE(A151,{"0","1","2"},""))))))))/10))*1+1&amp;""&amp;" to "&amp;""&amp;(SUMPRODUCT(MID(0&amp;(--TRIM(RIGHT(SUBSTITUTE(LEFT(A151,_xlfn.AGGREGATE(16,6,FIND({0,1,2,3,4,5,6,7,8,9},A151,ROW(INDIRECT("1:"&amp;LEN(A151)))),1))," ",REPT(" ",LEN(A151))),LEN(A151)))), LARGE(INDEX(ISNUMBER(--MID((--TRIM(RIGHT(SUBSTITUTE(LEFT(A151,_xlfn.AGGREGATE(16,6,FIND({0,1,2,3,4,5,6,7,8,9},A151,ROW(INDIRECT("1:"&amp;LEN(A151)))),1))," ",REPT(" ",LEN(A151))),LEN(A151)))), ROW(INDIRECT("1:"&amp;LEN((--TRIM(RIGHT(SUBSTITUTE(LEFT(A151,_xlfn.AGGREGATE(16,6,FIND({0,1,2,3,4,5,6,7,8,9},A151,ROW(INDIRECT("1:"&amp;LEN(A151)))),1))," ",REPT(" ",LEN(A151))),LEN(A151))))))), 1)) * ROW(INDIRECT("1:"&amp;LEN((--TRIM(RIGHT(SUBSTITUTE(LEFT(A151,_xlfn.AGGREGATE(16,6,FIND({0,1,2,3,4,5,6,7,8,9},A151,ROW(INDIRECT("1:"&amp;LEN(A151)))),1))," ",REPT(" ",LEN(A151))),LEN(A151))))))), 0), ROW(INDIRECT("1:"&amp;LEN((--TRIM(RIGHT(SUBSTITUTE(LEFT(A151,_xlfn.AGGREGATE(16,6,FIND({0,1,2,3,4,5,6,7,8,9},A151,ROW(INDIRECT("1:"&amp;LEN(A151)))),1))," ",REPT(" ",LEN(A151))),LEN(A151))))))))+1, 1) * 10^ROW(INDIRECT("1:"&amp;LEN((--TRIM(RIGHT(SUBSTITUTE(LEFT(A151,_xlfn.AGGREGATE(16,6,FIND({0,1,2,3,4,5,6,7,8,9},A151,ROW(INDIRECT("1:"&amp;LEN(A151)))),1))," ",REPT(" ",LEN(A151))),LEN(A151)))))))/10))*1+1</f>
        <v>203 to 603</v>
      </c>
      <c r="B152" s="68"/>
      <c r="C152" s="41" t="s">
        <v>238</v>
      </c>
      <c r="D152" s="41">
        <f>(33.55)*10.764</f>
        <v>361.13219999999995</v>
      </c>
      <c r="E152" s="41">
        <v>0</v>
      </c>
      <c r="F152" s="41">
        <v>540</v>
      </c>
      <c r="G152" s="71"/>
      <c r="H152" s="72"/>
    </row>
    <row r="153" spans="1:10" x14ac:dyDescent="0.25">
      <c r="A153" s="67" t="str">
        <f ca="1">(SUMPRODUCT(MID(0&amp;(LEFT(A152,SUM(LEN(A152)-LEN(SUBSTITUTE(A152,{"0","1","2"},""))))), LARGE(INDEX(ISNUMBER(--MID((LEFT(A152,SUM(LEN(A152)-LEN(SUBSTITUTE(A152,{"0","1","2"},""))))), ROW(INDIRECT("1:"&amp;LEN((LEFT(A152,SUM(LEN(A152)-LEN(SUBSTITUTE(A152,{"0","1","2"},"")))))))), 1)) * ROW(INDIRECT("1:"&amp;LEN((LEFT(A152,SUM(LEN(A152)-LEN(SUBSTITUTE(A152,{"0","1","2"},"")))))))), 0), ROW(INDIRECT("1:"&amp;LEN((LEFT(A152,SUM(LEN(A152)-LEN(SUBSTITUTE(A152,{"0","1","2"},"")))))))))+1, 1) * 10^ROW(INDIRECT("1:"&amp;LEN((LEFT(A152,SUM(LEN(A152)-LEN(SUBSTITUTE(A152,{"0","1","2"},""))))))))/10))*1+1&amp;""&amp;" to "&amp;""&amp;(SUMPRODUCT(MID(0&amp;(--TRIM(RIGHT(SUBSTITUTE(LEFT(A152,_xlfn.AGGREGATE(16,6,FIND({0,1,2,3,4,5,6,7,8,9},A152,ROW(INDIRECT("1:"&amp;LEN(A152)))),1))," ",REPT(" ",LEN(A152))),LEN(A152)))), LARGE(INDEX(ISNUMBER(--MID((--TRIM(RIGHT(SUBSTITUTE(LEFT(A152,_xlfn.AGGREGATE(16,6,FIND({0,1,2,3,4,5,6,7,8,9},A152,ROW(INDIRECT("1:"&amp;LEN(A152)))),1))," ",REPT(" ",LEN(A152))),LEN(A152)))), ROW(INDIRECT("1:"&amp;LEN((--TRIM(RIGHT(SUBSTITUTE(LEFT(A152,_xlfn.AGGREGATE(16,6,FIND({0,1,2,3,4,5,6,7,8,9},A152,ROW(INDIRECT("1:"&amp;LEN(A152)))),1))," ",REPT(" ",LEN(A152))),LEN(A152))))))), 1)) * ROW(INDIRECT("1:"&amp;LEN((--TRIM(RIGHT(SUBSTITUTE(LEFT(A152,_xlfn.AGGREGATE(16,6,FIND({0,1,2,3,4,5,6,7,8,9},A152,ROW(INDIRECT("1:"&amp;LEN(A152)))),1))," ",REPT(" ",LEN(A152))),LEN(A152))))))), 0), ROW(INDIRECT("1:"&amp;LEN((--TRIM(RIGHT(SUBSTITUTE(LEFT(A152,_xlfn.AGGREGATE(16,6,FIND({0,1,2,3,4,5,6,7,8,9},A152,ROW(INDIRECT("1:"&amp;LEN(A152)))),1))," ",REPT(" ",LEN(A152))),LEN(A152))))))))+1, 1) * 10^ROW(INDIRECT("1:"&amp;LEN((--TRIM(RIGHT(SUBSTITUTE(LEFT(A152,_xlfn.AGGREGATE(16,6,FIND({0,1,2,3,4,5,6,7,8,9},A152,ROW(INDIRECT("1:"&amp;LEN(A152)))),1))," ",REPT(" ",LEN(A152))),LEN(A152)))))))/10))*1+1</f>
        <v>204 to 604</v>
      </c>
      <c r="B153" s="68"/>
      <c r="C153" s="41" t="s">
        <v>238</v>
      </c>
      <c r="D153" s="41">
        <f>(33.55)*10.764</f>
        <v>361.13219999999995</v>
      </c>
      <c r="E153" s="41">
        <v>0</v>
      </c>
      <c r="F153" s="41">
        <v>540</v>
      </c>
      <c r="G153" s="71"/>
      <c r="H153" s="72"/>
    </row>
    <row r="154" spans="1:10" x14ac:dyDescent="0.25">
      <c r="A154" s="67" t="str">
        <f ca="1">(SUMPRODUCT(MID(0&amp;(LEFT(A153,SUM(LEN(A153)-LEN(SUBSTITUTE(A153,{"0","1","2"},""))))), LARGE(INDEX(ISNUMBER(--MID((LEFT(A153,SUM(LEN(A153)-LEN(SUBSTITUTE(A153,{"0","1","2"},""))))), ROW(INDIRECT("1:"&amp;LEN((LEFT(A153,SUM(LEN(A153)-LEN(SUBSTITUTE(A153,{"0","1","2"},"")))))))), 1)) * ROW(INDIRECT("1:"&amp;LEN((LEFT(A153,SUM(LEN(A153)-LEN(SUBSTITUTE(A153,{"0","1","2"},"")))))))), 0), ROW(INDIRECT("1:"&amp;LEN((LEFT(A153,SUM(LEN(A153)-LEN(SUBSTITUTE(A153,{"0","1","2"},"")))))))))+1, 1) * 10^ROW(INDIRECT("1:"&amp;LEN((LEFT(A153,SUM(LEN(A153)-LEN(SUBSTITUTE(A153,{"0","1","2"},""))))))))/10))*1+1&amp;""&amp;" to "&amp;""&amp;(SUMPRODUCT(MID(0&amp;(--TRIM(RIGHT(SUBSTITUTE(LEFT(A153,_xlfn.AGGREGATE(16,6,FIND({0,1,2,3,4,5,6,7,8,9},A153,ROW(INDIRECT("1:"&amp;LEN(A153)))),1))," ",REPT(" ",LEN(A153))),LEN(A153)))), LARGE(INDEX(ISNUMBER(--MID((--TRIM(RIGHT(SUBSTITUTE(LEFT(A153,_xlfn.AGGREGATE(16,6,FIND({0,1,2,3,4,5,6,7,8,9},A153,ROW(INDIRECT("1:"&amp;LEN(A153)))),1))," ",REPT(" ",LEN(A153))),LEN(A153)))), ROW(INDIRECT("1:"&amp;LEN((--TRIM(RIGHT(SUBSTITUTE(LEFT(A153,_xlfn.AGGREGATE(16,6,FIND({0,1,2,3,4,5,6,7,8,9},A153,ROW(INDIRECT("1:"&amp;LEN(A153)))),1))," ",REPT(" ",LEN(A153))),LEN(A153))))))), 1)) * ROW(INDIRECT("1:"&amp;LEN((--TRIM(RIGHT(SUBSTITUTE(LEFT(A153,_xlfn.AGGREGATE(16,6,FIND({0,1,2,3,4,5,6,7,8,9},A153,ROW(INDIRECT("1:"&amp;LEN(A153)))),1))," ",REPT(" ",LEN(A153))),LEN(A153))))))), 0), ROW(INDIRECT("1:"&amp;LEN((--TRIM(RIGHT(SUBSTITUTE(LEFT(A153,_xlfn.AGGREGATE(16,6,FIND({0,1,2,3,4,5,6,7,8,9},A153,ROW(INDIRECT("1:"&amp;LEN(A153)))),1))," ",REPT(" ",LEN(A153))),LEN(A153))))))))+1, 1) * 10^ROW(INDIRECT("1:"&amp;LEN((--TRIM(RIGHT(SUBSTITUTE(LEFT(A153,_xlfn.AGGREGATE(16,6,FIND({0,1,2,3,4,5,6,7,8,9},A153,ROW(INDIRECT("1:"&amp;LEN(A153)))),1))," ",REPT(" ",LEN(A153))),LEN(A153)))))))/10))*1+1</f>
        <v>205 to 605</v>
      </c>
      <c r="B154" s="68"/>
      <c r="C154" s="41" t="s">
        <v>238</v>
      </c>
      <c r="D154" s="41">
        <f>(33.55)*10.764</f>
        <v>361.13219999999995</v>
      </c>
      <c r="E154" s="41">
        <v>0</v>
      </c>
      <c r="F154" s="41">
        <v>540</v>
      </c>
      <c r="G154" s="71"/>
      <c r="H154" s="72"/>
    </row>
    <row r="155" spans="1:10" x14ac:dyDescent="0.25">
      <c r="A155" s="67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10^ROW(INDIRECT("1:"&amp;LEN((LEFT(A154,SUM(LEN(A154)-LEN(SUBSTITUTE(A154,{"0","1","2"},""))))))))/10))*1+1&amp;""&amp;" to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",LEN(A154))),LEN(A154)))))))/10))*1+1</f>
        <v>206 to 606</v>
      </c>
      <c r="B155" s="68"/>
      <c r="C155" s="41" t="s">
        <v>238</v>
      </c>
      <c r="D155" s="41">
        <f>(32.46)*10.764</f>
        <v>349.39943999999997</v>
      </c>
      <c r="E155" s="41">
        <v>0</v>
      </c>
      <c r="F155" s="41">
        <v>525</v>
      </c>
      <c r="G155" s="73"/>
      <c r="H155" s="74"/>
    </row>
    <row r="156" spans="1:10" ht="15" customHeight="1" x14ac:dyDescent="0.25">
      <c r="A156" s="102" t="s">
        <v>68</v>
      </c>
      <c r="B156" s="102"/>
      <c r="C156" s="102"/>
      <c r="D156" s="102"/>
      <c r="E156" s="102"/>
      <c r="F156" s="102"/>
      <c r="G156" s="102"/>
      <c r="H156" s="102"/>
    </row>
    <row r="157" spans="1:10" x14ac:dyDescent="0.25">
      <c r="A157" s="45" t="s">
        <v>148</v>
      </c>
      <c r="B157" s="61" t="s">
        <v>278</v>
      </c>
      <c r="C157" s="62"/>
      <c r="D157" s="62"/>
      <c r="E157" s="62"/>
      <c r="F157" s="62"/>
      <c r="G157" s="62"/>
      <c r="H157" s="63"/>
    </row>
    <row r="158" spans="1:10" x14ac:dyDescent="0.25">
      <c r="A158" s="45" t="s">
        <v>148</v>
      </c>
      <c r="B158" s="61" t="str">
        <f>(IF(F116="Saleable area Loading :","We have considered Saleable area of Flats as per our Calculation.","We considered Saleable area of Flat as per Builder area Sheet."))</f>
        <v>We considered Saleable area of Flat as per Builder area Sheet.</v>
      </c>
      <c r="C158" s="62"/>
      <c r="D158" s="62"/>
      <c r="E158" s="62"/>
      <c r="F158" s="62"/>
      <c r="G158" s="62"/>
      <c r="H158" s="63"/>
    </row>
    <row r="159" spans="1:10" x14ac:dyDescent="0.25">
      <c r="A159" s="45" t="s">
        <v>148</v>
      </c>
      <c r="B159" s="86" t="s">
        <v>120</v>
      </c>
      <c r="C159" s="87"/>
      <c r="D159" s="87"/>
      <c r="E159" s="87"/>
      <c r="F159" s="87"/>
      <c r="G159" s="87"/>
      <c r="H159" s="88"/>
    </row>
    <row r="160" spans="1:10" x14ac:dyDescent="0.25">
      <c r="A160" s="45" t="s">
        <v>148</v>
      </c>
      <c r="B160" s="86" t="s">
        <v>244</v>
      </c>
      <c r="C160" s="87"/>
      <c r="D160" s="87"/>
      <c r="E160" s="87"/>
      <c r="F160" s="87"/>
      <c r="G160" s="87"/>
      <c r="H160" s="88"/>
    </row>
    <row r="161" spans="1:8" x14ac:dyDescent="0.25">
      <c r="A161" s="45" t="s">
        <v>148</v>
      </c>
      <c r="B161" s="86" t="s">
        <v>147</v>
      </c>
      <c r="C161" s="87"/>
      <c r="D161" s="87"/>
      <c r="E161" s="87"/>
      <c r="F161" s="87"/>
      <c r="G161" s="87"/>
      <c r="H161" s="88"/>
    </row>
    <row r="162" spans="1:8" x14ac:dyDescent="0.25">
      <c r="A162" s="45" t="s">
        <v>148</v>
      </c>
      <c r="B162" s="86" t="s">
        <v>121</v>
      </c>
      <c r="C162" s="87"/>
      <c r="D162" s="87"/>
      <c r="E162" s="87"/>
      <c r="F162" s="87"/>
      <c r="G162" s="87"/>
      <c r="H162" s="88"/>
    </row>
    <row r="163" spans="1:8" ht="33" customHeight="1" x14ac:dyDescent="0.25">
      <c r="A163" s="45" t="s">
        <v>148</v>
      </c>
      <c r="B163" s="86" t="s">
        <v>149</v>
      </c>
      <c r="C163" s="87"/>
      <c r="D163" s="87"/>
      <c r="E163" s="87"/>
      <c r="F163" s="87"/>
      <c r="G163" s="87"/>
      <c r="H163" s="88"/>
    </row>
    <row r="164" spans="1:8" x14ac:dyDescent="0.25">
      <c r="A164" s="45" t="s">
        <v>148</v>
      </c>
      <c r="B164" s="86" t="s">
        <v>122</v>
      </c>
      <c r="C164" s="87"/>
      <c r="D164" s="87"/>
      <c r="E164" s="87"/>
      <c r="F164" s="87"/>
      <c r="G164" s="87"/>
      <c r="H164" s="88"/>
    </row>
    <row r="165" spans="1:8" x14ac:dyDescent="0.25">
      <c r="A165" s="45" t="s">
        <v>148</v>
      </c>
      <c r="B165" s="61" t="s">
        <v>271</v>
      </c>
      <c r="C165" s="62"/>
      <c r="D165" s="62"/>
      <c r="E165" s="62"/>
      <c r="F165" s="62"/>
      <c r="G165" s="62"/>
      <c r="H165" s="63"/>
    </row>
    <row r="166" spans="1:8" x14ac:dyDescent="0.25">
      <c r="A166" s="158" t="s">
        <v>61</v>
      </c>
      <c r="B166" s="158"/>
      <c r="C166" s="158"/>
      <c r="D166" s="158"/>
      <c r="E166" s="158"/>
      <c r="F166" s="158"/>
      <c r="G166" s="158"/>
      <c r="H166" s="158"/>
    </row>
    <row r="167" spans="1:8" x14ac:dyDescent="0.25">
      <c r="A167" s="81" t="s">
        <v>62</v>
      </c>
      <c r="B167" s="81"/>
      <c r="C167" s="81"/>
      <c r="D167" s="81"/>
      <c r="E167" s="81"/>
      <c r="F167" s="81"/>
      <c r="G167" s="81"/>
      <c r="H167" s="81"/>
    </row>
    <row r="168" spans="1:8" x14ac:dyDescent="0.25">
      <c r="A168" s="161" t="s">
        <v>63</v>
      </c>
      <c r="B168" s="161"/>
      <c r="C168" s="161"/>
      <c r="D168" s="161"/>
      <c r="E168" s="161"/>
      <c r="F168" s="161"/>
      <c r="G168" s="161"/>
      <c r="H168" s="161"/>
    </row>
    <row r="169" spans="1:8" x14ac:dyDescent="0.25">
      <c r="A169" s="81" t="s">
        <v>64</v>
      </c>
      <c r="B169" s="81"/>
      <c r="C169" s="81"/>
      <c r="D169" s="81"/>
      <c r="E169" s="81"/>
      <c r="F169" s="81"/>
      <c r="G169" s="81"/>
      <c r="H169" s="81"/>
    </row>
    <row r="170" spans="1:8" x14ac:dyDescent="0.25">
      <c r="A170" s="81" t="s">
        <v>65</v>
      </c>
      <c r="B170" s="81"/>
      <c r="C170" s="81"/>
      <c r="D170" s="81"/>
      <c r="E170" s="81"/>
      <c r="F170" s="81"/>
      <c r="G170" s="81"/>
      <c r="H170" s="81"/>
    </row>
    <row r="171" spans="1:8" x14ac:dyDescent="0.25">
      <c r="A171" s="81" t="s">
        <v>123</v>
      </c>
      <c r="B171" s="81"/>
      <c r="C171" s="81"/>
      <c r="D171" s="81"/>
      <c r="E171" s="81"/>
      <c r="F171" s="81"/>
      <c r="G171" s="81"/>
      <c r="H171" s="81"/>
    </row>
    <row r="172" spans="1:8" x14ac:dyDescent="0.25">
      <c r="A172" s="112" t="s">
        <v>124</v>
      </c>
      <c r="B172" s="112"/>
      <c r="C172" s="112"/>
      <c r="D172" s="112"/>
      <c r="E172" s="112"/>
      <c r="F172" s="112"/>
      <c r="G172" s="112"/>
      <c r="H172" s="112"/>
    </row>
    <row r="173" spans="1:8" x14ac:dyDescent="0.25">
      <c r="A173" s="156" t="s">
        <v>76</v>
      </c>
      <c r="B173" s="156"/>
      <c r="C173" s="156" t="s">
        <v>277</v>
      </c>
      <c r="D173" s="156"/>
      <c r="E173" s="156" t="s">
        <v>105</v>
      </c>
      <c r="F173" s="156"/>
      <c r="G173" s="156" t="s">
        <v>276</v>
      </c>
      <c r="H173" s="156"/>
    </row>
    <row r="174" spans="1:8" x14ac:dyDescent="0.25">
      <c r="A174" s="155" t="s">
        <v>78</v>
      </c>
      <c r="B174" s="155"/>
      <c r="C174" s="155"/>
      <c r="D174" s="155"/>
      <c r="E174" s="155"/>
      <c r="F174" s="155"/>
      <c r="G174" s="155"/>
      <c r="H174" s="155"/>
    </row>
    <row r="175" spans="1:8" x14ac:dyDescent="0.25">
      <c r="A175" s="155"/>
      <c r="B175" s="155"/>
      <c r="C175" s="155"/>
      <c r="D175" s="155"/>
      <c r="E175" s="155"/>
      <c r="F175" s="155"/>
      <c r="G175" s="155"/>
      <c r="H175" s="155"/>
    </row>
    <row r="176" spans="1:8" x14ac:dyDescent="0.25">
      <c r="A176" s="155"/>
      <c r="B176" s="155"/>
      <c r="C176" s="155"/>
      <c r="D176" s="155"/>
      <c r="E176" s="155"/>
      <c r="F176" s="155"/>
      <c r="G176" s="155"/>
      <c r="H176" s="155"/>
    </row>
    <row r="177" spans="1:8" x14ac:dyDescent="0.25">
      <c r="A177" s="155"/>
      <c r="B177" s="155"/>
      <c r="C177" s="155"/>
      <c r="D177" s="155"/>
      <c r="E177" s="155"/>
      <c r="F177" s="155"/>
      <c r="G177" s="155"/>
      <c r="H177" s="155"/>
    </row>
    <row r="178" spans="1:8" x14ac:dyDescent="0.25">
      <c r="A178" s="37" t="s">
        <v>66</v>
      </c>
      <c r="B178" s="38"/>
      <c r="C178" s="38"/>
      <c r="D178" s="37" t="str">
        <f>E8</f>
        <v>Krushna Riverside</v>
      </c>
      <c r="F178" s="38"/>
      <c r="G178" s="38"/>
      <c r="H178" s="38"/>
    </row>
    <row r="179" spans="1:8" x14ac:dyDescent="0.25">
      <c r="A179" s="38"/>
      <c r="B179" s="38"/>
      <c r="C179" s="38"/>
      <c r="D179" s="38"/>
      <c r="E179" s="38"/>
      <c r="F179" s="38"/>
      <c r="G179" s="38"/>
      <c r="H179" s="38"/>
    </row>
    <row r="180" spans="1:8" x14ac:dyDescent="0.25">
      <c r="A180" s="38"/>
      <c r="B180" s="38"/>
      <c r="C180" s="38"/>
      <c r="D180" s="38"/>
      <c r="E180" s="38"/>
      <c r="F180" s="38"/>
      <c r="G180" s="38"/>
      <c r="H180" s="38"/>
    </row>
    <row r="210" spans="10:10" x14ac:dyDescent="0.25">
      <c r="J210" s="20" t="s">
        <v>272</v>
      </c>
    </row>
    <row r="220" spans="10:10" hidden="1" x14ac:dyDescent="0.25"/>
    <row r="221" spans="10:10" hidden="1" x14ac:dyDescent="0.25"/>
    <row r="222" spans="10:10" hidden="1" x14ac:dyDescent="0.25"/>
    <row r="223" spans="10:10" hidden="1" x14ac:dyDescent="0.25"/>
    <row r="224" spans="10:10" hidden="1" x14ac:dyDescent="0.25"/>
    <row r="225" spans="1:1" hidden="1" x14ac:dyDescent="0.25"/>
    <row r="227" spans="1:1" x14ac:dyDescent="0.25">
      <c r="A227" s="40" t="s">
        <v>158</v>
      </c>
    </row>
    <row r="261" spans="1:1" hidden="1" x14ac:dyDescent="0.25"/>
    <row r="262" spans="1:1" hidden="1" x14ac:dyDescent="0.25"/>
    <row r="263" spans="1:1" hidden="1" x14ac:dyDescent="0.25"/>
    <row r="264" spans="1:1" hidden="1" x14ac:dyDescent="0.25"/>
    <row r="265" spans="1:1" hidden="1" x14ac:dyDescent="0.25"/>
    <row r="266" spans="1:1" hidden="1" x14ac:dyDescent="0.25"/>
    <row r="267" spans="1:1" hidden="1" x14ac:dyDescent="0.25"/>
    <row r="268" spans="1:1" hidden="1" x14ac:dyDescent="0.25"/>
    <row r="269" spans="1:1" x14ac:dyDescent="0.25">
      <c r="A269" s="40" t="s">
        <v>67</v>
      </c>
    </row>
  </sheetData>
  <mergeCells count="295">
    <mergeCell ref="I10:L10"/>
    <mergeCell ref="I14:P14"/>
    <mergeCell ref="F33:H33"/>
    <mergeCell ref="A15:B15"/>
    <mergeCell ref="C15:H15"/>
    <mergeCell ref="C16:H16"/>
    <mergeCell ref="A17:B17"/>
    <mergeCell ref="C17:H17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41:D41"/>
    <mergeCell ref="E41:H41"/>
    <mergeCell ref="A40:H40"/>
    <mergeCell ref="A50:B50"/>
    <mergeCell ref="A54:H54"/>
    <mergeCell ref="A51:B51"/>
    <mergeCell ref="A52:B52"/>
    <mergeCell ref="C51:E51"/>
    <mergeCell ref="A53:B53"/>
    <mergeCell ref="C53:E53"/>
    <mergeCell ref="E42:H42"/>
    <mergeCell ref="A42:D42"/>
    <mergeCell ref="F100:H100"/>
    <mergeCell ref="E84:F84"/>
    <mergeCell ref="G84:H84"/>
    <mergeCell ref="A101:E101"/>
    <mergeCell ref="F101:H101"/>
    <mergeCell ref="A115:H115"/>
    <mergeCell ref="C110:D110"/>
    <mergeCell ref="A113:B113"/>
    <mergeCell ref="C113:D113"/>
    <mergeCell ref="A91:B91"/>
    <mergeCell ref="F106:H106"/>
    <mergeCell ref="F104:H104"/>
    <mergeCell ref="A100:E100"/>
    <mergeCell ref="A94:B94"/>
    <mergeCell ref="E113:F113"/>
    <mergeCell ref="A104:E104"/>
    <mergeCell ref="F98:H98"/>
    <mergeCell ref="A103:E103"/>
    <mergeCell ref="F105:H105"/>
    <mergeCell ref="F103:H103"/>
    <mergeCell ref="F95:H95"/>
    <mergeCell ref="E112:F112"/>
    <mergeCell ref="A174:H177"/>
    <mergeCell ref="A173:B173"/>
    <mergeCell ref="E173:F173"/>
    <mergeCell ref="C173:D173"/>
    <mergeCell ref="G173:H173"/>
    <mergeCell ref="A107:E107"/>
    <mergeCell ref="F107:H107"/>
    <mergeCell ref="A108:E108"/>
    <mergeCell ref="F108:H108"/>
    <mergeCell ref="A119:H119"/>
    <mergeCell ref="A111:B111"/>
    <mergeCell ref="A169:H169"/>
    <mergeCell ref="A109:H109"/>
    <mergeCell ref="A172:H172"/>
    <mergeCell ref="A170:H170"/>
    <mergeCell ref="A166:H166"/>
    <mergeCell ref="G110:H110"/>
    <mergeCell ref="A114:H114"/>
    <mergeCell ref="B157:H157"/>
    <mergeCell ref="B158:H158"/>
    <mergeCell ref="A171:H171"/>
    <mergeCell ref="A168:H168"/>
    <mergeCell ref="A120:B120"/>
    <mergeCell ref="A110:B110"/>
    <mergeCell ref="A167:H167"/>
    <mergeCell ref="E110:F110"/>
    <mergeCell ref="B164:H164"/>
    <mergeCell ref="B162:H162"/>
    <mergeCell ref="A10:D10"/>
    <mergeCell ref="E10:H10"/>
    <mergeCell ref="A22:D23"/>
    <mergeCell ref="E22:H23"/>
    <mergeCell ref="E14:H14"/>
    <mergeCell ref="A46:D46"/>
    <mergeCell ref="A47:H47"/>
    <mergeCell ref="D57:H57"/>
    <mergeCell ref="A57:C57"/>
    <mergeCell ref="G50:H50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A102:E10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2:D12"/>
    <mergeCell ref="E12:H12"/>
    <mergeCell ref="A11:D11"/>
    <mergeCell ref="E11:H11"/>
    <mergeCell ref="A16:B16"/>
    <mergeCell ref="A13:D13"/>
    <mergeCell ref="E13:H13"/>
    <mergeCell ref="A14:D1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4:H34"/>
    <mergeCell ref="L118:M118"/>
    <mergeCell ref="A38:B38"/>
    <mergeCell ref="C38:H38"/>
    <mergeCell ref="A45:D45"/>
    <mergeCell ref="A78:B78"/>
    <mergeCell ref="C111:D111"/>
    <mergeCell ref="E111:F111"/>
    <mergeCell ref="G111:H111"/>
    <mergeCell ref="F102:H102"/>
    <mergeCell ref="A96:E96"/>
    <mergeCell ref="A85:B85"/>
    <mergeCell ref="E71:F80"/>
    <mergeCell ref="G71:H80"/>
    <mergeCell ref="A79:B79"/>
    <mergeCell ref="A80:B80"/>
    <mergeCell ref="A84:B84"/>
    <mergeCell ref="D61:H61"/>
    <mergeCell ref="A43:D43"/>
    <mergeCell ref="E43:H43"/>
    <mergeCell ref="E44:H44"/>
    <mergeCell ref="E45:H45"/>
    <mergeCell ref="E46:H46"/>
    <mergeCell ref="A44:D44"/>
    <mergeCell ref="C69:H69"/>
    <mergeCell ref="A74:B74"/>
    <mergeCell ref="E70:F70"/>
    <mergeCell ref="A83:B83"/>
    <mergeCell ref="C83:H83"/>
    <mergeCell ref="A64:C64"/>
    <mergeCell ref="A89:B89"/>
    <mergeCell ref="A90:B90"/>
    <mergeCell ref="D66:H66"/>
    <mergeCell ref="D65:H65"/>
    <mergeCell ref="E85:F94"/>
    <mergeCell ref="A92:B92"/>
    <mergeCell ref="A93:B93"/>
    <mergeCell ref="A81:B81"/>
    <mergeCell ref="C81:H81"/>
    <mergeCell ref="A76:B76"/>
    <mergeCell ref="D64:H64"/>
    <mergeCell ref="A65:C65"/>
    <mergeCell ref="A66:C66"/>
    <mergeCell ref="F36:H36"/>
    <mergeCell ref="A39:B39"/>
    <mergeCell ref="C39:H39"/>
    <mergeCell ref="C50:E50"/>
    <mergeCell ref="G53:H53"/>
    <mergeCell ref="A55:C55"/>
    <mergeCell ref="A56:C56"/>
    <mergeCell ref="D56:H56"/>
    <mergeCell ref="A72:B72"/>
    <mergeCell ref="A49:B49"/>
    <mergeCell ref="C49:E49"/>
    <mergeCell ref="G49:H49"/>
    <mergeCell ref="G51:H51"/>
    <mergeCell ref="A58:C59"/>
    <mergeCell ref="D58:H58"/>
    <mergeCell ref="D59:H59"/>
    <mergeCell ref="D55:H55"/>
    <mergeCell ref="A63:C63"/>
    <mergeCell ref="D63:H63"/>
    <mergeCell ref="D60:H60"/>
    <mergeCell ref="C52:H52"/>
    <mergeCell ref="A37:H37"/>
    <mergeCell ref="A36:B36"/>
    <mergeCell ref="C36:E36"/>
    <mergeCell ref="B163:H163"/>
    <mergeCell ref="A48:B48"/>
    <mergeCell ref="C48:H48"/>
    <mergeCell ref="B161:H161"/>
    <mergeCell ref="G85:H94"/>
    <mergeCell ref="A86:B86"/>
    <mergeCell ref="A87:B87"/>
    <mergeCell ref="A88:B88"/>
    <mergeCell ref="F97:H97"/>
    <mergeCell ref="A97:E97"/>
    <mergeCell ref="A99:E99"/>
    <mergeCell ref="A98:E98"/>
    <mergeCell ref="A95:E95"/>
    <mergeCell ref="F99:H99"/>
    <mergeCell ref="B159:H159"/>
    <mergeCell ref="B160:H160"/>
    <mergeCell ref="A156:H156"/>
    <mergeCell ref="A130:B130"/>
    <mergeCell ref="A131:B131"/>
    <mergeCell ref="A60:C60"/>
    <mergeCell ref="A61:C61"/>
    <mergeCell ref="F96:H96"/>
    <mergeCell ref="A143:B143"/>
    <mergeCell ref="A144:B144"/>
    <mergeCell ref="A145:B145"/>
    <mergeCell ref="A125:B125"/>
    <mergeCell ref="A132:B132"/>
    <mergeCell ref="A140:H140"/>
    <mergeCell ref="A141:H141"/>
    <mergeCell ref="A142:H142"/>
    <mergeCell ref="G120:H125"/>
    <mergeCell ref="A127:B127"/>
    <mergeCell ref="A126:H126"/>
    <mergeCell ref="A128:B128"/>
    <mergeCell ref="A129:B129"/>
    <mergeCell ref="A118:H118"/>
    <mergeCell ref="G116:H116"/>
    <mergeCell ref="A105:E105"/>
    <mergeCell ref="A123:B123"/>
    <mergeCell ref="A124:B124"/>
    <mergeCell ref="A121:B121"/>
    <mergeCell ref="A122:B122"/>
    <mergeCell ref="A106:E106"/>
    <mergeCell ref="G113:H113"/>
    <mergeCell ref="G112:H112"/>
    <mergeCell ref="A117:H117"/>
    <mergeCell ref="A112:B112"/>
    <mergeCell ref="C112:D112"/>
    <mergeCell ref="A146:B146"/>
    <mergeCell ref="A147:B147"/>
    <mergeCell ref="B165:H165"/>
    <mergeCell ref="A71:B71"/>
    <mergeCell ref="G70:H70"/>
    <mergeCell ref="A153:B153"/>
    <mergeCell ref="A154:B154"/>
    <mergeCell ref="A155:B155"/>
    <mergeCell ref="G150:H155"/>
    <mergeCell ref="G143:H148"/>
    <mergeCell ref="G127:H132"/>
    <mergeCell ref="A133:H133"/>
    <mergeCell ref="A134:B134"/>
    <mergeCell ref="G134:H139"/>
    <mergeCell ref="A135:B135"/>
    <mergeCell ref="A136:B136"/>
    <mergeCell ref="A137:B137"/>
    <mergeCell ref="A138:B138"/>
    <mergeCell ref="A139:B139"/>
    <mergeCell ref="A148:B148"/>
    <mergeCell ref="A149:H149"/>
    <mergeCell ref="A150:B150"/>
    <mergeCell ref="A151:B151"/>
    <mergeCell ref="A152:B152"/>
  </mergeCells>
  <dataValidations count="10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G173:H173" xr:uid="{00000000-0002-0000-0000-000003000000}">
      <formula1>"Gaurav Panchal,Kunal Kadam,Shruti Tathare,Pranita Mhatre,Shruti Fule,Pooja Kawale,Mansee Mohite,Anjali Kamble, Hitakshi Mhatre, Sachin Sawant"</formula1>
    </dataValidation>
    <dataValidation type="list" allowBlank="1" showInputMessage="1" showErrorMessage="1" sqref="F95:H95" xr:uid="{00000000-0002-0000-0000-000004000000}">
      <formula1>"On Saleable Area,On Builtup Area,On Carpet Area,On Plot Area"</formula1>
    </dataValidation>
    <dataValidation type="list" allowBlank="1" showInputMessage="1" showErrorMessage="1" sqref="F107:H107" xr:uid="{00000000-0002-0000-0000-000005000000}">
      <formula1>"100000,150000,200000,250000,300000,350000,400000,500000,600000,700000,800000,900000,1000000,1200000,1400000,1500000"</formula1>
    </dataValidation>
    <dataValidation type="list" allowBlank="1" showInputMessage="1" showErrorMessage="1" sqref="F116" xr:uid="{00000000-0002-0000-0000-000006000000}">
      <formula1>"Saleable area Loading :,Builder Saleable area"</formula1>
    </dataValidation>
    <dataValidation type="list" allowBlank="1" showInputMessage="1" showErrorMessage="1" sqref="B116" xr:uid="{00000000-0002-0000-0000-000007000000}">
      <formula1>"Flat No. (Sale Plan),Sale / Rehab,Sale / Mhada"</formula1>
    </dataValidation>
    <dataValidation type="list" allowBlank="1" showInputMessage="1" showErrorMessage="1" sqref="C20:D20" xr:uid="{00000000-0002-0000-0000-000008000000}">
      <formula1>OFFSET($S$12,1,MATCH($G19,$S$12:$W$12,0)-1,15,1)</formula1>
    </dataValidation>
    <dataValidation type="list" allowBlank="1" showInputMessage="1" showErrorMessage="1" sqref="Y12" xr:uid="{00000000-0002-0000-0000-000009000000}">
      <formula1>$D$4:$H$4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6" max="16383" man="1"/>
    <brk id="155" max="16383" man="1"/>
    <brk id="177" max="7" man="1"/>
    <brk id="225" max="7" man="1"/>
    <brk id="268" max="7" man="1"/>
  </rowBreaks>
  <colBreaks count="1" manualBreakCount="1">
    <brk id="8" max="1048575" man="1"/>
  </col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6" t="s">
        <v>106</v>
      </c>
      <c r="C3" s="176"/>
      <c r="D3" s="176"/>
      <c r="E3" s="176"/>
      <c r="F3" s="176"/>
      <c r="G3" s="176"/>
      <c r="H3" s="176"/>
    </row>
    <row r="4" spans="1:9" x14ac:dyDescent="0.25">
      <c r="A4" s="2"/>
      <c r="B4" s="3" t="s">
        <v>107</v>
      </c>
      <c r="C4" s="3" t="s">
        <v>108</v>
      </c>
      <c r="D4" s="3" t="s">
        <v>69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2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53"/>
      <c r="C4" s="53" t="s">
        <v>12</v>
      </c>
      <c r="D4" s="54" t="s">
        <v>169</v>
      </c>
      <c r="E4" s="54" t="s">
        <v>179</v>
      </c>
      <c r="F4" s="54" t="s">
        <v>165</v>
      </c>
      <c r="G4" s="54" t="s">
        <v>184</v>
      </c>
      <c r="H4" s="54" t="s">
        <v>202</v>
      </c>
      <c r="J4" t="s">
        <v>184</v>
      </c>
      <c r="K4" t="s">
        <v>200</v>
      </c>
    </row>
    <row r="5" spans="2:11" x14ac:dyDescent="0.25">
      <c r="B5" s="53"/>
      <c r="C5" s="53"/>
      <c r="D5" s="54" t="s">
        <v>170</v>
      </c>
      <c r="E5" s="54" t="s">
        <v>177</v>
      </c>
      <c r="F5" s="54" t="s">
        <v>199</v>
      </c>
      <c r="G5" s="54" t="s">
        <v>185</v>
      </c>
      <c r="H5" s="54" t="s">
        <v>203</v>
      </c>
    </row>
    <row r="6" spans="2:11" x14ac:dyDescent="0.25">
      <c r="B6" s="53"/>
      <c r="C6" s="53"/>
      <c r="D6" s="54" t="s">
        <v>171</v>
      </c>
      <c r="E6" s="54" t="s">
        <v>178</v>
      </c>
      <c r="F6" s="54" t="s">
        <v>200</v>
      </c>
      <c r="G6" s="54" t="s">
        <v>186</v>
      </c>
      <c r="H6" s="54" t="s">
        <v>216</v>
      </c>
    </row>
    <row r="7" spans="2:11" x14ac:dyDescent="0.25">
      <c r="B7" s="53"/>
      <c r="C7" s="53"/>
      <c r="D7" s="54" t="s">
        <v>172</v>
      </c>
      <c r="E7" s="54" t="s">
        <v>180</v>
      </c>
      <c r="F7" s="54" t="s">
        <v>201</v>
      </c>
      <c r="G7" s="54" t="s">
        <v>187</v>
      </c>
      <c r="H7" s="54" t="s">
        <v>204</v>
      </c>
    </row>
    <row r="8" spans="2:11" x14ac:dyDescent="0.25">
      <c r="B8" s="53"/>
      <c r="C8" s="53"/>
      <c r="D8" s="54" t="s">
        <v>173</v>
      </c>
      <c r="E8" s="54" t="s">
        <v>181</v>
      </c>
      <c r="F8" s="54"/>
      <c r="G8" s="54" t="s">
        <v>188</v>
      </c>
      <c r="H8" s="54" t="s">
        <v>205</v>
      </c>
    </row>
    <row r="9" spans="2:11" x14ac:dyDescent="0.25">
      <c r="B9" s="53"/>
      <c r="C9" s="53"/>
      <c r="D9" s="54" t="s">
        <v>174</v>
      </c>
      <c r="E9" s="54" t="s">
        <v>179</v>
      </c>
      <c r="F9" s="54"/>
      <c r="G9" s="54" t="s">
        <v>189</v>
      </c>
      <c r="H9" s="54" t="s">
        <v>206</v>
      </c>
    </row>
    <row r="10" spans="2:11" x14ac:dyDescent="0.25">
      <c r="B10" s="53"/>
      <c r="C10" s="53"/>
      <c r="D10" s="54" t="s">
        <v>175</v>
      </c>
      <c r="E10" s="54" t="s">
        <v>182</v>
      </c>
      <c r="F10" s="54"/>
      <c r="G10" s="54" t="s">
        <v>190</v>
      </c>
      <c r="H10" s="54" t="s">
        <v>207</v>
      </c>
    </row>
    <row r="11" spans="2:11" x14ac:dyDescent="0.25">
      <c r="B11" s="53"/>
      <c r="C11" s="53"/>
      <c r="D11" s="54" t="s">
        <v>176</v>
      </c>
      <c r="E11" s="54" t="s">
        <v>183</v>
      </c>
      <c r="F11" s="54"/>
      <c r="G11" s="54" t="s">
        <v>191</v>
      </c>
      <c r="H11" s="54" t="s">
        <v>208</v>
      </c>
    </row>
    <row r="12" spans="2:11" x14ac:dyDescent="0.25">
      <c r="B12" s="53"/>
      <c r="C12" s="53"/>
      <c r="D12" s="54"/>
      <c r="E12" s="54"/>
      <c r="F12" s="54"/>
      <c r="G12" s="54" t="s">
        <v>192</v>
      </c>
      <c r="H12" s="54" t="s">
        <v>209</v>
      </c>
    </row>
    <row r="13" spans="2:11" x14ac:dyDescent="0.25">
      <c r="B13" s="53"/>
      <c r="C13" s="53"/>
      <c r="D13" s="54"/>
      <c r="E13" s="54"/>
      <c r="F13" s="54"/>
      <c r="G13" s="54" t="s">
        <v>193</v>
      </c>
      <c r="H13" s="54" t="s">
        <v>210</v>
      </c>
    </row>
    <row r="14" spans="2:11" x14ac:dyDescent="0.25">
      <c r="B14" s="53"/>
      <c r="C14" s="53"/>
      <c r="D14" s="54"/>
      <c r="E14" s="54"/>
      <c r="F14" s="54"/>
      <c r="G14" s="54" t="s">
        <v>194</v>
      </c>
      <c r="H14" s="54" t="s">
        <v>211</v>
      </c>
    </row>
    <row r="15" spans="2:11" x14ac:dyDescent="0.25">
      <c r="B15" s="53"/>
      <c r="C15" s="53"/>
      <c r="D15" s="54"/>
      <c r="E15" s="54"/>
      <c r="F15" s="54"/>
      <c r="G15" s="54" t="s">
        <v>195</v>
      </c>
      <c r="H15" s="54" t="s">
        <v>212</v>
      </c>
    </row>
    <row r="16" spans="2:11" x14ac:dyDescent="0.25">
      <c r="B16" s="53"/>
      <c r="C16" s="53"/>
      <c r="D16" s="54"/>
      <c r="E16" s="54"/>
      <c r="F16" s="54"/>
      <c r="G16" s="54" t="s">
        <v>196</v>
      </c>
      <c r="H16" s="54" t="s">
        <v>213</v>
      </c>
    </row>
    <row r="17" spans="2:8" x14ac:dyDescent="0.25">
      <c r="B17" s="53"/>
      <c r="C17" s="53"/>
      <c r="D17" s="54"/>
      <c r="E17" s="54"/>
      <c r="F17" s="54"/>
      <c r="G17" s="54" t="s">
        <v>197</v>
      </c>
      <c r="H17" s="54" t="s">
        <v>214</v>
      </c>
    </row>
    <row r="18" spans="2:8" x14ac:dyDescent="0.25">
      <c r="B18" s="53"/>
      <c r="C18" s="53"/>
      <c r="D18" s="54"/>
      <c r="E18" s="54"/>
      <c r="F18" s="54"/>
      <c r="G18" s="54" t="s">
        <v>198</v>
      </c>
      <c r="H18" s="54" t="s">
        <v>215</v>
      </c>
    </row>
    <row r="24" spans="2:8" x14ac:dyDescent="0.25">
      <c r="C24" t="s">
        <v>163</v>
      </c>
    </row>
    <row r="25" spans="2:8" x14ac:dyDescent="0.25">
      <c r="C25" t="s">
        <v>217</v>
      </c>
    </row>
    <row r="26" spans="2:8" x14ac:dyDescent="0.25">
      <c r="C26" t="s">
        <v>218</v>
      </c>
    </row>
    <row r="27" spans="2:8" x14ac:dyDescent="0.25">
      <c r="C27" t="s">
        <v>219</v>
      </c>
    </row>
    <row r="28" spans="2:8" x14ac:dyDescent="0.25">
      <c r="C28" t="s">
        <v>220</v>
      </c>
    </row>
    <row r="29" spans="2:8" x14ac:dyDescent="0.25">
      <c r="C29" t="s">
        <v>221</v>
      </c>
    </row>
    <row r="30" spans="2:8" x14ac:dyDescent="0.25">
      <c r="C30" t="s">
        <v>163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2025-09-10T06:00:20Z</cp:lastPrinted>
  <dcterms:created xsi:type="dcterms:W3CDTF">2019-07-16T09:29:46Z</dcterms:created>
  <dcterms:modified xsi:type="dcterms:W3CDTF">2025-09-10T06:04:42Z</dcterms:modified>
</cp:coreProperties>
</file>