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24139798-98AB-4ABF-ABCF-2146765A6F03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1" l="1"/>
  <c r="D163" i="1"/>
  <c r="D162" i="1"/>
  <c r="D161" i="1"/>
  <c r="D159" i="1"/>
  <c r="D158" i="1"/>
  <c r="D157" i="1"/>
  <c r="D155" i="1"/>
  <c r="D152" i="1" l="1"/>
  <c r="D151" i="1"/>
  <c r="D150" i="1"/>
  <c r="D149" i="1"/>
  <c r="D147" i="1"/>
  <c r="D146" i="1"/>
  <c r="D145" i="1"/>
  <c r="D144" i="1"/>
  <c r="D143" i="1"/>
  <c r="D137" i="1" l="1"/>
  <c r="D135" i="1"/>
  <c r="D134" i="1"/>
  <c r="D132" i="1"/>
  <c r="D131" i="1"/>
  <c r="I131" i="1"/>
  <c r="E112" i="1" l="1"/>
  <c r="K131" i="1"/>
  <c r="G49" i="1"/>
  <c r="C112" i="1" l="1"/>
  <c r="C76" i="1"/>
  <c r="F164" i="1" l="1"/>
  <c r="F162" i="1"/>
  <c r="F161" i="1"/>
  <c r="F159" i="1"/>
  <c r="F157" i="1"/>
  <c r="D156" i="1"/>
  <c r="F155" i="1"/>
  <c r="F151" i="1"/>
  <c r="F150" i="1"/>
  <c r="F149" i="1"/>
  <c r="F137" i="1"/>
  <c r="K132" i="1"/>
  <c r="C49" i="1"/>
  <c r="F163" i="1"/>
  <c r="A162" i="1"/>
  <c r="A163" i="1" s="1"/>
  <c r="A164" i="1" s="1"/>
  <c r="A165" i="1" s="1"/>
  <c r="G161" i="1"/>
  <c r="F158" i="1"/>
  <c r="A156" i="1"/>
  <c r="A157" i="1" s="1"/>
  <c r="A158" i="1" s="1"/>
  <c r="A159" i="1" s="1"/>
  <c r="G155" i="1"/>
  <c r="F152" i="1"/>
  <c r="A150" i="1"/>
  <c r="A151" i="1" s="1"/>
  <c r="A152" i="1" s="1"/>
  <c r="A153" i="1" s="1"/>
  <c r="G149" i="1"/>
  <c r="A138" i="1"/>
  <c r="G137" i="1"/>
  <c r="F156" i="1" l="1"/>
  <c r="E113" i="1"/>
  <c r="E114" i="1" s="1"/>
  <c r="C113" i="1"/>
  <c r="C114" i="1" s="1"/>
  <c r="F134" i="1"/>
  <c r="F135" i="1"/>
  <c r="A135" i="1"/>
  <c r="G134" i="1"/>
  <c r="J134" i="1" l="1"/>
  <c r="K134" i="1"/>
  <c r="J135" i="1"/>
  <c r="I135" i="1"/>
  <c r="C14" i="1"/>
  <c r="E29" i="1" l="1"/>
  <c r="F132" i="1" l="1"/>
  <c r="F131" i="1"/>
  <c r="M131" i="1" s="1"/>
  <c r="A132" i="1"/>
  <c r="G131" i="1"/>
  <c r="J132" i="1" l="1"/>
  <c r="L132" i="1"/>
  <c r="G112" i="1"/>
  <c r="J131" i="1"/>
  <c r="L131" i="1"/>
  <c r="F104" i="1"/>
  <c r="F121" i="1" l="1"/>
  <c r="F122" i="1"/>
  <c r="F123" i="1"/>
  <c r="F120" i="1"/>
  <c r="B168" i="1" l="1"/>
  <c r="F147" i="1" l="1"/>
  <c r="F146" i="1"/>
  <c r="F144" i="1"/>
  <c r="F143" i="1"/>
  <c r="F145" i="1"/>
  <c r="G113" i="1" l="1"/>
  <c r="G114" i="1" s="1"/>
  <c r="B16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9" i="1"/>
  <c r="G143" i="1"/>
  <c r="A144" i="1"/>
  <c r="A145" i="1" s="1"/>
  <c r="A146" i="1" s="1"/>
  <c r="A147" i="1" s="1"/>
  <c r="A121" i="1"/>
  <c r="A122" i="1" s="1"/>
  <c r="A123" i="1" s="1"/>
  <c r="G120" i="1"/>
  <c r="G121" i="1" s="1"/>
  <c r="G122" i="1" s="1"/>
  <c r="G123" i="1" s="1"/>
  <c r="J94" i="1"/>
  <c r="J93" i="1"/>
  <c r="J92" i="1"/>
  <c r="J91" i="1"/>
  <c r="C83" i="1"/>
  <c r="J80" i="1"/>
  <c r="J79" i="1"/>
  <c r="J78" i="1"/>
  <c r="J77" i="1"/>
  <c r="C68" i="1"/>
  <c r="D55" i="1"/>
  <c r="E42" i="1"/>
  <c r="E43" i="1" s="1"/>
  <c r="E26" i="1"/>
  <c r="E24" i="1"/>
  <c r="E7" i="1"/>
  <c r="E3" i="1"/>
  <c r="H84" i="1"/>
  <c r="H69" i="1"/>
  <c r="D62" i="1" l="1"/>
  <c r="D94" i="1"/>
  <c r="D95" i="1"/>
  <c r="D96" i="1"/>
  <c r="D90" i="1"/>
  <c r="D91" i="1"/>
  <c r="D92" i="1"/>
  <c r="D93" i="1"/>
  <c r="J83" i="1"/>
  <c r="J85" i="1" s="1"/>
  <c r="D82" i="1"/>
  <c r="D80" i="1"/>
  <c r="D79" i="1"/>
  <c r="D78" i="1"/>
  <c r="D76" i="1"/>
  <c r="J68" i="1"/>
  <c r="D81" i="1"/>
  <c r="D77" i="1"/>
  <c r="J73" i="1"/>
  <c r="J74" i="1"/>
  <c r="C73" i="1" s="1"/>
  <c r="J72" i="1"/>
  <c r="J75" i="1"/>
  <c r="J76" i="1" s="1"/>
  <c r="J81" i="1" s="1"/>
  <c r="J82" i="1" s="1"/>
  <c r="C74" i="1" s="1"/>
  <c r="J89" i="1"/>
  <c r="J90" i="1" s="1"/>
  <c r="J95" i="1" s="1"/>
  <c r="J96" i="1" s="1"/>
  <c r="J87" i="1"/>
  <c r="J88" i="1"/>
  <c r="J86" i="1"/>
  <c r="D89" i="1" l="1"/>
  <c r="D75" i="1"/>
  <c r="J70" i="1"/>
  <c r="E73" i="1"/>
  <c r="D74" i="1"/>
  <c r="G73" i="1"/>
  <c r="D73" i="1"/>
  <c r="E87" i="1"/>
  <c r="D88" i="1"/>
  <c r="G87" i="1"/>
  <c r="D66" i="1" s="1"/>
  <c r="D87" i="1"/>
  <c r="J84" i="1" s="1"/>
  <c r="D67" i="1" l="1"/>
  <c r="I69" i="1"/>
  <c r="J69" i="1"/>
  <c r="I84" i="1"/>
  <c r="F67" i="1"/>
  <c r="I70" i="1" l="1"/>
  <c r="I68" i="1" s="1"/>
  <c r="C70" i="1" s="1"/>
  <c r="I85" i="1"/>
  <c r="I83" i="1" s="1"/>
  <c r="C85" i="1" s="1"/>
</calcChain>
</file>

<file path=xl/sharedStrings.xml><?xml version="1.0" encoding="utf-8"?>
<sst xmlns="http://schemas.openxmlformats.org/spreadsheetml/2006/main" count="335" uniqueCount="227">
  <si>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</si>
  <si>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</si>
  <si>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</si>
  <si>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</si>
  <si>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</si>
  <si>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</si>
  <si>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</si>
  <si>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</si>
  <si>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</si>
  <si>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</si>
  <si>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</si>
  <si>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</si>
  <si>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</si>
  <si>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</si>
  <si>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</si>
  <si>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</si>
  <si>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</si>
  <si>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</si>
  <si>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</si>
  <si>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</si>
  <si>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</si>
  <si>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</si>
  <si>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</si>
  <si>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</si>
  <si>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</si>
  <si>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</si>
  <si>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</si>
  <si>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</si>
  <si>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</si>
  <si>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</si>
  <si>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</si>
  <si>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</si>
  <si>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</si>
  <si>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</si>
  <si>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</si>
  <si>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</si>
  <si>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</si>
  <si>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</si>
  <si>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</si>
  <si>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</si>
  <si>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</si>
  <si>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</si>
  <si>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</si>
  <si>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</si>
  <si>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</si>
  <si>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</si>
  <si>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</si>
  <si>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</si>
  <si>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</si>
  <si>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</si>
  <si>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</si>
  <si>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</si>
  <si>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</si>
  <si>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</si>
  <si>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</si>
  <si>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</si>
  <si>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</si>
  <si>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</si>
  <si>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</si>
  <si>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</si>
  <si>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</si>
  <si>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</si>
  <si>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</si>
  <si>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</si>
  <si>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</si>
  <si>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</si>
  <si>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</si>
  <si>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</si>
  <si>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</si>
  <si>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</si>
  <si>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</si>
  <si>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</si>
  <si>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</si>
  <si>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</si>
  <si>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</si>
  <si>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</si>
  <si>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</si>
  <si>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</si>
  <si>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</si>
  <si>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</si>
  <si>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</si>
  <si>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</si>
  <si>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</si>
  <si>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</si>
  <si>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</si>
  <si>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</si>
  <si>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</si>
  <si>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</si>
  <si>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</si>
  <si>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</si>
  <si>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</si>
  <si>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</si>
  <si>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</si>
  <si>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</si>
  <si>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</si>
  <si>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</si>
  <si>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</si>
  <si>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</si>
  <si>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</si>
  <si>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</si>
  <si>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</si>
  <si>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</si>
  <si>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</si>
  <si>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</si>
  <si>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</si>
  <si>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</si>
  <si>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</si>
  <si>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</si>
  <si>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</si>
  <si>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</si>
  <si>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</si>
  <si>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</si>
  <si>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</si>
  <si>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</si>
  <si>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</si>
  <si>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</si>
  <si>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</si>
  <si>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</si>
  <si>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</si>
  <si>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</si>
  <si>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</si>
  <si>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</si>
  <si>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</si>
  <si>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</si>
  <si>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</si>
  <si>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</si>
  <si>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</si>
  <si>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</si>
  <si>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</si>
  <si>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</si>
  <si>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</si>
  <si>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</si>
  <si>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</si>
  <si>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</si>
  <si>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</si>
  <si>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</si>
  <si>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</si>
  <si>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</si>
  <si>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</si>
  <si>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</si>
  <si>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</si>
  <si>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</si>
  <si>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</si>
  <si>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</si>
  <si>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</si>
  <si>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</si>
  <si>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</si>
  <si>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</si>
  <si>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</si>
  <si>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</si>
  <si>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</si>
  <si>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</si>
  <si>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</si>
  <si>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</si>
  <si>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</si>
  <si>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</si>
  <si>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</si>
  <si>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</si>
  <si>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</si>
  <si>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</si>
  <si>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</si>
  <si>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</si>
  <si>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</si>
  <si>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</si>
  <si>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</si>
  <si>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</si>
  <si>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</si>
  <si>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</si>
  <si>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</si>
  <si>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Neelkanth Realtors Pvt Ltd</t>
  </si>
  <si>
    <t>Mr. Ranjeet Joshi (9867675444/9324505130)</t>
  </si>
  <si>
    <t>Survey No</t>
  </si>
  <si>
    <t>194/1B</t>
  </si>
  <si>
    <t>Thane</t>
  </si>
  <si>
    <t>Thane West</t>
  </si>
  <si>
    <t>Ajay Songare</t>
  </si>
  <si>
    <t>Devdaya Nagar</t>
  </si>
  <si>
    <t>Neelkanth Heights Rameshwar Building</t>
  </si>
  <si>
    <t>5KM from Thane Railway Station</t>
  </si>
  <si>
    <t>Open Plot</t>
  </si>
  <si>
    <t xml:space="preserve">Rd/Neelkanth Upavan Ground
</t>
  </si>
  <si>
    <t>Building</t>
  </si>
  <si>
    <t>https://g.page/neelkanthlakeview?share</t>
  </si>
  <si>
    <t xml:space="preserve">Thane Municipal Corporation
</t>
  </si>
  <si>
    <t>Lower Stilt Floor For Parking</t>
  </si>
  <si>
    <t>Building No. 1</t>
  </si>
  <si>
    <t>1st to 6th, 8th to 11th, 13th to 16th, 18th to 21st, 23rd to 26th &amp; 28th Floor</t>
  </si>
  <si>
    <t>4BHK</t>
  </si>
  <si>
    <t>3BHK</t>
  </si>
  <si>
    <t>2BHK</t>
  </si>
  <si>
    <t>17th Floor (Part Refuge Area</t>
  </si>
  <si>
    <t>Refuge Area</t>
  </si>
  <si>
    <t>Building No. 2</t>
  </si>
  <si>
    <t xml:space="preserve">Upper Stilt/Ground Floor For Parking </t>
  </si>
  <si>
    <t>1st to 6th Floor For Residential</t>
  </si>
  <si>
    <t>1RK</t>
  </si>
  <si>
    <t>7th Floor (Part Refuge Area)</t>
  </si>
  <si>
    <t>8th to 11th &amp; 13th to 17th Floor</t>
  </si>
  <si>
    <t>12th Floor (Part Refuge Area)</t>
  </si>
  <si>
    <t>S04/0186/21/TMC/TDD/3843/21</t>
  </si>
  <si>
    <t xml:space="preserve">Building No.1 = Lower Stilt + Upper Stilt/Podium + 1st to 28th Floor
Building No.2 = Lower Stilt + Upper Stilt/Podium + 1st to 17th Floor
</t>
  </si>
  <si>
    <t>Building No.1 = Lower Stilt + Upper Stilt/Podium + 1st to 28th Floor</t>
  </si>
  <si>
    <t>Building No.2 = Lower Stilt + Upper Stilt/Podium + 1st to 17th Floor</t>
  </si>
  <si>
    <t>7th, 12th, 22nd &amp; 27th Floor (Part Refuge Area)</t>
  </si>
  <si>
    <t>Swimming Pool, Gym, Childrens Play Area, Yoga Room, Jogging Track, Walking Pathway</t>
  </si>
  <si>
    <t>02 Buildings</t>
  </si>
  <si>
    <t>MSEB</t>
  </si>
  <si>
    <t>Approved Plans, CC, Sale Plans, Cost Sheet</t>
  </si>
  <si>
    <t>Advance Maintenance Charges, Security Deposit, Other Outgoings.</t>
  </si>
  <si>
    <t xml:space="preserve">Lower Stilt For Parking </t>
  </si>
  <si>
    <t>Upper Stilt/Ground Floor For Parking , Fitness center &amp; meter room</t>
  </si>
  <si>
    <t>We have updated latest approved floor plans of building no.01 (on 24/02/2023).</t>
  </si>
  <si>
    <t>We considered Gross carpet area = Net carpet + Balcony + Chajja Area.</t>
  </si>
  <si>
    <t>Majiwade</t>
  </si>
  <si>
    <t>Laxmi Narayan Road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</si>
  <si>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</si>
  <si>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Lakeview &amp; Zen</t>
  </si>
  <si>
    <t>Lakeview = P51700007123
Zen = P51700049797</t>
  </si>
  <si>
    <t>Lakeview = Building No.1
Zen = Building No.2</t>
  </si>
  <si>
    <t>Approved Floor plan No.  (Building No.01 &amp; 02)</t>
  </si>
  <si>
    <t>S04/0187/21/ TMC/TDD/3843/21</t>
  </si>
  <si>
    <t>We have updated latest approved floor plans of building no.02 = Zen (on 29/09/2023).</t>
  </si>
  <si>
    <t>Flats - 138</t>
  </si>
  <si>
    <t>As per RERA Building No.1 - Completed
Building No.2 - 31/12/2026</t>
  </si>
  <si>
    <t>TMCB/PO/2024/APL/00139 
Approved upto : NA</t>
  </si>
  <si>
    <t>Gaurav Panchal</t>
  </si>
  <si>
    <t>Building 01 = All work Completed. Please provide OC.
Building 02 = 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</si>
</sst>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0" fontId="25" fillId="0" borderId="0" xfId="0" applyFont="1" applyBorder="1"/>
    <xf numFmtId="0" fontId="25" fillId="0" borderId="10" xfId="0" applyFont="1" applyBorder="1"/>
    <xf numFmtId="0" fontId="24" fillId="2" borderId="15" xfId="0" applyFont="1" applyFill="1" applyBorder="1"/>
    <xf numFmtId="0" fontId="25" fillId="0" borderId="9" xfId="0" applyFont="1" applyBorder="1"/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center" vertical="top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3" fillId="0" borderId="35" xfId="1" applyFont="1" applyBorder="1" applyAlignment="1" applyProtection="1">
      <alignment horizontal="center" vertical="center"/>
      <protection locked="0"/>
    </xf>
    <xf numFmtId="9" fontId="13" fillId="0" borderId="7" xfId="1" applyNumberFormat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9" fontId="13" fillId="0" borderId="35" xfId="1" applyNumberFormat="1" applyFont="1" applyBorder="1" applyAlignment="1" applyProtection="1">
      <alignment horizontal="center" vertical="center"/>
      <protection locked="0"/>
    </xf>
    <xf numFmtId="0" fontId="13" fillId="0" borderId="36" xfId="1" applyFont="1" applyBorder="1" applyAlignment="1" applyProtection="1">
      <alignment horizontal="center" vertical="center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CD1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658093</xdr:colOff>
      <xdr:row>287</xdr:row>
      <xdr:rowOff>21633</xdr:rowOff>
    </xdr:from>
    <xdr:to>
      <xdr:col>7</xdr:col>
      <xdr:colOff>137166</xdr:colOff>
      <xdr:row>303</xdr:row>
      <xdr:rowOff>75089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8093" y="57950951"/>
          <a:ext cx="5168096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658092</xdr:colOff>
      <xdr:row>269</xdr:row>
      <xdr:rowOff>173182</xdr:rowOff>
    </xdr:from>
    <xdr:to>
      <xdr:col>7</xdr:col>
      <xdr:colOff>137165</xdr:colOff>
      <xdr:row>286</xdr:row>
      <xdr:rowOff>27477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8092" y="54517637"/>
          <a:ext cx="5168096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381000</xdr:colOff>
      <xdr:row>232</xdr:row>
      <xdr:rowOff>0</xdr:rowOff>
    </xdr:from>
    <xdr:to>
      <xdr:col>7</xdr:col>
      <xdr:colOff>415976</xdr:colOff>
      <xdr:row>259</xdr:row>
      <xdr:rowOff>22704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45581455"/>
          <a:ext cx="5723999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591161</xdr:colOff>
      <xdr:row>239</xdr:row>
      <xdr:rowOff>91262</xdr:rowOff>
    </xdr:from>
    <xdr:to>
      <xdr:col>5</xdr:col>
      <xdr:colOff>530195</xdr:colOff>
      <xdr:row>244</xdr:row>
      <xdr:rowOff>16944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2402853">
          <a:off x="3181961" y="47230487"/>
          <a:ext cx="1786884" cy="925807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2</xdr:col>
      <xdr:colOff>413385</xdr:colOff>
      <xdr:row>239</xdr:row>
      <xdr:rowOff>20154</xdr:rowOff>
    </xdr:from>
    <xdr:to>
      <xdr:col>3</xdr:col>
      <xdr:colOff>273155</xdr:colOff>
      <xdr:row>245</xdr:row>
      <xdr:rowOff>118565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6411548">
          <a:off x="1827589" y="47421575"/>
          <a:ext cx="1298561" cy="774170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4</xdr:col>
      <xdr:colOff>447675</xdr:colOff>
      <xdr:row>247</xdr:row>
      <xdr:rowOff>95250</xdr:rowOff>
    </xdr:from>
    <xdr:to>
      <xdr:col>5</xdr:col>
      <xdr:colOff>514350</xdr:colOff>
      <xdr:row>251</xdr:row>
      <xdr:rowOff>28575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048125" y="48834675"/>
          <a:ext cx="904875" cy="733425"/>
        </a:xfrm>
        <a:prstGeom prst="rect">
          <a:avLst/>
        </a:prstGeom>
        <a:noFill/>
        <a:ln w="28575">
          <a:solidFill>
            <a:srgbClr val="CD118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3</xdr:col>
      <xdr:colOff>590549</xdr:colOff>
      <xdr:row>247</xdr:row>
      <xdr:rowOff>0</xdr:rowOff>
    </xdr:from>
    <xdr:to>
      <xdr:col>4</xdr:col>
      <xdr:colOff>76200</xdr:colOff>
      <xdr:row>249</xdr:row>
      <xdr:rowOff>142875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181349" y="48739425"/>
          <a:ext cx="495301" cy="542925"/>
        </a:xfrm>
        <a:prstGeom prst="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1</xdr:col>
      <xdr:colOff>419100</xdr:colOff>
      <xdr:row>254</xdr:row>
      <xdr:rowOff>38100</xdr:rowOff>
    </xdr:from>
    <xdr:to>
      <xdr:col>1</xdr:col>
      <xdr:colOff>419100</xdr:colOff>
      <xdr:row>256</xdr:row>
      <xdr:rowOff>152400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1238250" y="50177700"/>
          <a:ext cx="0" cy="514350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243</xdr:row>
      <xdr:rowOff>0</xdr:rowOff>
    </xdr:from>
    <xdr:to>
      <xdr:col>5</xdr:col>
      <xdr:colOff>95250</xdr:colOff>
      <xdr:row>246</xdr:row>
      <xdr:rowOff>133350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378392">
          <a:off x="2752725" y="47939325"/>
          <a:ext cx="1781175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002060"/>
              </a:solidFill>
            </a:rPr>
            <a:t>Building No. 1</a:t>
          </a:r>
        </a:p>
      </xdr:txBody>
    </xdr:sp>
    <xdr:clientData/>
  </xdr:twoCellAnchor>
  <xdr:twoCellAnchor>
    <xdr:from>
      <xdr:col>4</xdr:col>
      <xdr:colOff>209550</xdr:colOff>
      <xdr:row>250</xdr:row>
      <xdr:rowOff>152400</xdr:rowOff>
    </xdr:from>
    <xdr:to>
      <xdr:col>6</xdr:col>
      <xdr:colOff>314325</xdr:colOff>
      <xdr:row>254</xdr:row>
      <xdr:rowOff>85725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810000" y="49491900"/>
          <a:ext cx="1781175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Building No. 2</a:t>
          </a:r>
        </a:p>
      </xdr:txBody>
    </xdr:sp>
    <xdr:clientData/>
  </xdr:twoCellAnchor>
  <xdr:twoCellAnchor>
    <xdr:from>
      <xdr:col>1</xdr:col>
      <xdr:colOff>581025</xdr:colOff>
      <xdr:row>237</xdr:row>
      <xdr:rowOff>152400</xdr:rowOff>
    </xdr:from>
    <xdr:to>
      <xdr:col>2</xdr:col>
      <xdr:colOff>457200</xdr:colOff>
      <xdr:row>246</xdr:row>
      <xdr:rowOff>133350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6272602">
          <a:off x="876300" y="47415450"/>
          <a:ext cx="1781175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0070C0"/>
              </a:solidFill>
            </a:rPr>
            <a:t>Building No. 3</a:t>
          </a:r>
        </a:p>
      </xdr:txBody>
    </xdr:sp>
    <xdr:clientData/>
  </xdr:twoCellAnchor>
  <xdr:twoCellAnchor>
    <xdr:from>
      <xdr:col>3</xdr:col>
      <xdr:colOff>180975</xdr:colOff>
      <xdr:row>249</xdr:row>
      <xdr:rowOff>85725</xdr:rowOff>
    </xdr:from>
    <xdr:to>
      <xdr:col>5</xdr:col>
      <xdr:colOff>114300</xdr:colOff>
      <xdr:row>253</xdr:row>
      <xdr:rowOff>19050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771775" y="49225200"/>
          <a:ext cx="1781175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Club</a:t>
          </a:r>
          <a:r>
            <a:rPr lang="en-IN" sz="1800" b="1" baseline="0">
              <a:ln>
                <a:noFill/>
              </a:ln>
              <a:solidFill>
                <a:srgbClr val="C00000"/>
              </a:solidFill>
            </a:rPr>
            <a:t> House</a:t>
          </a:r>
          <a:endParaRPr lang="en-IN" sz="1800" b="1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266700</xdr:colOff>
      <xdr:row>252</xdr:row>
      <xdr:rowOff>133350</xdr:rowOff>
    </xdr:from>
    <xdr:to>
      <xdr:col>3</xdr:col>
      <xdr:colOff>276225</xdr:colOff>
      <xdr:row>256</xdr:row>
      <xdr:rowOff>66675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85850" y="49872900"/>
          <a:ext cx="1781175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N</a:t>
          </a:r>
        </a:p>
      </xdr:txBody>
    </xdr:sp>
    <xdr:clientData/>
  </xdr:twoCellAnchor>
  <xdr:twoCellAnchor>
    <xdr:from>
      <xdr:col>13</xdr:col>
      <xdr:colOff>148936</xdr:colOff>
      <xdr:row>188</xdr:row>
      <xdr:rowOff>0</xdr:rowOff>
    </xdr:from>
    <xdr:to>
      <xdr:col>15</xdr:col>
      <xdr:colOff>318654</xdr:colOff>
      <xdr:row>191</xdr:row>
      <xdr:rowOff>133350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782300" y="34818205"/>
          <a:ext cx="1667740" cy="730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Building No. 1</a:t>
          </a:r>
        </a:p>
      </xdr:txBody>
    </xdr:sp>
    <xdr:clientData/>
  </xdr:twoCellAnchor>
  <xdr:twoCellAnchor>
    <xdr:from>
      <xdr:col>9</xdr:col>
      <xdr:colOff>704220</xdr:colOff>
      <xdr:row>187</xdr:row>
      <xdr:rowOff>147205</xdr:rowOff>
    </xdr:from>
    <xdr:to>
      <xdr:col>11</xdr:col>
      <xdr:colOff>484855</xdr:colOff>
      <xdr:row>191</xdr:row>
      <xdr:rowOff>83706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384834" y="38758091"/>
          <a:ext cx="1244021" cy="7764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Building No. 2</a:t>
          </a:r>
        </a:p>
      </xdr:txBody>
    </xdr:sp>
    <xdr:clientData/>
  </xdr:twoCellAnchor>
  <xdr:twoCellAnchor>
    <xdr:from>
      <xdr:col>8</xdr:col>
      <xdr:colOff>723900</xdr:colOff>
      <xdr:row>189</xdr:row>
      <xdr:rowOff>66675</xdr:rowOff>
    </xdr:from>
    <xdr:to>
      <xdr:col>9</xdr:col>
      <xdr:colOff>608442</xdr:colOff>
      <xdr:row>191</xdr:row>
      <xdr:rowOff>11258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248525" y="39195375"/>
          <a:ext cx="1046592" cy="3446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Building No. 2</a:t>
          </a:r>
        </a:p>
      </xdr:txBody>
    </xdr:sp>
    <xdr:clientData/>
  </xdr:twoCellAnchor>
  <xdr:twoCellAnchor>
    <xdr:from>
      <xdr:col>8</xdr:col>
      <xdr:colOff>541020</xdr:colOff>
      <xdr:row>187</xdr:row>
      <xdr:rowOff>150485</xdr:rowOff>
    </xdr:from>
    <xdr:to>
      <xdr:col>16</xdr:col>
      <xdr:colOff>421788</xdr:colOff>
      <xdr:row>228</xdr:row>
      <xdr:rowOff>157844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065645" y="37307510"/>
          <a:ext cx="6281568" cy="8236959"/>
          <a:chOff x="114300" y="39831859"/>
          <a:chExt cx="6323702" cy="8304194"/>
        </a:xfrm>
      </xdr:grpSpPr>
      <xdr:pic>
        <xdr:nvPicPr>
          <xdr:cNvPr id="34" name="Picture 33" descr="https://vsjcllp.vsjadon.com/upload/insp-220648-1525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67243" y="45969027"/>
            <a:ext cx="1611966" cy="21670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20648-843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33843" y="43700700"/>
            <a:ext cx="1620554" cy="21784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20648-849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50584" y="43705462"/>
            <a:ext cx="2887418" cy="21784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20648-851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300" y="43700700"/>
            <a:ext cx="1613831" cy="21784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33369" y="39831869"/>
            <a:ext cx="2809321" cy="3778981"/>
            <a:chOff x="333375" y="39157275"/>
            <a:chExt cx="2809875" cy="3750406"/>
          </a:xfrm>
        </xdr:grpSpPr>
        <xdr:pic>
          <xdr:nvPicPr>
            <xdr:cNvPr id="36" name="Picture 35" descr="https://vsjcllp.vsjadon.com/upload/insp-220648-847.jpg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3375" y="39157275"/>
              <a:ext cx="2809875" cy="375040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>
            <a:xfrm>
              <a:off x="338425" y="39166800"/>
              <a:ext cx="1095375" cy="257175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1200" b="1" cap="none" spc="0">
                  <a:ln w="0"/>
                  <a:solidFill>
                    <a:srgbClr val="FF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Building No. 2</a:t>
              </a:r>
            </a:p>
          </xdr:txBody>
        </xdr:sp>
      </xdr:grpSp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3237940" y="39831859"/>
            <a:ext cx="2818279" cy="3778990"/>
            <a:chOff x="3238500" y="39157266"/>
            <a:chExt cx="2809875" cy="3750415"/>
          </a:xfrm>
        </xdr:grpSpPr>
        <xdr:pic>
          <xdr:nvPicPr>
            <xdr:cNvPr id="39" name="Picture 38" descr="https://vsjcllp.vsjadon.com/upload/insp-220648-845.jpg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8500" y="39157275"/>
              <a:ext cx="2809875" cy="375040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4" name="Rectangl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>
            <a:xfrm>
              <a:off x="4933934" y="39157266"/>
              <a:ext cx="1114425" cy="285750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1200" b="1" cap="none" spc="0">
                  <a:ln w="0"/>
                  <a:solidFill>
                    <a:srgbClr val="FF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Building No. 1</a:t>
              </a:r>
            </a:p>
          </xdr:txBody>
        </xdr:sp>
      </xdr:grpSp>
    </xdr:grpSp>
    <xdr:clientData/>
  </xdr:twoCellAnchor>
  <xdr:twoCellAnchor>
    <xdr:from>
      <xdr:col>8</xdr:col>
      <xdr:colOff>630555</xdr:colOff>
      <xdr:row>187</xdr:row>
      <xdr:rowOff>146686</xdr:rowOff>
    </xdr:from>
    <xdr:to>
      <xdr:col>16</xdr:col>
      <xdr:colOff>222885</xdr:colOff>
      <xdr:row>226</xdr:row>
      <xdr:rowOff>62866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9D2942A-0469-7C9F-53E4-FC3CEFCCE836}"/>
            </a:ext>
          </a:extLst>
        </xdr:cNvPr>
        <xdr:cNvGrpSpPr/>
      </xdr:nvGrpSpPr>
      <xdr:grpSpPr>
        <a:xfrm>
          <a:off x="7155180" y="37303711"/>
          <a:ext cx="5993130" cy="7745730"/>
          <a:chOff x="338852" y="350975"/>
          <a:chExt cx="6130463" cy="7980385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824CE79-B707-41A8-F4C3-EBCCF21C2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4408" y="581136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1C0AE618-48FF-1230-1B85-B1FAC8BED2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5868" y="5811360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BF3ADD8A-95DC-9BB0-EBA9-7DA96B1F11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1424" y="3103066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18E53795-6B51-FC13-8331-4065B95AD7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1424" y="388292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2CF6F219-606F-FF23-7E73-7929921D55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852" y="403066"/>
            <a:ext cx="3910921" cy="52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4" name="TextBox 16">
            <a:extLst>
              <a:ext uri="{FF2B5EF4-FFF2-40B4-BE49-F238E27FC236}">
                <a16:creationId xmlns:a16="http://schemas.microsoft.com/office/drawing/2014/main" id="{633CC3DE-DA2B-915F-1F9B-638E823E9A20}"/>
              </a:ext>
            </a:extLst>
          </xdr:cNvPr>
          <xdr:cNvSpPr txBox="1"/>
        </xdr:nvSpPr>
        <xdr:spPr>
          <a:xfrm>
            <a:off x="5425439" y="350975"/>
            <a:ext cx="104387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Building No 1</a:t>
            </a:r>
            <a:endParaRPr lang="en-IN" sz="1200" b="1"/>
          </a:p>
        </xdr:txBody>
      </xdr:sp>
      <xdr:sp macro="" textlink="">
        <xdr:nvSpPr>
          <xdr:cNvPr id="26" name="TextBox 17">
            <a:extLst>
              <a:ext uri="{FF2B5EF4-FFF2-40B4-BE49-F238E27FC236}">
                <a16:creationId xmlns:a16="http://schemas.microsoft.com/office/drawing/2014/main" id="{C3AC1D1F-C10A-0352-4F8E-056C6B460B52}"/>
              </a:ext>
            </a:extLst>
          </xdr:cNvPr>
          <xdr:cNvSpPr txBox="1"/>
        </xdr:nvSpPr>
        <xdr:spPr>
          <a:xfrm>
            <a:off x="4486721" y="3096586"/>
            <a:ext cx="824265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 b="1"/>
              <a:t>Building No 2</a:t>
            </a:r>
            <a:endParaRPr lang="en-IN" sz="900" b="1"/>
          </a:p>
        </xdr:txBody>
      </xdr:sp>
      <xdr:sp macro="" textlink="">
        <xdr:nvSpPr>
          <xdr:cNvPr id="27" name="TextBox 18">
            <a:extLst>
              <a:ext uri="{FF2B5EF4-FFF2-40B4-BE49-F238E27FC236}">
                <a16:creationId xmlns:a16="http://schemas.microsoft.com/office/drawing/2014/main" id="{E719C8CD-3F9B-1684-7E47-BF13A5BEC5BC}"/>
              </a:ext>
            </a:extLst>
          </xdr:cNvPr>
          <xdr:cNvSpPr txBox="1"/>
        </xdr:nvSpPr>
        <xdr:spPr>
          <a:xfrm>
            <a:off x="2802967" y="388292"/>
            <a:ext cx="146065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Building No 1</a:t>
            </a:r>
            <a:endParaRPr lang="en-IN" b="1"/>
          </a:p>
        </xdr:txBody>
      </xdr:sp>
      <xdr:sp macro="" textlink="">
        <xdr:nvSpPr>
          <xdr:cNvPr id="28" name="TextBox 19">
            <a:extLst>
              <a:ext uri="{FF2B5EF4-FFF2-40B4-BE49-F238E27FC236}">
                <a16:creationId xmlns:a16="http://schemas.microsoft.com/office/drawing/2014/main" id="{CB95379D-A010-8CB0-4A8C-9FF2AFAFE83B}"/>
              </a:ext>
            </a:extLst>
          </xdr:cNvPr>
          <xdr:cNvSpPr txBox="1"/>
        </xdr:nvSpPr>
        <xdr:spPr>
          <a:xfrm>
            <a:off x="338852" y="443308"/>
            <a:ext cx="146065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Building No 2</a:t>
            </a:r>
            <a:endParaRPr lang="en-IN" b="1"/>
          </a:p>
        </xdr:txBody>
      </xdr:sp>
      <xdr:cxnSp macro="">
        <xdr:nvCxnSpPr>
          <xdr:cNvPr id="29" name="Straight Arrow Connector 28">
            <a:extLst>
              <a:ext uri="{FF2B5EF4-FFF2-40B4-BE49-F238E27FC236}">
                <a16:creationId xmlns:a16="http://schemas.microsoft.com/office/drawing/2014/main" id="{3E7DE3AB-31D8-1788-4845-F327FBA0C127}"/>
              </a:ext>
            </a:extLst>
          </xdr:cNvPr>
          <xdr:cNvCxnSpPr/>
        </xdr:nvCxnSpPr>
        <xdr:spPr>
          <a:xfrm flipH="1">
            <a:off x="3383280" y="812640"/>
            <a:ext cx="432816" cy="743626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Straight Arrow Connector 44">
            <a:extLst>
              <a:ext uri="{FF2B5EF4-FFF2-40B4-BE49-F238E27FC236}">
                <a16:creationId xmlns:a16="http://schemas.microsoft.com/office/drawing/2014/main" id="{2E405038-698D-0652-F97E-4EBBEF76DCFA}"/>
              </a:ext>
            </a:extLst>
          </xdr:cNvPr>
          <xdr:cNvCxnSpPr/>
        </xdr:nvCxnSpPr>
        <xdr:spPr>
          <a:xfrm>
            <a:off x="1146048" y="908304"/>
            <a:ext cx="347472" cy="402336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440055</xdr:colOff>
      <xdr:row>189</xdr:row>
      <xdr:rowOff>137161</xdr:rowOff>
    </xdr:from>
    <xdr:to>
      <xdr:col>8</xdr:col>
      <xdr:colOff>191591</xdr:colOff>
      <xdr:row>227</xdr:row>
      <xdr:rowOff>141979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FAA7AFF3-E7B8-4E6D-9FA6-5D24D58349B0}"/>
            </a:ext>
          </a:extLst>
        </xdr:cNvPr>
        <xdr:cNvGrpSpPr/>
      </xdr:nvGrpSpPr>
      <xdr:grpSpPr>
        <a:xfrm>
          <a:off x="440055" y="37732336"/>
          <a:ext cx="6276161" cy="7596243"/>
          <a:chOff x="440055" y="37732336"/>
          <a:chExt cx="6276161" cy="7596243"/>
        </a:xfrm>
      </xdr:grpSpPr>
      <xdr:grpSp>
        <xdr:nvGrpSpPr>
          <xdr:cNvPr id="51" name="Group 50">
            <a:extLst>
              <a:ext uri="{FF2B5EF4-FFF2-40B4-BE49-F238E27FC236}">
                <a16:creationId xmlns:a16="http://schemas.microsoft.com/office/drawing/2014/main" id="{85E70925-F83D-48A2-BF36-2FD177B786EB}"/>
              </a:ext>
            </a:extLst>
          </xdr:cNvPr>
          <xdr:cNvGrpSpPr/>
        </xdr:nvGrpSpPr>
        <xdr:grpSpPr>
          <a:xfrm>
            <a:off x="466725" y="37747575"/>
            <a:ext cx="5545673" cy="7581004"/>
            <a:chOff x="-158314" y="520038"/>
            <a:chExt cx="5545673" cy="7581004"/>
          </a:xfrm>
        </xdr:grpSpPr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E84B98CF-2BF7-43C9-8656-50C8D061CF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90362" y="3228461"/>
              <a:ext cx="179699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D3FBCFD6-BB8B-49D6-BE67-3466C5C462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58314" y="520038"/>
              <a:ext cx="3600000" cy="522842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BB8A7884-A127-401C-A1BB-FCA6AC338BB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90362" y="520038"/>
              <a:ext cx="1796997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1FEF7A77-DD34-4D11-BE72-FD3BD20ED6E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5213" y="5936884"/>
              <a:ext cx="2743871" cy="216415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EBDB452F-0533-41DA-B54F-64362C3741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21426" y="5936884"/>
              <a:ext cx="1543248" cy="216415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7" name="TextBox 19">
            <a:extLst>
              <a:ext uri="{FF2B5EF4-FFF2-40B4-BE49-F238E27FC236}">
                <a16:creationId xmlns:a16="http://schemas.microsoft.com/office/drawing/2014/main" id="{28CD33E0-92A7-4E48-9353-90AF7A1B64DF}"/>
              </a:ext>
            </a:extLst>
          </xdr:cNvPr>
          <xdr:cNvSpPr txBox="1"/>
        </xdr:nvSpPr>
        <xdr:spPr>
          <a:xfrm>
            <a:off x="440055" y="37732336"/>
            <a:ext cx="1503045" cy="35847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Building No 2</a:t>
            </a:r>
            <a:endParaRPr lang="en-IN" b="1"/>
          </a:p>
        </xdr:txBody>
      </xdr:sp>
      <xdr:cxnSp macro="">
        <xdr:nvCxnSpPr>
          <xdr:cNvPr id="58" name="Straight Arrow Connector 57">
            <a:extLst>
              <a:ext uri="{FF2B5EF4-FFF2-40B4-BE49-F238E27FC236}">
                <a16:creationId xmlns:a16="http://schemas.microsoft.com/office/drawing/2014/main" id="{D425C26E-E68D-4598-8EB5-8F986567526E}"/>
              </a:ext>
            </a:extLst>
          </xdr:cNvPr>
          <xdr:cNvCxnSpPr/>
        </xdr:nvCxnSpPr>
        <xdr:spPr>
          <a:xfrm>
            <a:off x="1086293" y="38059834"/>
            <a:ext cx="339688" cy="390506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extBox 18">
            <a:extLst>
              <a:ext uri="{FF2B5EF4-FFF2-40B4-BE49-F238E27FC236}">
                <a16:creationId xmlns:a16="http://schemas.microsoft.com/office/drawing/2014/main" id="{9EC04614-5E57-4D58-8070-B9FE56AA4A9F}"/>
              </a:ext>
            </a:extLst>
          </xdr:cNvPr>
          <xdr:cNvSpPr txBox="1"/>
        </xdr:nvSpPr>
        <xdr:spPr>
          <a:xfrm>
            <a:off x="2667001" y="37760911"/>
            <a:ext cx="1525090" cy="35847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Building No 1</a:t>
            </a:r>
            <a:endParaRPr lang="en-IN" b="1"/>
          </a:p>
        </xdr:txBody>
      </xdr:sp>
      <xdr:cxnSp macro="">
        <xdr:nvCxnSpPr>
          <xdr:cNvPr id="60" name="Straight Arrow Connector 59">
            <a:extLst>
              <a:ext uri="{FF2B5EF4-FFF2-40B4-BE49-F238E27FC236}">
                <a16:creationId xmlns:a16="http://schemas.microsoft.com/office/drawing/2014/main" id="{6578B119-A1BB-41A2-8364-571C8B157C62}"/>
              </a:ext>
            </a:extLst>
          </xdr:cNvPr>
          <xdr:cNvCxnSpPr/>
        </xdr:nvCxnSpPr>
        <xdr:spPr>
          <a:xfrm flipH="1">
            <a:off x="2781300" y="38068006"/>
            <a:ext cx="468463" cy="403469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1" name="TextBox 18">
            <a:extLst>
              <a:ext uri="{FF2B5EF4-FFF2-40B4-BE49-F238E27FC236}">
                <a16:creationId xmlns:a16="http://schemas.microsoft.com/office/drawing/2014/main" id="{D7B41821-052E-4BF0-8EAE-A7B0F8F9A6D8}"/>
              </a:ext>
            </a:extLst>
          </xdr:cNvPr>
          <xdr:cNvSpPr txBox="1"/>
        </xdr:nvSpPr>
        <xdr:spPr>
          <a:xfrm>
            <a:off x="5191126" y="37760911"/>
            <a:ext cx="1525090" cy="35847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Building </a:t>
            </a:r>
          </a:p>
          <a:p>
            <a:r>
              <a:rPr lang="en-US" sz="1400" b="1"/>
              <a:t>No 1</a:t>
            </a:r>
            <a:endParaRPr lang="en-IN" sz="1400" b="1"/>
          </a:p>
        </xdr:txBody>
      </xdr:sp>
      <xdr:sp macro="" textlink="">
        <xdr:nvSpPr>
          <xdr:cNvPr id="62" name="TextBox 18">
            <a:extLst>
              <a:ext uri="{FF2B5EF4-FFF2-40B4-BE49-F238E27FC236}">
                <a16:creationId xmlns:a16="http://schemas.microsoft.com/office/drawing/2014/main" id="{8D76B607-8063-431F-90F0-7DCCB2808000}"/>
              </a:ext>
            </a:extLst>
          </xdr:cNvPr>
          <xdr:cNvSpPr txBox="1"/>
        </xdr:nvSpPr>
        <xdr:spPr>
          <a:xfrm>
            <a:off x="4143376" y="40408861"/>
            <a:ext cx="1525090" cy="35847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Building </a:t>
            </a:r>
          </a:p>
          <a:p>
            <a:r>
              <a:rPr lang="en-US" sz="1400" b="1"/>
              <a:t>No 2</a:t>
            </a:r>
            <a:endParaRPr lang="en-IN" sz="14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4566</xdr:colOff>
      <xdr:row>34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3059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334452</xdr:colOff>
      <xdr:row>16</xdr:row>
      <xdr:rowOff>0</xdr:rowOff>
    </xdr:from>
    <xdr:to>
      <xdr:col>15</xdr:col>
      <xdr:colOff>226960</xdr:colOff>
      <xdr:row>34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717" y="3059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1902379</xdr:colOff>
      <xdr:row>55</xdr:row>
      <xdr:rowOff>75300</xdr:rowOff>
    </xdr:from>
    <xdr:to>
      <xdr:col>9</xdr:col>
      <xdr:colOff>371739</xdr:colOff>
      <xdr:row>74</xdr:row>
      <xdr:rowOff>55800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4261" y="105640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35</xdr:row>
      <xdr:rowOff>132900</xdr:rowOff>
    </xdr:from>
    <xdr:to>
      <xdr:col>6</xdr:col>
      <xdr:colOff>4566</xdr:colOff>
      <xdr:row>54</xdr:row>
      <xdr:rowOff>113400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2706" y="68116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309366</xdr:colOff>
      <xdr:row>35</xdr:row>
      <xdr:rowOff>132900</xdr:rowOff>
    </xdr:from>
    <xdr:to>
      <xdr:col>15</xdr:col>
      <xdr:colOff>201874</xdr:colOff>
      <xdr:row>54</xdr:row>
      <xdr:rowOff>113400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90631" y="68116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.page/neelkanthlakeview?share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8"/>
  <sheetViews>
    <sheetView tabSelected="1" view="pageBreakPreview" topLeftCell="A146" zoomScaleNormal="100" zoomScaleSheetLayoutView="100" workbookViewId="0">
      <selection activeCell="I201" sqref="I201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71" t="s">
        <v>215</v>
      </c>
      <c r="B1" s="171"/>
      <c r="C1" s="171"/>
      <c r="D1" s="171"/>
      <c r="E1" s="171"/>
      <c r="F1" s="171"/>
      <c r="G1" s="171"/>
      <c r="H1" s="171"/>
    </row>
    <row r="2" spans="1:8" ht="16.5" customHeight="1" x14ac:dyDescent="0.25">
      <c r="A2" s="123" t="s">
        <v>0</v>
      </c>
      <c r="B2" s="123"/>
      <c r="C2" s="123"/>
      <c r="D2" s="123"/>
      <c r="E2" s="123"/>
      <c r="F2" s="123"/>
      <c r="G2" s="123"/>
      <c r="H2" s="123"/>
    </row>
    <row r="3" spans="1:8" x14ac:dyDescent="0.25">
      <c r="A3" s="97" t="s">
        <v>1</v>
      </c>
      <c r="B3" s="97"/>
      <c r="C3" s="97"/>
      <c r="D3" s="97"/>
      <c r="E3" s="97" t="str">
        <f ca="1">TEXT(TODAY(),"DD/MM/YYYY")</f>
        <v>10/09/2025</v>
      </c>
      <c r="F3" s="97"/>
      <c r="G3" s="97"/>
      <c r="H3" s="97"/>
    </row>
    <row r="4" spans="1:8" ht="15" customHeight="1" x14ac:dyDescent="0.25">
      <c r="A4" s="97" t="s">
        <v>2</v>
      </c>
      <c r="B4" s="97"/>
      <c r="C4" s="97"/>
      <c r="D4" s="97"/>
      <c r="E4" s="97" t="s">
        <v>168</v>
      </c>
      <c r="F4" s="97"/>
      <c r="G4" s="97"/>
      <c r="H4" s="97"/>
    </row>
    <row r="5" spans="1:8" x14ac:dyDescent="0.25">
      <c r="A5" s="97" t="s">
        <v>3</v>
      </c>
      <c r="B5" s="97"/>
      <c r="C5" s="97"/>
      <c r="D5" s="97"/>
      <c r="E5" s="172">
        <v>45908</v>
      </c>
      <c r="F5" s="97"/>
      <c r="G5" s="97"/>
      <c r="H5" s="97"/>
    </row>
    <row r="6" spans="1:8" ht="16.5" customHeight="1" x14ac:dyDescent="0.25">
      <c r="A6" s="97" t="s">
        <v>4</v>
      </c>
      <c r="B6" s="97"/>
      <c r="C6" s="97"/>
      <c r="D6" s="97"/>
      <c r="E6" s="97" t="s">
        <v>169</v>
      </c>
      <c r="F6" s="97"/>
      <c r="G6" s="97"/>
      <c r="H6" s="97"/>
    </row>
    <row r="7" spans="1:8" ht="15" customHeight="1" x14ac:dyDescent="0.25">
      <c r="A7" s="97" t="s">
        <v>5</v>
      </c>
      <c r="B7" s="97"/>
      <c r="C7" s="97"/>
      <c r="D7" s="97"/>
      <c r="E7" s="97" t="str">
        <f>E6</f>
        <v>Neelkanth Realtors Pvt Ltd</v>
      </c>
      <c r="F7" s="97"/>
      <c r="G7" s="97"/>
      <c r="H7" s="97"/>
    </row>
    <row r="8" spans="1:8" x14ac:dyDescent="0.25">
      <c r="A8" s="97" t="s">
        <v>6</v>
      </c>
      <c r="B8" s="97"/>
      <c r="C8" s="97"/>
      <c r="D8" s="97"/>
      <c r="E8" s="100" t="s">
        <v>216</v>
      </c>
      <c r="F8" s="100"/>
      <c r="G8" s="100"/>
      <c r="H8" s="100"/>
    </row>
    <row r="9" spans="1:8" x14ac:dyDescent="0.25">
      <c r="A9" s="97" t="s">
        <v>165</v>
      </c>
      <c r="B9" s="97"/>
      <c r="C9" s="97"/>
      <c r="D9" s="97"/>
      <c r="E9" s="97" t="s">
        <v>170</v>
      </c>
      <c r="F9" s="97"/>
      <c r="G9" s="97"/>
      <c r="H9" s="97"/>
    </row>
    <row r="10" spans="1:8" x14ac:dyDescent="0.25">
      <c r="A10" s="97" t="s">
        <v>166</v>
      </c>
      <c r="B10" s="97"/>
      <c r="C10" s="97"/>
      <c r="D10" s="97"/>
      <c r="E10" s="97" t="s">
        <v>30</v>
      </c>
      <c r="F10" s="97"/>
      <c r="G10" s="97"/>
      <c r="H10" s="97"/>
    </row>
    <row r="11" spans="1:8" ht="31.5" customHeight="1" x14ac:dyDescent="0.25">
      <c r="A11" s="97" t="s">
        <v>7</v>
      </c>
      <c r="B11" s="97"/>
      <c r="C11" s="97"/>
      <c r="D11" s="97"/>
      <c r="E11" s="144" t="s">
        <v>218</v>
      </c>
      <c r="F11" s="97"/>
      <c r="G11" s="97"/>
      <c r="H11" s="97"/>
    </row>
    <row r="12" spans="1:8" x14ac:dyDescent="0.25">
      <c r="A12" s="97" t="s">
        <v>8</v>
      </c>
      <c r="B12" s="97"/>
      <c r="C12" s="97"/>
      <c r="D12" s="97"/>
      <c r="E12" s="144" t="s">
        <v>207</v>
      </c>
      <c r="F12" s="144"/>
      <c r="G12" s="144"/>
      <c r="H12" s="144"/>
    </row>
    <row r="13" spans="1:8" ht="32.25" customHeight="1" x14ac:dyDescent="0.25">
      <c r="A13" s="97" t="s">
        <v>9</v>
      </c>
      <c r="B13" s="97"/>
      <c r="C13" s="97"/>
      <c r="D13" s="97"/>
      <c r="E13" s="144" t="s">
        <v>217</v>
      </c>
      <c r="F13" s="97"/>
      <c r="G13" s="97"/>
      <c r="H13" s="97"/>
    </row>
    <row r="14" spans="1:8" ht="47.1" customHeight="1" x14ac:dyDescent="0.25">
      <c r="A14" s="144" t="s">
        <v>10</v>
      </c>
      <c r="B14" s="144"/>
      <c r="C14" s="14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Lakeview &amp; Zen, Survey No.194/1B, near Neelkanth Heights Rameshwar Building, Laxmi Narayan Road, Devdaya Nagar, Majiwade, Thane West, Thane, Thane - 400610.</v>
      </c>
      <c r="D14" s="144"/>
      <c r="E14" s="144"/>
      <c r="F14" s="144"/>
      <c r="G14" s="144"/>
      <c r="H14" s="144"/>
    </row>
    <row r="15" spans="1:8" x14ac:dyDescent="0.25">
      <c r="A15" s="144" t="s">
        <v>171</v>
      </c>
      <c r="B15" s="144"/>
      <c r="C15" s="144" t="s">
        <v>172</v>
      </c>
      <c r="D15" s="144"/>
      <c r="E15" s="144"/>
      <c r="F15" s="144"/>
      <c r="G15" s="144"/>
      <c r="H15" s="144"/>
    </row>
    <row r="16" spans="1:8" ht="15.75" customHeight="1" x14ac:dyDescent="0.25">
      <c r="A16" s="144" t="s">
        <v>164</v>
      </c>
      <c r="B16" s="144"/>
      <c r="C16" s="144" t="s">
        <v>176</v>
      </c>
      <c r="D16" s="144"/>
      <c r="E16" s="144"/>
      <c r="F16" s="144"/>
      <c r="G16" s="144"/>
      <c r="H16" s="144"/>
    </row>
    <row r="17" spans="1:8" ht="15.75" customHeight="1" x14ac:dyDescent="0.25">
      <c r="A17" s="144" t="s">
        <v>11</v>
      </c>
      <c r="B17" s="144"/>
      <c r="C17" s="97" t="s">
        <v>214</v>
      </c>
      <c r="D17" s="97"/>
      <c r="E17" s="144" t="s">
        <v>76</v>
      </c>
      <c r="F17" s="144"/>
      <c r="G17" s="144" t="s">
        <v>213</v>
      </c>
      <c r="H17" s="144"/>
    </row>
    <row r="18" spans="1:8" x14ac:dyDescent="0.25">
      <c r="A18" s="97" t="s">
        <v>13</v>
      </c>
      <c r="B18" s="97"/>
      <c r="C18" s="144" t="s">
        <v>174</v>
      </c>
      <c r="D18" s="144"/>
      <c r="E18" s="144" t="s">
        <v>12</v>
      </c>
      <c r="F18" s="144"/>
      <c r="G18" s="170" t="s">
        <v>173</v>
      </c>
      <c r="H18" s="170"/>
    </row>
    <row r="19" spans="1:8" x14ac:dyDescent="0.25">
      <c r="A19" s="97" t="s">
        <v>77</v>
      </c>
      <c r="B19" s="97"/>
      <c r="C19" s="144" t="s">
        <v>173</v>
      </c>
      <c r="D19" s="144"/>
      <c r="E19" s="144" t="s">
        <v>14</v>
      </c>
      <c r="F19" s="144"/>
      <c r="G19" s="144">
        <v>400610</v>
      </c>
      <c r="H19" s="144"/>
    </row>
    <row r="20" spans="1:8" ht="32.25" customHeight="1" x14ac:dyDescent="0.25">
      <c r="A20" s="97" t="s">
        <v>125</v>
      </c>
      <c r="B20" s="97"/>
      <c r="C20" s="144" t="s">
        <v>177</v>
      </c>
      <c r="D20" s="144"/>
      <c r="E20" s="144" t="s">
        <v>15</v>
      </c>
      <c r="F20" s="144"/>
      <c r="G20" s="144" t="s">
        <v>178</v>
      </c>
      <c r="H20" s="144"/>
    </row>
    <row r="21" spans="1:8" ht="15" customHeight="1" x14ac:dyDescent="0.25">
      <c r="A21" s="145" t="s">
        <v>80</v>
      </c>
      <c r="B21" s="145"/>
      <c r="C21" s="145"/>
      <c r="D21" s="145"/>
      <c r="E21" s="97" t="s">
        <v>16</v>
      </c>
      <c r="F21" s="97"/>
      <c r="G21" s="97"/>
      <c r="H21" s="97"/>
    </row>
    <row r="22" spans="1:8" ht="18.75" customHeight="1" x14ac:dyDescent="0.25">
      <c r="A22" s="145"/>
      <c r="B22" s="145"/>
      <c r="C22" s="145"/>
      <c r="D22" s="145"/>
      <c r="E22" s="97"/>
      <c r="F22" s="97"/>
      <c r="G22" s="97"/>
      <c r="H22" s="97"/>
    </row>
    <row r="23" spans="1:8" ht="15" customHeight="1" x14ac:dyDescent="0.25">
      <c r="A23" s="145" t="s">
        <v>17</v>
      </c>
      <c r="B23" s="145"/>
      <c r="C23" s="145"/>
      <c r="D23" s="145"/>
      <c r="E23" s="144" t="s">
        <v>18</v>
      </c>
      <c r="F23" s="144"/>
      <c r="G23" s="144"/>
      <c r="H23" s="144"/>
    </row>
    <row r="24" spans="1:8" ht="15" customHeight="1" x14ac:dyDescent="0.25">
      <c r="A24" s="92" t="s">
        <v>19</v>
      </c>
      <c r="B24" s="92"/>
      <c r="C24" s="92"/>
      <c r="D24" s="92"/>
      <c r="E24" s="144" t="str">
        <f>IF(AND(G18="Mumbai"),"Upper Class","Middle Class")</f>
        <v>Middle Class</v>
      </c>
      <c r="F24" s="144"/>
      <c r="G24" s="144"/>
      <c r="H24" s="144"/>
    </row>
    <row r="25" spans="1:8" x14ac:dyDescent="0.25">
      <c r="A25" s="92" t="s">
        <v>20</v>
      </c>
      <c r="B25" s="92"/>
      <c r="C25" s="92"/>
      <c r="D25" s="92"/>
      <c r="E25" s="144" t="s">
        <v>21</v>
      </c>
      <c r="F25" s="144"/>
      <c r="G25" s="144"/>
      <c r="H25" s="144"/>
    </row>
    <row r="26" spans="1:8" ht="15.75" customHeight="1" x14ac:dyDescent="0.25">
      <c r="A26" s="92" t="s">
        <v>22</v>
      </c>
      <c r="B26" s="92"/>
      <c r="C26" s="92"/>
      <c r="D26" s="92"/>
      <c r="E26" s="144" t="str">
        <f>IF(AND(G18="Mumbai"),"Developed","Developing")</f>
        <v>Developing</v>
      </c>
      <c r="F26" s="144"/>
      <c r="G26" s="144"/>
      <c r="H26" s="144"/>
    </row>
    <row r="27" spans="1:8" x14ac:dyDescent="0.25">
      <c r="A27" s="92" t="s">
        <v>23</v>
      </c>
      <c r="B27" s="92"/>
      <c r="C27" s="92"/>
      <c r="D27" s="92"/>
      <c r="E27" s="144" t="s">
        <v>24</v>
      </c>
      <c r="F27" s="144"/>
      <c r="G27" s="144"/>
      <c r="H27" s="144"/>
    </row>
    <row r="28" spans="1:8" ht="15.75" customHeight="1" x14ac:dyDescent="0.25">
      <c r="A28" s="92" t="s">
        <v>85</v>
      </c>
      <c r="B28" s="92"/>
      <c r="C28" s="92"/>
      <c r="D28" s="92"/>
      <c r="E28" s="144" t="s">
        <v>86</v>
      </c>
      <c r="F28" s="144"/>
      <c r="G28" s="144"/>
      <c r="H28" s="144"/>
    </row>
    <row r="29" spans="1:8" ht="15" customHeight="1" x14ac:dyDescent="0.25">
      <c r="A29" s="92" t="s">
        <v>35</v>
      </c>
      <c r="B29" s="92"/>
      <c r="C29" s="92"/>
      <c r="D29" s="92"/>
      <c r="E29" s="14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144"/>
      <c r="G29" s="144"/>
      <c r="H29" s="144"/>
    </row>
    <row r="30" spans="1:8" ht="15.75" customHeight="1" x14ac:dyDescent="0.25">
      <c r="A30" s="92" t="s">
        <v>97</v>
      </c>
      <c r="B30" s="92"/>
      <c r="C30" s="92"/>
      <c r="D30" s="92"/>
      <c r="E30" s="144" t="s">
        <v>36</v>
      </c>
      <c r="F30" s="144"/>
      <c r="G30" s="144"/>
      <c r="H30" s="144"/>
    </row>
    <row r="31" spans="1:8" s="20" customFormat="1" x14ac:dyDescent="0.25">
      <c r="A31" s="169" t="s">
        <v>98</v>
      </c>
      <c r="B31" s="169"/>
      <c r="C31" s="167" t="s">
        <v>29</v>
      </c>
      <c r="D31" s="167"/>
      <c r="E31" s="167"/>
      <c r="F31" s="167" t="s">
        <v>31</v>
      </c>
      <c r="G31" s="167"/>
      <c r="H31" s="167"/>
    </row>
    <row r="32" spans="1:8" s="20" customFormat="1" x14ac:dyDescent="0.25">
      <c r="A32" s="168" t="s">
        <v>25</v>
      </c>
      <c r="B32" s="168" t="s">
        <v>30</v>
      </c>
      <c r="C32" s="166" t="s">
        <v>30</v>
      </c>
      <c r="D32" s="166"/>
      <c r="E32" s="166"/>
      <c r="F32" s="166" t="s">
        <v>179</v>
      </c>
      <c r="G32" s="166"/>
      <c r="H32" s="166"/>
    </row>
    <row r="33" spans="1:8" x14ac:dyDescent="0.25">
      <c r="A33" s="168" t="s">
        <v>26</v>
      </c>
      <c r="B33" s="168" t="s">
        <v>30</v>
      </c>
      <c r="C33" s="166" t="s">
        <v>30</v>
      </c>
      <c r="D33" s="166"/>
      <c r="E33" s="166"/>
      <c r="F33" s="166" t="s">
        <v>179</v>
      </c>
      <c r="G33" s="166"/>
      <c r="H33" s="166"/>
    </row>
    <row r="34" spans="1:8" s="20" customFormat="1" x14ac:dyDescent="0.25">
      <c r="A34" s="168" t="s">
        <v>28</v>
      </c>
      <c r="B34" s="168" t="s">
        <v>30</v>
      </c>
      <c r="C34" s="166" t="s">
        <v>30</v>
      </c>
      <c r="D34" s="166"/>
      <c r="E34" s="166"/>
      <c r="F34" s="104" t="s">
        <v>180</v>
      </c>
      <c r="G34" s="166"/>
      <c r="H34" s="166"/>
    </row>
    <row r="35" spans="1:8" x14ac:dyDescent="0.25">
      <c r="A35" s="168" t="s">
        <v>27</v>
      </c>
      <c r="B35" s="168" t="s">
        <v>30</v>
      </c>
      <c r="C35" s="166" t="s">
        <v>30</v>
      </c>
      <c r="D35" s="166"/>
      <c r="E35" s="166"/>
      <c r="F35" s="166" t="s">
        <v>181</v>
      </c>
      <c r="G35" s="166"/>
      <c r="H35" s="166"/>
    </row>
    <row r="36" spans="1:8" x14ac:dyDescent="0.25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25">
      <c r="A37" s="123" t="s">
        <v>33</v>
      </c>
      <c r="B37" s="123"/>
      <c r="C37" s="177">
        <v>19.219147100000001</v>
      </c>
      <c r="D37" s="177"/>
      <c r="E37" s="123" t="s">
        <v>34</v>
      </c>
      <c r="F37" s="123"/>
      <c r="G37" s="178">
        <v>72.958284599999999</v>
      </c>
      <c r="H37" s="178"/>
    </row>
    <row r="38" spans="1:8" x14ac:dyDescent="0.25">
      <c r="A38" s="123" t="s">
        <v>163</v>
      </c>
      <c r="B38" s="123"/>
      <c r="C38" s="179" t="s">
        <v>182</v>
      </c>
      <c r="D38" s="180"/>
      <c r="E38" s="180"/>
      <c r="F38" s="180"/>
      <c r="G38" s="180"/>
      <c r="H38" s="180"/>
    </row>
    <row r="39" spans="1:8" x14ac:dyDescent="0.25">
      <c r="A39" s="175" t="s">
        <v>37</v>
      </c>
      <c r="B39" s="175"/>
      <c r="C39" s="175"/>
      <c r="D39" s="175"/>
      <c r="E39" s="175"/>
      <c r="F39" s="175"/>
      <c r="G39" s="175"/>
      <c r="H39" s="175"/>
    </row>
    <row r="40" spans="1:8" x14ac:dyDescent="0.25">
      <c r="A40" s="92" t="s">
        <v>38</v>
      </c>
      <c r="B40" s="92"/>
      <c r="C40" s="92"/>
      <c r="D40" s="92"/>
      <c r="E40" s="176">
        <v>7156.22</v>
      </c>
      <c r="F40" s="176"/>
      <c r="G40" s="176"/>
      <c r="H40" s="176"/>
    </row>
    <row r="41" spans="1:8" x14ac:dyDescent="0.25">
      <c r="A41" s="92" t="s">
        <v>39</v>
      </c>
      <c r="B41" s="92"/>
      <c r="C41" s="92"/>
      <c r="D41" s="92"/>
      <c r="E41" s="153">
        <v>1</v>
      </c>
      <c r="F41" s="153"/>
      <c r="G41" s="153"/>
      <c r="H41" s="153"/>
    </row>
    <row r="42" spans="1:8" x14ac:dyDescent="0.25">
      <c r="A42" s="97" t="s">
        <v>40</v>
      </c>
      <c r="B42" s="97"/>
      <c r="C42" s="97"/>
      <c r="D42" s="97"/>
      <c r="E42" s="127">
        <f>E44/E40-E41</f>
        <v>0.91484470851930189</v>
      </c>
      <c r="F42" s="127"/>
      <c r="G42" s="127"/>
      <c r="H42" s="127"/>
    </row>
    <row r="43" spans="1:8" x14ac:dyDescent="0.25">
      <c r="A43" s="97" t="s">
        <v>41</v>
      </c>
      <c r="B43" s="97"/>
      <c r="C43" s="97"/>
      <c r="D43" s="97"/>
      <c r="E43" s="127">
        <f>E41+E42</f>
        <v>1.9148447085193019</v>
      </c>
      <c r="F43" s="127"/>
      <c r="G43" s="127"/>
      <c r="H43" s="127"/>
    </row>
    <row r="44" spans="1:8" x14ac:dyDescent="0.25">
      <c r="A44" s="97" t="s">
        <v>96</v>
      </c>
      <c r="B44" s="97"/>
      <c r="C44" s="97"/>
      <c r="D44" s="97"/>
      <c r="E44" s="128">
        <v>13703.05</v>
      </c>
      <c r="F44" s="128"/>
      <c r="G44" s="128"/>
      <c r="H44" s="128"/>
    </row>
    <row r="45" spans="1:8" x14ac:dyDescent="0.25">
      <c r="A45" s="97" t="s">
        <v>42</v>
      </c>
      <c r="B45" s="97"/>
      <c r="C45" s="97"/>
      <c r="D45" s="97"/>
      <c r="E45" s="97" t="s">
        <v>205</v>
      </c>
      <c r="F45" s="97"/>
      <c r="G45" s="97"/>
      <c r="H45" s="97"/>
    </row>
    <row r="46" spans="1:8" x14ac:dyDescent="0.25">
      <c r="A46" s="100" t="s">
        <v>43</v>
      </c>
      <c r="B46" s="100"/>
      <c r="C46" s="100"/>
      <c r="D46" s="100"/>
      <c r="E46" s="100"/>
      <c r="F46" s="100"/>
      <c r="G46" s="100"/>
      <c r="H46" s="100"/>
    </row>
    <row r="47" spans="1:8" ht="33.75" customHeight="1" x14ac:dyDescent="0.25">
      <c r="A47" s="154" t="s">
        <v>154</v>
      </c>
      <c r="B47" s="155"/>
      <c r="C47" s="156" t="s">
        <v>183</v>
      </c>
      <c r="D47" s="157"/>
      <c r="E47" s="157"/>
      <c r="F47" s="157"/>
      <c r="G47" s="157"/>
      <c r="H47" s="158"/>
    </row>
    <row r="48" spans="1:8" ht="15.75" customHeight="1" x14ac:dyDescent="0.25">
      <c r="A48" s="141" t="s">
        <v>44</v>
      </c>
      <c r="B48" s="136"/>
      <c r="C48" s="141" t="s">
        <v>220</v>
      </c>
      <c r="D48" s="142"/>
      <c r="E48" s="136"/>
      <c r="F48" s="18" t="s">
        <v>45</v>
      </c>
      <c r="G48" s="135">
        <v>44561</v>
      </c>
      <c r="H48" s="136"/>
    </row>
    <row r="49" spans="1:14" ht="31.5" customHeight="1" x14ac:dyDescent="0.25">
      <c r="A49" s="141" t="s">
        <v>219</v>
      </c>
      <c r="B49" s="136"/>
      <c r="C49" s="141" t="str">
        <f>C48</f>
        <v>S04/0187/21/ TMC/TDD/3843/21</v>
      </c>
      <c r="D49" s="142"/>
      <c r="E49" s="136"/>
      <c r="F49" s="18" t="s">
        <v>45</v>
      </c>
      <c r="G49" s="135">
        <f>G48</f>
        <v>44561</v>
      </c>
      <c r="H49" s="136"/>
    </row>
    <row r="50" spans="1:14" s="21" customFormat="1" ht="15.75" customHeight="1" x14ac:dyDescent="0.25">
      <c r="A50" s="137" t="s">
        <v>158</v>
      </c>
      <c r="B50" s="138"/>
      <c r="C50" s="141" t="s">
        <v>199</v>
      </c>
      <c r="D50" s="142"/>
      <c r="E50" s="136"/>
      <c r="F50" s="18" t="s">
        <v>45</v>
      </c>
      <c r="G50" s="135">
        <v>44561</v>
      </c>
      <c r="H50" s="136"/>
    </row>
    <row r="51" spans="1:14" s="21" customFormat="1" ht="30.75" customHeight="1" x14ac:dyDescent="0.25">
      <c r="A51" s="139"/>
      <c r="B51" s="140"/>
      <c r="C51" s="141" t="s">
        <v>200</v>
      </c>
      <c r="D51" s="142"/>
      <c r="E51" s="142"/>
      <c r="F51" s="142"/>
      <c r="G51" s="142"/>
      <c r="H51" s="136"/>
    </row>
    <row r="52" spans="1:14" ht="30.75" hidden="1" customHeight="1" x14ac:dyDescent="0.25">
      <c r="A52" s="148" t="s">
        <v>46</v>
      </c>
      <c r="B52" s="149"/>
      <c r="C52" s="148" t="s">
        <v>224</v>
      </c>
      <c r="D52" s="150"/>
      <c r="E52" s="149"/>
      <c r="F52" s="41" t="s">
        <v>45</v>
      </c>
      <c r="G52" s="151">
        <v>45650</v>
      </c>
      <c r="H52" s="152"/>
    </row>
    <row r="53" spans="1:14" x14ac:dyDescent="0.25">
      <c r="A53" s="148" t="s">
        <v>46</v>
      </c>
      <c r="B53" s="149"/>
      <c r="C53" s="148" t="s">
        <v>106</v>
      </c>
      <c r="D53" s="150"/>
      <c r="E53" s="149"/>
      <c r="F53" s="41" t="s">
        <v>45</v>
      </c>
      <c r="G53" s="160" t="s">
        <v>30</v>
      </c>
      <c r="H53" s="152"/>
    </row>
    <row r="54" spans="1:14" x14ac:dyDescent="0.25">
      <c r="A54" s="159" t="s">
        <v>48</v>
      </c>
      <c r="B54" s="159"/>
      <c r="C54" s="159"/>
      <c r="D54" s="159"/>
      <c r="E54" s="159"/>
      <c r="F54" s="159"/>
      <c r="G54" s="159"/>
      <c r="H54" s="159"/>
    </row>
    <row r="55" spans="1:14" x14ac:dyDescent="0.25">
      <c r="A55" s="145" t="s">
        <v>95</v>
      </c>
      <c r="B55" s="145"/>
      <c r="C55" s="145"/>
      <c r="D55" s="92">
        <f>E44</f>
        <v>13703.05</v>
      </c>
      <c r="E55" s="92"/>
      <c r="F55" s="92"/>
      <c r="G55" s="92"/>
      <c r="H55" s="92"/>
    </row>
    <row r="56" spans="1:14" x14ac:dyDescent="0.25">
      <c r="A56" s="144" t="s">
        <v>49</v>
      </c>
      <c r="B56" s="97"/>
      <c r="C56" s="97"/>
      <c r="D56" s="97" t="s">
        <v>222</v>
      </c>
      <c r="E56" s="97"/>
      <c r="F56" s="97"/>
      <c r="G56" s="97"/>
      <c r="H56" s="97"/>
      <c r="I56" s="22"/>
    </row>
    <row r="57" spans="1:14" ht="35.25" customHeight="1" x14ac:dyDescent="0.25">
      <c r="A57" s="132" t="s">
        <v>50</v>
      </c>
      <c r="B57" s="133"/>
      <c r="C57" s="134"/>
      <c r="D57" s="130" t="s">
        <v>200</v>
      </c>
      <c r="E57" s="131"/>
      <c r="F57" s="131"/>
      <c r="G57" s="131"/>
      <c r="H57" s="131"/>
    </row>
    <row r="58" spans="1:14" ht="15.75" customHeight="1" x14ac:dyDescent="0.25">
      <c r="A58" s="132" t="s">
        <v>93</v>
      </c>
      <c r="B58" s="133"/>
      <c r="C58" s="133"/>
      <c r="D58" s="97" t="s">
        <v>201</v>
      </c>
      <c r="E58" s="97"/>
      <c r="F58" s="97"/>
      <c r="G58" s="97"/>
      <c r="H58" s="97"/>
    </row>
    <row r="59" spans="1:14" ht="15.75" customHeight="1" x14ac:dyDescent="0.25">
      <c r="A59" s="162"/>
      <c r="B59" s="163"/>
      <c r="C59" s="163"/>
      <c r="D59" s="97" t="s">
        <v>202</v>
      </c>
      <c r="E59" s="97"/>
      <c r="F59" s="97"/>
      <c r="G59" s="97"/>
      <c r="H59" s="97"/>
    </row>
    <row r="60" spans="1:14" ht="15.75" hidden="1" customHeight="1" x14ac:dyDescent="0.25">
      <c r="A60" s="164"/>
      <c r="B60" s="165"/>
      <c r="C60" s="165"/>
      <c r="D60" s="161"/>
      <c r="E60" s="161"/>
      <c r="F60" s="161"/>
      <c r="G60" s="161"/>
      <c r="H60" s="161"/>
    </row>
    <row r="61" spans="1:14" ht="30" customHeight="1" x14ac:dyDescent="0.25">
      <c r="A61" s="92" t="s">
        <v>47</v>
      </c>
      <c r="B61" s="92"/>
      <c r="C61" s="92"/>
      <c r="D61" s="143" t="s">
        <v>223</v>
      </c>
      <c r="E61" s="143"/>
      <c r="F61" s="143"/>
      <c r="G61" s="143"/>
      <c r="H61" s="143"/>
      <c r="J61" s="23"/>
      <c r="K61" s="22"/>
      <c r="N61" s="22"/>
    </row>
    <row r="62" spans="1:14" ht="15.75" customHeight="1" x14ac:dyDescent="0.25">
      <c r="A62" s="92" t="s">
        <v>91</v>
      </c>
      <c r="B62" s="92"/>
      <c r="C62" s="92"/>
      <c r="D62" s="129" t="str">
        <f>(IF(G53="NA","60 Years After Completion",IF(G53&lt;&gt;"NA",""&amp;60-ROUNDDOWN((E3-G53)/360,0)&amp;" Years"," ")))</f>
        <v>60 Years After Completion</v>
      </c>
      <c r="E62" s="129"/>
      <c r="F62" s="129"/>
      <c r="G62" s="129"/>
      <c r="H62" s="129"/>
      <c r="N62" s="22"/>
    </row>
    <row r="63" spans="1:14" ht="15.75" customHeight="1" x14ac:dyDescent="0.25">
      <c r="A63" s="92" t="s">
        <v>92</v>
      </c>
      <c r="B63" s="92"/>
      <c r="C63" s="92"/>
      <c r="D63" s="145" t="s">
        <v>24</v>
      </c>
      <c r="E63" s="145"/>
      <c r="F63" s="145"/>
      <c r="G63" s="145"/>
      <c r="H63" s="145"/>
      <c r="J63" s="24"/>
      <c r="K63" s="24"/>
    </row>
    <row r="64" spans="1:14" ht="30.75" customHeight="1" x14ac:dyDescent="0.25">
      <c r="A64" s="92" t="s">
        <v>78</v>
      </c>
      <c r="B64" s="92"/>
      <c r="C64" s="92"/>
      <c r="D64" s="144" t="s">
        <v>204</v>
      </c>
      <c r="E64" s="145"/>
      <c r="F64" s="145"/>
      <c r="G64" s="145"/>
      <c r="H64" s="145"/>
    </row>
    <row r="65" spans="1:14" x14ac:dyDescent="0.25">
      <c r="A65" s="145" t="s">
        <v>151</v>
      </c>
      <c r="B65" s="145"/>
      <c r="C65" s="145"/>
      <c r="D65" s="145" t="s">
        <v>30</v>
      </c>
      <c r="E65" s="145"/>
      <c r="F65" s="145"/>
      <c r="G65" s="145"/>
      <c r="H65" s="145"/>
      <c r="I65" s="25"/>
      <c r="J65" s="25"/>
      <c r="K65" s="25"/>
      <c r="L65" s="25"/>
      <c r="M65" s="25"/>
      <c r="N65" s="25"/>
    </row>
    <row r="66" spans="1:14" ht="15.75" customHeight="1" x14ac:dyDescent="0.25">
      <c r="A66" s="147" t="s">
        <v>90</v>
      </c>
      <c r="B66" s="147"/>
      <c r="C66" s="147"/>
      <c r="D66" s="130" t="str">
        <f ca="1">(IF(G87&gt;95%,"Nothing",IF(G87&gt;0%,"Cement, Aggregate, Steel, etc",IF(G87=0%,"Work not yet Started"))))</f>
        <v>Cement, Aggregate, Steel, etc</v>
      </c>
      <c r="E66" s="130"/>
      <c r="F66" s="130"/>
      <c r="G66" s="130"/>
      <c r="H66" s="130"/>
      <c r="J66" s="24"/>
    </row>
    <row r="67" spans="1:14" ht="33.75" customHeight="1" thickBot="1" x14ac:dyDescent="0.3">
      <c r="A67" s="146" t="s">
        <v>119</v>
      </c>
      <c r="B67" s="146"/>
      <c r="C67" s="146"/>
      <c r="D67" s="130" t="str">
        <f ca="1">(IF(D66="Nothing","Yes",IF(D66="Cement, Aggregate, Steel, etc","Under Construction",IF(D66="Work not yet Started","Work not yet Started"))))</f>
        <v>Under Construction</v>
      </c>
      <c r="E67" s="130"/>
      <c r="F67" s="130" t="str">
        <f ca="1">(IF(D66="Nothing","Yes",IF(D66="Cement, Aggregate, Steel, etc","Under Construction",IF(D66="Work not yet Started","Work not yet Started"))))</f>
        <v>Under Construction</v>
      </c>
      <c r="G67" s="130"/>
      <c r="H67" s="130"/>
    </row>
    <row r="68" spans="1:14" ht="15.75" customHeight="1" x14ac:dyDescent="0.25">
      <c r="A68" s="117" t="s">
        <v>143</v>
      </c>
      <c r="B68" s="118"/>
      <c r="C68" s="119" t="str">
        <f>D58</f>
        <v>Building No.1 = Lower Stilt + Upper Stilt/Podium + 1st to 28th Floor</v>
      </c>
      <c r="D68" s="120"/>
      <c r="E68" s="120"/>
      <c r="F68" s="120"/>
      <c r="G68" s="120"/>
      <c r="H68" s="121"/>
      <c r="I68" s="186" t="str">
        <f ca="1">IF(D82=100%,"All work Completed. Possession granted to the Building.",IF(D81=100%,"All work Completed, Waiting for OC",I69&amp;""&amp;I70&amp;""&amp;J69&amp;""&amp;J68&amp;" "&amp;J70))</f>
        <v>All work Completed. Possession granted to the Building.</v>
      </c>
      <c r="J68" s="45" t="str">
        <f ca="1">(IF(C75=(D69+F69+H69),"",IF(C75&gt;0,", RCC upto "&amp;C75&amp;" Slab","")))&amp;(IF(C76=H69,"",IF(C76&gt;0,", Brickwork upto "&amp;C76&amp;" Floor","")))&amp;(IF(C77=H69,"",IF(C77&gt;0,", Internal Plaster upto "&amp;C77&amp;" Floor","")))&amp;(IF(C78=H69,"",IF(C78&gt;0,", External Plaster upto "&amp;C78&amp;" Floor","")))&amp;(IF(C79=H69,"",IF(C79&gt;0,", Flooring upto "&amp;C79&amp;" Floor","")))&amp;(IF(C80=H69,"",IF(C80&gt;0,", Painting upto "&amp;C80&amp;" Floor","")))&amp;(IF(C81=H69,"",IF(C81&gt;0,", Finishing upto "&amp;C81&amp;" Floor","")))&amp;(IF(C82=H69,"",IF(C82&gt;0,", Possession upto "&amp;C82&amp;" Floor","")))</f>
        <v/>
      </c>
    </row>
    <row r="69" spans="1:14" x14ac:dyDescent="0.25">
      <c r="A69" s="16" t="s">
        <v>145</v>
      </c>
      <c r="B69" s="56">
        <v>0</v>
      </c>
      <c r="C69" s="56" t="s">
        <v>75</v>
      </c>
      <c r="D69" s="56">
        <v>2</v>
      </c>
      <c r="E69" s="56" t="s">
        <v>74</v>
      </c>
      <c r="F69" s="56">
        <v>0</v>
      </c>
      <c r="G69" s="56" t="s">
        <v>84</v>
      </c>
      <c r="H69" s="17">
        <f ca="1">--TRIM(RIGHT(SUBSTITUTE(LEFT(C68,_xlfn.AGGREGATE(16,6,FIND({0,1,2,3,4,5,6,7,8,9},C68,ROW(INDIRECT("1:"&amp;LEN(C68)))),1))," ",REPT(" ",LEN(C68))),LEN(C68)))</f>
        <v>28</v>
      </c>
      <c r="I69" s="187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Plaster, Flooring, Painting, Building common Amenities</v>
      </c>
      <c r="J69" s="47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0" spans="1:14" ht="16.5" customHeight="1" x14ac:dyDescent="0.25">
      <c r="A70" s="99" t="s">
        <v>94</v>
      </c>
      <c r="B70" s="100"/>
      <c r="C70" s="101" t="str">
        <f ca="1">I68</f>
        <v>All work Completed. Possession granted to the Building.</v>
      </c>
      <c r="D70" s="101"/>
      <c r="E70" s="101"/>
      <c r="F70" s="101"/>
      <c r="G70" s="101"/>
      <c r="H70" s="102"/>
      <c r="I70" s="187" t="str">
        <f ca="1">IF(I69&lt;&gt;""," Completed","")</f>
        <v xml:space="preserve"> Completed</v>
      </c>
      <c r="J70" s="47" t="str">
        <f ca="1">IF(J68&lt;&gt;"","Completed","")</f>
        <v/>
      </c>
    </row>
    <row r="71" spans="1:14" ht="34.5" customHeight="1" thickBot="1" x14ac:dyDescent="0.3">
      <c r="A71" s="192" t="s">
        <v>89</v>
      </c>
      <c r="B71" s="193"/>
      <c r="C71" s="194">
        <v>1</v>
      </c>
      <c r="D71" s="195"/>
      <c r="E71" s="195" t="s">
        <v>88</v>
      </c>
      <c r="F71" s="195"/>
      <c r="G71" s="196">
        <v>1</v>
      </c>
      <c r="H71" s="197"/>
      <c r="I71" s="184"/>
      <c r="J71" s="185"/>
    </row>
    <row r="72" spans="1:14" ht="15.75" hidden="1" customHeight="1" x14ac:dyDescent="0.25">
      <c r="A72" s="188" t="s">
        <v>51</v>
      </c>
      <c r="B72" s="189"/>
      <c r="C72" s="190" t="s">
        <v>142</v>
      </c>
      <c r="D72" s="190" t="s">
        <v>87</v>
      </c>
      <c r="E72" s="189" t="s">
        <v>89</v>
      </c>
      <c r="F72" s="189"/>
      <c r="G72" s="189" t="s">
        <v>88</v>
      </c>
      <c r="H72" s="191"/>
      <c r="I72" s="14" t="s">
        <v>144</v>
      </c>
      <c r="J72" s="26">
        <f ca="1">H69*25%</f>
        <v>7</v>
      </c>
    </row>
    <row r="73" spans="1:14" hidden="1" x14ac:dyDescent="0.25">
      <c r="A73" s="103" t="s">
        <v>131</v>
      </c>
      <c r="B73" s="104"/>
      <c r="C73" s="50">
        <f ca="1">J74</f>
        <v>28</v>
      </c>
      <c r="D73" s="51">
        <f ca="1">((100/H69)*C73)/100</f>
        <v>1</v>
      </c>
      <c r="E73" s="105">
        <f ca="1">(((C74/H69*10)+(40/(D69+F69+H69)*C75)+(7.5/(H69)*C76)+(7.5/(H69)*C77)+(10/H69*C78)+(10/H69*C79)+(5/H69*C80)+(5/H69*C81)+(5/H69*C82))/100)</f>
        <v>1</v>
      </c>
      <c r="F73" s="106"/>
      <c r="G73" s="105">
        <f ca="1">((((C73/H69)*20)+((C74/H69)*25)+(30/(H69+F69+D69)*C75)+(5/H69*C76)+(5/H69*C77)+(5/H69*C78)+(5/H69*C79)+(0/H69*C80)+(0/H69*C81)+(5/H69*C82))/100)</f>
        <v>1</v>
      </c>
      <c r="H73" s="111"/>
      <c r="I73" s="14" t="s">
        <v>101</v>
      </c>
      <c r="J73" s="27">
        <f ca="1">H69*50%</f>
        <v>14</v>
      </c>
    </row>
    <row r="74" spans="1:14" hidden="1" x14ac:dyDescent="0.25">
      <c r="A74" s="103" t="s">
        <v>52</v>
      </c>
      <c r="B74" s="104"/>
      <c r="C74" s="50">
        <f ca="1">J82</f>
        <v>28</v>
      </c>
      <c r="D74" s="51">
        <f ca="1">((100/H69)*C74)/100</f>
        <v>1</v>
      </c>
      <c r="E74" s="107"/>
      <c r="F74" s="108"/>
      <c r="G74" s="107"/>
      <c r="H74" s="112"/>
      <c r="I74" s="14" t="s">
        <v>102</v>
      </c>
      <c r="J74" s="27">
        <f ca="1">H69</f>
        <v>28</v>
      </c>
    </row>
    <row r="75" spans="1:14" ht="15.75" hidden="1" customHeight="1" x14ac:dyDescent="0.25">
      <c r="A75" s="103" t="s">
        <v>132</v>
      </c>
      <c r="B75" s="104"/>
      <c r="C75" s="50">
        <v>30</v>
      </c>
      <c r="D75" s="51">
        <f ca="1">((100/(D69+F69+H69))*C75)/100</f>
        <v>1</v>
      </c>
      <c r="E75" s="107"/>
      <c r="F75" s="108"/>
      <c r="G75" s="107"/>
      <c r="H75" s="112"/>
      <c r="I75" s="14" t="s">
        <v>103</v>
      </c>
      <c r="J75" s="28">
        <f ca="1">(IF(B69&gt;1,(H69/(B69+2)),H69/4))</f>
        <v>7</v>
      </c>
    </row>
    <row r="76" spans="1:14" ht="15.75" hidden="1" customHeight="1" x14ac:dyDescent="0.25">
      <c r="A76" s="103" t="s">
        <v>139</v>
      </c>
      <c r="B76" s="104" t="s">
        <v>133</v>
      </c>
      <c r="C76" s="50">
        <f>C75-D69</f>
        <v>28</v>
      </c>
      <c r="D76" s="51">
        <f ca="1">((100/H69)*C76)/100</f>
        <v>1</v>
      </c>
      <c r="E76" s="107"/>
      <c r="F76" s="108"/>
      <c r="G76" s="107"/>
      <c r="H76" s="112"/>
      <c r="I76" s="14" t="s">
        <v>104</v>
      </c>
      <c r="J76" s="28">
        <f ca="1">(IF(B69&gt;1,(H69/(B69+2)+J75),H69/4+J75))</f>
        <v>14</v>
      </c>
    </row>
    <row r="77" spans="1:14" ht="15.75" hidden="1" customHeight="1" x14ac:dyDescent="0.25">
      <c r="A77" s="103" t="s">
        <v>140</v>
      </c>
      <c r="B77" s="104" t="s">
        <v>133</v>
      </c>
      <c r="C77" s="52">
        <v>28</v>
      </c>
      <c r="D77" s="51">
        <f ca="1">((100/H69)*C77)/100</f>
        <v>1</v>
      </c>
      <c r="E77" s="107"/>
      <c r="F77" s="108"/>
      <c r="G77" s="107"/>
      <c r="H77" s="112"/>
      <c r="I77" s="14" t="s">
        <v>149</v>
      </c>
      <c r="J77" s="28">
        <f>(IF(B69&gt;1,(H69/(B69+2)+J76),0))</f>
        <v>0</v>
      </c>
    </row>
    <row r="78" spans="1:14" ht="15" hidden="1" customHeight="1" x14ac:dyDescent="0.25">
      <c r="A78" s="103" t="s">
        <v>138</v>
      </c>
      <c r="B78" s="104" t="s">
        <v>135</v>
      </c>
      <c r="C78" s="52">
        <v>28</v>
      </c>
      <c r="D78" s="51">
        <f ca="1">((100/(H69))*C78)/100</f>
        <v>1</v>
      </c>
      <c r="E78" s="107"/>
      <c r="F78" s="108"/>
      <c r="G78" s="107"/>
      <c r="H78" s="112"/>
      <c r="I78" s="14" t="s">
        <v>146</v>
      </c>
      <c r="J78" s="28">
        <f>(IF(B69&gt;2,(H69/(B69+2)+J77),0))</f>
        <v>0</v>
      </c>
    </row>
    <row r="79" spans="1:14" ht="15.75" hidden="1" customHeight="1" x14ac:dyDescent="0.25">
      <c r="A79" s="103" t="s">
        <v>134</v>
      </c>
      <c r="B79" s="104" t="s">
        <v>134</v>
      </c>
      <c r="C79" s="52">
        <v>28</v>
      </c>
      <c r="D79" s="51">
        <f ca="1">((100/H69)*C79)/100</f>
        <v>1</v>
      </c>
      <c r="E79" s="107"/>
      <c r="F79" s="108"/>
      <c r="G79" s="107"/>
      <c r="H79" s="112"/>
      <c r="I79" s="14" t="s">
        <v>147</v>
      </c>
      <c r="J79" s="29">
        <f>(IF(B69&gt;3,(H69/(B69+2)+J78),0))</f>
        <v>0</v>
      </c>
    </row>
    <row r="80" spans="1:14" ht="15.75" hidden="1" customHeight="1" x14ac:dyDescent="0.25">
      <c r="A80" s="103" t="s">
        <v>141</v>
      </c>
      <c r="B80" s="104"/>
      <c r="C80" s="52">
        <v>28</v>
      </c>
      <c r="D80" s="51">
        <f ca="1">((100/H69)*C80)/100</f>
        <v>1</v>
      </c>
      <c r="E80" s="107"/>
      <c r="F80" s="108"/>
      <c r="G80" s="107"/>
      <c r="H80" s="112"/>
      <c r="I80" s="14" t="s">
        <v>148</v>
      </c>
      <c r="J80" s="28">
        <f>(IF(B69&gt;4,(H69/(B69+2)+J79),0))</f>
        <v>0</v>
      </c>
    </row>
    <row r="81" spans="1:10" ht="15.75" hidden="1" customHeight="1" x14ac:dyDescent="0.25">
      <c r="A81" s="103" t="s">
        <v>136</v>
      </c>
      <c r="B81" s="104" t="s">
        <v>136</v>
      </c>
      <c r="C81" s="50">
        <v>28</v>
      </c>
      <c r="D81" s="51">
        <f ca="1">((100/(H69))*C81)/100</f>
        <v>1</v>
      </c>
      <c r="E81" s="107"/>
      <c r="F81" s="108"/>
      <c r="G81" s="107"/>
      <c r="H81" s="112"/>
      <c r="I81" s="14" t="s">
        <v>150</v>
      </c>
      <c r="J81" s="28">
        <f ca="1">(IF(B69=1,(H69/(B69+3)+J76),IF(B69=0,(H69/4+J76),IF(B69&gt;1,0))))</f>
        <v>21</v>
      </c>
    </row>
    <row r="82" spans="1:10" ht="16.5" hidden="1" thickBot="1" x14ac:dyDescent="0.3">
      <c r="A82" s="114" t="s">
        <v>137</v>
      </c>
      <c r="B82" s="115"/>
      <c r="C82" s="53">
        <v>28</v>
      </c>
      <c r="D82" s="54">
        <f ca="1">((100/(H69))*C82)/100</f>
        <v>1</v>
      </c>
      <c r="E82" s="109"/>
      <c r="F82" s="110"/>
      <c r="G82" s="109"/>
      <c r="H82" s="113"/>
      <c r="I82" s="15" t="s">
        <v>105</v>
      </c>
      <c r="J82" s="30">
        <f ca="1">(IF(B69&gt;1.5,(H69/(B69+2)+J76+MAX(0,J77-J76)+MAX(0,J78-J77)+MAX(0,J79-J78)+MAX(0,J80-J79)+MAX(0,J81-J80)),IF(B69=1,(H69/(B69+3)+J81),IF(B69=0,H69/4+J81))))</f>
        <v>28</v>
      </c>
    </row>
    <row r="83" spans="1:10" ht="15.75" customHeight="1" x14ac:dyDescent="0.25">
      <c r="A83" s="117" t="s">
        <v>143</v>
      </c>
      <c r="B83" s="118"/>
      <c r="C83" s="119" t="str">
        <f>D59</f>
        <v>Building No.2 = Lower Stilt + Upper Stilt/Podium + 1st to 17th Floor</v>
      </c>
      <c r="D83" s="120"/>
      <c r="E83" s="120"/>
      <c r="F83" s="120"/>
      <c r="G83" s="120"/>
      <c r="H83" s="121"/>
      <c r="I83" s="44" t="str">
        <f ca="1">IF(D96=100%,"All work Completed. Possession granted to the Building.",IF(D95=100%,"All work Completed, Waiting for OC",I84&amp;""&amp;I85&amp;""&amp;J84&amp;""&amp;J83&amp;" "&amp;J85))</f>
        <v>Excavation, Plinth, RCC Slab, Brickwork Completed, Internal Plaster upto 16 Floor, External Plaster upto 15 Floor, Flooring upto 2 Floor Completed</v>
      </c>
      <c r="J83" s="45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Internal Plaster upto 16 Floor, External Plaster upto 15 Floor, Flooring upto 2 Floor</v>
      </c>
    </row>
    <row r="84" spans="1:10" x14ac:dyDescent="0.25">
      <c r="A84" s="16" t="s">
        <v>145</v>
      </c>
      <c r="B84" s="49">
        <v>0</v>
      </c>
      <c r="C84" s="49" t="s">
        <v>75</v>
      </c>
      <c r="D84" s="49">
        <v>2</v>
      </c>
      <c r="E84" s="49" t="s">
        <v>74</v>
      </c>
      <c r="F84" s="49">
        <v>0</v>
      </c>
      <c r="G84" s="49" t="s">
        <v>84</v>
      </c>
      <c r="H84" s="17">
        <f ca="1">--TRIM(RIGHT(SUBSTITUTE(LEFT(C83,_xlfn.AGGREGATE(16,6,FIND({0,1,2,3,4,5,6,7,8,9},C83,ROW(INDIRECT("1:"&amp;LEN(C83)))),1))," ",REPT(" ",LEN(C83))),LEN(C83)))</f>
        <v>17</v>
      </c>
      <c r="I84" s="46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</v>
      </c>
      <c r="J84" s="47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3.75" customHeight="1" x14ac:dyDescent="0.25">
      <c r="A85" s="99" t="s">
        <v>94</v>
      </c>
      <c r="B85" s="100"/>
      <c r="C85" s="101" t="str">
        <f ca="1">(IF($G$53="NA",I83,"All work Completed. OC Received."))</f>
        <v>Excavation, Plinth, RCC Slab, Brickwork Completed, Internal Plaster upto 16 Floor, External Plaster upto 15 Floor, Flooring upto 2 Floor Completed</v>
      </c>
      <c r="D85" s="101"/>
      <c r="E85" s="101"/>
      <c r="F85" s="101"/>
      <c r="G85" s="101"/>
      <c r="H85" s="102"/>
      <c r="I85" s="46" t="str">
        <f ca="1">IF(I84&lt;&gt;""," Completed","")</f>
        <v xml:space="preserve"> Completed</v>
      </c>
      <c r="J85" s="47" t="str">
        <f ca="1">IF(J83&lt;&gt;"","Completed","")</f>
        <v>Completed</v>
      </c>
    </row>
    <row r="86" spans="1:10" ht="15.75" customHeight="1" x14ac:dyDescent="0.25">
      <c r="A86" s="103" t="s">
        <v>51</v>
      </c>
      <c r="B86" s="104"/>
      <c r="C86" s="50" t="s">
        <v>142</v>
      </c>
      <c r="D86" s="50" t="s">
        <v>87</v>
      </c>
      <c r="E86" s="104" t="s">
        <v>89</v>
      </c>
      <c r="F86" s="104"/>
      <c r="G86" s="104" t="s">
        <v>88</v>
      </c>
      <c r="H86" s="116"/>
      <c r="I86" s="14" t="s">
        <v>144</v>
      </c>
      <c r="J86" s="26">
        <f ca="1">H84*25%</f>
        <v>4.25</v>
      </c>
    </row>
    <row r="87" spans="1:10" x14ac:dyDescent="0.25">
      <c r="A87" s="103" t="s">
        <v>131</v>
      </c>
      <c r="B87" s="104"/>
      <c r="C87" s="50">
        <v>17</v>
      </c>
      <c r="D87" s="51">
        <f ca="1">((100/H84)*C87)/100</f>
        <v>1</v>
      </c>
      <c r="E87" s="105">
        <f ca="1">(((C88/H84*10)+(40/(D84+F84+H84)*C89)+(7.5/(H84)*C90)+(7.5/(H84)*C91)+(10/H84*C92)+(10/H84*C93)+(5/H84*C94)+(5/H84*C95)+(5/H84*C96))/100)</f>
        <v>0.74558823529411766</v>
      </c>
      <c r="F87" s="106"/>
      <c r="G87" s="105">
        <f ca="1">((((C87/H84)*20)+((C88/H84)*25)+(30/(H84+F84+D84)*C89)+(5/H84*C90)+(5/H84*C91)+(5/H84*C92)+(5/H84*C93)+(0/H84*C94)+(0/H84*C95)+(5/H84*C96))/100)</f>
        <v>0.89705882352941169</v>
      </c>
      <c r="H87" s="111"/>
      <c r="I87" s="14" t="s">
        <v>101</v>
      </c>
      <c r="J87" s="27">
        <f ca="1">H84*50%</f>
        <v>8.5</v>
      </c>
    </row>
    <row r="88" spans="1:10" x14ac:dyDescent="0.25">
      <c r="A88" s="103" t="s">
        <v>52</v>
      </c>
      <c r="B88" s="104"/>
      <c r="C88" s="50">
        <v>17</v>
      </c>
      <c r="D88" s="51">
        <f ca="1">((100/H84)*C88)/100</f>
        <v>1</v>
      </c>
      <c r="E88" s="107"/>
      <c r="F88" s="108"/>
      <c r="G88" s="107"/>
      <c r="H88" s="112"/>
      <c r="I88" s="14" t="s">
        <v>102</v>
      </c>
      <c r="J88" s="27">
        <f ca="1">H84</f>
        <v>17</v>
      </c>
    </row>
    <row r="89" spans="1:10" ht="15.75" customHeight="1" x14ac:dyDescent="0.25">
      <c r="A89" s="103" t="s">
        <v>132</v>
      </c>
      <c r="B89" s="104"/>
      <c r="C89" s="50">
        <v>19</v>
      </c>
      <c r="D89" s="51">
        <f ca="1">((100/(D84+F84+H84))*C89)/100</f>
        <v>1</v>
      </c>
      <c r="E89" s="107"/>
      <c r="F89" s="108"/>
      <c r="G89" s="107"/>
      <c r="H89" s="112"/>
      <c r="I89" s="14" t="s">
        <v>103</v>
      </c>
      <c r="J89" s="28">
        <f ca="1">(IF(B84&gt;1,(H84/(B84+2)),H84/4))</f>
        <v>4.25</v>
      </c>
    </row>
    <row r="90" spans="1:10" ht="15.75" customHeight="1" x14ac:dyDescent="0.25">
      <c r="A90" s="103" t="s">
        <v>139</v>
      </c>
      <c r="B90" s="104" t="s">
        <v>133</v>
      </c>
      <c r="C90" s="50">
        <v>17</v>
      </c>
      <c r="D90" s="51">
        <f ca="1">((100/H84)*C90)/100</f>
        <v>1</v>
      </c>
      <c r="E90" s="107"/>
      <c r="F90" s="108"/>
      <c r="G90" s="107"/>
      <c r="H90" s="112"/>
      <c r="I90" s="14" t="s">
        <v>104</v>
      </c>
      <c r="J90" s="28">
        <f ca="1">(IF(B84&gt;1,(H84/(B84+2)+J89),H84/4+J89))</f>
        <v>8.5</v>
      </c>
    </row>
    <row r="91" spans="1:10" ht="15.75" customHeight="1" x14ac:dyDescent="0.25">
      <c r="A91" s="103" t="s">
        <v>140</v>
      </c>
      <c r="B91" s="104" t="s">
        <v>133</v>
      </c>
      <c r="C91" s="50">
        <v>16</v>
      </c>
      <c r="D91" s="51">
        <f ca="1">((100/H84)*C91)/100</f>
        <v>0.94117647058823539</v>
      </c>
      <c r="E91" s="107"/>
      <c r="F91" s="108"/>
      <c r="G91" s="107"/>
      <c r="H91" s="112"/>
      <c r="I91" s="14" t="s">
        <v>149</v>
      </c>
      <c r="J91" s="28">
        <f>(IF(B84&gt;1,(H84/(B84+2)+J90),0))</f>
        <v>0</v>
      </c>
    </row>
    <row r="92" spans="1:10" ht="15" customHeight="1" x14ac:dyDescent="0.25">
      <c r="A92" s="103" t="s">
        <v>138</v>
      </c>
      <c r="B92" s="104" t="s">
        <v>135</v>
      </c>
      <c r="C92" s="50">
        <v>15</v>
      </c>
      <c r="D92" s="51">
        <f ca="1">((100/(H84))*C92)/100</f>
        <v>0.88235294117647067</v>
      </c>
      <c r="E92" s="107"/>
      <c r="F92" s="108"/>
      <c r="G92" s="107"/>
      <c r="H92" s="112"/>
      <c r="I92" s="14" t="s">
        <v>146</v>
      </c>
      <c r="J92" s="28">
        <f>(IF(B84&gt;2,(H84/(B84+2)+J91),0))</f>
        <v>0</v>
      </c>
    </row>
    <row r="93" spans="1:10" ht="15.75" customHeight="1" x14ac:dyDescent="0.25">
      <c r="A93" s="103" t="s">
        <v>134</v>
      </c>
      <c r="B93" s="104" t="s">
        <v>134</v>
      </c>
      <c r="C93" s="50">
        <v>2</v>
      </c>
      <c r="D93" s="51">
        <f ca="1">((100/H84)*C93)/100</f>
        <v>0.11764705882352942</v>
      </c>
      <c r="E93" s="107"/>
      <c r="F93" s="108"/>
      <c r="G93" s="107"/>
      <c r="H93" s="112"/>
      <c r="I93" s="14" t="s">
        <v>147</v>
      </c>
      <c r="J93" s="29">
        <f>(IF(B84&gt;3,(H84/(B84+2)+J92),0))</f>
        <v>0</v>
      </c>
    </row>
    <row r="94" spans="1:10" ht="15.75" customHeight="1" x14ac:dyDescent="0.25">
      <c r="A94" s="103" t="s">
        <v>141</v>
      </c>
      <c r="B94" s="104"/>
      <c r="C94" s="50">
        <v>0</v>
      </c>
      <c r="D94" s="51">
        <f ca="1">((100/H84)*C94)/100</f>
        <v>0</v>
      </c>
      <c r="E94" s="107"/>
      <c r="F94" s="108"/>
      <c r="G94" s="107"/>
      <c r="H94" s="112"/>
      <c r="I94" s="14" t="s">
        <v>148</v>
      </c>
      <c r="J94" s="28">
        <f>(IF(B84&gt;4,(H84/(B84+2)+J93),0))</f>
        <v>0</v>
      </c>
    </row>
    <row r="95" spans="1:10" ht="15.75" customHeight="1" x14ac:dyDescent="0.25">
      <c r="A95" s="103" t="s">
        <v>136</v>
      </c>
      <c r="B95" s="104" t="s">
        <v>136</v>
      </c>
      <c r="C95" s="50">
        <v>0</v>
      </c>
      <c r="D95" s="51">
        <f ca="1">((100/(H84))*C95)/100</f>
        <v>0</v>
      </c>
      <c r="E95" s="107"/>
      <c r="F95" s="108"/>
      <c r="G95" s="107"/>
      <c r="H95" s="112"/>
      <c r="I95" s="14" t="s">
        <v>150</v>
      </c>
      <c r="J95" s="28">
        <f ca="1">(IF(B84=1,(H84/(B84+3)+J90),IF(B84=0,(H84/4+J90),IF(B84&gt;1,0))))</f>
        <v>12.75</v>
      </c>
    </row>
    <row r="96" spans="1:10" ht="16.5" thickBot="1" x14ac:dyDescent="0.3">
      <c r="A96" s="114" t="s">
        <v>137</v>
      </c>
      <c r="B96" s="115"/>
      <c r="C96" s="53">
        <v>0</v>
      </c>
      <c r="D96" s="54">
        <f ca="1">((100/(H84))*C96)/100</f>
        <v>0</v>
      </c>
      <c r="E96" s="109"/>
      <c r="F96" s="110"/>
      <c r="G96" s="109"/>
      <c r="H96" s="113"/>
      <c r="I96" s="15" t="s">
        <v>105</v>
      </c>
      <c r="J96" s="30">
        <f ca="1">(IF(B84&gt;1.5,(H84/(B84+2)+J90+MAX(0,J91-J90)+MAX(0,J92-J91)+MAX(0,J93-J92)+MAX(0,J94-J93)+MAX(0,J95-J94)),IF(B84=1,(H84/(B84+3)+J95),IF(B84=0,H84/4+J95))))</f>
        <v>17</v>
      </c>
    </row>
    <row r="97" spans="1:8" x14ac:dyDescent="0.25">
      <c r="A97" s="98" t="s">
        <v>160</v>
      </c>
      <c r="B97" s="98"/>
      <c r="C97" s="98"/>
      <c r="D97" s="98"/>
      <c r="E97" s="98"/>
      <c r="F97" s="90" t="s">
        <v>162</v>
      </c>
      <c r="G97" s="90"/>
      <c r="H97" s="90"/>
    </row>
    <row r="98" spans="1:8" x14ac:dyDescent="0.25">
      <c r="A98" s="97" t="s">
        <v>161</v>
      </c>
      <c r="B98" s="97"/>
      <c r="C98" s="97"/>
      <c r="D98" s="97"/>
      <c r="E98" s="97"/>
      <c r="F98" s="93">
        <v>12800</v>
      </c>
      <c r="G98" s="93"/>
      <c r="H98" s="93"/>
    </row>
    <row r="99" spans="1:8" s="31" customFormat="1" x14ac:dyDescent="0.25">
      <c r="A99" s="97" t="s">
        <v>99</v>
      </c>
      <c r="B99" s="97"/>
      <c r="C99" s="97"/>
      <c r="D99" s="97"/>
      <c r="E99" s="97"/>
      <c r="F99" s="93">
        <v>72000</v>
      </c>
      <c r="G99" s="93"/>
      <c r="H99" s="93"/>
    </row>
    <row r="100" spans="1:8" s="31" customFormat="1" x14ac:dyDescent="0.25">
      <c r="A100" s="92" t="s">
        <v>206</v>
      </c>
      <c r="B100" s="92"/>
      <c r="C100" s="92"/>
      <c r="D100" s="92"/>
      <c r="E100" s="92"/>
      <c r="F100" s="93">
        <v>60000</v>
      </c>
      <c r="G100" s="93"/>
      <c r="H100" s="93"/>
    </row>
    <row r="101" spans="1:8" s="31" customFormat="1" x14ac:dyDescent="0.25">
      <c r="A101" s="92" t="s">
        <v>100</v>
      </c>
      <c r="B101" s="92"/>
      <c r="C101" s="92"/>
      <c r="D101" s="92"/>
      <c r="E101" s="92"/>
      <c r="F101" s="93">
        <v>6000</v>
      </c>
      <c r="G101" s="93"/>
      <c r="H101" s="93"/>
    </row>
    <row r="102" spans="1:8" s="31" customFormat="1" x14ac:dyDescent="0.25">
      <c r="A102" s="92" t="s">
        <v>208</v>
      </c>
      <c r="B102" s="92"/>
      <c r="C102" s="92"/>
      <c r="D102" s="92"/>
      <c r="E102" s="92"/>
      <c r="F102" s="93">
        <v>125000</v>
      </c>
      <c r="G102" s="93"/>
      <c r="H102" s="93"/>
    </row>
    <row r="103" spans="1:8" x14ac:dyDescent="0.25">
      <c r="A103" s="92" t="s">
        <v>53</v>
      </c>
      <c r="B103" s="92"/>
      <c r="C103" s="92"/>
      <c r="D103" s="92"/>
      <c r="E103" s="92"/>
      <c r="F103" s="93">
        <v>700000</v>
      </c>
      <c r="G103" s="93"/>
      <c r="H103" s="93"/>
    </row>
    <row r="104" spans="1:8" s="32" customFormat="1" x14ac:dyDescent="0.25">
      <c r="A104" s="175" t="s">
        <v>54</v>
      </c>
      <c r="B104" s="175"/>
      <c r="C104" s="175"/>
      <c r="D104" s="175"/>
      <c r="E104" s="175"/>
      <c r="F104" s="93">
        <f>F98*0.8</f>
        <v>10240</v>
      </c>
      <c r="G104" s="93"/>
      <c r="H104" s="93"/>
    </row>
    <row r="105" spans="1:8" s="33" customFormat="1" ht="15.75" hidden="1" customHeight="1" x14ac:dyDescent="0.25">
      <c r="A105" s="76" t="s">
        <v>79</v>
      </c>
      <c r="B105" s="76"/>
      <c r="C105" s="76"/>
      <c r="D105" s="76"/>
      <c r="E105" s="76"/>
      <c r="F105" s="76"/>
      <c r="G105" s="76"/>
      <c r="H105" s="76"/>
    </row>
    <row r="106" spans="1:8" s="33" customFormat="1" ht="15.75" hidden="1" customHeight="1" x14ac:dyDescent="0.25">
      <c r="A106" s="95" t="s">
        <v>55</v>
      </c>
      <c r="B106" s="95"/>
      <c r="C106" s="94" t="s">
        <v>82</v>
      </c>
      <c r="D106" s="94"/>
      <c r="E106" s="78" t="s">
        <v>56</v>
      </c>
      <c r="F106" s="78"/>
      <c r="G106" s="95" t="s">
        <v>57</v>
      </c>
      <c r="H106" s="95"/>
    </row>
    <row r="107" spans="1:8" s="33" customFormat="1" hidden="1" x14ac:dyDescent="0.25">
      <c r="A107" s="122"/>
      <c r="B107" s="122"/>
      <c r="C107" s="96"/>
      <c r="D107" s="96"/>
      <c r="E107" s="124"/>
      <c r="F107" s="124"/>
      <c r="G107" s="91"/>
      <c r="H107" s="91"/>
    </row>
    <row r="108" spans="1:8" s="33" customFormat="1" hidden="1" x14ac:dyDescent="0.25">
      <c r="A108" s="122"/>
      <c r="B108" s="122"/>
      <c r="C108" s="96"/>
      <c r="D108" s="96"/>
      <c r="E108" s="124"/>
      <c r="F108" s="124"/>
      <c r="G108" s="91"/>
      <c r="H108" s="91"/>
    </row>
    <row r="109" spans="1:8" s="33" customFormat="1" hidden="1" x14ac:dyDescent="0.25">
      <c r="A109" s="76" t="s">
        <v>153</v>
      </c>
      <c r="B109" s="76"/>
      <c r="C109" s="94"/>
      <c r="D109" s="94"/>
      <c r="E109" s="78"/>
      <c r="F109" s="78"/>
      <c r="G109" s="95"/>
      <c r="H109" s="95"/>
    </row>
    <row r="110" spans="1:8" s="33" customFormat="1" x14ac:dyDescent="0.25">
      <c r="A110" s="76" t="s">
        <v>73</v>
      </c>
      <c r="B110" s="76"/>
      <c r="C110" s="76"/>
      <c r="D110" s="76"/>
      <c r="E110" s="76"/>
      <c r="F110" s="76"/>
      <c r="G110" s="76"/>
      <c r="H110" s="76"/>
    </row>
    <row r="111" spans="1:8" s="33" customFormat="1" ht="15.75" customHeight="1" x14ac:dyDescent="0.25">
      <c r="A111" s="95" t="s">
        <v>55</v>
      </c>
      <c r="B111" s="95"/>
      <c r="C111" s="94" t="s">
        <v>82</v>
      </c>
      <c r="D111" s="94"/>
      <c r="E111" s="78" t="s">
        <v>56</v>
      </c>
      <c r="F111" s="78"/>
      <c r="G111" s="95" t="s">
        <v>57</v>
      </c>
      <c r="H111" s="95"/>
    </row>
    <row r="112" spans="1:8" s="33" customFormat="1" x14ac:dyDescent="0.25">
      <c r="A112" s="122" t="s">
        <v>185</v>
      </c>
      <c r="B112" s="122"/>
      <c r="C112" s="125">
        <f>COUNT(D131:D132)*23+COUNT(D134:D135)*4+COUNT(D137)</f>
        <v>55</v>
      </c>
      <c r="D112" s="125"/>
      <c r="E112" s="126">
        <f>SUM(D131:D132)*23+SUM(D134:D135)*4+SUM(D137)</f>
        <v>85509.135269999984</v>
      </c>
      <c r="F112" s="126"/>
      <c r="G112" s="126">
        <f>SUM(F131:F132)*23+SUM(F134:F135)*4+SUM(F137)</f>
        <v>125614.36410587998</v>
      </c>
      <c r="H112" s="126"/>
    </row>
    <row r="113" spans="1:14" s="33" customFormat="1" x14ac:dyDescent="0.25">
      <c r="A113" s="122" t="s">
        <v>192</v>
      </c>
      <c r="B113" s="122"/>
      <c r="C113" s="125">
        <f>COUNT(D143:D147)*6+COUNT(D149:D152)+COUNT(D155:D159)*9+COUNT(D161:D164)</f>
        <v>83</v>
      </c>
      <c r="D113" s="125"/>
      <c r="E113" s="126">
        <f>SUM(D143:D147)*6+SUM(D149:D152)+SUM(D155:D159)*9+SUM(D161:D164)</f>
        <v>26352.447404399998</v>
      </c>
      <c r="F113" s="126"/>
      <c r="G113" s="126">
        <f>SUM(F143:F147)*6+SUM(F149:F152)+SUM(F155:F159)*9+SUM(F161:F164)</f>
        <v>40846.293476819992</v>
      </c>
      <c r="H113" s="126"/>
    </row>
    <row r="114" spans="1:14" s="33" customFormat="1" x14ac:dyDescent="0.25">
      <c r="A114" s="76" t="s">
        <v>153</v>
      </c>
      <c r="B114" s="76"/>
      <c r="C114" s="182">
        <f>SUM(C112:C113)</f>
        <v>138</v>
      </c>
      <c r="D114" s="94"/>
      <c r="E114" s="77">
        <f>SUM(E112:E113)</f>
        <v>111861.58267439998</v>
      </c>
      <c r="F114" s="78"/>
      <c r="G114" s="95">
        <f>SUM(G112:G113)</f>
        <v>166460.65758269996</v>
      </c>
      <c r="H114" s="95"/>
    </row>
    <row r="115" spans="1:14" s="32" customFormat="1" x14ac:dyDescent="0.25">
      <c r="A115" s="123" t="s">
        <v>58</v>
      </c>
      <c r="B115" s="123"/>
      <c r="C115" s="123"/>
      <c r="D115" s="123"/>
      <c r="E115" s="123"/>
      <c r="F115" s="123"/>
      <c r="G115" s="123"/>
      <c r="H115" s="123"/>
    </row>
    <row r="116" spans="1:14" x14ac:dyDescent="0.25">
      <c r="A116" s="123" t="s">
        <v>59</v>
      </c>
      <c r="B116" s="123"/>
      <c r="C116" s="123"/>
      <c r="D116" s="123"/>
      <c r="E116" s="123"/>
      <c r="F116" s="123"/>
      <c r="G116" s="123"/>
      <c r="H116" s="123"/>
    </row>
    <row r="117" spans="1:14" ht="47.25" hidden="1" customHeight="1" x14ac:dyDescent="0.25">
      <c r="A117" s="79" t="s">
        <v>122</v>
      </c>
      <c r="B117" s="79" t="s">
        <v>121</v>
      </c>
      <c r="C117" s="79" t="s">
        <v>60</v>
      </c>
      <c r="D117" s="79" t="s">
        <v>61</v>
      </c>
      <c r="E117" s="86" t="s">
        <v>159</v>
      </c>
      <c r="F117" s="40" t="s">
        <v>152</v>
      </c>
      <c r="G117" s="84" t="s">
        <v>63</v>
      </c>
      <c r="H117" s="88"/>
    </row>
    <row r="118" spans="1:14" s="43" customFormat="1" hidden="1" x14ac:dyDescent="0.25">
      <c r="A118" s="80"/>
      <c r="B118" s="80"/>
      <c r="C118" s="80"/>
      <c r="D118" s="80"/>
      <c r="E118" s="87"/>
      <c r="F118" s="13">
        <v>0.6</v>
      </c>
      <c r="G118" s="85"/>
      <c r="H118" s="89"/>
    </row>
    <row r="119" spans="1:14" s="43" customFormat="1" hidden="1" x14ac:dyDescent="0.25">
      <c r="A119" s="81" t="s">
        <v>120</v>
      </c>
      <c r="B119" s="82"/>
      <c r="C119" s="82"/>
      <c r="D119" s="82"/>
      <c r="E119" s="82"/>
      <c r="F119" s="82"/>
      <c r="G119" s="82"/>
      <c r="H119" s="83"/>
      <c r="J119" s="34"/>
    </row>
    <row r="120" spans="1:14" s="43" customFormat="1" hidden="1" x14ac:dyDescent="0.25">
      <c r="A120" s="67">
        <v>1</v>
      </c>
      <c r="B120" s="69"/>
      <c r="C120" s="39"/>
      <c r="D120" s="39"/>
      <c r="E120" s="39">
        <v>0</v>
      </c>
      <c r="F120" s="39">
        <f>(D120+E120)*(($F$118)+1)</f>
        <v>0</v>
      </c>
      <c r="G120" s="67" t="str">
        <f>A119</f>
        <v>Ground Floor</v>
      </c>
      <c r="H120" s="69"/>
      <c r="I120" s="34"/>
      <c r="L120" s="71"/>
      <c r="M120" s="71"/>
      <c r="N120" s="34"/>
    </row>
    <row r="121" spans="1:14" s="43" customFormat="1" hidden="1" x14ac:dyDescent="0.25">
      <c r="A121" s="67">
        <f t="shared" ref="A121:A123" si="0">A120+1</f>
        <v>2</v>
      </c>
      <c r="B121" s="69"/>
      <c r="C121" s="39"/>
      <c r="D121" s="39"/>
      <c r="E121" s="39">
        <v>0</v>
      </c>
      <c r="F121" s="39">
        <f t="shared" ref="F121:F123" si="1">(D121+E121)*(($F$118)+1)</f>
        <v>0</v>
      </c>
      <c r="G121" s="67" t="str">
        <f t="shared" ref="G121:G123" si="2">G120</f>
        <v>Ground Floor</v>
      </c>
      <c r="H121" s="69"/>
      <c r="I121" s="34"/>
      <c r="L121" s="71"/>
      <c r="M121" s="71"/>
      <c r="N121" s="34"/>
    </row>
    <row r="122" spans="1:14" s="43" customFormat="1" hidden="1" x14ac:dyDescent="0.25">
      <c r="A122" s="67">
        <f t="shared" si="0"/>
        <v>3</v>
      </c>
      <c r="B122" s="69"/>
      <c r="C122" s="39"/>
      <c r="D122" s="39"/>
      <c r="E122" s="39">
        <v>0</v>
      </c>
      <c r="F122" s="39">
        <f t="shared" si="1"/>
        <v>0</v>
      </c>
      <c r="G122" s="67" t="str">
        <f t="shared" si="2"/>
        <v>Ground Floor</v>
      </c>
      <c r="H122" s="69"/>
      <c r="I122" s="34"/>
      <c r="L122" s="71"/>
      <c r="M122" s="71"/>
      <c r="N122" s="34"/>
    </row>
    <row r="123" spans="1:14" s="43" customFormat="1" hidden="1" x14ac:dyDescent="0.25">
      <c r="A123" s="67">
        <f t="shared" si="0"/>
        <v>4</v>
      </c>
      <c r="B123" s="69"/>
      <c r="C123" s="39"/>
      <c r="D123" s="39"/>
      <c r="E123" s="39">
        <v>0</v>
      </c>
      <c r="F123" s="39">
        <f t="shared" si="1"/>
        <v>0</v>
      </c>
      <c r="G123" s="67" t="str">
        <f t="shared" si="2"/>
        <v>Ground Floor</v>
      </c>
      <c r="H123" s="69"/>
      <c r="I123" s="34"/>
      <c r="L123" s="71"/>
      <c r="M123" s="71"/>
      <c r="N123" s="34"/>
    </row>
    <row r="124" spans="1:14" s="43" customFormat="1" hidden="1" x14ac:dyDescent="0.25">
      <c r="A124" s="67"/>
      <c r="B124" s="68"/>
      <c r="C124" s="68"/>
      <c r="D124" s="68"/>
      <c r="E124" s="68"/>
      <c r="F124" s="68"/>
      <c r="G124" s="68"/>
      <c r="H124" s="69"/>
      <c r="I124" s="34"/>
      <c r="N124" s="34"/>
    </row>
    <row r="125" spans="1:14" ht="47.25" customHeight="1" x14ac:dyDescent="0.25">
      <c r="A125" s="84" t="s">
        <v>123</v>
      </c>
      <c r="B125" s="84" t="s">
        <v>124</v>
      </c>
      <c r="C125" s="79" t="s">
        <v>60</v>
      </c>
      <c r="D125" s="79" t="s">
        <v>61</v>
      </c>
      <c r="E125" s="86" t="s">
        <v>62</v>
      </c>
      <c r="F125" s="40" t="s">
        <v>152</v>
      </c>
      <c r="G125" s="84" t="s">
        <v>63</v>
      </c>
      <c r="H125" s="88"/>
      <c r="I125" s="34"/>
    </row>
    <row r="126" spans="1:14" s="43" customFormat="1" x14ac:dyDescent="0.25">
      <c r="A126" s="85"/>
      <c r="B126" s="85"/>
      <c r="C126" s="80"/>
      <c r="D126" s="80"/>
      <c r="E126" s="87"/>
      <c r="F126" s="13">
        <v>0.55000000000000004</v>
      </c>
      <c r="G126" s="85"/>
      <c r="H126" s="89"/>
      <c r="I126" s="34"/>
    </row>
    <row r="127" spans="1:14" s="43" customFormat="1" x14ac:dyDescent="0.25">
      <c r="A127" s="81" t="s">
        <v>185</v>
      </c>
      <c r="B127" s="82"/>
      <c r="C127" s="82"/>
      <c r="D127" s="82"/>
      <c r="E127" s="82"/>
      <c r="F127" s="82"/>
      <c r="G127" s="82"/>
      <c r="H127" s="83"/>
      <c r="J127" s="48">
        <v>10.763999999999999</v>
      </c>
    </row>
    <row r="128" spans="1:14" s="43" customFormat="1" x14ac:dyDescent="0.25">
      <c r="A128" s="81" t="s">
        <v>184</v>
      </c>
      <c r="B128" s="82"/>
      <c r="C128" s="82"/>
      <c r="D128" s="82"/>
      <c r="E128" s="82"/>
      <c r="F128" s="82"/>
      <c r="G128" s="82"/>
      <c r="H128" s="83"/>
      <c r="J128" s="34"/>
    </row>
    <row r="129" spans="1:14" s="43" customFormat="1" x14ac:dyDescent="0.25">
      <c r="A129" s="81" t="s">
        <v>210</v>
      </c>
      <c r="B129" s="82"/>
      <c r="C129" s="82"/>
      <c r="D129" s="82"/>
      <c r="E129" s="82"/>
      <c r="F129" s="82"/>
      <c r="G129" s="82"/>
      <c r="H129" s="83"/>
      <c r="J129" s="34"/>
    </row>
    <row r="130" spans="1:14" s="43" customFormat="1" x14ac:dyDescent="0.25">
      <c r="A130" s="81" t="s">
        <v>186</v>
      </c>
      <c r="B130" s="82"/>
      <c r="C130" s="82"/>
      <c r="D130" s="82"/>
      <c r="E130" s="82"/>
      <c r="F130" s="82"/>
      <c r="G130" s="82"/>
      <c r="H130" s="83"/>
      <c r="J130" s="34"/>
    </row>
    <row r="131" spans="1:14" s="43" customFormat="1" ht="28.5" customHeight="1" x14ac:dyDescent="0.25">
      <c r="A131" s="67">
        <v>1</v>
      </c>
      <c r="B131" s="69"/>
      <c r="C131" s="39" t="s">
        <v>187</v>
      </c>
      <c r="D131" s="48">
        <f>(149.9+3.06+0.75*(3.3+5.92+2.89+3.7+3.7+4.09))*10.764</f>
        <v>1836.9842399999998</v>
      </c>
      <c r="E131" s="39">
        <v>0</v>
      </c>
      <c r="F131" s="39">
        <f>K131*(($F$126)+1)+(IF(E131&lt;101,E131,IF(E131&lt;201,E131/2,IF(E131&lt;=301,E131/3,E131/4))))</f>
        <v>2685.1101006599993</v>
      </c>
      <c r="G131" s="57" t="str">
        <f>A130</f>
        <v>1st to 6th, 8th to 11th, 13th to 16th, 18th to 21st, 23rd to 26th &amp; 28th Floor</v>
      </c>
      <c r="H131" s="58"/>
      <c r="I131" s="55">
        <f>3.14*1.8+5.92*4.3+2.89*3.5+2.58*3.27+(3.3*3.95+1.75*1.45+1.5*2.45)+(3.27*4.06+1.5*2.45)+(3.27*4.06+1.5*2.4)+(4.09*4.55+1.62*1.59+2.4*1.47)+1.7*2.04+0.95*1.25+5.25*1.2+(1.5*0.45+1.5*0.45+1.37*0.6)+0.8*1.25+1.2*3.27+1.2*1.5</f>
        <v>147.29930000000002</v>
      </c>
      <c r="J131" s="43">
        <f>41500000/F131</f>
        <v>15455.604591334752</v>
      </c>
      <c r="K131" s="48">
        <f>(3.14*1.8+5.92*4.3+2.89*3.5+2.58*3.27+3.3*3.95+3.27*4.06+3.27*4.06+4.09*4.55+1.69*1.47+2.4*1.47+1.37*0.6+1.5*0.6+1.5*0.6+1.5*2.45+1.5*2.45+1.5*2.45+1.2*4.8+1.5*1.3+1.8*3.27+0.75*(5.92+3.3+2.8+3.27+3.27+4.09)+2.58*1.1)*10.764</f>
        <v>1732.3290971999995</v>
      </c>
      <c r="L131" s="34">
        <f>27500000/F131</f>
        <v>10241.665693053148</v>
      </c>
      <c r="M131" s="43">
        <f>35000000/F131</f>
        <v>13034.847245704006</v>
      </c>
      <c r="N131" s="34"/>
    </row>
    <row r="132" spans="1:14" s="43" customFormat="1" ht="29.25" customHeight="1" x14ac:dyDescent="0.25">
      <c r="A132" s="67">
        <f t="shared" ref="A132" si="3">A131+1</f>
        <v>2</v>
      </c>
      <c r="B132" s="69"/>
      <c r="C132" s="39" t="s">
        <v>188</v>
      </c>
      <c r="D132" s="48">
        <f>(107.84+3.24+0.75*(5.57+2.47+3.05+3.7+3.3))*10.764</f>
        <v>1341.7056899999998</v>
      </c>
      <c r="E132" s="39">
        <v>0</v>
      </c>
      <c r="F132" s="39">
        <f>K132*(($F$126)+1)+(IF(E132&lt;101,E132,IF(E132&lt;201,E132/2,IF(E132&lt;=301,E132/3,E132/4))))</f>
        <v>1940.7812229000003</v>
      </c>
      <c r="G132" s="61"/>
      <c r="H132" s="62"/>
      <c r="I132" s="34"/>
      <c r="J132" s="43">
        <f>32200000/F132</f>
        <v>16591.256974284483</v>
      </c>
      <c r="K132" s="48">
        <f>(2.25*1.8+5.57*4.3+2.7*3.27+2.47*3.5+3.3*3.95+3.35*3.75+3.05*3.84+2.1*0.6+1.75*0.6+2.6*1.5+1.5*2.45+1.5*2.45+1.5*2.45+0.75*(3.3+5.57+2.47+3.05+3.75)+2.7*1)*10.764</f>
        <v>1252.1169180000002</v>
      </c>
      <c r="L132" s="71">
        <f>25000000/F132</f>
        <v>12881.410694320251</v>
      </c>
      <c r="M132" s="71"/>
      <c r="N132" s="34"/>
    </row>
    <row r="133" spans="1:14" s="43" customFormat="1" x14ac:dyDescent="0.25">
      <c r="A133" s="81" t="s">
        <v>203</v>
      </c>
      <c r="B133" s="82"/>
      <c r="C133" s="82"/>
      <c r="D133" s="82"/>
      <c r="E133" s="82"/>
      <c r="F133" s="82"/>
      <c r="G133" s="82"/>
      <c r="H133" s="83"/>
      <c r="J133" s="34"/>
    </row>
    <row r="134" spans="1:14" s="43" customFormat="1" ht="15.75" customHeight="1" x14ac:dyDescent="0.25">
      <c r="A134" s="67">
        <v>1</v>
      </c>
      <c r="B134" s="69"/>
      <c r="C134" s="39" t="s">
        <v>188</v>
      </c>
      <c r="D134" s="48">
        <f>(126.61+3.06+0.75*(5.92+2.89+3.7+3.7+4.09))*10.764</f>
        <v>1559.6497799999997</v>
      </c>
      <c r="E134" s="39">
        <v>0</v>
      </c>
      <c r="F134" s="39">
        <f>D134*(($F$126)+1)+(IF(E134&lt;101,E134,IF(E134&lt;201,E134/2,IF(E134&lt;=301,E134/3,E134/4))))</f>
        <v>2417.4571589999996</v>
      </c>
      <c r="G134" s="57" t="str">
        <f>A133</f>
        <v>7th, 12th, 22nd &amp; 27th Floor (Part Refuge Area)</v>
      </c>
      <c r="H134" s="58"/>
      <c r="I134" s="34"/>
      <c r="J134" s="43">
        <f>34300000/F134</f>
        <v>14188.462398311318</v>
      </c>
      <c r="K134" s="43">
        <f>40000000/F134</f>
        <v>16546.311834765387</v>
      </c>
      <c r="L134" s="71"/>
      <c r="M134" s="71"/>
      <c r="N134" s="34"/>
    </row>
    <row r="135" spans="1:14" s="43" customFormat="1" ht="15.75" customHeight="1" x14ac:dyDescent="0.25">
      <c r="A135" s="67">
        <f t="shared" ref="A135" si="4">A134+1</f>
        <v>2</v>
      </c>
      <c r="B135" s="69"/>
      <c r="C135" s="39" t="s">
        <v>189</v>
      </c>
      <c r="D135" s="48">
        <f>(85.75+3.24+0.75*(5.57+2.47+3.3+3.9))*10.764</f>
        <v>1080.9208799999999</v>
      </c>
      <c r="E135" s="39">
        <v>0</v>
      </c>
      <c r="F135" s="39">
        <f>D135*(($F$126)+1)+(IF(E135&lt;101,E135,IF(E135&lt;201,E135/2,IF(E135&lt;=301,E135/3,E135/4))))</f>
        <v>1675.4273639999999</v>
      </c>
      <c r="G135" s="61"/>
      <c r="H135" s="62"/>
      <c r="I135" s="34">
        <f>25000000/F135</f>
        <v>14921.566005889827</v>
      </c>
      <c r="J135" s="43">
        <f>30000000/F135</f>
        <v>17905.879207067792</v>
      </c>
      <c r="L135" s="71"/>
      <c r="M135" s="71"/>
      <c r="N135" s="34"/>
    </row>
    <row r="136" spans="1:14" s="43" customFormat="1" x14ac:dyDescent="0.25">
      <c r="A136" s="81" t="s">
        <v>190</v>
      </c>
      <c r="B136" s="82"/>
      <c r="C136" s="82"/>
      <c r="D136" s="82"/>
      <c r="E136" s="82"/>
      <c r="F136" s="82"/>
      <c r="G136" s="82"/>
      <c r="H136" s="83"/>
      <c r="J136" s="34"/>
    </row>
    <row r="137" spans="1:14" s="43" customFormat="1" ht="15.75" customHeight="1" x14ac:dyDescent="0.25">
      <c r="A137" s="67">
        <v>1</v>
      </c>
      <c r="B137" s="69"/>
      <c r="C137" s="39" t="s">
        <v>187</v>
      </c>
      <c r="D137" s="48">
        <f>(149.9+3.06+0.75*(5.92+2.89+3.3+3.7+3.7+4.09))*10.764</f>
        <v>1836.9842399999998</v>
      </c>
      <c r="E137" s="39">
        <v>0</v>
      </c>
      <c r="F137" s="39">
        <f>D137*(($F$126)+1)+(IF(E137&lt;101,E137,IF(E137&lt;201,E137/2,IF(E137&lt;=301,E137/3,E137/4))))</f>
        <v>2847.3255719999997</v>
      </c>
      <c r="G137" s="57" t="str">
        <f>A136</f>
        <v>17th Floor (Part Refuge Area</v>
      </c>
      <c r="H137" s="58"/>
      <c r="I137" s="34"/>
      <c r="L137" s="71"/>
      <c r="M137" s="71"/>
      <c r="N137" s="34"/>
    </row>
    <row r="138" spans="1:14" s="43" customFormat="1" ht="15.75" customHeight="1" x14ac:dyDescent="0.25">
      <c r="A138" s="67">
        <f t="shared" ref="A138" si="5">A137+1</f>
        <v>2</v>
      </c>
      <c r="B138" s="69"/>
      <c r="C138" s="67" t="s">
        <v>191</v>
      </c>
      <c r="D138" s="68"/>
      <c r="E138" s="68"/>
      <c r="F138" s="69"/>
      <c r="G138" s="61"/>
      <c r="H138" s="62"/>
      <c r="I138" s="34"/>
      <c r="L138" s="71"/>
      <c r="M138" s="71"/>
      <c r="N138" s="34"/>
    </row>
    <row r="139" spans="1:14" s="43" customFormat="1" x14ac:dyDescent="0.25">
      <c r="A139" s="70" t="s">
        <v>192</v>
      </c>
      <c r="B139" s="70"/>
      <c r="C139" s="70"/>
      <c r="D139" s="70"/>
      <c r="E139" s="70"/>
      <c r="F139" s="70"/>
      <c r="G139" s="70"/>
      <c r="H139" s="70"/>
      <c r="I139" s="34"/>
      <c r="L139" s="71"/>
      <c r="M139" s="71"/>
    </row>
    <row r="140" spans="1:14" s="43" customFormat="1" x14ac:dyDescent="0.25">
      <c r="A140" s="70" t="s">
        <v>209</v>
      </c>
      <c r="B140" s="70"/>
      <c r="C140" s="70"/>
      <c r="D140" s="70"/>
      <c r="E140" s="70"/>
      <c r="F140" s="70"/>
      <c r="G140" s="70"/>
      <c r="H140" s="70"/>
      <c r="I140" s="34"/>
      <c r="L140" s="71"/>
      <c r="M140" s="71"/>
    </row>
    <row r="141" spans="1:14" s="43" customFormat="1" x14ac:dyDescent="0.25">
      <c r="A141" s="70" t="s">
        <v>193</v>
      </c>
      <c r="B141" s="70"/>
      <c r="C141" s="70"/>
      <c r="D141" s="70"/>
      <c r="E141" s="70"/>
      <c r="F141" s="70"/>
      <c r="G141" s="70"/>
      <c r="H141" s="70"/>
      <c r="I141" s="34"/>
      <c r="L141" s="71"/>
      <c r="M141" s="71"/>
    </row>
    <row r="142" spans="1:14" s="43" customFormat="1" x14ac:dyDescent="0.25">
      <c r="A142" s="70" t="s">
        <v>194</v>
      </c>
      <c r="B142" s="70"/>
      <c r="C142" s="70"/>
      <c r="D142" s="70"/>
      <c r="E142" s="70"/>
      <c r="F142" s="70"/>
      <c r="G142" s="70"/>
      <c r="H142" s="70"/>
      <c r="I142" s="34"/>
      <c r="L142" s="71"/>
      <c r="M142" s="71"/>
    </row>
    <row r="143" spans="1:14" s="43" customFormat="1" ht="15.75" customHeight="1" x14ac:dyDescent="0.25">
      <c r="A143" s="66">
        <v>1</v>
      </c>
      <c r="B143" s="66"/>
      <c r="C143" s="39" t="s">
        <v>195</v>
      </c>
      <c r="D143" s="48">
        <f>(4.76*3+2.48*3+1.5*2.1+0.75*3.09+2.94*1)*10.764</f>
        <v>324.29240999999996</v>
      </c>
      <c r="E143" s="39">
        <v>0</v>
      </c>
      <c r="F143" s="39">
        <f t="shared" ref="F143:F144" si="6">D143*(($F$126)+1)+(IF(E143&lt;101,E143,IF(E143&lt;201,E143/2,IF(E143&lt;=301,E143/3,E143/4))))</f>
        <v>502.65323549999994</v>
      </c>
      <c r="G143" s="57" t="str">
        <f>A142</f>
        <v>1st to 6th Floor For Residential</v>
      </c>
      <c r="H143" s="58"/>
      <c r="I143" s="34"/>
      <c r="N143" s="34"/>
    </row>
    <row r="144" spans="1:14" s="43" customFormat="1" ht="15.75" customHeight="1" x14ac:dyDescent="0.25">
      <c r="A144" s="66">
        <f>A143+1</f>
        <v>2</v>
      </c>
      <c r="B144" s="66"/>
      <c r="C144" s="39" t="s">
        <v>195</v>
      </c>
      <c r="D144" s="48">
        <f>(4.76*2.84+3.15*2.4+1.5*2.4+0.75*2.4+2.78*1)*10.764</f>
        <v>314.93741759999995</v>
      </c>
      <c r="E144" s="39">
        <v>0</v>
      </c>
      <c r="F144" s="39">
        <f t="shared" si="6"/>
        <v>488.15299727999991</v>
      </c>
      <c r="G144" s="59"/>
      <c r="H144" s="60"/>
      <c r="I144" s="34"/>
      <c r="N144" s="34"/>
    </row>
    <row r="145" spans="1:14" s="43" customFormat="1" ht="15.75" customHeight="1" x14ac:dyDescent="0.25">
      <c r="A145" s="66">
        <f>A144+1</f>
        <v>3</v>
      </c>
      <c r="B145" s="66"/>
      <c r="C145" s="39" t="s">
        <v>195</v>
      </c>
      <c r="D145" s="48">
        <f>(2.85*4.19+2.4*3.27+1.5*2.15+1.5*0.9+0.75*2.4+2.62*1)*10.764</f>
        <v>309.83635800000002</v>
      </c>
      <c r="E145" s="39">
        <v>0</v>
      </c>
      <c r="F145" s="39">
        <f>D145*(($F$126)+1)+(IF(E145&lt;101,E145,IF(E145&lt;201,E145/2,IF(E145&lt;=301,E145/3,E145/4))))</f>
        <v>480.24635490000003</v>
      </c>
      <c r="G145" s="59"/>
      <c r="H145" s="60"/>
      <c r="I145" s="34"/>
      <c r="N145" s="34"/>
    </row>
    <row r="146" spans="1:14" s="43" customFormat="1" ht="15.75" customHeight="1" x14ac:dyDescent="0.25">
      <c r="A146" s="66">
        <f>A145+1</f>
        <v>4</v>
      </c>
      <c r="B146" s="66"/>
      <c r="C146" s="39" t="s">
        <v>195</v>
      </c>
      <c r="D146" s="48">
        <f>(4.76*2.84+3.15*2.4+1.5*2.4+0.75*2.4+2.78*1)*10.764</f>
        <v>314.93741759999995</v>
      </c>
      <c r="E146" s="39">
        <v>0</v>
      </c>
      <c r="F146" s="39">
        <f>D146*(($F$126)+1)+(IF(E146&lt;101,E146,IF(E146&lt;201,E146/2,IF(E146&lt;=301,E146/3,E146/4))))</f>
        <v>488.15299727999991</v>
      </c>
      <c r="G146" s="59"/>
      <c r="H146" s="60"/>
      <c r="I146" s="34"/>
      <c r="N146" s="34"/>
    </row>
    <row r="147" spans="1:14" s="43" customFormat="1" ht="15.75" customHeight="1" x14ac:dyDescent="0.25">
      <c r="A147" s="66">
        <f>A146+1</f>
        <v>5</v>
      </c>
      <c r="B147" s="66"/>
      <c r="C147" s="39" t="s">
        <v>195</v>
      </c>
      <c r="D147" s="48">
        <f>(4.76*3+2.48*3+1.5*2.1+0.75*3.09+2.94*1)*10.764</f>
        <v>324.29240999999996</v>
      </c>
      <c r="E147" s="39">
        <v>0</v>
      </c>
      <c r="F147" s="39">
        <f>D147*(($F$126)+1)+(IF(E147&lt;101,E147,IF(E147&lt;201,E147/2,IF(E147&lt;=301,E147/3,E147/4))))</f>
        <v>502.65323549999994</v>
      </c>
      <c r="G147" s="61"/>
      <c r="H147" s="62"/>
      <c r="I147" s="34"/>
      <c r="N147" s="34"/>
    </row>
    <row r="148" spans="1:14" s="43" customFormat="1" x14ac:dyDescent="0.25">
      <c r="A148" s="70" t="s">
        <v>196</v>
      </c>
      <c r="B148" s="70"/>
      <c r="C148" s="70"/>
      <c r="D148" s="70"/>
      <c r="E148" s="70"/>
      <c r="F148" s="70"/>
      <c r="G148" s="70"/>
      <c r="H148" s="70"/>
      <c r="I148" s="34"/>
      <c r="L148" s="71"/>
      <c r="M148" s="71"/>
    </row>
    <row r="149" spans="1:14" s="43" customFormat="1" ht="15.75" customHeight="1" x14ac:dyDescent="0.25">
      <c r="A149" s="66">
        <v>1</v>
      </c>
      <c r="B149" s="66"/>
      <c r="C149" s="39" t="s">
        <v>195</v>
      </c>
      <c r="D149" s="48">
        <f>(4.76*3+2.48*3+1.5*2.1+0.75*3.09+2.94*1)*10.764</f>
        <v>324.29240999999996</v>
      </c>
      <c r="E149" s="39">
        <v>0</v>
      </c>
      <c r="F149" s="39">
        <f t="shared" ref="F149:F150" si="7">D149*(($F$126)+1)+(IF(E149&lt;101,E149,IF(E149&lt;201,E149/2,IF(E149&lt;=301,E149/3,E149/4))))</f>
        <v>502.65323549999994</v>
      </c>
      <c r="G149" s="57" t="str">
        <f>A148</f>
        <v>7th Floor (Part Refuge Area)</v>
      </c>
      <c r="H149" s="58"/>
      <c r="I149" s="34"/>
      <c r="N149" s="34"/>
    </row>
    <row r="150" spans="1:14" s="43" customFormat="1" ht="15.75" customHeight="1" x14ac:dyDescent="0.25">
      <c r="A150" s="66">
        <f>A149+1</f>
        <v>2</v>
      </c>
      <c r="B150" s="66"/>
      <c r="C150" s="39" t="s">
        <v>195</v>
      </c>
      <c r="D150" s="48">
        <f>(4.76*2.84+3.15*2.4+1.5*2.4+0.75*2.4+2.78*1)*10.764</f>
        <v>314.93741759999995</v>
      </c>
      <c r="E150" s="39">
        <v>0</v>
      </c>
      <c r="F150" s="39">
        <f t="shared" si="7"/>
        <v>488.15299727999991</v>
      </c>
      <c r="G150" s="59"/>
      <c r="H150" s="60"/>
      <c r="I150" s="34"/>
      <c r="N150" s="34"/>
    </row>
    <row r="151" spans="1:14" s="43" customFormat="1" ht="15.75" customHeight="1" x14ac:dyDescent="0.25">
      <c r="A151" s="66">
        <f>A150+1</f>
        <v>3</v>
      </c>
      <c r="B151" s="66"/>
      <c r="C151" s="39" t="s">
        <v>195</v>
      </c>
      <c r="D151" s="48">
        <f>(2.85*4.19+2.4*3.27+1.5*2.15+1.5*0.9+0.75*2.4+2.62*1)*10.764</f>
        <v>309.83635800000002</v>
      </c>
      <c r="E151" s="39">
        <v>0</v>
      </c>
      <c r="F151" s="39">
        <f>D151*(($F$126)+1)+(IF(E151&lt;101,E151,IF(E151&lt;201,E151/2,IF(E151&lt;=301,E151/3,E151/4))))</f>
        <v>480.24635490000003</v>
      </c>
      <c r="G151" s="59"/>
      <c r="H151" s="60"/>
      <c r="I151" s="34"/>
      <c r="N151" s="34"/>
    </row>
    <row r="152" spans="1:14" s="43" customFormat="1" ht="15.75" customHeight="1" x14ac:dyDescent="0.25">
      <c r="A152" s="66">
        <f>A151+1</f>
        <v>4</v>
      </c>
      <c r="B152" s="66"/>
      <c r="C152" s="39" t="s">
        <v>195</v>
      </c>
      <c r="D152" s="48">
        <f>(4.76*2.84+3.15*2.4+1.5*2.4+0.75*2.4+2.78*1)*10.764</f>
        <v>314.93741759999995</v>
      </c>
      <c r="E152" s="39">
        <v>0</v>
      </c>
      <c r="F152" s="39">
        <f>D152*(($F$126)+1)+(IF(E152&lt;101,E152,IF(E152&lt;201,E152/2,IF(E152&lt;=301,E152/3,E152/4))))</f>
        <v>488.15299727999991</v>
      </c>
      <c r="G152" s="59"/>
      <c r="H152" s="60"/>
      <c r="I152" s="34"/>
      <c r="N152" s="34"/>
    </row>
    <row r="153" spans="1:14" s="43" customFormat="1" ht="15.75" customHeight="1" x14ac:dyDescent="0.25">
      <c r="A153" s="66">
        <f>A152+1</f>
        <v>5</v>
      </c>
      <c r="B153" s="66"/>
      <c r="C153" s="67" t="s">
        <v>191</v>
      </c>
      <c r="D153" s="68"/>
      <c r="E153" s="68"/>
      <c r="F153" s="69"/>
      <c r="G153" s="61"/>
      <c r="H153" s="62"/>
      <c r="I153" s="34"/>
      <c r="N153" s="34"/>
    </row>
    <row r="154" spans="1:14" s="43" customFormat="1" x14ac:dyDescent="0.25">
      <c r="A154" s="70" t="s">
        <v>197</v>
      </c>
      <c r="B154" s="70"/>
      <c r="C154" s="70"/>
      <c r="D154" s="70"/>
      <c r="E154" s="70"/>
      <c r="F154" s="70"/>
      <c r="G154" s="70"/>
      <c r="H154" s="70"/>
      <c r="I154" s="34"/>
      <c r="L154" s="71"/>
      <c r="M154" s="71"/>
    </row>
    <row r="155" spans="1:14" s="43" customFormat="1" ht="15.75" customHeight="1" x14ac:dyDescent="0.25">
      <c r="A155" s="66">
        <v>1</v>
      </c>
      <c r="B155" s="66"/>
      <c r="C155" s="39" t="s">
        <v>195</v>
      </c>
      <c r="D155" s="48">
        <f>(4.76*3+2.48*3+1.5*2.1+0.75*3.09+2.94*1)*10.764</f>
        <v>324.29240999999996</v>
      </c>
      <c r="E155" s="39">
        <v>0</v>
      </c>
      <c r="F155" s="39">
        <f t="shared" ref="F155:F156" si="8">D155*(($F$126)+1)+(IF(E155&lt;101,E155,IF(E155&lt;201,E155/2,IF(E155&lt;=301,E155/3,E155/4))))</f>
        <v>502.65323549999994</v>
      </c>
      <c r="G155" s="57" t="str">
        <f>A154</f>
        <v>8th to 11th &amp; 13th to 17th Floor</v>
      </c>
      <c r="H155" s="58"/>
      <c r="I155" s="34"/>
      <c r="N155" s="34"/>
    </row>
    <row r="156" spans="1:14" s="43" customFormat="1" ht="15.75" customHeight="1" x14ac:dyDescent="0.25">
      <c r="A156" s="66">
        <f>A155+1</f>
        <v>2</v>
      </c>
      <c r="B156" s="66"/>
      <c r="C156" s="39" t="s">
        <v>195</v>
      </c>
      <c r="D156" s="48">
        <f>(4.76*2.84+3.15*2.4+1.5*2.4+0.75*2.4+2.78*1)*10.764</f>
        <v>314.93741759999995</v>
      </c>
      <c r="E156" s="39">
        <v>0</v>
      </c>
      <c r="F156" s="39">
        <f t="shared" si="8"/>
        <v>488.15299727999991</v>
      </c>
      <c r="G156" s="59"/>
      <c r="H156" s="60"/>
      <c r="I156" s="34"/>
      <c r="N156" s="34"/>
    </row>
    <row r="157" spans="1:14" s="43" customFormat="1" ht="15.75" customHeight="1" x14ac:dyDescent="0.25">
      <c r="A157" s="66">
        <f>A156+1</f>
        <v>3</v>
      </c>
      <c r="B157" s="66"/>
      <c r="C157" s="39" t="s">
        <v>195</v>
      </c>
      <c r="D157" s="48">
        <f>(2.85*4.19+2.4*3.27+1.5*2.15+1.5*0.9+0.75*2.4+2.62*1)*10.764</f>
        <v>309.83635800000002</v>
      </c>
      <c r="E157" s="39">
        <v>0</v>
      </c>
      <c r="F157" s="39">
        <f>D157*(($F$126)+1)+(IF(E157&lt;101,E157,IF(E157&lt;201,E157/2,IF(E157&lt;=301,E157/3,E157/4))))</f>
        <v>480.24635490000003</v>
      </c>
      <c r="G157" s="59"/>
      <c r="H157" s="60"/>
      <c r="I157" s="34"/>
      <c r="N157" s="34"/>
    </row>
    <row r="158" spans="1:14" s="43" customFormat="1" ht="15.75" customHeight="1" x14ac:dyDescent="0.25">
      <c r="A158" s="66">
        <f>A157+1</f>
        <v>4</v>
      </c>
      <c r="B158" s="66"/>
      <c r="C158" s="39" t="s">
        <v>195</v>
      </c>
      <c r="D158" s="48">
        <f>(4.76*2.84+3.15*2.4+1.5*2.4+0.75*2.4+2.78*1)*10.764</f>
        <v>314.93741759999995</v>
      </c>
      <c r="E158" s="39">
        <v>0</v>
      </c>
      <c r="F158" s="39">
        <f>D158*(($F$126)+1)+(IF(E158&lt;101,E158,IF(E158&lt;201,E158/2,IF(E158&lt;=301,E158/3,E158/4))))</f>
        <v>488.15299727999991</v>
      </c>
      <c r="G158" s="59"/>
      <c r="H158" s="60"/>
      <c r="I158" s="34"/>
      <c r="N158" s="34"/>
    </row>
    <row r="159" spans="1:14" s="43" customFormat="1" ht="15.75" customHeight="1" x14ac:dyDescent="0.25">
      <c r="A159" s="66">
        <f>A158+1</f>
        <v>5</v>
      </c>
      <c r="B159" s="66"/>
      <c r="C159" s="39" t="s">
        <v>195</v>
      </c>
      <c r="D159" s="48">
        <f>(4.76*3+2.48*3+1.5*2.1+0.75*3.09+2.94*1)*10.764</f>
        <v>324.29240999999996</v>
      </c>
      <c r="E159" s="39">
        <v>0</v>
      </c>
      <c r="F159" s="39">
        <f>D159*(($F$126)+1)+(IF(E159&lt;101,E159,IF(E159&lt;201,E159/2,IF(E159&lt;=301,E159/3,E159/4))))</f>
        <v>502.65323549999994</v>
      </c>
      <c r="G159" s="61"/>
      <c r="H159" s="62"/>
      <c r="I159" s="34"/>
      <c r="N159" s="34"/>
    </row>
    <row r="160" spans="1:14" s="43" customFormat="1" x14ac:dyDescent="0.25">
      <c r="A160" s="70" t="s">
        <v>198</v>
      </c>
      <c r="B160" s="70"/>
      <c r="C160" s="70"/>
      <c r="D160" s="70"/>
      <c r="E160" s="70"/>
      <c r="F160" s="70"/>
      <c r="G160" s="70"/>
      <c r="H160" s="70"/>
      <c r="I160" s="34"/>
      <c r="L160" s="71"/>
      <c r="M160" s="71"/>
    </row>
    <row r="161" spans="1:14" s="43" customFormat="1" ht="15.75" customHeight="1" x14ac:dyDescent="0.25">
      <c r="A161" s="66">
        <v>1</v>
      </c>
      <c r="B161" s="66"/>
      <c r="C161" s="39" t="s">
        <v>195</v>
      </c>
      <c r="D161" s="48">
        <f>(4.76*3+2.48*3+1.5*2.1+0.75*3.09+2.94*1)*10.764</f>
        <v>324.29240999999996</v>
      </c>
      <c r="E161" s="39">
        <v>0</v>
      </c>
      <c r="F161" s="39">
        <f t="shared" ref="F161:F162" si="9">D161*(($F$126)+1)+(IF(E161&lt;101,E161,IF(E161&lt;201,E161/2,IF(E161&lt;=301,E161/3,E161/4))))</f>
        <v>502.65323549999994</v>
      </c>
      <c r="G161" s="57" t="str">
        <f>A160</f>
        <v>12th Floor (Part Refuge Area)</v>
      </c>
      <c r="H161" s="58"/>
      <c r="I161" s="34"/>
      <c r="N161" s="34"/>
    </row>
    <row r="162" spans="1:14" s="43" customFormat="1" ht="15.75" customHeight="1" x14ac:dyDescent="0.25">
      <c r="A162" s="66">
        <f>A161+1</f>
        <v>2</v>
      </c>
      <c r="B162" s="66"/>
      <c r="C162" s="39" t="s">
        <v>195</v>
      </c>
      <c r="D162" s="48">
        <f>(4.76*2.84+3.15*2.4+1.5*2.4+0.75*2.4+2.78*1)*10.764</f>
        <v>314.93741759999995</v>
      </c>
      <c r="E162" s="39">
        <v>0</v>
      </c>
      <c r="F162" s="39">
        <f t="shared" si="9"/>
        <v>488.15299727999991</v>
      </c>
      <c r="G162" s="59"/>
      <c r="H162" s="60"/>
      <c r="I162" s="34"/>
      <c r="N162" s="34"/>
    </row>
    <row r="163" spans="1:14" s="43" customFormat="1" ht="15.75" customHeight="1" x14ac:dyDescent="0.25">
      <c r="A163" s="66">
        <f>A162+1</f>
        <v>3</v>
      </c>
      <c r="B163" s="66"/>
      <c r="C163" s="39" t="s">
        <v>195</v>
      </c>
      <c r="D163" s="48">
        <f>(2.85*4.19+2.4*3.27+1.5*2.15+1.5*0.9+0.75*2.4+2.62*1)*10.764</f>
        <v>309.83635800000002</v>
      </c>
      <c r="E163" s="39">
        <v>0</v>
      </c>
      <c r="F163" s="39">
        <f>D163*(($F$126)+1)+(IF(E163&lt;101,E163,IF(E163&lt;201,E163/2,IF(E163&lt;=301,E163/3,E163/4))))</f>
        <v>480.24635490000003</v>
      </c>
      <c r="G163" s="59"/>
      <c r="H163" s="60"/>
      <c r="I163" s="34"/>
      <c r="N163" s="34"/>
    </row>
    <row r="164" spans="1:14" s="43" customFormat="1" ht="15.75" customHeight="1" x14ac:dyDescent="0.25">
      <c r="A164" s="66">
        <f>A163+1</f>
        <v>4</v>
      </c>
      <c r="B164" s="66"/>
      <c r="C164" s="39" t="s">
        <v>195</v>
      </c>
      <c r="D164" s="48">
        <f>(4.76*2.84+3.15*2.4+1.5*2.4+0.75*2.4+2.78*1)*10.764</f>
        <v>314.93741759999995</v>
      </c>
      <c r="E164" s="39">
        <v>0</v>
      </c>
      <c r="F164" s="39">
        <f>D164*(($F$126)+1)+(IF(E164&lt;101,E164,IF(E164&lt;201,E164/2,IF(E164&lt;=301,E164/3,E164/4))))</f>
        <v>488.15299727999991</v>
      </c>
      <c r="G164" s="59"/>
      <c r="H164" s="60"/>
      <c r="I164" s="34"/>
      <c r="N164" s="34"/>
    </row>
    <row r="165" spans="1:14" s="43" customFormat="1" ht="15.75" customHeight="1" x14ac:dyDescent="0.25">
      <c r="A165" s="66">
        <f>A164+1</f>
        <v>5</v>
      </c>
      <c r="B165" s="66"/>
      <c r="C165" s="67" t="s">
        <v>191</v>
      </c>
      <c r="D165" s="68"/>
      <c r="E165" s="68"/>
      <c r="F165" s="69"/>
      <c r="G165" s="61"/>
      <c r="H165" s="62"/>
      <c r="I165" s="34"/>
      <c r="N165" s="34"/>
    </row>
    <row r="166" spans="1:14" s="33" customFormat="1" x14ac:dyDescent="0.25">
      <c r="A166" s="75" t="s">
        <v>71</v>
      </c>
      <c r="B166" s="75"/>
      <c r="C166" s="75"/>
      <c r="D166" s="75"/>
      <c r="E166" s="75"/>
      <c r="F166" s="75"/>
      <c r="G166" s="75"/>
      <c r="H166" s="75"/>
    </row>
    <row r="167" spans="1:14" s="33" customFormat="1" ht="47.25" customHeight="1" x14ac:dyDescent="0.25">
      <c r="A167" s="42" t="s">
        <v>156</v>
      </c>
      <c r="B167" s="63" t="s">
        <v>226</v>
      </c>
      <c r="C167" s="64"/>
      <c r="D167" s="64"/>
      <c r="E167" s="64"/>
      <c r="F167" s="64"/>
      <c r="G167" s="64"/>
      <c r="H167" s="65"/>
    </row>
    <row r="168" spans="1:14" s="33" customFormat="1" x14ac:dyDescent="0.25">
      <c r="A168" s="42" t="s">
        <v>156</v>
      </c>
      <c r="B168" s="63" t="str">
        <f>(IF(F125="Saleable area Loading :","We have considered Saleable area of Flats as per our Calculation.","We considered Saleable area of Flat as per Builder area Sheet."))</f>
        <v>We have considered Saleable area of Flats as per our Calculation.</v>
      </c>
      <c r="C168" s="64"/>
      <c r="D168" s="64"/>
      <c r="E168" s="64"/>
      <c r="F168" s="64"/>
      <c r="G168" s="64"/>
      <c r="H168" s="65"/>
    </row>
    <row r="169" spans="1:14" s="33" customFormat="1" x14ac:dyDescent="0.25">
      <c r="A169" s="42" t="s">
        <v>156</v>
      </c>
      <c r="B169" s="63" t="str">
        <f>(IF(F117="Saleable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9" s="64"/>
      <c r="D169" s="64"/>
      <c r="E169" s="64"/>
      <c r="F169" s="64"/>
      <c r="G169" s="64"/>
      <c r="H169" s="65"/>
    </row>
    <row r="170" spans="1:14" s="33" customFormat="1" x14ac:dyDescent="0.25">
      <c r="A170" s="42" t="s">
        <v>156</v>
      </c>
      <c r="B170" s="72" t="s">
        <v>126</v>
      </c>
      <c r="C170" s="73"/>
      <c r="D170" s="73"/>
      <c r="E170" s="73"/>
      <c r="F170" s="73"/>
      <c r="G170" s="73"/>
      <c r="H170" s="74"/>
    </row>
    <row r="171" spans="1:14" s="33" customFormat="1" x14ac:dyDescent="0.25">
      <c r="A171" s="42" t="s">
        <v>156</v>
      </c>
      <c r="B171" s="72" t="s">
        <v>212</v>
      </c>
      <c r="C171" s="73"/>
      <c r="D171" s="73"/>
      <c r="E171" s="73"/>
      <c r="F171" s="73"/>
      <c r="G171" s="73"/>
      <c r="H171" s="74"/>
    </row>
    <row r="172" spans="1:14" s="33" customFormat="1" x14ac:dyDescent="0.25">
      <c r="A172" s="42" t="s">
        <v>156</v>
      </c>
      <c r="B172" s="72" t="s">
        <v>155</v>
      </c>
      <c r="C172" s="73"/>
      <c r="D172" s="73"/>
      <c r="E172" s="73"/>
      <c r="F172" s="73"/>
      <c r="G172" s="73"/>
      <c r="H172" s="74"/>
    </row>
    <row r="173" spans="1:14" s="33" customFormat="1" x14ac:dyDescent="0.25">
      <c r="A173" s="42" t="s">
        <v>156</v>
      </c>
      <c r="B173" s="72" t="s">
        <v>127</v>
      </c>
      <c r="C173" s="73"/>
      <c r="D173" s="73"/>
      <c r="E173" s="73"/>
      <c r="F173" s="73"/>
      <c r="G173" s="73"/>
      <c r="H173" s="74"/>
    </row>
    <row r="174" spans="1:14" s="33" customFormat="1" ht="34.5" customHeight="1" x14ac:dyDescent="0.25">
      <c r="A174" s="42" t="s">
        <v>156</v>
      </c>
      <c r="B174" s="72" t="s">
        <v>157</v>
      </c>
      <c r="C174" s="73"/>
      <c r="D174" s="73"/>
      <c r="E174" s="73"/>
      <c r="F174" s="73"/>
      <c r="G174" s="73"/>
      <c r="H174" s="74"/>
    </row>
    <row r="175" spans="1:14" s="33" customFormat="1" x14ac:dyDescent="0.25">
      <c r="A175" s="42" t="s">
        <v>156</v>
      </c>
      <c r="B175" s="72" t="s">
        <v>128</v>
      </c>
      <c r="C175" s="73"/>
      <c r="D175" s="73"/>
      <c r="E175" s="73"/>
      <c r="F175" s="73"/>
      <c r="G175" s="73"/>
      <c r="H175" s="74"/>
    </row>
    <row r="176" spans="1:14" s="33" customFormat="1" x14ac:dyDescent="0.25">
      <c r="A176" s="42" t="s">
        <v>156</v>
      </c>
      <c r="B176" s="63" t="s">
        <v>211</v>
      </c>
      <c r="C176" s="64"/>
      <c r="D176" s="64"/>
      <c r="E176" s="64"/>
      <c r="F176" s="64"/>
      <c r="G176" s="64"/>
      <c r="H176" s="65"/>
    </row>
    <row r="177" spans="1:8" s="33" customFormat="1" x14ac:dyDescent="0.25">
      <c r="A177" s="42" t="s">
        <v>156</v>
      </c>
      <c r="B177" s="63" t="s">
        <v>221</v>
      </c>
      <c r="C177" s="64"/>
      <c r="D177" s="64"/>
      <c r="E177" s="64"/>
      <c r="F177" s="64"/>
      <c r="G177" s="64"/>
      <c r="H177" s="65"/>
    </row>
    <row r="178" spans="1:8" x14ac:dyDescent="0.25">
      <c r="A178" s="159" t="s">
        <v>64</v>
      </c>
      <c r="B178" s="159"/>
      <c r="C178" s="159"/>
      <c r="D178" s="159"/>
      <c r="E178" s="159"/>
      <c r="F178" s="159"/>
      <c r="G178" s="159"/>
      <c r="H178" s="159"/>
    </row>
    <row r="179" spans="1:8" x14ac:dyDescent="0.25">
      <c r="A179" s="92" t="s">
        <v>65</v>
      </c>
      <c r="B179" s="92"/>
      <c r="C179" s="92"/>
      <c r="D179" s="92"/>
      <c r="E179" s="92"/>
      <c r="F179" s="92"/>
      <c r="G179" s="92"/>
      <c r="H179" s="92"/>
    </row>
    <row r="180" spans="1:8" ht="15.75" customHeight="1" x14ac:dyDescent="0.25">
      <c r="A180" s="181" t="s">
        <v>66</v>
      </c>
      <c r="B180" s="181"/>
      <c r="C180" s="181"/>
      <c r="D180" s="181"/>
      <c r="E180" s="181"/>
      <c r="F180" s="181"/>
      <c r="G180" s="181"/>
      <c r="H180" s="181"/>
    </row>
    <row r="181" spans="1:8" x14ac:dyDescent="0.25">
      <c r="A181" s="92" t="s">
        <v>67</v>
      </c>
      <c r="B181" s="92"/>
      <c r="C181" s="92"/>
      <c r="D181" s="92"/>
      <c r="E181" s="92"/>
      <c r="F181" s="92"/>
      <c r="G181" s="92"/>
      <c r="H181" s="92"/>
    </row>
    <row r="182" spans="1:8" x14ac:dyDescent="0.25">
      <c r="A182" s="92" t="s">
        <v>68</v>
      </c>
      <c r="B182" s="92"/>
      <c r="C182" s="92"/>
      <c r="D182" s="92"/>
      <c r="E182" s="92"/>
      <c r="F182" s="92"/>
      <c r="G182" s="92"/>
      <c r="H182" s="92"/>
    </row>
    <row r="183" spans="1:8" x14ac:dyDescent="0.25">
      <c r="A183" s="92" t="s">
        <v>129</v>
      </c>
      <c r="B183" s="92"/>
      <c r="C183" s="92"/>
      <c r="D183" s="92"/>
      <c r="E183" s="92"/>
      <c r="F183" s="92"/>
      <c r="G183" s="92"/>
      <c r="H183" s="92"/>
    </row>
    <row r="184" spans="1:8" ht="34.5" customHeight="1" x14ac:dyDescent="0.25">
      <c r="A184" s="145" t="s">
        <v>130</v>
      </c>
      <c r="B184" s="145"/>
      <c r="C184" s="145"/>
      <c r="D184" s="145"/>
      <c r="E184" s="145"/>
      <c r="F184" s="145"/>
      <c r="G184" s="145"/>
      <c r="H184" s="145"/>
    </row>
    <row r="185" spans="1:8" x14ac:dyDescent="0.25">
      <c r="A185" s="174" t="s">
        <v>81</v>
      </c>
      <c r="B185" s="174"/>
      <c r="C185" s="174" t="s">
        <v>175</v>
      </c>
      <c r="D185" s="174"/>
      <c r="E185" s="174" t="s">
        <v>107</v>
      </c>
      <c r="F185" s="174"/>
      <c r="G185" s="174" t="s">
        <v>225</v>
      </c>
      <c r="H185" s="174"/>
    </row>
    <row r="186" spans="1:8" x14ac:dyDescent="0.25">
      <c r="A186" s="173" t="s">
        <v>83</v>
      </c>
      <c r="B186" s="173"/>
      <c r="C186" s="173"/>
      <c r="D186" s="173"/>
      <c r="E186" s="173"/>
      <c r="F186" s="173"/>
      <c r="G186" s="173"/>
      <c r="H186" s="173"/>
    </row>
    <row r="187" spans="1:8" x14ac:dyDescent="0.25">
      <c r="A187" s="173"/>
      <c r="B187" s="173"/>
      <c r="C187" s="173"/>
      <c r="D187" s="173"/>
      <c r="E187" s="173"/>
      <c r="F187" s="173"/>
      <c r="G187" s="173"/>
      <c r="H187" s="173"/>
    </row>
    <row r="188" spans="1:8" ht="18.75" customHeight="1" x14ac:dyDescent="0.25">
      <c r="A188" s="173"/>
      <c r="B188" s="173"/>
      <c r="C188" s="173"/>
      <c r="D188" s="173"/>
      <c r="E188" s="173"/>
      <c r="F188" s="173"/>
      <c r="G188" s="173"/>
      <c r="H188" s="173"/>
    </row>
    <row r="189" spans="1:8" x14ac:dyDescent="0.25">
      <c r="A189" s="35" t="s">
        <v>69</v>
      </c>
      <c r="B189" s="36"/>
      <c r="C189" s="36"/>
      <c r="D189" s="35" t="str">
        <f>E8</f>
        <v>Lakeview &amp; Zen</v>
      </c>
      <c r="F189" s="36"/>
      <c r="G189" s="36"/>
      <c r="H189" s="36"/>
    </row>
    <row r="190" spans="1:8" x14ac:dyDescent="0.25">
      <c r="A190" s="36"/>
      <c r="B190" s="36"/>
      <c r="C190" s="36"/>
      <c r="D190" s="36"/>
      <c r="E190" s="36"/>
      <c r="F190" s="36"/>
      <c r="G190" s="36"/>
      <c r="H190" s="36"/>
    </row>
    <row r="191" spans="1:8" x14ac:dyDescent="0.25">
      <c r="A191" s="36"/>
      <c r="B191" s="36"/>
      <c r="C191" s="36"/>
      <c r="D191" s="36"/>
      <c r="E191" s="36"/>
      <c r="F191" s="36"/>
      <c r="G191" s="36"/>
      <c r="H191" s="36"/>
    </row>
    <row r="192" spans="1:8" ht="15" customHeight="1" x14ac:dyDescent="0.25"/>
    <row r="231" spans="1:1" x14ac:dyDescent="0.25">
      <c r="A231" s="38" t="s">
        <v>167</v>
      </c>
    </row>
    <row r="268" spans="1:1" x14ac:dyDescent="0.25">
      <c r="A268" s="38" t="s">
        <v>70</v>
      </c>
    </row>
  </sheetData>
  <mergeCells count="348">
    <mergeCell ref="A71:B71"/>
    <mergeCell ref="C71:D71"/>
    <mergeCell ref="E71:F71"/>
    <mergeCell ref="G71:H71"/>
    <mergeCell ref="A180:H180"/>
    <mergeCell ref="A143:B143"/>
    <mergeCell ref="A111:B111"/>
    <mergeCell ref="D125:D126"/>
    <mergeCell ref="E125:E126"/>
    <mergeCell ref="G125:H126"/>
    <mergeCell ref="A91:B91"/>
    <mergeCell ref="A92:B92"/>
    <mergeCell ref="A93:B93"/>
    <mergeCell ref="F98:H98"/>
    <mergeCell ref="G107:H107"/>
    <mergeCell ref="E107:F107"/>
    <mergeCell ref="C114:D114"/>
    <mergeCell ref="F101:H101"/>
    <mergeCell ref="E106:F106"/>
    <mergeCell ref="A106:B106"/>
    <mergeCell ref="C108:D108"/>
    <mergeCell ref="C112:D112"/>
    <mergeCell ref="E112:F112"/>
    <mergeCell ref="G112:H112"/>
    <mergeCell ref="G87:H96"/>
    <mergeCell ref="A88:B88"/>
    <mergeCell ref="A116:H116"/>
    <mergeCell ref="A127:H127"/>
    <mergeCell ref="E28:H28"/>
    <mergeCell ref="A25:D25"/>
    <mergeCell ref="A34:B34"/>
    <mergeCell ref="A36:H36"/>
    <mergeCell ref="A35:B35"/>
    <mergeCell ref="C35:E35"/>
    <mergeCell ref="A40:D40"/>
    <mergeCell ref="E40:H40"/>
    <mergeCell ref="F32:H32"/>
    <mergeCell ref="F33:H33"/>
    <mergeCell ref="A39:H39"/>
    <mergeCell ref="F35:H35"/>
    <mergeCell ref="A37:B37"/>
    <mergeCell ref="E37:F37"/>
    <mergeCell ref="C37:D37"/>
    <mergeCell ref="G37:H37"/>
    <mergeCell ref="A38:B38"/>
    <mergeCell ref="C38:H38"/>
    <mergeCell ref="A21:D22"/>
    <mergeCell ref="E20:F20"/>
    <mergeCell ref="G20:H20"/>
    <mergeCell ref="E25:H25"/>
    <mergeCell ref="A27:D27"/>
    <mergeCell ref="E27:H27"/>
    <mergeCell ref="E21:H22"/>
    <mergeCell ref="A23:D23"/>
    <mergeCell ref="E23:H23"/>
    <mergeCell ref="A186:H188"/>
    <mergeCell ref="A185:B185"/>
    <mergeCell ref="E185:F185"/>
    <mergeCell ref="C185:D185"/>
    <mergeCell ref="G185:H185"/>
    <mergeCell ref="A105:H105"/>
    <mergeCell ref="A103:E103"/>
    <mergeCell ref="F103:H103"/>
    <mergeCell ref="A104:E104"/>
    <mergeCell ref="F104:H104"/>
    <mergeCell ref="A142:H142"/>
    <mergeCell ref="A112:B112"/>
    <mergeCell ref="A107:B107"/>
    <mergeCell ref="A181:H181"/>
    <mergeCell ref="A110:H110"/>
    <mergeCell ref="A184:H184"/>
    <mergeCell ref="A182:H182"/>
    <mergeCell ref="A178:H178"/>
    <mergeCell ref="A179:H179"/>
    <mergeCell ref="E111:F111"/>
    <mergeCell ref="B175:H175"/>
    <mergeCell ref="G122:H122"/>
    <mergeCell ref="G120:H120"/>
    <mergeCell ref="A183:H18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0:H10"/>
    <mergeCell ref="E13:H13"/>
    <mergeCell ref="A14:B14"/>
    <mergeCell ref="C14:H14"/>
    <mergeCell ref="C15:H15"/>
    <mergeCell ref="G17:H17"/>
    <mergeCell ref="A18:B18"/>
    <mergeCell ref="C18:D18"/>
    <mergeCell ref="E18:F18"/>
    <mergeCell ref="G18:H18"/>
    <mergeCell ref="A11:D11"/>
    <mergeCell ref="E11:H11"/>
    <mergeCell ref="A15:B15"/>
    <mergeCell ref="A12:D12"/>
    <mergeCell ref="E12:H12"/>
    <mergeCell ref="A13:D13"/>
    <mergeCell ref="A10:D10"/>
    <mergeCell ref="E17:F17"/>
    <mergeCell ref="A16:B16"/>
    <mergeCell ref="C16:H16"/>
    <mergeCell ref="A17:B17"/>
    <mergeCell ref="C17:D17"/>
    <mergeCell ref="A19:B19"/>
    <mergeCell ref="C19:D19"/>
    <mergeCell ref="E19:F19"/>
    <mergeCell ref="G19:H19"/>
    <mergeCell ref="A20:B20"/>
    <mergeCell ref="C20:D20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4:D24"/>
    <mergeCell ref="E24:H24"/>
    <mergeCell ref="A28:D28"/>
    <mergeCell ref="E41:H41"/>
    <mergeCell ref="A41:D41"/>
    <mergeCell ref="A70:B70"/>
    <mergeCell ref="A68:B68"/>
    <mergeCell ref="C68:H68"/>
    <mergeCell ref="A77:B77"/>
    <mergeCell ref="A63:C63"/>
    <mergeCell ref="D63:H63"/>
    <mergeCell ref="C70:H70"/>
    <mergeCell ref="A74:B74"/>
    <mergeCell ref="A47:B47"/>
    <mergeCell ref="C47:H47"/>
    <mergeCell ref="A49:B49"/>
    <mergeCell ref="A54:H54"/>
    <mergeCell ref="A55:C55"/>
    <mergeCell ref="A56:C56"/>
    <mergeCell ref="D56:H56"/>
    <mergeCell ref="A76:B76"/>
    <mergeCell ref="G53:H53"/>
    <mergeCell ref="D60:H60"/>
    <mergeCell ref="C51:H51"/>
    <mergeCell ref="A58:C60"/>
    <mergeCell ref="G48:H48"/>
    <mergeCell ref="G50:H50"/>
    <mergeCell ref="A64:C64"/>
    <mergeCell ref="D64:H64"/>
    <mergeCell ref="A67:C67"/>
    <mergeCell ref="D67:H67"/>
    <mergeCell ref="A65:C65"/>
    <mergeCell ref="D65:H65"/>
    <mergeCell ref="A66:C66"/>
    <mergeCell ref="D66:H66"/>
    <mergeCell ref="A44:D44"/>
    <mergeCell ref="A45:D45"/>
    <mergeCell ref="D55:H55"/>
    <mergeCell ref="C50:E50"/>
    <mergeCell ref="A53:B53"/>
    <mergeCell ref="C53:E53"/>
    <mergeCell ref="A52:B52"/>
    <mergeCell ref="C52:E52"/>
    <mergeCell ref="G52:H52"/>
    <mergeCell ref="A42:D42"/>
    <mergeCell ref="E42:H42"/>
    <mergeCell ref="E43:H43"/>
    <mergeCell ref="E44:H44"/>
    <mergeCell ref="E45:H45"/>
    <mergeCell ref="A43:D43"/>
    <mergeCell ref="D62:H62"/>
    <mergeCell ref="A61:C61"/>
    <mergeCell ref="A46:H46"/>
    <mergeCell ref="D57:H57"/>
    <mergeCell ref="A57:C57"/>
    <mergeCell ref="G49:H49"/>
    <mergeCell ref="A50:B51"/>
    <mergeCell ref="C49:E49"/>
    <mergeCell ref="A48:B48"/>
    <mergeCell ref="C48:E48"/>
    <mergeCell ref="D58:H58"/>
    <mergeCell ref="D59:H59"/>
    <mergeCell ref="A62:C62"/>
    <mergeCell ref="D61:H61"/>
    <mergeCell ref="A128:H128"/>
    <mergeCell ref="A108:B108"/>
    <mergeCell ref="G134:H135"/>
    <mergeCell ref="A115:H115"/>
    <mergeCell ref="B117:B118"/>
    <mergeCell ref="A117:A118"/>
    <mergeCell ref="C117:C118"/>
    <mergeCell ref="A133:H133"/>
    <mergeCell ref="A135:B135"/>
    <mergeCell ref="G114:H114"/>
    <mergeCell ref="E108:F108"/>
    <mergeCell ref="A113:B113"/>
    <mergeCell ref="C113:D113"/>
    <mergeCell ref="E113:F113"/>
    <mergeCell ref="G113:H113"/>
    <mergeCell ref="C111:D111"/>
    <mergeCell ref="G111:H111"/>
    <mergeCell ref="A131:B131"/>
    <mergeCell ref="G121:H121"/>
    <mergeCell ref="G72:H72"/>
    <mergeCell ref="A80:B80"/>
    <mergeCell ref="E72:F72"/>
    <mergeCell ref="A79:B79"/>
    <mergeCell ref="A72:B72"/>
    <mergeCell ref="A75:B75"/>
    <mergeCell ref="A83:B83"/>
    <mergeCell ref="C83:H83"/>
    <mergeCell ref="A78:B78"/>
    <mergeCell ref="A85:B85"/>
    <mergeCell ref="C85:H85"/>
    <mergeCell ref="A86:B86"/>
    <mergeCell ref="E86:F86"/>
    <mergeCell ref="E73:F82"/>
    <mergeCell ref="G73:H82"/>
    <mergeCell ref="A81:B81"/>
    <mergeCell ref="A82:B82"/>
    <mergeCell ref="A87:B87"/>
    <mergeCell ref="E87:F96"/>
    <mergeCell ref="A94:B94"/>
    <mergeCell ref="A95:B95"/>
    <mergeCell ref="A96:B96"/>
    <mergeCell ref="A89:B89"/>
    <mergeCell ref="A90:B90"/>
    <mergeCell ref="A73:B73"/>
    <mergeCell ref="G86:H86"/>
    <mergeCell ref="F97:H97"/>
    <mergeCell ref="G108:H108"/>
    <mergeCell ref="A109:B109"/>
    <mergeCell ref="A101:E101"/>
    <mergeCell ref="F102:H102"/>
    <mergeCell ref="C106:D106"/>
    <mergeCell ref="G106:H106"/>
    <mergeCell ref="C107:D107"/>
    <mergeCell ref="C109:D109"/>
    <mergeCell ref="E109:F109"/>
    <mergeCell ref="G109:H109"/>
    <mergeCell ref="A102:E102"/>
    <mergeCell ref="A99:E99"/>
    <mergeCell ref="F99:H99"/>
    <mergeCell ref="A100:E100"/>
    <mergeCell ref="A97:E97"/>
    <mergeCell ref="F100:H100"/>
    <mergeCell ref="A98:E98"/>
    <mergeCell ref="L139:M139"/>
    <mergeCell ref="A141:H141"/>
    <mergeCell ref="L141:M141"/>
    <mergeCell ref="A148:H148"/>
    <mergeCell ref="L148:M148"/>
    <mergeCell ref="L142:M142"/>
    <mergeCell ref="L134:M134"/>
    <mergeCell ref="A132:B132"/>
    <mergeCell ref="L132:M132"/>
    <mergeCell ref="L137:M137"/>
    <mergeCell ref="A138:B138"/>
    <mergeCell ref="L135:M135"/>
    <mergeCell ref="A134:B134"/>
    <mergeCell ref="A140:H140"/>
    <mergeCell ref="L140:M140"/>
    <mergeCell ref="A147:B147"/>
    <mergeCell ref="A144:B144"/>
    <mergeCell ref="A145:B145"/>
    <mergeCell ref="A146:B146"/>
    <mergeCell ref="G143:H147"/>
    <mergeCell ref="A139:H139"/>
    <mergeCell ref="A137:B137"/>
    <mergeCell ref="G137:H138"/>
    <mergeCell ref="A136:H136"/>
    <mergeCell ref="L138:M138"/>
    <mergeCell ref="C138:F138"/>
    <mergeCell ref="L123:M123"/>
    <mergeCell ref="L122:M122"/>
    <mergeCell ref="L121:M121"/>
    <mergeCell ref="L120:M120"/>
    <mergeCell ref="G131:H132"/>
    <mergeCell ref="A114:B114"/>
    <mergeCell ref="E114:F114"/>
    <mergeCell ref="C125:C126"/>
    <mergeCell ref="A130:H130"/>
    <mergeCell ref="B125:B126"/>
    <mergeCell ref="D117:D118"/>
    <mergeCell ref="A120:B120"/>
    <mergeCell ref="A121:B121"/>
    <mergeCell ref="A122:B122"/>
    <mergeCell ref="A123:B123"/>
    <mergeCell ref="G123:H123"/>
    <mergeCell ref="A129:H129"/>
    <mergeCell ref="A124:H124"/>
    <mergeCell ref="A125:A126"/>
    <mergeCell ref="A119:H119"/>
    <mergeCell ref="E117:E118"/>
    <mergeCell ref="G117:H118"/>
    <mergeCell ref="A153:B153"/>
    <mergeCell ref="C153:F153"/>
    <mergeCell ref="A159:B159"/>
    <mergeCell ref="A154:H154"/>
    <mergeCell ref="L154:M154"/>
    <mergeCell ref="A155:B155"/>
    <mergeCell ref="A156:B156"/>
    <mergeCell ref="A157:B157"/>
    <mergeCell ref="A158:B158"/>
    <mergeCell ref="G149:H153"/>
    <mergeCell ref="G155:H159"/>
    <mergeCell ref="A149:B149"/>
    <mergeCell ref="A152:B152"/>
    <mergeCell ref="A150:B150"/>
    <mergeCell ref="A151:B151"/>
    <mergeCell ref="G161:H165"/>
    <mergeCell ref="B177:H177"/>
    <mergeCell ref="B167:H167"/>
    <mergeCell ref="A165:B165"/>
    <mergeCell ref="C165:F165"/>
    <mergeCell ref="A160:H160"/>
    <mergeCell ref="L160:M160"/>
    <mergeCell ref="A161:B161"/>
    <mergeCell ref="A162:B162"/>
    <mergeCell ref="A163:B163"/>
    <mergeCell ref="A164:B164"/>
    <mergeCell ref="B174:H174"/>
    <mergeCell ref="B172:H172"/>
    <mergeCell ref="B173:H173"/>
    <mergeCell ref="B169:H169"/>
    <mergeCell ref="B168:H168"/>
    <mergeCell ref="B170:H170"/>
    <mergeCell ref="B171:H171"/>
    <mergeCell ref="A166:H166"/>
    <mergeCell ref="B176:H176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6" max="16383" man="1"/>
    <brk id="67" max="16383" man="1"/>
    <brk id="114" max="16383" man="1"/>
    <brk id="188" max="16383" man="1"/>
    <brk id="230" max="16383" man="1"/>
    <brk id="26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K12" sqref="K12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3" t="s">
        <v>108</v>
      </c>
      <c r="C3" s="183"/>
      <c r="D3" s="183"/>
      <c r="E3" s="183"/>
      <c r="F3" s="183"/>
      <c r="G3" s="183"/>
      <c r="H3" s="183"/>
    </row>
    <row r="4" spans="1:9" x14ac:dyDescent="0.25">
      <c r="A4" s="2"/>
      <c r="B4" s="3" t="s">
        <v>109</v>
      </c>
      <c r="C4" s="3" t="s">
        <v>110</v>
      </c>
      <c r="D4" s="3" t="s">
        <v>72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2025-09-10T06:29:37Z</cp:lastPrinted>
  <dcterms:created xsi:type="dcterms:W3CDTF">2019-07-16T09:29:46Z</dcterms:created>
  <dcterms:modified xsi:type="dcterms:W3CDTF">2025-09-10T06:34:39Z</dcterms:modified>
</cp:coreProperties>
</file>