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defaultThemeVersion="124226"/>
  <mc:AlternateContent xmlns:mc="http://schemas.openxmlformats.org/markup-compatibility/2006">
    <mc:Choice Requires="x15">
      <x15ac:absPath xmlns:x15ac="http://schemas.microsoft.com/office/spreadsheetml/2010/11/ac" url="D:\Gaurav\Sep 25\DUMP\"/>
    </mc:Choice>
  </mc:AlternateContent>
  <xr:revisionPtr revIDLastSave="0" documentId="13_ncr:1_{866F3CE8-88A1-4DB3-A581-74F507611337}" xr6:coauthVersionLast="36" xr6:coauthVersionMax="47" xr10:uidLastSave="{00000000-0000-0000-0000-000000000000}"/>
  <bookViews>
    <workbookView xWindow="0" yWindow="0" windowWidth="20490" windowHeight="6825" xr2:uid="{00000000-000D-0000-FFFF-FFFF00000000}"/>
  </bookViews>
  <sheets>
    <sheet name="Table 1" sheetId="1" r:id="rId1"/>
    <sheet name="C%" sheetId="5" r:id="rId2"/>
    <sheet name="Note" sheetId="6" r:id="rId3"/>
  </sheets>
  <definedNames>
    <definedName name="_xlnm.Print_Area" localSheetId="0">'Table 1'!$A$1:$G$281</definedName>
  </definedNames>
  <calcPr calcId="191029"/>
</workbook>
</file>

<file path=xl/calcChain.xml><?xml version="1.0" encoding="utf-8"?>
<calcChain xmlns="http://schemas.openxmlformats.org/spreadsheetml/2006/main">
  <c r="D3" i="1" l="1"/>
  <c r="B51" i="1"/>
  <c r="D169" i="1" l="1"/>
  <c r="E164" i="1"/>
  <c r="D164" i="1"/>
  <c r="D149" i="1" l="1"/>
  <c r="F149" i="1" s="1"/>
  <c r="D182" i="1"/>
  <c r="F182" i="1" s="1"/>
  <c r="D181" i="1"/>
  <c r="F181" i="1" s="1"/>
  <c r="D180" i="1"/>
  <c r="F180" i="1" s="1"/>
  <c r="D177" i="1"/>
  <c r="F177" i="1" s="1"/>
  <c r="D176" i="1"/>
  <c r="F176" i="1" s="1"/>
  <c r="D175" i="1"/>
  <c r="F175" i="1" s="1"/>
  <c r="D172" i="1"/>
  <c r="F172" i="1" s="1"/>
  <c r="D171" i="1"/>
  <c r="F171" i="1" s="1"/>
  <c r="D170" i="1"/>
  <c r="F170" i="1" s="1"/>
  <c r="F169" i="1"/>
  <c r="E167" i="1"/>
  <c r="D167" i="1"/>
  <c r="D166" i="1"/>
  <c r="F166" i="1" s="1"/>
  <c r="D165" i="1"/>
  <c r="F165" i="1" s="1"/>
  <c r="F164" i="1"/>
  <c r="D162" i="1"/>
  <c r="F162" i="1" s="1"/>
  <c r="D161" i="1"/>
  <c r="F161" i="1" s="1"/>
  <c r="D160" i="1"/>
  <c r="F160" i="1" s="1"/>
  <c r="D157" i="1"/>
  <c r="F157" i="1" s="1"/>
  <c r="D156" i="1"/>
  <c r="F156" i="1" s="1"/>
  <c r="D155" i="1"/>
  <c r="F155" i="1" s="1"/>
  <c r="D154" i="1"/>
  <c r="F154" i="1" s="1"/>
  <c r="D152" i="1"/>
  <c r="F152" i="1" s="1"/>
  <c r="D151" i="1"/>
  <c r="F151" i="1" s="1"/>
  <c r="D146" i="1"/>
  <c r="F146" i="1" s="1"/>
  <c r="D145" i="1"/>
  <c r="F145" i="1" s="1"/>
  <c r="D143" i="1"/>
  <c r="F143" i="1" s="1"/>
  <c r="D142" i="1"/>
  <c r="F142" i="1" s="1"/>
  <c r="D140" i="1"/>
  <c r="F140" i="1" s="1"/>
  <c r="D139" i="1"/>
  <c r="H141" i="1"/>
  <c r="D133" i="1"/>
  <c r="F133" i="1" s="1"/>
  <c r="D132" i="1"/>
  <c r="F132" i="1" s="1"/>
  <c r="D131" i="1"/>
  <c r="F131" i="1" s="1"/>
  <c r="D130" i="1"/>
  <c r="F130" i="1" s="1"/>
  <c r="D127" i="1"/>
  <c r="F127" i="1" s="1"/>
  <c r="D126" i="1"/>
  <c r="F126" i="1" s="1"/>
  <c r="D125" i="1"/>
  <c r="F125" i="1" s="1"/>
  <c r="D122" i="1"/>
  <c r="F122" i="1" s="1"/>
  <c r="D123" i="1"/>
  <c r="F123" i="1" s="1"/>
  <c r="D121" i="1"/>
  <c r="F121" i="1" s="1"/>
  <c r="D120" i="1"/>
  <c r="F120" i="1" s="1"/>
  <c r="D118" i="1"/>
  <c r="F118" i="1" s="1"/>
  <c r="D117" i="1"/>
  <c r="F117" i="1" s="1"/>
  <c r="I117" i="1" s="1"/>
  <c r="D116" i="1"/>
  <c r="F116" i="1" s="1"/>
  <c r="I116" i="1" s="1"/>
  <c r="D115" i="1"/>
  <c r="F115" i="1" s="1"/>
  <c r="I115" i="1" s="1"/>
  <c r="D112" i="1"/>
  <c r="F112" i="1" s="1"/>
  <c r="D111" i="1"/>
  <c r="F111" i="1" s="1"/>
  <c r="D110" i="1"/>
  <c r="F110" i="1" s="1"/>
  <c r="D108" i="1"/>
  <c r="F108" i="1" s="1"/>
  <c r="D107" i="1"/>
  <c r="F107" i="1" s="1"/>
  <c r="D106" i="1"/>
  <c r="F106" i="1" s="1"/>
  <c r="D105" i="1"/>
  <c r="F105" i="1" s="1"/>
  <c r="D103" i="1"/>
  <c r="F103" i="1" s="1"/>
  <c r="D102" i="1"/>
  <c r="F102" i="1" s="1"/>
  <c r="D97" i="1"/>
  <c r="F97" i="1" s="1"/>
  <c r="D96" i="1"/>
  <c r="F96" i="1" s="1"/>
  <c r="D99" i="1"/>
  <c r="F99" i="1" s="1"/>
  <c r="D94" i="1"/>
  <c r="F94" i="1" s="1"/>
  <c r="D91" i="1"/>
  <c r="F91" i="1" s="1"/>
  <c r="H92" i="1"/>
  <c r="D93" i="1"/>
  <c r="F93" i="1" s="1"/>
  <c r="D90" i="1"/>
  <c r="F167" i="1" l="1"/>
  <c r="B79" i="1"/>
  <c r="D79" i="1"/>
  <c r="F90" i="1"/>
  <c r="F79" i="1" s="1"/>
  <c r="B80" i="1"/>
  <c r="D80" i="1"/>
  <c r="F139" i="1"/>
  <c r="I62" i="1"/>
  <c r="I61" i="1"/>
  <c r="I60" i="1"/>
  <c r="I59" i="1"/>
  <c r="G52" i="1"/>
  <c r="F80" i="1" l="1"/>
  <c r="F81" i="1" s="1"/>
  <c r="D81" i="1"/>
  <c r="B81" i="1"/>
  <c r="C57" i="1"/>
  <c r="I55" i="1"/>
  <c r="C64" i="1"/>
  <c r="C62" i="1"/>
  <c r="C60" i="1"/>
  <c r="C58" i="1"/>
  <c r="I56" i="1"/>
  <c r="B55" i="1" s="1"/>
  <c r="C55" i="1" s="1"/>
  <c r="I54" i="1"/>
  <c r="C61" i="1"/>
  <c r="I57" i="1"/>
  <c r="I58" i="1" s="1"/>
  <c r="I63" i="1" s="1"/>
  <c r="I64" i="1" s="1"/>
  <c r="B56" i="1" s="1"/>
  <c r="C63" i="1"/>
  <c r="C59" i="1"/>
  <c r="D55" i="1" l="1"/>
  <c r="H51" i="1" s="1"/>
  <c r="B53" i="1" s="1"/>
  <c r="C56" i="1"/>
  <c r="F55" i="1"/>
  <c r="C7" i="5"/>
  <c r="D186" i="1" l="1"/>
  <c r="C46" i="1" l="1"/>
  <c r="C3" i="5" l="1"/>
  <c r="B9" i="5" s="1"/>
  <c r="G13" i="5"/>
  <c r="B13" i="5" s="1"/>
  <c r="D4" i="5"/>
  <c r="E3" i="5"/>
  <c r="B5" i="5" s="1"/>
  <c r="D9" i="5" l="1"/>
  <c r="L14" i="5"/>
  <c r="C18" i="5" s="1"/>
  <c r="L13" i="5"/>
  <c r="B18" i="5" s="1"/>
  <c r="D5" i="5"/>
  <c r="H14" i="5"/>
  <c r="C14" i="5" s="1"/>
  <c r="H13" i="5"/>
  <c r="B14" i="5" s="1"/>
  <c r="B6" i="5"/>
  <c r="D6" i="5" s="1"/>
  <c r="B8" i="5"/>
  <c r="B10" i="5"/>
  <c r="G14" i="5"/>
  <c r="C13" i="5" s="1"/>
  <c r="B7" i="5"/>
  <c r="K14" i="5" l="1"/>
  <c r="C17" i="5" s="1"/>
  <c r="D8" i="5"/>
  <c r="K13" i="5"/>
  <c r="B17" i="5" s="1"/>
  <c r="J13" i="5"/>
  <c r="B16" i="5" s="1"/>
  <c r="D7" i="5"/>
  <c r="J14" i="5"/>
  <c r="C16" i="5" s="1"/>
  <c r="I14" i="5"/>
  <c r="C15" i="5" s="1"/>
  <c r="I13" i="5"/>
  <c r="B15" i="5" s="1"/>
  <c r="M14" i="5"/>
  <c r="C19" i="5" s="1"/>
  <c r="M13" i="5"/>
  <c r="B19" i="5" s="1"/>
  <c r="D10" i="5"/>
  <c r="B20" i="5" l="1"/>
  <c r="C20" i="5"/>
</calcChain>
</file>

<file path=xl/sharedStrings.xml><?xml version="1.0" encoding="utf-8"?>
<sst xmlns="http://schemas.openxmlformats.org/spreadsheetml/2006/main" count="399" uniqueCount="234">
  <si>
    <r>
      <rPr>
        <b/>
        <sz val="11"/>
        <rFont val="Times New Roman"/>
        <family val="1"/>
      </rPr>
      <t>Valuation Report</t>
    </r>
  </si>
  <si>
    <r>
      <rPr>
        <sz val="11"/>
        <rFont val="Times New Roman"/>
        <family val="1"/>
      </rPr>
      <t>Date:</t>
    </r>
  </si>
  <si>
    <r>
      <rPr>
        <sz val="11"/>
        <rFont val="Times New Roman"/>
        <family val="1"/>
      </rPr>
      <t>CPC Name:</t>
    </r>
  </si>
  <si>
    <r>
      <rPr>
        <sz val="11"/>
        <rFont val="Times New Roman"/>
        <family val="1"/>
      </rPr>
      <t>Date Of Property Visit</t>
    </r>
  </si>
  <si>
    <r>
      <rPr>
        <sz val="11"/>
        <rFont val="Times New Roman"/>
        <family val="1"/>
      </rPr>
      <t>Name of the builder group</t>
    </r>
  </si>
  <si>
    <r>
      <rPr>
        <sz val="11"/>
        <rFont val="Times New Roman"/>
        <family val="1"/>
      </rPr>
      <t>Name of the builder company</t>
    </r>
  </si>
  <si>
    <r>
      <rPr>
        <sz val="11"/>
        <rFont val="Times New Roman"/>
        <family val="1"/>
      </rPr>
      <t>Docouments Provided</t>
    </r>
  </si>
  <si>
    <r>
      <rPr>
        <sz val="11"/>
        <rFont val="Times New Roman"/>
        <family val="1"/>
      </rPr>
      <t>Project location details</t>
    </r>
  </si>
  <si>
    <r>
      <rPr>
        <sz val="11"/>
        <rFont val="Times New Roman"/>
        <family val="1"/>
      </rPr>
      <t>Locality</t>
    </r>
  </si>
  <si>
    <r>
      <rPr>
        <sz val="11"/>
        <rFont val="Times New Roman"/>
        <family val="1"/>
      </rPr>
      <t>Road</t>
    </r>
  </si>
  <si>
    <r>
      <rPr>
        <sz val="11"/>
        <rFont val="Times New Roman"/>
        <family val="1"/>
      </rPr>
      <t>District</t>
    </r>
  </si>
  <si>
    <r>
      <rPr>
        <sz val="11"/>
        <rFont val="Times New Roman"/>
        <family val="1"/>
      </rPr>
      <t>City</t>
    </r>
  </si>
  <si>
    <r>
      <rPr>
        <sz val="11"/>
        <rFont val="Times New Roman"/>
        <family val="1"/>
      </rPr>
      <t>Pin Code</t>
    </r>
  </si>
  <si>
    <r>
      <rPr>
        <sz val="11"/>
        <rFont val="Times New Roman"/>
        <family val="1"/>
      </rPr>
      <t>Near by Landmark</t>
    </r>
  </si>
  <si>
    <r>
      <rPr>
        <sz val="11"/>
        <rFont val="Times New Roman"/>
        <family val="1"/>
      </rPr>
      <t>Distance from city centre:</t>
    </r>
  </si>
  <si>
    <r>
      <rPr>
        <sz val="11"/>
        <rFont val="Times New Roman"/>
        <family val="1"/>
      </rPr>
      <t>all available at  1 to 2 km.</t>
    </r>
  </si>
  <si>
    <r>
      <rPr>
        <sz val="11"/>
        <rFont val="Times New Roman"/>
        <family val="1"/>
      </rPr>
      <t>Yes</t>
    </r>
  </si>
  <si>
    <r>
      <rPr>
        <sz val="11"/>
        <rFont val="Times New Roman"/>
        <family val="1"/>
      </rPr>
      <t>Class of locality</t>
    </r>
  </si>
  <si>
    <r>
      <rPr>
        <sz val="11"/>
        <rFont val="Times New Roman"/>
        <family val="1"/>
      </rPr>
      <t>Nature of land with topographical condtion</t>
    </r>
  </si>
  <si>
    <r>
      <rPr>
        <sz val="11"/>
        <rFont val="Times New Roman"/>
        <family val="1"/>
      </rPr>
      <t>Plane</t>
    </r>
  </si>
  <si>
    <r>
      <rPr>
        <sz val="11"/>
        <rFont val="Times New Roman"/>
        <family val="1"/>
      </rPr>
      <t>Nature of the locality</t>
    </r>
  </si>
  <si>
    <r>
      <rPr>
        <sz val="11"/>
        <rFont val="Times New Roman"/>
        <family val="1"/>
      </rPr>
      <t>Quality of infrastructure in vicinity</t>
    </r>
  </si>
  <si>
    <r>
      <rPr>
        <sz val="11"/>
        <rFont val="Times New Roman"/>
        <family val="1"/>
      </rPr>
      <t>Good</t>
    </r>
  </si>
  <si>
    <r>
      <rPr>
        <sz val="11"/>
        <rFont val="Times New Roman"/>
        <family val="1"/>
      </rPr>
      <t>Boundaries</t>
    </r>
  </si>
  <si>
    <r>
      <rPr>
        <sz val="11"/>
        <rFont val="Times New Roman"/>
        <family val="1"/>
      </rPr>
      <t>East</t>
    </r>
  </si>
  <si>
    <r>
      <rPr>
        <sz val="11"/>
        <rFont val="Times New Roman"/>
        <family val="1"/>
      </rPr>
      <t>South</t>
    </r>
  </si>
  <si>
    <r>
      <rPr>
        <sz val="11"/>
        <rFont val="Times New Roman"/>
        <family val="1"/>
      </rPr>
      <t>North</t>
    </r>
  </si>
  <si>
    <r>
      <rPr>
        <sz val="11"/>
        <rFont val="Times New Roman"/>
        <family val="1"/>
      </rPr>
      <t>As per deed</t>
    </r>
  </si>
  <si>
    <r>
      <rPr>
        <sz val="11"/>
        <rFont val="Times New Roman"/>
        <family val="1"/>
      </rPr>
      <t>NA</t>
    </r>
  </si>
  <si>
    <r>
      <rPr>
        <sz val="11"/>
        <rFont val="Times New Roman"/>
        <family val="1"/>
      </rPr>
      <t>At site</t>
    </r>
  </si>
  <si>
    <r>
      <rPr>
        <sz val="11"/>
        <rFont val="Times New Roman"/>
        <family val="1"/>
      </rPr>
      <t>Does the boundaries at site match, as mentioned in the Docoumentation: NA</t>
    </r>
  </si>
  <si>
    <r>
      <rPr>
        <sz val="11"/>
        <rFont val="Times New Roman"/>
        <family val="1"/>
      </rPr>
      <t>Latitude &amp; Longitude</t>
    </r>
  </si>
  <si>
    <r>
      <rPr>
        <b/>
        <sz val="11"/>
        <rFont val="Times New Roman"/>
        <family val="1"/>
      </rPr>
      <t>Approval details:</t>
    </r>
  </si>
  <si>
    <r>
      <rPr>
        <sz val="11"/>
        <rFont val="Times New Roman"/>
        <family val="1"/>
      </rPr>
      <t>Residential</t>
    </r>
  </si>
  <si>
    <r>
      <rPr>
        <sz val="11"/>
        <rFont val="Times New Roman"/>
        <family val="1"/>
      </rPr>
      <t>Total land area of the project in Sq. Mt.</t>
    </r>
  </si>
  <si>
    <r>
      <rPr>
        <sz val="11"/>
        <rFont val="Times New Roman"/>
        <family val="1"/>
      </rPr>
      <t>Permissible FSI</t>
    </r>
  </si>
  <si>
    <r>
      <rPr>
        <sz val="11"/>
        <rFont val="Times New Roman"/>
        <family val="1"/>
      </rPr>
      <t>Permissible TDR/Paid FSI</t>
    </r>
  </si>
  <si>
    <r>
      <rPr>
        <sz val="11"/>
        <rFont val="Times New Roman"/>
        <family val="1"/>
      </rPr>
      <t>Total Approved Builtup area of the project in Sq. Mt.</t>
    </r>
  </si>
  <si>
    <r>
      <rPr>
        <sz val="11"/>
        <rFont val="Times New Roman"/>
        <family val="1"/>
      </rPr>
      <t>Total number of Buildings</t>
    </r>
  </si>
  <si>
    <r>
      <rPr>
        <b/>
        <sz val="11"/>
        <rFont val="Times New Roman"/>
        <family val="1"/>
      </rPr>
      <t>Approval Detail : Plan approval</t>
    </r>
  </si>
  <si>
    <r>
      <rPr>
        <sz val="11"/>
        <rFont val="Times New Roman"/>
        <family val="1"/>
      </rPr>
      <t>Layout Approval No</t>
    </r>
  </si>
  <si>
    <r>
      <rPr>
        <sz val="11"/>
        <rFont val="Times New Roman"/>
        <family val="1"/>
      </rPr>
      <t>Dated</t>
    </r>
  </si>
  <si>
    <r>
      <rPr>
        <sz val="11"/>
        <rFont val="Times New Roman"/>
        <family val="1"/>
      </rPr>
      <t>Commencement date of construction</t>
    </r>
  </si>
  <si>
    <r>
      <rPr>
        <sz val="11"/>
        <rFont val="Times New Roman"/>
        <family val="1"/>
      </rPr>
      <t>Expected Completion</t>
    </r>
  </si>
  <si>
    <r>
      <rPr>
        <b/>
        <sz val="11"/>
        <rFont val="Times New Roman"/>
        <family val="1"/>
      </rPr>
      <t>Building wise Construction details</t>
    </r>
  </si>
  <si>
    <r>
      <rPr>
        <sz val="11"/>
        <rFont val="Times New Roman"/>
        <family val="1"/>
      </rPr>
      <t>Approved area of the building in Sq.Mt</t>
    </r>
  </si>
  <si>
    <r>
      <rPr>
        <sz val="11"/>
        <rFont val="Times New Roman"/>
        <family val="1"/>
      </rPr>
      <t>Approved no of Floors</t>
    </r>
  </si>
  <si>
    <r>
      <rPr>
        <sz val="11"/>
        <rFont val="Times New Roman"/>
        <family val="1"/>
      </rPr>
      <t>Quality of construction: Good</t>
    </r>
  </si>
  <si>
    <r>
      <rPr>
        <sz val="11"/>
        <rFont val="Times New Roman"/>
        <family val="1"/>
      </rPr>
      <t>Material laying at Site: :Bricks, Cement &amp; Steel etc.</t>
    </r>
  </si>
  <si>
    <r>
      <rPr>
        <sz val="11"/>
        <rFont val="Times New Roman"/>
        <family val="1"/>
      </rPr>
      <t>Violations Observed if any : NA</t>
    </r>
  </si>
  <si>
    <r>
      <rPr>
        <b/>
        <sz val="11"/>
        <rFont val="Times New Roman"/>
        <family val="1"/>
      </rPr>
      <t>Recommended Rates of the Property :</t>
    </r>
  </si>
  <si>
    <r>
      <rPr>
        <sz val="11"/>
        <rFont val="Times New Roman"/>
        <family val="1"/>
      </rPr>
      <t>Recommended rate of Parking</t>
    </r>
  </si>
  <si>
    <r>
      <rPr>
        <b/>
        <sz val="11"/>
        <rFont val="Times New Roman"/>
        <family val="1"/>
      </rPr>
      <t>Details of Flats in Building</t>
    </r>
  </si>
  <si>
    <r>
      <rPr>
        <b/>
        <sz val="12"/>
        <rFont val="Times New Roman"/>
        <family val="1"/>
      </rPr>
      <t>Flat No.</t>
    </r>
  </si>
  <si>
    <r>
      <rPr>
        <b/>
        <sz val="12"/>
        <rFont val="Times New Roman"/>
        <family val="1"/>
      </rPr>
      <t>Description</t>
    </r>
  </si>
  <si>
    <t>NA</t>
  </si>
  <si>
    <t>Google Map :</t>
  </si>
  <si>
    <t>Total Slab</t>
  </si>
  <si>
    <t>Basement</t>
  </si>
  <si>
    <t>Podium</t>
  </si>
  <si>
    <t>Ground</t>
  </si>
  <si>
    <t>Upper Floor</t>
  </si>
  <si>
    <t>Particulars</t>
  </si>
  <si>
    <t xml:space="preserve">total floor </t>
  </si>
  <si>
    <t>plinth</t>
  </si>
  <si>
    <t>slab</t>
  </si>
  <si>
    <t>Parking</t>
  </si>
  <si>
    <t>Rate</t>
  </si>
  <si>
    <t xml:space="preserve">Bricks </t>
  </si>
  <si>
    <t>Palghar</t>
  </si>
  <si>
    <t>100000/-</t>
  </si>
  <si>
    <t>plaster</t>
  </si>
  <si>
    <t>Ulwe, karanjade</t>
  </si>
  <si>
    <t>200000/-</t>
  </si>
  <si>
    <t>Flooring</t>
  </si>
  <si>
    <t>Panvel</t>
  </si>
  <si>
    <t>300000/-</t>
  </si>
  <si>
    <t>Wood &amp; painting</t>
  </si>
  <si>
    <t>Mumbai - G + 15</t>
  </si>
  <si>
    <t>500000/-</t>
  </si>
  <si>
    <t>Finishing</t>
  </si>
  <si>
    <t>Mumbai - G + 25</t>
  </si>
  <si>
    <t>800000/-</t>
  </si>
  <si>
    <t>Mumbai - G + 35</t>
  </si>
  <si>
    <t>1000000/-</t>
  </si>
  <si>
    <t>Progress</t>
  </si>
  <si>
    <t>Recommended</t>
  </si>
  <si>
    <t>rcc</t>
  </si>
  <si>
    <t>Bricks</t>
  </si>
  <si>
    <t>Plaster</t>
  </si>
  <si>
    <t>Plinth</t>
  </si>
  <si>
    <t>RCC</t>
  </si>
  <si>
    <t xml:space="preserve">Recommended </t>
  </si>
  <si>
    <t>total</t>
  </si>
  <si>
    <t>Thane - G + 7</t>
  </si>
  <si>
    <t>Thane - G + 15</t>
  </si>
  <si>
    <t>400000/-</t>
  </si>
  <si>
    <t>Excavation in process</t>
  </si>
  <si>
    <t>Thane - G + 25</t>
  </si>
  <si>
    <t>600000/-</t>
  </si>
  <si>
    <t>Excavation Completed</t>
  </si>
  <si>
    <t>Footing in Process</t>
  </si>
  <si>
    <t>Footing Completed</t>
  </si>
  <si>
    <t>Plinth in process</t>
  </si>
  <si>
    <t>Plinth completed</t>
  </si>
  <si>
    <t xml:space="preserve">PHOTOGRAPHS OF PROPERTY : </t>
  </si>
  <si>
    <r>
      <rPr>
        <sz val="11"/>
        <rFont val="Times New Roman"/>
        <family val="1"/>
      </rPr>
      <t>M/S.Ahuja Constructions.</t>
    </r>
  </si>
  <si>
    <r>
      <rPr>
        <sz val="11"/>
        <rFont val="Times New Roman"/>
        <family val="1"/>
      </rPr>
      <t>S.No.</t>
    </r>
  </si>
  <si>
    <r>
      <rPr>
        <sz val="11"/>
        <rFont val="Times New Roman"/>
        <family val="1"/>
      </rPr>
      <t>24-4, 6 &amp; 9</t>
    </r>
  </si>
  <si>
    <r>
      <rPr>
        <sz val="11"/>
        <rFont val="Times New Roman"/>
        <family val="1"/>
      </rPr>
      <t>Oshiwara</t>
    </r>
  </si>
  <si>
    <r>
      <rPr>
        <sz val="11"/>
        <rFont val="Times New Roman"/>
        <family val="1"/>
      </rPr>
      <t>Relief Road</t>
    </r>
  </si>
  <si>
    <r>
      <rPr>
        <sz val="11"/>
        <rFont val="Times New Roman"/>
        <family val="1"/>
      </rPr>
      <t>Mumbai.</t>
    </r>
  </si>
  <si>
    <r>
      <rPr>
        <sz val="11"/>
        <rFont val="Times New Roman"/>
        <family val="1"/>
      </rPr>
      <t>Andheri</t>
    </r>
  </si>
  <si>
    <r>
      <rPr>
        <sz val="11"/>
        <rFont val="Times New Roman"/>
        <family val="1"/>
      </rPr>
      <t>H.K Pharmecy Collage.</t>
    </r>
  </si>
  <si>
    <r>
      <rPr>
        <sz val="11"/>
        <rFont val="Times New Roman"/>
        <family val="1"/>
      </rPr>
      <t xml:space="preserve">Accessibility of the project from the city:(Proximities to
</t>
    </r>
    <r>
      <rPr>
        <sz val="11"/>
        <rFont val="Times New Roman"/>
        <family val="1"/>
      </rPr>
      <t>civic amenities like school, hospital &amp; market,etc.)</t>
    </r>
  </si>
  <si>
    <r>
      <rPr>
        <sz val="11"/>
        <rFont val="Times New Roman"/>
        <family val="1"/>
      </rPr>
      <t xml:space="preserve">Does the property have electricity/water/Drainage
</t>
    </r>
    <r>
      <rPr>
        <sz val="11"/>
        <rFont val="Times New Roman"/>
        <family val="1"/>
      </rPr>
      <t>Connection</t>
    </r>
  </si>
  <si>
    <r>
      <rPr>
        <sz val="11"/>
        <rFont val="Times New Roman"/>
        <family val="1"/>
      </rPr>
      <t>Middle class</t>
    </r>
  </si>
  <si>
    <r>
      <rPr>
        <sz val="11"/>
        <rFont val="Times New Roman"/>
        <family val="1"/>
      </rPr>
      <t>West</t>
    </r>
  </si>
  <si>
    <r>
      <rPr>
        <sz val="11"/>
        <rFont val="Times New Roman"/>
        <family val="1"/>
      </rPr>
      <t>Slum Area</t>
    </r>
  </si>
  <si>
    <r>
      <rPr>
        <sz val="11"/>
        <rFont val="Times New Roman"/>
        <family val="1"/>
      </rPr>
      <t>Building</t>
    </r>
  </si>
  <si>
    <r>
      <rPr>
        <sz val="11"/>
        <rFont val="Times New Roman"/>
        <family val="1"/>
      </rPr>
      <t>Type of Structure : RCC Framed Structure</t>
    </r>
  </si>
  <si>
    <r>
      <rPr>
        <sz val="11"/>
        <rFont val="Times New Roman"/>
        <family val="1"/>
      </rPr>
      <t xml:space="preserve">Approved usage of the Property: Residential
</t>
    </r>
    <r>
      <rPr>
        <sz val="11"/>
        <rFont val="Times New Roman"/>
        <family val="1"/>
      </rPr>
      <t>(Restrictive convenants in regards to land use , if any)</t>
    </r>
  </si>
  <si>
    <r>
      <rPr>
        <sz val="11"/>
        <rFont val="Times New Roman"/>
        <family val="1"/>
      </rPr>
      <t>Slum</t>
    </r>
  </si>
  <si>
    <r>
      <rPr>
        <sz val="11"/>
        <rFont val="Times New Roman"/>
        <family val="1"/>
      </rPr>
      <t>Non-Slum</t>
    </r>
  </si>
  <si>
    <r>
      <rPr>
        <sz val="11"/>
        <rFont val="Times New Roman"/>
        <family val="1"/>
      </rPr>
      <t>Total FSI availaible for the project</t>
    </r>
  </si>
  <si>
    <r>
      <rPr>
        <sz val="11"/>
        <rFont val="Times New Roman"/>
        <family val="1"/>
      </rPr>
      <t>81143.15(Slum + Non Slum)</t>
    </r>
  </si>
  <si>
    <r>
      <rPr>
        <sz val="11"/>
        <rFont val="Times New Roman"/>
        <family val="1"/>
      </rPr>
      <t>02 Wing</t>
    </r>
  </si>
  <si>
    <r>
      <rPr>
        <sz val="11"/>
        <rFont val="Times New Roman"/>
        <family val="1"/>
      </rPr>
      <t>Building plan approval No</t>
    </r>
  </si>
  <si>
    <r>
      <rPr>
        <sz val="11"/>
        <rFont val="Times New Roman"/>
        <family val="1"/>
      </rPr>
      <t>SRA/ENG/2924/KW/PL/STGL/MHL/AP</t>
    </r>
  </si>
  <si>
    <r>
      <rPr>
        <sz val="11"/>
        <rFont val="Times New Roman"/>
        <family val="1"/>
      </rPr>
      <t>C.certificate No</t>
    </r>
  </si>
  <si>
    <r>
      <rPr>
        <sz val="11"/>
        <rFont val="Times New Roman"/>
        <family val="1"/>
      </rPr>
      <t>Date of approval: NA</t>
    </r>
  </si>
  <si>
    <r>
      <rPr>
        <sz val="11"/>
        <rFont val="Times New Roman"/>
        <family val="1"/>
      </rPr>
      <t>Expiry date: NA</t>
    </r>
  </si>
  <si>
    <r>
      <rPr>
        <sz val="11"/>
        <rFont val="Times New Roman"/>
        <family val="1"/>
      </rPr>
      <t>Approved no of units residential</t>
    </r>
  </si>
  <si>
    <r>
      <rPr>
        <b/>
        <sz val="11"/>
        <rFont val="Times New Roman"/>
        <family val="1"/>
      </rPr>
      <t xml:space="preserve">Proposed Amenities
</t>
    </r>
    <r>
      <rPr>
        <sz val="11"/>
        <rFont val="Times New Roman"/>
        <family val="1"/>
      </rPr>
      <t>1.  Vitrified tiles flooring 2. Granite Kitchen Platform  3. Decorative Enternace  etc.</t>
    </r>
  </si>
  <si>
    <r>
      <rPr>
        <sz val="11"/>
        <rFont val="Times New Roman"/>
        <family val="1"/>
      </rPr>
      <t>Recommended rate of the flat Per Sq. Ft. ( on Carpet area)</t>
    </r>
  </si>
  <si>
    <r>
      <rPr>
        <sz val="11"/>
        <rFont val="Times New Roman"/>
        <family val="1"/>
      </rPr>
      <t>Floor rise rate  Per Sq. Ft.</t>
    </r>
  </si>
  <si>
    <r>
      <rPr>
        <sz val="11"/>
        <rFont val="Times New Roman"/>
        <family val="1"/>
      </rPr>
      <t>Society formation charges</t>
    </r>
  </si>
  <si>
    <r>
      <rPr>
        <sz val="11"/>
        <rFont val="Times New Roman"/>
        <family val="1"/>
      </rPr>
      <t>Maintenance for 12th Months</t>
    </r>
  </si>
  <si>
    <r>
      <rPr>
        <sz val="11"/>
        <rFont val="Times New Roman"/>
        <family val="1"/>
      </rPr>
      <t>Water Connection</t>
    </r>
  </si>
  <si>
    <r>
      <rPr>
        <sz val="11"/>
        <rFont val="Times New Roman"/>
        <family val="1"/>
      </rPr>
      <t>Club Membership</t>
    </r>
  </si>
  <si>
    <r>
      <rPr>
        <b/>
        <sz val="11"/>
        <rFont val="Times New Roman"/>
        <family val="1"/>
      </rPr>
      <t>Distress valuation of the property Per Sq. Ft.</t>
    </r>
  </si>
  <si>
    <r>
      <rPr>
        <b/>
        <sz val="11"/>
        <rFont val="Times New Roman"/>
        <family val="1"/>
      </rPr>
      <t>Building details floor wise</t>
    </r>
  </si>
  <si>
    <r>
      <rPr>
        <b/>
        <sz val="12"/>
        <rFont val="Times New Roman"/>
        <family val="1"/>
      </rPr>
      <t xml:space="preserve">Gross Carpet
</t>
    </r>
    <r>
      <rPr>
        <b/>
        <sz val="12"/>
        <rFont val="Times New Roman"/>
        <family val="1"/>
      </rPr>
      <t>area</t>
    </r>
  </si>
  <si>
    <r>
      <rPr>
        <b/>
        <sz val="12"/>
        <rFont val="Times New Roman"/>
        <family val="1"/>
      </rPr>
      <t xml:space="preserve">Attached Terrace
</t>
    </r>
    <r>
      <rPr>
        <b/>
        <sz val="12"/>
        <rFont val="Times New Roman"/>
        <family val="1"/>
      </rPr>
      <t>area</t>
    </r>
  </si>
  <si>
    <r>
      <rPr>
        <b/>
        <sz val="12"/>
        <rFont val="Times New Roman"/>
        <family val="1"/>
      </rPr>
      <t>PLC Y/N</t>
    </r>
  </si>
  <si>
    <r>
      <rPr>
        <b/>
        <sz val="12"/>
        <rFont val="Times New Roman"/>
        <family val="1"/>
      </rPr>
      <t>Building No.S1</t>
    </r>
  </si>
  <si>
    <r>
      <rPr>
        <b/>
        <sz val="12"/>
        <rFont val="Times New Roman"/>
        <family val="1"/>
      </rPr>
      <t>Basement &amp; Ground Floor For Parking</t>
    </r>
  </si>
  <si>
    <r>
      <rPr>
        <sz val="12"/>
        <rFont val="Times New Roman"/>
        <family val="1"/>
      </rPr>
      <t>3BHK</t>
    </r>
  </si>
  <si>
    <r>
      <rPr>
        <sz val="12"/>
        <rFont val="Times New Roman"/>
        <family val="1"/>
      </rPr>
      <t>NA</t>
    </r>
  </si>
  <si>
    <r>
      <rPr>
        <b/>
        <sz val="12"/>
        <rFont val="Times New Roman"/>
        <family val="1"/>
      </rPr>
      <t>12th, 13th, 15th &amp; 16th Floor</t>
    </r>
  </si>
  <si>
    <r>
      <rPr>
        <sz val="12"/>
        <rFont val="Times New Roman"/>
        <family val="1"/>
      </rPr>
      <t>2BHK</t>
    </r>
  </si>
  <si>
    <r>
      <rPr>
        <b/>
        <sz val="12"/>
        <rFont val="Times New Roman"/>
        <family val="1"/>
      </rPr>
      <t>14th Floor</t>
    </r>
  </si>
  <si>
    <r>
      <rPr>
        <b/>
        <sz val="12"/>
        <rFont val="Times New Roman"/>
        <family val="1"/>
      </rPr>
      <t>17th Floor</t>
    </r>
  </si>
  <si>
    <r>
      <rPr>
        <b/>
        <sz val="12"/>
        <rFont val="Times New Roman"/>
        <family val="1"/>
      </rPr>
      <t>23rd Floor For Fire Check</t>
    </r>
  </si>
  <si>
    <t>Ahuja Lamor(Wing A &amp; B), CTS No.1/C(3), 376, 376/1, 377, 379, 380, 381, 385(pt), 396, 396/1 to 5, 397, 397/1 to 12, 398, 398/1, 399(pt), 400(pt), 405(pt), 406, 407(pt), 408(pt), 410/C-1(pt) &amp; 218, S.No.24-4, 6 &amp; 9 of Village Oshiwara tal.Andheri, Mumbai.</t>
  </si>
  <si>
    <t>O. Certificate No.:</t>
  </si>
  <si>
    <t>Authorized Signatory
Name &amp; Seal of the agency</t>
  </si>
  <si>
    <t>Proposed no. of Floors :</t>
  </si>
  <si>
    <t>Ahuja Lamor (Wing A &amp; B)</t>
  </si>
  <si>
    <t>Pratiksha</t>
  </si>
  <si>
    <t>Construction details:</t>
  </si>
  <si>
    <t>Floors</t>
  </si>
  <si>
    <t xml:space="preserve">Stage of construction: </t>
  </si>
  <si>
    <t>All work Completed. OC Received.</t>
  </si>
  <si>
    <t>Type of Work</t>
  </si>
  <si>
    <t>Slab/Floor</t>
  </si>
  <si>
    <t>Complition %</t>
  </si>
  <si>
    <t>Progress %</t>
  </si>
  <si>
    <t>Disbursement %</t>
  </si>
  <si>
    <t>Piling Work in process</t>
  </si>
  <si>
    <t>Excavation</t>
  </si>
  <si>
    <t>RCC (Including podiums)</t>
  </si>
  <si>
    <t>Brickwork</t>
  </si>
  <si>
    <t>Internal Plaster</t>
  </si>
  <si>
    <t>Basement 1</t>
  </si>
  <si>
    <t>Ext. Plaster &amp; Plumbing</t>
  </si>
  <si>
    <t>Basement 2</t>
  </si>
  <si>
    <t>Flooring &amp; Fitting</t>
  </si>
  <si>
    <t>Basement 3</t>
  </si>
  <si>
    <t>Painting &amp; Wooden</t>
  </si>
  <si>
    <t>Basement 4</t>
  </si>
  <si>
    <t>Building Common Amenities</t>
  </si>
  <si>
    <t>Possession</t>
  </si>
  <si>
    <t>Projected life : 60 Years After Completion</t>
  </si>
  <si>
    <t>P51800007725</t>
  </si>
  <si>
    <t>RERA No.</t>
  </si>
  <si>
    <t>SRA/ENG/2924/KW/PL/STGL/MHL/AP</t>
  </si>
  <si>
    <t>18th to 20th, 22nd, 24th to 28th, 30th to 35th &amp; 37th Floor</t>
  </si>
  <si>
    <t>21st &amp; 29th Floor (Part Refuge Area)</t>
  </si>
  <si>
    <t>36th Floor</t>
  </si>
  <si>
    <t>Wing - A</t>
  </si>
  <si>
    <t>Refuge Area</t>
  </si>
  <si>
    <t>14th Floor (Part refuge area)</t>
  </si>
  <si>
    <t>3BHK</t>
  </si>
  <si>
    <t>Wing - B</t>
  </si>
  <si>
    <t>Saleable area</t>
  </si>
  <si>
    <t>Axis Goregaon</t>
  </si>
  <si>
    <t>SRA/ENG/2924/KW/PL/STGL/MHL/AP
Valid Up to: This C.C is granted further for 29th to 36th Floor of  Sale Building No. S1 as per last approved amended plans dated 27/06/2018.</t>
  </si>
  <si>
    <t>Basement + G/St + 1st to 37th floors</t>
  </si>
  <si>
    <t>Approved Plans, CC.</t>
  </si>
  <si>
    <t>Residential Area Details :</t>
  </si>
  <si>
    <t>No. of Units</t>
  </si>
  <si>
    <t>Total Carpet Area</t>
  </si>
  <si>
    <t>Total Saleable Area</t>
  </si>
  <si>
    <t>Total</t>
  </si>
  <si>
    <t>Building/Wing</t>
  </si>
  <si>
    <t>1.6 Km from Ram Mandir Railway Station.</t>
  </si>
  <si>
    <t>90/- from 2nd floor</t>
  </si>
  <si>
    <t>5,520/-</t>
  </si>
  <si>
    <t>1,98,720/-</t>
  </si>
  <si>
    <t>20,000/-</t>
  </si>
  <si>
    <t>1,50,000/-</t>
  </si>
  <si>
    <t>Basement &amp; Ground Floor For Parking</t>
  </si>
  <si>
    <t>1st Floor for Residential &amp; Parking</t>
  </si>
  <si>
    <t>2nd to 5th Floor for Residential &amp; Parking</t>
  </si>
  <si>
    <t>6th &amp; 8th to 10th Floor for Residential &amp; Parking</t>
  </si>
  <si>
    <t>7th Floor for Residential &amp; Parking (Part Refuge Area)</t>
  </si>
  <si>
    <t>11th Floor for Residential &amp; Parking</t>
  </si>
  <si>
    <t>7th Floor for Residential &amp; Parking (Part refuge area)</t>
  </si>
  <si>
    <t>12th, 13th, 15th &amp; 16th Floor for Residential</t>
  </si>
  <si>
    <t>2BHK</t>
  </si>
  <si>
    <t>Wheather the construction is as per approved Building plan : Under Construction</t>
  </si>
  <si>
    <t>Wing A &amp; B - Basement + Stilt + 1st to 39th Floor</t>
  </si>
  <si>
    <t>Location Link</t>
  </si>
  <si>
    <t>19.1490944,72.8391643</t>
  </si>
  <si>
    <t>https://goo.gl/maps/ikbozgb2h8G2h1Nw7</t>
  </si>
  <si>
    <t>Road/ Muslim Qabristan</t>
  </si>
  <si>
    <t xml:space="preserve">Office No. 1031, Wing J, Akshar Business Park, Plot No. 03 Sector 25, Near APMC Market, Vashi, Navi Mumbai, Maharashtra 400703 TEL: 022-46090378/79/80                                                                                                                            Email : vsjcapf@gmail.com. Web site : www.vsjadon.com
</t>
  </si>
  <si>
    <t>Wing B</t>
  </si>
  <si>
    <t>Wing A</t>
  </si>
  <si>
    <t xml:space="preserve">Name of the Project As per Builder </t>
  </si>
  <si>
    <t>Name of the Project As per Rera</t>
  </si>
  <si>
    <t>Lamor</t>
  </si>
  <si>
    <r>
      <t xml:space="preserve">Remarks:
1. Construction work has stopped. Work is same as last visit (dtd.09/12/2022).
2. Wing A is Building No.S1 &amp; Wing B is Building no.S2 sale Purposes as per other vendor report.
3. The Said Project is in SRA Scheme Building.
4. We have considered rate by verifying it from market inquire.
5. We have given construction percentage as per proposed no of Floor(G + 1st to 39th Floor)
6. We have considered Other charges from cost sheet.
7. Car parking is subjected to authentic documentation.
8. We have updated revised approved Plans (on 22/11/2021).
9. The project has received CC on 10/02/2020 But construction work is not yet completed.
10. </t>
    </r>
    <r>
      <rPr>
        <b/>
        <sz val="11"/>
        <color rgb="FFFF0000"/>
        <rFont val="Times New Roman"/>
        <family val="1"/>
      </rPr>
      <t xml:space="preserve">As per RERA, completion period of project Ahuja Lamor (Wing A &amp; B) is expired on 29/06/2023 but still project is under construction.
</t>
    </r>
    <r>
      <rPr>
        <b/>
        <sz val="11"/>
        <rFont val="Times New Roman"/>
        <family val="1"/>
      </rPr>
      <t xml:space="preserve">
9. On site we meet with Mr. Zoheb (9167225556)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</si>
</sst>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color rgb="FF000000"/>
      <name val="Times New Roman"/>
      <charset val="204"/>
    </font>
    <font>
      <sz val="11"/>
      <color theme="1"/>
      <name val="Calibri"/>
      <family val="2"/>
      <scheme val="minor"/>
    </font>
    <font>
      <b/>
      <sz val="11"/>
      <name val="Times New Roman"/>
      <family val="1"/>
    </font>
    <font>
      <sz val="11"/>
      <name val="Times New Roman"/>
      <family val="1"/>
    </font>
    <font>
      <sz val="11"/>
      <color rgb="FF000000"/>
      <name val="Times New Roman"/>
      <family val="2"/>
    </font>
    <font>
      <b/>
      <sz val="12"/>
      <name val="Times New Roman"/>
      <family val="1"/>
    </font>
    <font>
      <sz val="12"/>
      <color rgb="FF000000"/>
      <name val="Times New Roman"/>
      <family val="2"/>
    </font>
    <font>
      <sz val="12"/>
      <name val="Times New Roman"/>
      <family val="1"/>
    </font>
    <font>
      <sz val="10"/>
      <color rgb="FF000000"/>
      <name val="Times New Roman"/>
      <family val="1"/>
    </font>
    <font>
      <sz val="11"/>
      <color rgb="FF000000"/>
      <name val="Times New Roman"/>
      <family val="1"/>
    </font>
    <font>
      <b/>
      <sz val="11"/>
      <color theme="1"/>
      <name val="Times New Roman"/>
      <family val="1"/>
    </font>
    <font>
      <b/>
      <sz val="11"/>
      <color rgb="FF000000"/>
      <name val="Times New Roman"/>
      <family val="1"/>
    </font>
    <font>
      <b/>
      <sz val="10"/>
      <color rgb="FF000000"/>
      <name val="Times New Roman"/>
      <family val="1"/>
    </font>
    <font>
      <sz val="11"/>
      <color indexed="8"/>
      <name val="Calibri"/>
      <family val="2"/>
    </font>
    <font>
      <b/>
      <sz val="12"/>
      <color rgb="FF000000"/>
      <name val="Times New Roman"/>
      <family val="1"/>
    </font>
    <font>
      <sz val="12"/>
      <color theme="1"/>
      <name val="Times New Roman"/>
      <family val="1"/>
    </font>
    <font>
      <sz val="12"/>
      <color indexed="8"/>
      <name val="Times New Roman"/>
      <family val="1"/>
    </font>
    <font>
      <b/>
      <sz val="12"/>
      <color indexed="8"/>
      <name val="Times New Roman"/>
      <family val="1"/>
    </font>
    <font>
      <b/>
      <sz val="12"/>
      <color theme="1"/>
      <name val="Times New Roman"/>
      <family val="1"/>
    </font>
    <font>
      <sz val="11"/>
      <name val="Times New Roman"/>
      <family val="2"/>
    </font>
    <font>
      <sz val="11"/>
      <color theme="1"/>
      <name val="Times New Roman"/>
      <family val="2"/>
    </font>
    <font>
      <sz val="11"/>
      <color rgb="FF333333"/>
      <name val="Arial"/>
      <family val="2"/>
    </font>
    <font>
      <u/>
      <sz val="10"/>
      <color theme="10"/>
      <name val="Times New Roman"/>
      <family val="1"/>
    </font>
    <font>
      <b/>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8" fillId="0" borderId="0" applyFont="0" applyFill="0" applyBorder="0" applyAlignment="0" applyProtection="0"/>
    <xf numFmtId="0" fontId="13" fillId="0" borderId="0"/>
    <xf numFmtId="0" fontId="1" fillId="0" borderId="0"/>
    <xf numFmtId="0" fontId="22" fillId="0" borderId="0" applyNumberFormat="0" applyFill="0" applyBorder="0" applyAlignment="0" applyProtection="0"/>
  </cellStyleXfs>
  <cellXfs count="180">
    <xf numFmtId="0" fontId="0" fillId="0" borderId="0" xfId="0" applyAlignment="1">
      <alignment horizontal="left" vertical="top"/>
    </xf>
    <xf numFmtId="0" fontId="3" fillId="0" borderId="1" xfId="0" applyFont="1" applyBorder="1" applyAlignment="1">
      <alignment horizontal="center" vertical="top" wrapText="1"/>
    </xf>
    <xf numFmtId="0" fontId="0" fillId="0" borderId="0" xfId="0" applyAlignment="1">
      <alignment horizontal="center" vertical="center"/>
    </xf>
    <xf numFmtId="0" fontId="9" fillId="0" borderId="0" xfId="0" applyFont="1"/>
    <xf numFmtId="0" fontId="9" fillId="0" borderId="10" xfId="0" applyFont="1" applyBorder="1" applyAlignment="1">
      <alignment horizontal="right"/>
    </xf>
    <xf numFmtId="0" fontId="9" fillId="0" borderId="10" xfId="0" applyFont="1" applyBorder="1"/>
    <xf numFmtId="0" fontId="10" fillId="0" borderId="10" xfId="0" applyFont="1" applyBorder="1" applyAlignment="1">
      <alignment horizontal="center"/>
    </xf>
    <xf numFmtId="0" fontId="10" fillId="0" borderId="0" xfId="0" applyFont="1" applyAlignment="1">
      <alignment horizontal="center"/>
    </xf>
    <xf numFmtId="0" fontId="9" fillId="2" borderId="10" xfId="0" applyFont="1" applyFill="1" applyBorder="1"/>
    <xf numFmtId="0" fontId="9" fillId="0" borderId="10" xfId="0" applyFont="1" applyBorder="1" applyAlignment="1">
      <alignment horizontal="center"/>
    </xf>
    <xf numFmtId="0" fontId="9" fillId="2" borderId="10" xfId="0" applyFont="1" applyFill="1" applyBorder="1" applyAlignment="1">
      <alignment horizontal="center"/>
    </xf>
    <xf numFmtId="9" fontId="9" fillId="0" borderId="0" xfId="1" applyFont="1" applyBorder="1"/>
    <xf numFmtId="0" fontId="11" fillId="0" borderId="10" xfId="0" applyFont="1" applyBorder="1" applyAlignment="1">
      <alignment horizontal="center"/>
    </xf>
    <xf numFmtId="0" fontId="9" fillId="0" borderId="0" xfId="0" applyFont="1" applyAlignment="1">
      <alignment wrapText="1"/>
    </xf>
    <xf numFmtId="0" fontId="9" fillId="0" borderId="11" xfId="0" applyFont="1" applyBorder="1"/>
    <xf numFmtId="0" fontId="9" fillId="0" borderId="10" xfId="0" applyFont="1" applyBorder="1" applyAlignment="1">
      <alignment wrapText="1"/>
    </xf>
    <xf numFmtId="9" fontId="9" fillId="0" borderId="10" xfId="1" applyFont="1" applyBorder="1"/>
    <xf numFmtId="9" fontId="9" fillId="0" borderId="0" xfId="0" applyNumberFormat="1" applyFont="1"/>
    <xf numFmtId="1" fontId="6" fillId="0" borderId="1" xfId="0" applyNumberFormat="1" applyFont="1" applyBorder="1" applyAlignment="1">
      <alignment horizontal="center" vertical="top" shrinkToFit="1"/>
    </xf>
    <xf numFmtId="0" fontId="7" fillId="0" borderId="1" xfId="0" applyFont="1" applyBorder="1"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vertical="top" wrapText="1"/>
    </xf>
    <xf numFmtId="14" fontId="13" fillId="0" borderId="0" xfId="2" applyNumberFormat="1"/>
    <xf numFmtId="0" fontId="13" fillId="0" borderId="0" xfId="2"/>
    <xf numFmtId="0" fontId="14" fillId="0" borderId="0" xfId="0" applyFont="1" applyAlignment="1">
      <alignment horizontal="left" vertical="top"/>
    </xf>
    <xf numFmtId="0" fontId="12" fillId="0" borderId="0" xfId="0" applyFont="1" applyAlignment="1">
      <alignment horizontal="left" vertical="top"/>
    </xf>
    <xf numFmtId="0" fontId="8" fillId="0" borderId="0" xfId="0" applyFont="1" applyAlignment="1">
      <alignment horizontal="left" vertical="top"/>
    </xf>
    <xf numFmtId="0" fontId="15" fillId="0" borderId="0" xfId="3" applyFont="1" applyProtection="1">
      <protection hidden="1"/>
    </xf>
    <xf numFmtId="0" fontId="0" fillId="0" borderId="0" xfId="0"/>
    <xf numFmtId="0" fontId="9" fillId="0" borderId="0" xfId="0" applyFont="1" applyProtection="1">
      <protection hidden="1"/>
    </xf>
    <xf numFmtId="0" fontId="15" fillId="0" borderId="17" xfId="3" applyFont="1" applyBorder="1" applyProtection="1">
      <protection hidden="1"/>
    </xf>
    <xf numFmtId="0" fontId="15" fillId="0" borderId="18" xfId="3" applyFont="1" applyBorder="1" applyProtection="1">
      <protection hidden="1"/>
    </xf>
    <xf numFmtId="0" fontId="15" fillId="0" borderId="19" xfId="3" applyFont="1" applyBorder="1" applyProtection="1">
      <protection hidden="1"/>
    </xf>
    <xf numFmtId="0" fontId="15" fillId="0" borderId="19" xfId="3" applyFont="1" applyBorder="1"/>
    <xf numFmtId="0" fontId="9" fillId="0" borderId="19" xfId="0" applyFont="1" applyBorder="1" applyProtection="1">
      <protection hidden="1"/>
    </xf>
    <xf numFmtId="1" fontId="0" fillId="0" borderId="19" xfId="0" applyNumberFormat="1" applyBorder="1"/>
    <xf numFmtId="2" fontId="0" fillId="0" borderId="0" xfId="0" applyNumberFormat="1"/>
    <xf numFmtId="164" fontId="0" fillId="0" borderId="0" xfId="0" applyNumberFormat="1"/>
    <xf numFmtId="2" fontId="9" fillId="0" borderId="0" xfId="0" applyNumberFormat="1" applyFont="1" applyProtection="1">
      <protection hidden="1"/>
    </xf>
    <xf numFmtId="1" fontId="0" fillId="0" borderId="19" xfId="0" applyNumberFormat="1" applyBorder="1" applyAlignment="1">
      <alignment horizontal="right"/>
    </xf>
    <xf numFmtId="0" fontId="9" fillId="0" borderId="20" xfId="0" applyFont="1" applyBorder="1" applyProtection="1">
      <protection hidden="1"/>
    </xf>
    <xf numFmtId="1" fontId="0" fillId="0" borderId="21" xfId="0" applyNumberFormat="1" applyBorder="1"/>
    <xf numFmtId="0" fontId="3" fillId="0" borderId="5" xfId="0" applyFont="1" applyBorder="1" applyAlignment="1">
      <alignment horizontal="left" vertical="top" wrapText="1"/>
    </xf>
    <xf numFmtId="0" fontId="3" fillId="0" borderId="10" xfId="0" applyFont="1" applyBorder="1" applyAlignment="1">
      <alignment vertical="top" wrapText="1"/>
    </xf>
    <xf numFmtId="0" fontId="3" fillId="0" borderId="10" xfId="0" applyFont="1" applyBorder="1" applyAlignment="1">
      <alignment horizontal="left" vertical="top" wrapText="1"/>
    </xf>
    <xf numFmtId="0" fontId="3" fillId="0" borderId="10" xfId="0" applyFont="1" applyBorder="1" applyAlignment="1">
      <alignment horizontal="center" vertical="top" wrapText="1"/>
    </xf>
    <xf numFmtId="0" fontId="7" fillId="0" borderId="23" xfId="0" applyFont="1" applyBorder="1" applyAlignment="1">
      <alignment horizontal="center" vertical="top" wrapText="1"/>
    </xf>
    <xf numFmtId="1" fontId="6" fillId="0" borderId="23" xfId="0" applyNumberFormat="1" applyFont="1" applyBorder="1" applyAlignment="1">
      <alignment horizontal="center" vertical="top" shrinkToFit="1"/>
    </xf>
    <xf numFmtId="0" fontId="7" fillId="0" borderId="10" xfId="0" applyFont="1" applyBorder="1" applyAlignment="1">
      <alignment horizontal="center" vertical="top" wrapText="1"/>
    </xf>
    <xf numFmtId="1" fontId="7" fillId="0" borderId="10" xfId="0" applyNumberFormat="1" applyFont="1" applyBorder="1" applyAlignment="1">
      <alignment horizontal="center" vertical="top" wrapText="1"/>
    </xf>
    <xf numFmtId="1" fontId="6" fillId="0" borderId="10" xfId="0" applyNumberFormat="1" applyFont="1" applyBorder="1" applyAlignment="1">
      <alignment horizontal="center" vertical="top" shrinkToFit="1"/>
    </xf>
    <xf numFmtId="1" fontId="16" fillId="0" borderId="10" xfId="3" applyNumberFormat="1" applyFont="1" applyBorder="1" applyAlignment="1" applyProtection="1">
      <alignment horizontal="center" vertical="center" wrapText="1"/>
      <protection locked="0"/>
    </xf>
    <xf numFmtId="0" fontId="5" fillId="0" borderId="0" xfId="0" applyFont="1" applyAlignment="1">
      <alignment horizontal="center" vertical="top" wrapText="1"/>
    </xf>
    <xf numFmtId="9" fontId="5" fillId="0" borderId="0" xfId="0" applyNumberFormat="1" applyFont="1" applyAlignment="1">
      <alignment horizontal="center" vertical="top" wrapText="1"/>
    </xf>
    <xf numFmtId="14" fontId="3" fillId="0" borderId="1" xfId="0" applyNumberFormat="1" applyFont="1" applyBorder="1" applyAlignment="1">
      <alignment horizontal="center" vertical="top" wrapText="1"/>
    </xf>
    <xf numFmtId="0" fontId="15" fillId="0" borderId="0" xfId="0" applyFont="1" applyAlignment="1">
      <alignment horizontal="center" vertical="center"/>
    </xf>
    <xf numFmtId="1" fontId="17" fillId="0" borderId="10" xfId="0" applyNumberFormat="1" applyFont="1" applyBorder="1" applyAlignment="1" applyProtection="1">
      <alignment vertical="top" wrapText="1"/>
      <protection locked="0"/>
    </xf>
    <xf numFmtId="1" fontId="17" fillId="0" borderId="10" xfId="0" applyNumberFormat="1" applyFont="1" applyBorder="1" applyAlignment="1" applyProtection="1">
      <alignment horizontal="center" vertical="center" wrapText="1"/>
      <protection locked="0"/>
    </xf>
    <xf numFmtId="1" fontId="16" fillId="0" borderId="10" xfId="0" applyNumberFormat="1" applyFont="1" applyBorder="1" applyAlignment="1" applyProtection="1">
      <alignment horizontal="center" vertical="center" wrapText="1"/>
      <protection locked="0"/>
    </xf>
    <xf numFmtId="0" fontId="14" fillId="0" borderId="0" xfId="0" applyFont="1" applyAlignment="1">
      <alignment horizontal="left" vertical="top" wrapText="1"/>
    </xf>
    <xf numFmtId="1" fontId="20" fillId="0" borderId="1" xfId="0" applyNumberFormat="1" applyFont="1" applyBorder="1" applyAlignment="1">
      <alignment horizontal="center" vertical="top" shrinkToFit="1"/>
    </xf>
    <xf numFmtId="0" fontId="18" fillId="0" borderId="10" xfId="3" applyFont="1" applyBorder="1" applyAlignment="1" applyProtection="1">
      <alignment vertical="top" wrapText="1"/>
      <protection locked="0"/>
    </xf>
    <xf numFmtId="0" fontId="15" fillId="0" borderId="10" xfId="3" applyFont="1" applyBorder="1" applyAlignment="1" applyProtection="1">
      <alignment horizontal="center" vertical="top"/>
      <protection locked="0"/>
    </xf>
    <xf numFmtId="0" fontId="18" fillId="0" borderId="10" xfId="3" applyFont="1" applyBorder="1" applyAlignment="1" applyProtection="1">
      <alignment vertical="top"/>
      <protection locked="0"/>
    </xf>
    <xf numFmtId="0" fontId="15" fillId="0" borderId="12" xfId="3" applyFont="1" applyBorder="1" applyAlignment="1" applyProtection="1">
      <alignment horizontal="center" vertical="center" wrapText="1"/>
      <protection locked="0"/>
    </xf>
    <xf numFmtId="0" fontId="15" fillId="0" borderId="10" xfId="3" applyFont="1" applyBorder="1" applyAlignment="1" applyProtection="1">
      <alignment horizontal="center" vertical="top" wrapText="1"/>
      <protection locked="0"/>
    </xf>
    <xf numFmtId="0" fontId="15" fillId="0" borderId="10" xfId="3" applyFont="1" applyBorder="1" applyAlignment="1" applyProtection="1">
      <alignment horizontal="center" wrapText="1"/>
      <protection locked="0"/>
    </xf>
    <xf numFmtId="9" fontId="15" fillId="3" borderId="10" xfId="3" applyNumberFormat="1" applyFont="1" applyFill="1" applyBorder="1" applyAlignment="1" applyProtection="1">
      <alignment horizontal="center" vertical="center" wrapText="1"/>
      <protection hidden="1"/>
    </xf>
    <xf numFmtId="1" fontId="15" fillId="0" borderId="10" xfId="3" applyNumberFormat="1" applyFont="1" applyBorder="1" applyAlignment="1" applyProtection="1">
      <alignment horizontal="center" wrapText="1"/>
      <protection locked="0"/>
    </xf>
    <xf numFmtId="0" fontId="15" fillId="0" borderId="14" xfId="3" applyFont="1" applyBorder="1" applyAlignment="1" applyProtection="1">
      <alignment horizontal="center" vertical="center" wrapText="1"/>
      <protection locked="0"/>
    </xf>
    <xf numFmtId="0" fontId="15" fillId="0" borderId="15" xfId="3" applyFont="1" applyBorder="1" applyAlignment="1" applyProtection="1">
      <alignment horizontal="center" wrapText="1"/>
      <protection locked="0"/>
    </xf>
    <xf numFmtId="9" fontId="15" fillId="3" borderId="15" xfId="3" applyNumberFormat="1" applyFont="1" applyFill="1" applyBorder="1" applyAlignment="1" applyProtection="1">
      <alignment horizontal="center" vertical="center" wrapText="1"/>
      <protection hidden="1"/>
    </xf>
    <xf numFmtId="14" fontId="21" fillId="0" borderId="0" xfId="0" applyNumberFormat="1" applyFont="1" applyAlignment="1">
      <alignment horizontal="left" vertical="top"/>
    </xf>
    <xf numFmtId="1" fontId="15" fillId="0" borderId="10" xfId="3" applyNumberFormat="1" applyFont="1" applyBorder="1" applyAlignment="1" applyProtection="1">
      <alignment horizontal="center" vertical="center" wrapText="1"/>
      <protection locked="0"/>
    </xf>
    <xf numFmtId="0" fontId="15" fillId="0" borderId="12" xfId="3" applyFont="1" applyBorder="1" applyAlignment="1" applyProtection="1">
      <alignment horizontal="center" vertical="top" wrapText="1"/>
      <protection locked="0"/>
    </xf>
    <xf numFmtId="0" fontId="15" fillId="0" borderId="12" xfId="3" applyFont="1" applyBorder="1" applyAlignment="1" applyProtection="1">
      <alignment horizontal="left" vertical="top"/>
      <protection locked="0"/>
    </xf>
    <xf numFmtId="0" fontId="15" fillId="0" borderId="12" xfId="3" applyFont="1" applyBorder="1" applyAlignment="1" applyProtection="1">
      <alignment horizontal="left" vertical="center"/>
      <protection locked="0"/>
    </xf>
    <xf numFmtId="0" fontId="3" fillId="0" borderId="10" xfId="0" applyFont="1" applyBorder="1" applyAlignment="1">
      <alignment horizontal="center" vertical="center" wrapText="1"/>
    </xf>
    <xf numFmtId="1" fontId="6" fillId="0" borderId="2" xfId="0" applyNumberFormat="1" applyFont="1" applyBorder="1" applyAlignment="1">
      <alignment horizontal="center" vertical="top" shrinkToFit="1"/>
    </xf>
    <xf numFmtId="1" fontId="6" fillId="0" borderId="4" xfId="0" applyNumberFormat="1" applyFont="1" applyBorder="1" applyAlignment="1">
      <alignment horizontal="center" vertical="top" shrinkToFi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24" xfId="0" applyFont="1" applyBorder="1" applyAlignment="1">
      <alignment horizontal="center" vertical="top" wrapText="1"/>
    </xf>
    <xf numFmtId="0" fontId="5" fillId="0" borderId="9" xfId="0" applyFont="1" applyBorder="1" applyAlignment="1">
      <alignment horizontal="center" vertical="top" wrapText="1"/>
    </xf>
    <xf numFmtId="0" fontId="5" fillId="0" borderId="4" xfId="0" applyFont="1" applyBorder="1" applyAlignment="1">
      <alignment horizontal="center" vertical="top" wrapText="1"/>
    </xf>
    <xf numFmtId="0" fontId="3" fillId="0" borderId="10" xfId="0" applyFont="1" applyBorder="1" applyAlignment="1">
      <alignment horizontal="left" vertical="top" wrapText="1"/>
    </xf>
    <xf numFmtId="0" fontId="4" fillId="0" borderId="10" xfId="0" applyFont="1" applyBorder="1" applyAlignment="1">
      <alignment horizontal="left" vertical="top" shrinkToFit="1"/>
    </xf>
    <xf numFmtId="0" fontId="0" fillId="0" borderId="10" xfId="0" applyBorder="1" applyAlignment="1">
      <alignment horizontal="left" vertical="top" wrapText="1"/>
    </xf>
    <xf numFmtId="0" fontId="3" fillId="0" borderId="10" xfId="0" applyFont="1" applyBorder="1" applyAlignment="1">
      <alignment horizontal="center" vertical="top" wrapText="1"/>
    </xf>
    <xf numFmtId="0" fontId="3" fillId="0" borderId="10" xfId="0" applyFont="1" applyBorder="1" applyAlignment="1">
      <alignment horizontal="center" vertical="center"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9" fontId="15" fillId="3" borderId="10" xfId="3" applyNumberFormat="1" applyFont="1" applyFill="1" applyBorder="1" applyAlignment="1" applyProtection="1">
      <alignment horizontal="center" vertical="center" wrapText="1"/>
      <protection hidden="1"/>
    </xf>
    <xf numFmtId="9" fontId="15" fillId="3" borderId="13" xfId="3" applyNumberFormat="1" applyFont="1" applyFill="1" applyBorder="1" applyAlignment="1" applyProtection="1">
      <alignment horizontal="center" vertical="center" wrapText="1"/>
      <protection hidden="1"/>
    </xf>
    <xf numFmtId="9" fontId="15" fillId="3" borderId="15" xfId="3" applyNumberFormat="1" applyFont="1" applyFill="1" applyBorder="1" applyAlignment="1" applyProtection="1">
      <alignment horizontal="center" vertical="center" wrapText="1"/>
      <protection hidden="1"/>
    </xf>
    <xf numFmtId="9" fontId="15" fillId="3" borderId="16" xfId="3" applyNumberFormat="1" applyFont="1" applyFill="1" applyBorder="1" applyAlignment="1" applyProtection="1">
      <alignment horizontal="center" vertical="center" wrapText="1"/>
      <protection hidden="1"/>
    </xf>
    <xf numFmtId="0" fontId="15" fillId="0" borderId="10" xfId="3" applyFont="1" applyBorder="1" applyAlignment="1" applyProtection="1">
      <alignment horizontal="center" vertical="top"/>
      <protection locked="0"/>
    </xf>
    <xf numFmtId="0" fontId="15" fillId="0" borderId="10" xfId="3" applyFont="1" applyBorder="1" applyAlignment="1" applyProtection="1">
      <alignment horizontal="center" vertical="top" wrapText="1"/>
      <protection locked="0"/>
    </xf>
    <xf numFmtId="0" fontId="15" fillId="0" borderId="13" xfId="3" applyFont="1" applyBorder="1" applyAlignment="1" applyProtection="1">
      <alignment horizontal="center" vertical="top" wrapText="1"/>
      <protection locked="0"/>
    </xf>
    <xf numFmtId="0" fontId="18" fillId="0" borderId="10" xfId="3" applyFont="1" applyBorder="1" applyAlignment="1" applyProtection="1">
      <alignment horizontal="left" vertical="top" wrapText="1"/>
      <protection locked="0"/>
    </xf>
    <xf numFmtId="0" fontId="0" fillId="0" borderId="2" xfId="0"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 fontId="19" fillId="0" borderId="2" xfId="0" applyNumberFormat="1" applyFont="1" applyBorder="1" applyAlignment="1">
      <alignment horizontal="left" vertical="top" shrinkToFit="1"/>
    </xf>
    <xf numFmtId="1" fontId="19" fillId="0" borderId="3" xfId="0" applyNumberFormat="1" applyFont="1" applyBorder="1" applyAlignment="1">
      <alignment horizontal="left" vertical="top" shrinkToFit="1"/>
    </xf>
    <xf numFmtId="1" fontId="19" fillId="0" borderId="4" xfId="0" applyNumberFormat="1" applyFont="1" applyBorder="1" applyAlignment="1">
      <alignment horizontal="left" vertical="top" shrinkToFit="1"/>
    </xf>
    <xf numFmtId="0" fontId="2" fillId="0" borderId="6" xfId="0" applyFont="1" applyBorder="1" applyAlignment="1">
      <alignment horizontal="center" vertical="top" wrapText="1"/>
    </xf>
    <xf numFmtId="0" fontId="2" fillId="0" borderId="22" xfId="0" applyFont="1" applyBorder="1" applyAlignment="1">
      <alignment horizontal="center" vertical="top" wrapText="1"/>
    </xf>
    <xf numFmtId="0" fontId="2" fillId="0" borderId="7" xfId="0" applyFont="1" applyBorder="1" applyAlignment="1">
      <alignment horizontal="center" vertical="top" wrapText="1"/>
    </xf>
    <xf numFmtId="0" fontId="2" fillId="0" borderId="10" xfId="0" applyFont="1" applyBorder="1" applyAlignment="1">
      <alignment horizontal="center" vertical="top" wrapText="1"/>
    </xf>
    <xf numFmtId="0" fontId="5" fillId="0" borderId="10" xfId="0" applyFont="1" applyBorder="1" applyAlignment="1">
      <alignment horizontal="center" vertical="top" wrapText="1"/>
    </xf>
    <xf numFmtId="1" fontId="17" fillId="0" borderId="28" xfId="0" applyNumberFormat="1" applyFont="1" applyBorder="1" applyAlignment="1" applyProtection="1">
      <alignment horizontal="center" vertical="center" wrapText="1"/>
      <protection locked="0"/>
    </xf>
    <xf numFmtId="1" fontId="17" fillId="0" borderId="29" xfId="0" applyNumberFormat="1" applyFont="1" applyBorder="1" applyAlignment="1" applyProtection="1">
      <alignment horizontal="center" vertical="center" wrapText="1"/>
      <protection locked="0"/>
    </xf>
    <xf numFmtId="1" fontId="17" fillId="0" borderId="30" xfId="0" applyNumberFormat="1" applyFont="1" applyBorder="1" applyAlignment="1" applyProtection="1">
      <alignment horizontal="center" vertical="center" wrapText="1"/>
      <protection locked="0"/>
    </xf>
    <xf numFmtId="0" fontId="18" fillId="0" borderId="10" xfId="0" applyFont="1" applyBorder="1" applyAlignment="1" applyProtection="1">
      <alignment horizontal="center" vertical="center"/>
      <protection locked="0"/>
    </xf>
    <xf numFmtId="0" fontId="18" fillId="0" borderId="10" xfId="0" applyFont="1" applyBorder="1" applyAlignment="1" applyProtection="1">
      <alignment horizontal="center" vertical="top" wrapText="1"/>
      <protection locked="0"/>
    </xf>
    <xf numFmtId="1" fontId="17" fillId="0" borderId="10" xfId="0" applyNumberFormat="1" applyFont="1" applyBorder="1" applyAlignment="1" applyProtection="1">
      <alignment horizontal="center" vertical="top" wrapText="1"/>
      <protection locked="0"/>
    </xf>
    <xf numFmtId="1" fontId="15" fillId="0" borderId="10" xfId="0" applyNumberFormat="1" applyFont="1" applyBorder="1" applyAlignment="1" applyProtection="1">
      <alignment horizontal="center" vertical="center"/>
      <protection locked="0"/>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0" fontId="5" fillId="0" borderId="35" xfId="0" applyFont="1" applyBorder="1" applyAlignment="1">
      <alignment horizontal="center" vertical="top" wrapText="1"/>
    </xf>
    <xf numFmtId="0" fontId="5" fillId="0" borderId="36" xfId="0" applyFont="1" applyBorder="1" applyAlignment="1">
      <alignment horizontal="center" vertical="top" wrapText="1"/>
    </xf>
    <xf numFmtId="1" fontId="15" fillId="0" borderId="10" xfId="0" applyNumberFormat="1" applyFont="1" applyBorder="1" applyAlignment="1" applyProtection="1">
      <alignment horizontal="center" vertical="top" wrapText="1"/>
      <protection locked="0"/>
    </xf>
    <xf numFmtId="1" fontId="16" fillId="0" borderId="10" xfId="0" applyNumberFormat="1" applyFont="1" applyBorder="1" applyAlignment="1" applyProtection="1">
      <alignment horizontal="center" vertical="top" wrapText="1"/>
      <protection locked="0"/>
    </xf>
    <xf numFmtId="1" fontId="18" fillId="0" borderId="31" xfId="0" applyNumberFormat="1" applyFont="1" applyBorder="1" applyAlignment="1" applyProtection="1">
      <alignment horizontal="center" vertical="center"/>
      <protection locked="0"/>
    </xf>
    <xf numFmtId="1" fontId="18" fillId="0" borderId="32" xfId="0" applyNumberFormat="1" applyFont="1" applyBorder="1" applyAlignment="1" applyProtection="1">
      <alignment horizontal="center" vertical="center"/>
      <protection locked="0"/>
    </xf>
    <xf numFmtId="1" fontId="18" fillId="0" borderId="31" xfId="0" applyNumberFormat="1" applyFont="1" applyBorder="1" applyAlignment="1" applyProtection="1">
      <alignment horizontal="center" vertical="top" wrapText="1"/>
      <protection locked="0"/>
    </xf>
    <xf numFmtId="1" fontId="18" fillId="0" borderId="32" xfId="0" applyNumberFormat="1" applyFont="1" applyBorder="1" applyAlignment="1" applyProtection="1">
      <alignment horizontal="center" vertical="top" wrapText="1"/>
      <protection locked="0"/>
    </xf>
    <xf numFmtId="1" fontId="17" fillId="0" borderId="31" xfId="0" applyNumberFormat="1" applyFont="1" applyBorder="1" applyAlignment="1" applyProtection="1">
      <alignment horizontal="center" vertical="top" wrapText="1"/>
      <protection locked="0"/>
    </xf>
    <xf numFmtId="1" fontId="17" fillId="0" borderId="32" xfId="0" applyNumberFormat="1" applyFont="1" applyBorder="1" applyAlignment="1" applyProtection="1">
      <alignment horizontal="center" vertical="top" wrapText="1"/>
      <protection locked="0"/>
    </xf>
    <xf numFmtId="14" fontId="3" fillId="0" borderId="10" xfId="0" applyNumberFormat="1" applyFont="1" applyBorder="1" applyAlignment="1">
      <alignment horizontal="left" vertical="top" wrapText="1"/>
    </xf>
    <xf numFmtId="2" fontId="4" fillId="0" borderId="10" xfId="0" applyNumberFormat="1" applyFont="1" applyBorder="1" applyAlignment="1">
      <alignment horizontal="center" vertical="top" shrinkToFit="1"/>
    </xf>
    <xf numFmtId="0" fontId="0" fillId="0" borderId="22" xfId="0" applyBorder="1" applyAlignment="1">
      <alignment horizontal="center" vertical="top" wrapText="1"/>
    </xf>
    <xf numFmtId="0" fontId="0" fillId="0" borderId="7" xfId="0" applyBorder="1" applyAlignment="1">
      <alignment horizontal="center" vertical="top" wrapText="1"/>
    </xf>
    <xf numFmtId="0" fontId="3" fillId="0" borderId="10" xfId="3" applyFont="1" applyBorder="1" applyAlignment="1" applyProtection="1">
      <alignment horizontal="left" vertical="center" wrapText="1"/>
      <protection locked="0"/>
    </xf>
    <xf numFmtId="0" fontId="2" fillId="0" borderId="10"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3" fillId="0" borderId="39" xfId="0" applyFont="1" applyBorder="1" applyAlignment="1">
      <alignment horizontal="left" vertical="top" wrapText="1"/>
    </xf>
    <xf numFmtId="0" fontId="22" fillId="0" borderId="37" xfId="4" applyBorder="1" applyAlignment="1">
      <alignment horizontal="left" vertical="top" wrapText="1"/>
    </xf>
    <xf numFmtId="1" fontId="2" fillId="0" borderId="2" xfId="0" applyNumberFormat="1" applyFont="1" applyBorder="1" applyAlignment="1">
      <alignment horizontal="left" vertical="top" shrinkToFit="1"/>
    </xf>
    <xf numFmtId="1" fontId="2" fillId="0" borderId="3" xfId="0" applyNumberFormat="1" applyFont="1" applyBorder="1" applyAlignment="1">
      <alignment horizontal="left" vertical="top" shrinkToFit="1"/>
    </xf>
    <xf numFmtId="1" fontId="2" fillId="0" borderId="4" xfId="0" applyNumberFormat="1" applyFont="1" applyBorder="1" applyAlignment="1">
      <alignment horizontal="left" vertical="top" shrinkToFit="1"/>
    </xf>
    <xf numFmtId="0" fontId="7" fillId="0" borderId="6" xfId="0" applyFont="1" applyBorder="1" applyAlignment="1">
      <alignment horizontal="center" vertical="top" wrapText="1"/>
    </xf>
    <xf numFmtId="0" fontId="7" fillId="0" borderId="22" xfId="0" applyFont="1" applyBorder="1" applyAlignment="1">
      <alignment horizontal="center" vertical="top" wrapText="1"/>
    </xf>
    <xf numFmtId="0" fontId="7" fillId="0" borderId="7" xfId="0" applyFont="1" applyBorder="1" applyAlignment="1">
      <alignment horizontal="center" vertical="top" wrapText="1"/>
    </xf>
    <xf numFmtId="0" fontId="5" fillId="0" borderId="25" xfId="0" applyFont="1" applyBorder="1" applyAlignment="1">
      <alignment horizontal="center" vertical="top" wrapText="1"/>
    </xf>
    <xf numFmtId="0" fontId="0" fillId="0" borderId="26" xfId="0" applyBorder="1" applyAlignment="1">
      <alignment horizontal="center" vertical="top" wrapText="1"/>
    </xf>
    <xf numFmtId="0" fontId="0" fillId="0" borderId="27" xfId="0" applyBorder="1" applyAlignment="1">
      <alignment horizontal="center" vertical="top" wrapText="1"/>
    </xf>
    <xf numFmtId="0" fontId="0" fillId="0" borderId="11" xfId="0" applyBorder="1" applyAlignment="1">
      <alignment horizontal="center" vertical="top" wrapText="1"/>
    </xf>
    <xf numFmtId="0" fontId="5" fillId="0" borderId="27" xfId="0" applyFont="1" applyBorder="1" applyAlignment="1">
      <alignment horizontal="center" vertical="top" wrapText="1"/>
    </xf>
    <xf numFmtId="0" fontId="5" fillId="0" borderId="11" xfId="0" applyFont="1" applyBorder="1" applyAlignment="1">
      <alignment horizontal="center" vertical="top" wrapText="1"/>
    </xf>
    <xf numFmtId="0" fontId="3" fillId="0" borderId="8" xfId="0" applyFont="1" applyBorder="1" applyAlignment="1">
      <alignment horizontal="left" vertical="top" wrapText="1"/>
    </xf>
    <xf numFmtId="0" fontId="3" fillId="0" borderId="24"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vertical="top" wrapText="1"/>
    </xf>
    <xf numFmtId="0" fontId="3" fillId="0" borderId="9" xfId="0" applyFont="1" applyBorder="1" applyAlignment="1">
      <alignment vertical="top" wrapText="1"/>
    </xf>
    <xf numFmtId="14" fontId="3" fillId="0" borderId="2" xfId="0" applyNumberFormat="1" applyFont="1" applyBorder="1" applyAlignment="1">
      <alignment horizontal="left" vertical="top" wrapText="1"/>
    </xf>
    <xf numFmtId="1" fontId="4" fillId="0" borderId="10" xfId="0" applyNumberFormat="1" applyFont="1" applyBorder="1" applyAlignment="1">
      <alignment horizontal="center" vertical="top" shrinkToFit="1"/>
    </xf>
    <xf numFmtId="0" fontId="3" fillId="0" borderId="10" xfId="0" applyFont="1" applyBorder="1" applyAlignment="1">
      <alignment horizontal="left" vertical="top" wrapText="1" indent="6"/>
    </xf>
    <xf numFmtId="0" fontId="5" fillId="0" borderId="8" xfId="0" applyFont="1" applyBorder="1" applyAlignment="1">
      <alignment horizontal="center" vertical="top" wrapText="1"/>
    </xf>
    <xf numFmtId="0" fontId="9" fillId="0" borderId="10" xfId="0" applyFont="1" applyBorder="1" applyAlignment="1">
      <alignment horizontal="left"/>
    </xf>
    <xf numFmtId="0" fontId="11" fillId="0" borderId="10" xfId="0" applyFont="1" applyBorder="1" applyAlignment="1">
      <alignment horizontal="center"/>
    </xf>
    <xf numFmtId="0" fontId="9" fillId="0" borderId="10" xfId="0" applyFont="1" applyBorder="1" applyAlignment="1">
      <alignment horizontal="center"/>
    </xf>
  </cellXfs>
  <cellStyles count="5">
    <cellStyle name="Excel Built-in Normal 2" xfId="2" xr:uid="{00000000-0005-0000-0000-000000000000}"/>
    <cellStyle name="Hyperlink" xfId="4" builtinId="8"/>
    <cellStyle name="Normal" xfId="0" builtinId="0"/>
    <cellStyle name="Normal 3" xfId="3" xr:uid="{00000000-0005-0000-0000-000003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2" Type="http://schemas.openxmlformats.org/officeDocument/2006/relationships/image" Target="../media/image24.jpg"/><Relationship Id="rId1" Type="http://schemas.openxmlformats.org/officeDocument/2006/relationships/image" Target="../media/image2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479776</xdr:colOff>
      <xdr:row>236</xdr:row>
      <xdr:rowOff>0</xdr:rowOff>
    </xdr:from>
    <xdr:to>
      <xdr:col>6</xdr:col>
      <xdr:colOff>422626</xdr:colOff>
      <xdr:row>256</xdr:row>
      <xdr:rowOff>90855</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79776" y="50644425"/>
          <a:ext cx="5419725" cy="3329354"/>
        </a:xfrm>
        <a:prstGeom prst="rect">
          <a:avLst/>
        </a:prstGeom>
        <a:ln>
          <a:solidFill>
            <a:schemeClr val="tx1"/>
          </a:solidFill>
        </a:ln>
      </xdr:spPr>
    </xdr:pic>
    <xdr:clientData/>
  </xdr:twoCellAnchor>
  <xdr:twoCellAnchor editAs="oneCell">
    <xdr:from>
      <xdr:col>0</xdr:col>
      <xdr:colOff>457200</xdr:colOff>
      <xdr:row>257</xdr:row>
      <xdr:rowOff>142876</xdr:rowOff>
    </xdr:from>
    <xdr:to>
      <xdr:col>6</xdr:col>
      <xdr:colOff>422626</xdr:colOff>
      <xdr:row>278</xdr:row>
      <xdr:rowOff>95251</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57200" y="54187726"/>
          <a:ext cx="5442301" cy="3352799"/>
        </a:xfrm>
        <a:prstGeom prst="rect">
          <a:avLst/>
        </a:prstGeom>
        <a:ln>
          <a:solidFill>
            <a:schemeClr val="tx1"/>
          </a:solidFill>
        </a:ln>
      </xdr:spPr>
    </xdr:pic>
    <xdr:clientData/>
  </xdr:twoCellAnchor>
  <xdr:twoCellAnchor>
    <xdr:from>
      <xdr:col>9</xdr:col>
      <xdr:colOff>144331</xdr:colOff>
      <xdr:row>184</xdr:row>
      <xdr:rowOff>129091</xdr:rowOff>
    </xdr:from>
    <xdr:to>
      <xdr:col>19</xdr:col>
      <xdr:colOff>366657</xdr:colOff>
      <xdr:row>219</xdr:row>
      <xdr:rowOff>103541</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7786743" y="41579650"/>
          <a:ext cx="5601149" cy="6115273"/>
          <a:chOff x="581196" y="182880"/>
          <a:chExt cx="5902875" cy="6152610"/>
        </a:xfrm>
      </xdr:grpSpPr>
      <xdr:grpSp>
        <xdr:nvGrpSpPr>
          <xdr:cNvPr id="16" name="Group 15">
            <a:extLst>
              <a:ext uri="{FF2B5EF4-FFF2-40B4-BE49-F238E27FC236}">
                <a16:creationId xmlns:a16="http://schemas.microsoft.com/office/drawing/2014/main" id="{00000000-0008-0000-0000-000010000000}"/>
              </a:ext>
            </a:extLst>
          </xdr:cNvPr>
          <xdr:cNvGrpSpPr/>
        </xdr:nvGrpSpPr>
        <xdr:grpSpPr>
          <a:xfrm>
            <a:off x="581196" y="182880"/>
            <a:ext cx="5902875" cy="3845341"/>
            <a:chOff x="319446" y="182880"/>
            <a:chExt cx="5902875" cy="3845341"/>
          </a:xfrm>
        </xdr:grpSpPr>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19446" y="182880"/>
              <a:ext cx="2880001" cy="3845341"/>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342321" y="182880"/>
              <a:ext cx="2880000" cy="3845341"/>
            </a:xfrm>
            <a:prstGeom prst="rect">
              <a:avLst/>
            </a:prstGeom>
            <a:ln>
              <a:solidFill>
                <a:schemeClr val="tx1"/>
              </a:solidFill>
            </a:ln>
          </xdr:spPr>
        </xdr:pic>
      </xdr:grpSp>
      <xdr:grpSp>
        <xdr:nvGrpSpPr>
          <xdr:cNvPr id="17" name="Group 16">
            <a:extLst>
              <a:ext uri="{FF2B5EF4-FFF2-40B4-BE49-F238E27FC236}">
                <a16:creationId xmlns:a16="http://schemas.microsoft.com/office/drawing/2014/main" id="{00000000-0008-0000-0000-000011000000}"/>
              </a:ext>
            </a:extLst>
          </xdr:cNvPr>
          <xdr:cNvGrpSpPr/>
        </xdr:nvGrpSpPr>
        <xdr:grpSpPr>
          <a:xfrm>
            <a:off x="925446" y="4175490"/>
            <a:ext cx="5189250" cy="2160000"/>
            <a:chOff x="1556571" y="4175490"/>
            <a:chExt cx="5189250" cy="2160000"/>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342321" y="4175490"/>
              <a:ext cx="1617750" cy="2160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128071" y="4175490"/>
              <a:ext cx="1617750" cy="216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556571" y="4175490"/>
              <a:ext cx="1617750" cy="2160000"/>
            </a:xfrm>
            <a:prstGeom prst="rect">
              <a:avLst/>
            </a:prstGeom>
            <a:ln>
              <a:solidFill>
                <a:schemeClr val="tx1"/>
              </a:solidFill>
            </a:ln>
          </xdr:spPr>
        </xdr:pic>
      </xdr:grpSp>
    </xdr:grpSp>
    <xdr:clientData/>
  </xdr:twoCellAnchor>
  <xdr:twoCellAnchor>
    <xdr:from>
      <xdr:col>8</xdr:col>
      <xdr:colOff>284630</xdr:colOff>
      <xdr:row>187</xdr:row>
      <xdr:rowOff>60512</xdr:rowOff>
    </xdr:from>
    <xdr:to>
      <xdr:col>19</xdr:col>
      <xdr:colOff>23533</xdr:colOff>
      <xdr:row>227</xdr:row>
      <xdr:rowOff>29136</xdr:rowOff>
    </xdr:to>
    <xdr:grpSp>
      <xdr:nvGrpSpPr>
        <xdr:cNvPr id="2" name="Group 1">
          <a:extLst>
            <a:ext uri="{FF2B5EF4-FFF2-40B4-BE49-F238E27FC236}">
              <a16:creationId xmlns:a16="http://schemas.microsoft.com/office/drawing/2014/main" id="{D29118D5-39E7-1358-1534-36BC8E56A53A}"/>
            </a:ext>
          </a:extLst>
        </xdr:cNvPr>
        <xdr:cNvGrpSpPr/>
      </xdr:nvGrpSpPr>
      <xdr:grpSpPr>
        <a:xfrm>
          <a:off x="7400365" y="42564424"/>
          <a:ext cx="5644403" cy="6311153"/>
          <a:chOff x="309741" y="171838"/>
          <a:chExt cx="5891879" cy="5854983"/>
        </a:xfrm>
      </xdr:grpSpPr>
      <xdr:grpSp>
        <xdr:nvGrpSpPr>
          <xdr:cNvPr id="3" name="Group 2">
            <a:extLst>
              <a:ext uri="{FF2B5EF4-FFF2-40B4-BE49-F238E27FC236}">
                <a16:creationId xmlns:a16="http://schemas.microsoft.com/office/drawing/2014/main" id="{E898368A-4052-6572-1E55-B9D1AF6B9311}"/>
              </a:ext>
            </a:extLst>
          </xdr:cNvPr>
          <xdr:cNvGrpSpPr/>
        </xdr:nvGrpSpPr>
        <xdr:grpSpPr>
          <a:xfrm>
            <a:off x="577343" y="4226821"/>
            <a:ext cx="5356674" cy="1800000"/>
            <a:chOff x="793075" y="4226821"/>
            <a:chExt cx="5356674" cy="1800000"/>
          </a:xfrm>
        </xdr:grpSpPr>
        <xdr:pic>
          <xdr:nvPicPr>
            <xdr:cNvPr id="7" name="Picture 6">
              <a:extLst>
                <a:ext uri="{FF2B5EF4-FFF2-40B4-BE49-F238E27FC236}">
                  <a16:creationId xmlns:a16="http://schemas.microsoft.com/office/drawing/2014/main" id="{F78F72E6-FED5-4443-04AB-C6AA072BBC7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801624" y="4226821"/>
              <a:ext cx="1348125" cy="1800000"/>
            </a:xfrm>
            <a:prstGeom prst="rect">
              <a:avLst/>
            </a:prstGeom>
            <a:ln>
              <a:solidFill>
                <a:schemeClr val="tx1"/>
              </a:solidFill>
            </a:ln>
          </xdr:spPr>
        </xdr:pic>
        <xdr:pic>
          <xdr:nvPicPr>
            <xdr:cNvPr id="8" name="Picture 7">
              <a:extLst>
                <a:ext uri="{FF2B5EF4-FFF2-40B4-BE49-F238E27FC236}">
                  <a16:creationId xmlns:a16="http://schemas.microsoft.com/office/drawing/2014/main" id="{A27904D7-5C49-41CB-D6F1-5C756873948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793075" y="4226821"/>
              <a:ext cx="2396666" cy="1800000"/>
            </a:xfrm>
            <a:prstGeom prst="rect">
              <a:avLst/>
            </a:prstGeom>
            <a:ln>
              <a:solidFill>
                <a:schemeClr val="tx1"/>
              </a:solidFill>
            </a:ln>
          </xdr:spPr>
        </xdr:pic>
        <xdr:pic>
          <xdr:nvPicPr>
            <xdr:cNvPr id="9" name="Picture 8">
              <a:extLst>
                <a:ext uri="{FF2B5EF4-FFF2-40B4-BE49-F238E27FC236}">
                  <a16:creationId xmlns:a16="http://schemas.microsoft.com/office/drawing/2014/main" id="{14F790A7-8189-4021-C93F-2C379781607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21620" y="4226821"/>
              <a:ext cx="1348125" cy="1800000"/>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FC784A23-0455-66F4-6545-5B520F877A48}"/>
              </a:ext>
            </a:extLst>
          </xdr:cNvPr>
          <xdr:cNvGrpSpPr/>
        </xdr:nvGrpSpPr>
        <xdr:grpSpPr>
          <a:xfrm>
            <a:off x="309741" y="171838"/>
            <a:ext cx="5891879" cy="3845343"/>
            <a:chOff x="309741" y="171838"/>
            <a:chExt cx="5891879" cy="3845343"/>
          </a:xfrm>
        </xdr:grpSpPr>
        <xdr:pic>
          <xdr:nvPicPr>
            <xdr:cNvPr id="5" name="Picture 4">
              <a:extLst>
                <a:ext uri="{FF2B5EF4-FFF2-40B4-BE49-F238E27FC236}">
                  <a16:creationId xmlns:a16="http://schemas.microsoft.com/office/drawing/2014/main" id="{62C5F5FC-A83A-11F0-225C-7D4213027F7A}"/>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309741" y="171839"/>
              <a:ext cx="2880000" cy="3845342"/>
            </a:xfrm>
            <a:prstGeom prst="rect">
              <a:avLst/>
            </a:prstGeom>
            <a:ln>
              <a:solidFill>
                <a:schemeClr val="tx1"/>
              </a:solidFill>
            </a:ln>
          </xdr:spPr>
        </xdr:pic>
        <xdr:pic>
          <xdr:nvPicPr>
            <xdr:cNvPr id="6" name="Picture 5">
              <a:extLst>
                <a:ext uri="{FF2B5EF4-FFF2-40B4-BE49-F238E27FC236}">
                  <a16:creationId xmlns:a16="http://schemas.microsoft.com/office/drawing/2014/main" id="{E0B92BFE-18EE-3819-E72D-C3236E4089FA}"/>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3321620" y="171838"/>
              <a:ext cx="2880000" cy="3845341"/>
            </a:xfrm>
            <a:prstGeom prst="rect">
              <a:avLst/>
            </a:prstGeom>
            <a:ln>
              <a:solidFill>
                <a:schemeClr val="tx1"/>
              </a:solidFill>
            </a:ln>
          </xdr:spPr>
        </xdr:pic>
      </xdr:grpSp>
    </xdr:grpSp>
    <xdr:clientData/>
  </xdr:twoCellAnchor>
  <xdr:twoCellAnchor>
    <xdr:from>
      <xdr:col>0</xdr:col>
      <xdr:colOff>78441</xdr:colOff>
      <xdr:row>187</xdr:row>
      <xdr:rowOff>0</xdr:rowOff>
    </xdr:from>
    <xdr:to>
      <xdr:col>6</xdr:col>
      <xdr:colOff>882602</xdr:colOff>
      <xdr:row>224</xdr:row>
      <xdr:rowOff>124793</xdr:rowOff>
    </xdr:to>
    <xdr:grpSp>
      <xdr:nvGrpSpPr>
        <xdr:cNvPr id="23" name="Group 22">
          <a:extLst>
            <a:ext uri="{FF2B5EF4-FFF2-40B4-BE49-F238E27FC236}">
              <a16:creationId xmlns:a16="http://schemas.microsoft.com/office/drawing/2014/main" id="{8721BD32-FA3B-416E-85C4-F7DA9EF21865}"/>
            </a:ext>
          </a:extLst>
        </xdr:cNvPr>
        <xdr:cNvGrpSpPr/>
      </xdr:nvGrpSpPr>
      <xdr:grpSpPr>
        <a:xfrm>
          <a:off x="78441" y="42503912"/>
          <a:ext cx="5667514" cy="5996675"/>
          <a:chOff x="595243" y="394666"/>
          <a:chExt cx="5667514" cy="5996675"/>
        </a:xfrm>
      </xdr:grpSpPr>
      <xdr:pic>
        <xdr:nvPicPr>
          <xdr:cNvPr id="24" name="Picture 23">
            <a:extLst>
              <a:ext uri="{FF2B5EF4-FFF2-40B4-BE49-F238E27FC236}">
                <a16:creationId xmlns:a16="http://schemas.microsoft.com/office/drawing/2014/main" id="{6B57F30C-CD50-42C1-B1CC-1213B6F2F47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95243" y="394666"/>
            <a:ext cx="2697185" cy="3600000"/>
          </a:xfrm>
          <a:prstGeom prst="rect">
            <a:avLst/>
          </a:prstGeom>
          <a:ln>
            <a:solidFill>
              <a:schemeClr val="tx1"/>
            </a:solidFill>
          </a:ln>
        </xdr:spPr>
      </xdr:pic>
      <xdr:pic>
        <xdr:nvPicPr>
          <xdr:cNvPr id="25" name="Picture 24">
            <a:extLst>
              <a:ext uri="{FF2B5EF4-FFF2-40B4-BE49-F238E27FC236}">
                <a16:creationId xmlns:a16="http://schemas.microsoft.com/office/drawing/2014/main" id="{02C55B1F-8AE4-4A88-8A64-B499FC3FEA2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565570" y="394666"/>
            <a:ext cx="2697187" cy="3600000"/>
          </a:xfrm>
          <a:prstGeom prst="rect">
            <a:avLst/>
          </a:prstGeom>
          <a:ln>
            <a:solidFill>
              <a:schemeClr val="tx1"/>
            </a:solidFill>
          </a:ln>
        </xdr:spPr>
      </xdr:pic>
      <xdr:pic>
        <xdr:nvPicPr>
          <xdr:cNvPr id="26" name="Picture 25">
            <a:extLst>
              <a:ext uri="{FF2B5EF4-FFF2-40B4-BE49-F238E27FC236}">
                <a16:creationId xmlns:a16="http://schemas.microsoft.com/office/drawing/2014/main" id="{5AFE8CD0-7593-45E5-A20B-84310968B99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619844" y="4231341"/>
            <a:ext cx="1618312" cy="2160000"/>
          </a:xfrm>
          <a:prstGeom prst="rect">
            <a:avLst/>
          </a:prstGeom>
          <a:ln>
            <a:solidFill>
              <a:schemeClr val="tx1"/>
            </a:solidFill>
          </a:ln>
        </xdr:spPr>
      </xdr:pic>
      <xdr:pic>
        <xdr:nvPicPr>
          <xdr:cNvPr id="27" name="Picture 26">
            <a:extLst>
              <a:ext uri="{FF2B5EF4-FFF2-40B4-BE49-F238E27FC236}">
                <a16:creationId xmlns:a16="http://schemas.microsoft.com/office/drawing/2014/main" id="{5A52DCC5-5647-40EB-8D61-F8418CB9036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420550" y="4231341"/>
            <a:ext cx="1618313" cy="2160000"/>
          </a:xfrm>
          <a:prstGeom prst="rect">
            <a:avLst/>
          </a:prstGeom>
          <a:ln>
            <a:solidFill>
              <a:schemeClr val="tx1"/>
            </a:solidFill>
          </a:ln>
        </xdr:spPr>
      </xdr:pic>
      <xdr:pic>
        <xdr:nvPicPr>
          <xdr:cNvPr id="28" name="Picture 27">
            <a:extLst>
              <a:ext uri="{FF2B5EF4-FFF2-40B4-BE49-F238E27FC236}">
                <a16:creationId xmlns:a16="http://schemas.microsoft.com/office/drawing/2014/main" id="{8FF9B4A6-B695-4294-9352-A671C2F0D60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850322" y="4231341"/>
            <a:ext cx="1618312"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7</xdr:col>
      <xdr:colOff>177115</xdr:colOff>
      <xdr:row>46</xdr:row>
      <xdr:rowOff>107111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3810000"/>
          <a:ext cx="6635065" cy="3536111"/>
        </a:xfrm>
        <a:prstGeom prst="rect">
          <a:avLst/>
        </a:prstGeom>
      </xdr:spPr>
    </xdr:pic>
    <xdr:clientData/>
  </xdr:twoCellAnchor>
  <xdr:twoCellAnchor editAs="oneCell">
    <xdr:from>
      <xdr:col>0</xdr:col>
      <xdr:colOff>291353</xdr:colOff>
      <xdr:row>47</xdr:row>
      <xdr:rowOff>81231</xdr:rowOff>
    </xdr:from>
    <xdr:to>
      <xdr:col>7</xdr:col>
      <xdr:colOff>177115</xdr:colOff>
      <xdr:row>65</xdr:row>
      <xdr:rowOff>33067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91353" y="7510731"/>
          <a:ext cx="6343712" cy="3380836"/>
        </a:xfrm>
        <a:prstGeom prst="rect">
          <a:avLst/>
        </a:prstGeom>
      </xdr:spPr>
    </xdr:pic>
    <xdr:clientData/>
  </xdr:twoCellAnchor>
  <xdr:twoCellAnchor editAs="oneCell">
    <xdr:from>
      <xdr:col>0</xdr:col>
      <xdr:colOff>381765</xdr:colOff>
      <xdr:row>66</xdr:row>
      <xdr:rowOff>7188</xdr:rowOff>
    </xdr:from>
    <xdr:to>
      <xdr:col>6</xdr:col>
      <xdr:colOff>414473</xdr:colOff>
      <xdr:row>82</xdr:row>
      <xdr:rowOff>88380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81765" y="11056188"/>
          <a:ext cx="5871533" cy="31291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452373</xdr:colOff>
      <xdr:row>0</xdr:row>
      <xdr:rowOff>160020</xdr:rowOff>
    </xdr:from>
    <xdr:to>
      <xdr:col>13</xdr:col>
      <xdr:colOff>31398</xdr:colOff>
      <xdr:row>26</xdr:row>
      <xdr:rowOff>106140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8633" y="160020"/>
          <a:ext cx="3236625" cy="4320000"/>
        </a:xfrm>
        <a:prstGeom prst="rect">
          <a:avLst/>
        </a:prstGeom>
        <a:ln>
          <a:solidFill>
            <a:schemeClr val="tx1"/>
          </a:solidFill>
        </a:ln>
      </xdr:spPr>
    </xdr:pic>
    <xdr:clientData/>
  </xdr:twoCellAnchor>
  <xdr:twoCellAnchor editAs="oneCell">
    <xdr:from>
      <xdr:col>2</xdr:col>
      <xdr:colOff>121920</xdr:colOff>
      <xdr:row>1</xdr:row>
      <xdr:rowOff>7858</xdr:rowOff>
    </xdr:from>
    <xdr:to>
      <xdr:col>7</xdr:col>
      <xdr:colOff>310545</xdr:colOff>
      <xdr:row>26</xdr:row>
      <xdr:rowOff>121618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0180" y="175498"/>
          <a:ext cx="3236625" cy="432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ikbozgb2h8G2h1Nw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6"/>
  <sheetViews>
    <sheetView tabSelected="1" view="pageBreakPreview" topLeftCell="A188" zoomScale="85" zoomScaleNormal="85" zoomScaleSheetLayoutView="85" zoomScalePageLayoutView="90" workbookViewId="0">
      <selection activeCell="H207" sqref="H207"/>
    </sheetView>
  </sheetViews>
  <sheetFormatPr defaultRowHeight="12.75" x14ac:dyDescent="0.2"/>
  <cols>
    <col min="1" max="1" width="17.33203125" customWidth="1"/>
    <col min="2" max="2" width="13.83203125" customWidth="1"/>
    <col min="3" max="3" width="14.1640625" customWidth="1"/>
    <col min="4" max="4" width="14.6640625" customWidth="1"/>
    <col min="5" max="5" width="13.33203125" customWidth="1"/>
    <col min="6" max="6" width="11.83203125" customWidth="1"/>
    <col min="7" max="7" width="17.33203125" customWidth="1"/>
    <col min="8" max="8" width="22.1640625" customWidth="1"/>
    <col min="9" max="9" width="9.1640625" customWidth="1"/>
  </cols>
  <sheetData>
    <row r="1" spans="1:7" ht="42.6" customHeight="1" x14ac:dyDescent="0.2">
      <c r="A1" s="119" t="s">
        <v>227</v>
      </c>
      <c r="B1" s="145"/>
      <c r="C1" s="145"/>
      <c r="D1" s="145"/>
      <c r="E1" s="145"/>
      <c r="F1" s="145"/>
      <c r="G1" s="146"/>
    </row>
    <row r="2" spans="1:7" ht="15.75" customHeight="1" x14ac:dyDescent="0.2">
      <c r="A2" s="122" t="s">
        <v>0</v>
      </c>
      <c r="B2" s="122"/>
      <c r="C2" s="122"/>
      <c r="D2" s="122"/>
      <c r="E2" s="122"/>
      <c r="F2" s="122"/>
      <c r="G2" s="122"/>
    </row>
    <row r="3" spans="1:7" ht="15.75" customHeight="1" x14ac:dyDescent="0.2">
      <c r="A3" s="85" t="s">
        <v>1</v>
      </c>
      <c r="B3" s="85"/>
      <c r="C3" s="85"/>
      <c r="D3" s="143" t="str">
        <f ca="1">TEXT(TODAY(),"DD/MM/YYYY")</f>
        <v>11/09/2025</v>
      </c>
      <c r="E3" s="143"/>
      <c r="F3" s="143"/>
      <c r="G3" s="143"/>
    </row>
    <row r="4" spans="1:7" ht="15.75" customHeight="1" x14ac:dyDescent="0.2">
      <c r="A4" s="85" t="s">
        <v>2</v>
      </c>
      <c r="B4" s="85"/>
      <c r="C4" s="85"/>
      <c r="D4" s="147" t="s">
        <v>196</v>
      </c>
      <c r="E4" s="147"/>
      <c r="F4" s="147"/>
      <c r="G4" s="147"/>
    </row>
    <row r="5" spans="1:7" ht="15.75" customHeight="1" x14ac:dyDescent="0.2">
      <c r="A5" s="85" t="s">
        <v>3</v>
      </c>
      <c r="B5" s="85"/>
      <c r="C5" s="85"/>
      <c r="D5" s="143">
        <v>45910</v>
      </c>
      <c r="E5" s="85"/>
      <c r="F5" s="85"/>
      <c r="G5" s="85"/>
    </row>
    <row r="6" spans="1:7" ht="15.95" customHeight="1" x14ac:dyDescent="0.2">
      <c r="A6" s="85" t="s">
        <v>4</v>
      </c>
      <c r="B6" s="85"/>
      <c r="C6" s="85"/>
      <c r="D6" s="85" t="s">
        <v>106</v>
      </c>
      <c r="E6" s="85"/>
      <c r="F6" s="85"/>
      <c r="G6" s="85"/>
    </row>
    <row r="7" spans="1:7" ht="15.75" customHeight="1" x14ac:dyDescent="0.2">
      <c r="A7" s="85" t="s">
        <v>5</v>
      </c>
      <c r="B7" s="85"/>
      <c r="C7" s="85"/>
      <c r="D7" s="85" t="s">
        <v>106</v>
      </c>
      <c r="E7" s="85"/>
      <c r="F7" s="85"/>
      <c r="G7" s="85"/>
    </row>
    <row r="8" spans="1:7" ht="15.75" customHeight="1" x14ac:dyDescent="0.2">
      <c r="A8" s="85" t="s">
        <v>230</v>
      </c>
      <c r="B8" s="85"/>
      <c r="C8" s="85"/>
      <c r="D8" s="148" t="s">
        <v>158</v>
      </c>
      <c r="E8" s="148"/>
      <c r="F8" s="148"/>
      <c r="G8" s="148"/>
    </row>
    <row r="9" spans="1:7" ht="15.75" customHeight="1" x14ac:dyDescent="0.2">
      <c r="A9" s="85" t="s">
        <v>231</v>
      </c>
      <c r="B9" s="85"/>
      <c r="C9" s="85"/>
      <c r="D9" s="148" t="s">
        <v>232</v>
      </c>
      <c r="E9" s="148"/>
      <c r="F9" s="148"/>
      <c r="G9" s="148"/>
    </row>
    <row r="10" spans="1:7" ht="15.75" customHeight="1" x14ac:dyDescent="0.2">
      <c r="A10" s="85" t="s">
        <v>6</v>
      </c>
      <c r="B10" s="85"/>
      <c r="C10" s="85"/>
      <c r="D10" s="85" t="s">
        <v>199</v>
      </c>
      <c r="E10" s="85"/>
      <c r="F10" s="85"/>
      <c r="G10" s="85"/>
    </row>
    <row r="11" spans="1:7" ht="15.75" customHeight="1" x14ac:dyDescent="0.2">
      <c r="A11" s="85" t="s">
        <v>185</v>
      </c>
      <c r="B11" s="85"/>
      <c r="C11" s="85"/>
      <c r="D11" s="85" t="s">
        <v>184</v>
      </c>
      <c r="E11" s="85"/>
      <c r="F11" s="85"/>
      <c r="G11" s="85"/>
    </row>
    <row r="12" spans="1:7" ht="45" customHeight="1" x14ac:dyDescent="0.2">
      <c r="A12" s="43" t="s">
        <v>7</v>
      </c>
      <c r="B12" s="85" t="s">
        <v>154</v>
      </c>
      <c r="C12" s="85"/>
      <c r="D12" s="85"/>
      <c r="E12" s="85"/>
      <c r="F12" s="85"/>
      <c r="G12" s="85"/>
    </row>
    <row r="13" spans="1:7" ht="15.75" customHeight="1" x14ac:dyDescent="0.2">
      <c r="A13" s="44" t="s">
        <v>107</v>
      </c>
      <c r="B13" s="85" t="s">
        <v>108</v>
      </c>
      <c r="C13" s="85"/>
      <c r="D13" s="44" t="s">
        <v>28</v>
      </c>
      <c r="E13" s="44" t="s">
        <v>8</v>
      </c>
      <c r="F13" s="88" t="s">
        <v>109</v>
      </c>
      <c r="G13" s="88"/>
    </row>
    <row r="14" spans="1:7" ht="15" customHeight="1" x14ac:dyDescent="0.2">
      <c r="A14" s="44" t="s">
        <v>9</v>
      </c>
      <c r="B14" s="85" t="s">
        <v>110</v>
      </c>
      <c r="C14" s="85"/>
      <c r="D14" s="44" t="s">
        <v>10</v>
      </c>
      <c r="E14" s="85" t="s">
        <v>111</v>
      </c>
      <c r="F14" s="85"/>
      <c r="G14" s="85"/>
    </row>
    <row r="15" spans="1:7" ht="15.75" customHeight="1" x14ac:dyDescent="0.2">
      <c r="A15" s="44" t="s">
        <v>11</v>
      </c>
      <c r="B15" s="85" t="s">
        <v>112</v>
      </c>
      <c r="C15" s="85"/>
      <c r="D15" s="44" t="s">
        <v>12</v>
      </c>
      <c r="E15" s="86">
        <v>400053</v>
      </c>
      <c r="F15" s="86"/>
      <c r="G15" s="86"/>
    </row>
    <row r="16" spans="1:7" ht="32.1" customHeight="1" x14ac:dyDescent="0.2">
      <c r="A16" s="85" t="s">
        <v>13</v>
      </c>
      <c r="B16" s="85"/>
      <c r="C16" s="44" t="s">
        <v>113</v>
      </c>
      <c r="D16" s="85" t="s">
        <v>14</v>
      </c>
      <c r="E16" s="85"/>
      <c r="F16" s="85" t="s">
        <v>206</v>
      </c>
      <c r="G16" s="85"/>
    </row>
    <row r="17" spans="1:7" ht="15" x14ac:dyDescent="0.2">
      <c r="A17" s="87" t="s">
        <v>114</v>
      </c>
      <c r="B17" s="87"/>
      <c r="C17" s="87"/>
      <c r="D17" s="85" t="s">
        <v>15</v>
      </c>
      <c r="E17" s="85"/>
      <c r="F17" s="85"/>
      <c r="G17" s="85"/>
    </row>
    <row r="18" spans="1:7" ht="15" x14ac:dyDescent="0.2">
      <c r="A18" s="87" t="s">
        <v>115</v>
      </c>
      <c r="B18" s="87"/>
      <c r="C18" s="87"/>
      <c r="D18" s="85" t="s">
        <v>16</v>
      </c>
      <c r="E18" s="85"/>
      <c r="F18" s="85"/>
      <c r="G18" s="85"/>
    </row>
    <row r="19" spans="1:7" ht="15" x14ac:dyDescent="0.2">
      <c r="A19" s="85" t="s">
        <v>17</v>
      </c>
      <c r="B19" s="85"/>
      <c r="C19" s="85"/>
      <c r="D19" s="85" t="s">
        <v>116</v>
      </c>
      <c r="E19" s="85"/>
      <c r="F19" s="85"/>
      <c r="G19" s="85"/>
    </row>
    <row r="20" spans="1:7" ht="15" x14ac:dyDescent="0.2">
      <c r="A20" s="85" t="s">
        <v>18</v>
      </c>
      <c r="B20" s="85"/>
      <c r="C20" s="85"/>
      <c r="D20" s="85" t="s">
        <v>19</v>
      </c>
      <c r="E20" s="85"/>
      <c r="F20" s="85"/>
      <c r="G20" s="85"/>
    </row>
    <row r="21" spans="1:7" ht="15.75" customHeight="1" x14ac:dyDescent="0.2">
      <c r="A21" s="85" t="s">
        <v>20</v>
      </c>
      <c r="B21" s="85"/>
      <c r="C21" s="85"/>
      <c r="D21" s="85" t="s">
        <v>33</v>
      </c>
      <c r="E21" s="85"/>
      <c r="F21" s="85"/>
      <c r="G21" s="85"/>
    </row>
    <row r="22" spans="1:7" ht="15.75" customHeight="1" x14ac:dyDescent="0.2">
      <c r="A22" s="85" t="s">
        <v>21</v>
      </c>
      <c r="B22" s="85"/>
      <c r="C22" s="85"/>
      <c r="D22" s="85" t="s">
        <v>22</v>
      </c>
      <c r="E22" s="85"/>
      <c r="F22" s="85"/>
      <c r="G22" s="85"/>
    </row>
    <row r="23" spans="1:7" ht="15.75" customHeight="1" x14ac:dyDescent="0.2">
      <c r="A23" s="88" t="s">
        <v>23</v>
      </c>
      <c r="B23" s="88"/>
      <c r="C23" s="45" t="s">
        <v>24</v>
      </c>
      <c r="D23" s="45" t="s">
        <v>117</v>
      </c>
      <c r="E23" s="88" t="s">
        <v>25</v>
      </c>
      <c r="F23" s="88"/>
      <c r="G23" s="45" t="s">
        <v>26</v>
      </c>
    </row>
    <row r="24" spans="1:7" ht="15.75" customHeight="1" x14ac:dyDescent="0.2">
      <c r="A24" s="88" t="s">
        <v>27</v>
      </c>
      <c r="B24" s="88"/>
      <c r="C24" s="45" t="s">
        <v>28</v>
      </c>
      <c r="D24" s="45" t="s">
        <v>28</v>
      </c>
      <c r="E24" s="88" t="s">
        <v>28</v>
      </c>
      <c r="F24" s="88"/>
      <c r="G24" s="45" t="s">
        <v>28</v>
      </c>
    </row>
    <row r="25" spans="1:7" ht="30" customHeight="1" x14ac:dyDescent="0.2">
      <c r="A25" s="88" t="s">
        <v>29</v>
      </c>
      <c r="B25" s="88"/>
      <c r="C25" s="77" t="s">
        <v>118</v>
      </c>
      <c r="D25" s="77" t="s">
        <v>119</v>
      </c>
      <c r="E25" s="89" t="s">
        <v>119</v>
      </c>
      <c r="F25" s="89"/>
      <c r="G25" s="77" t="s">
        <v>226</v>
      </c>
    </row>
    <row r="26" spans="1:7" ht="15.75" customHeight="1" x14ac:dyDescent="0.2">
      <c r="A26" s="85" t="s">
        <v>30</v>
      </c>
      <c r="B26" s="85"/>
      <c r="C26" s="85"/>
      <c r="D26" s="85"/>
      <c r="E26" s="85"/>
      <c r="F26" s="85"/>
      <c r="G26" s="85"/>
    </row>
    <row r="27" spans="1:7" ht="15" x14ac:dyDescent="0.2">
      <c r="A27" s="85" t="s">
        <v>120</v>
      </c>
      <c r="B27" s="85"/>
      <c r="C27" s="85"/>
      <c r="D27" s="85"/>
      <c r="E27" s="85"/>
      <c r="F27" s="85"/>
      <c r="G27" s="85"/>
    </row>
    <row r="28" spans="1:7" ht="15.75" customHeight="1" x14ac:dyDescent="0.2">
      <c r="A28" s="85" t="s">
        <v>31</v>
      </c>
      <c r="B28" s="85"/>
      <c r="C28" s="152" t="s">
        <v>224</v>
      </c>
      <c r="D28" s="153"/>
      <c r="E28" s="153"/>
      <c r="F28" s="153"/>
      <c r="G28" s="154"/>
    </row>
    <row r="29" spans="1:7" ht="15.75" customHeight="1" x14ac:dyDescent="0.2">
      <c r="A29" s="85" t="s">
        <v>223</v>
      </c>
      <c r="B29" s="85"/>
      <c r="C29" s="155" t="s">
        <v>225</v>
      </c>
      <c r="D29" s="153"/>
      <c r="E29" s="153"/>
      <c r="F29" s="153"/>
      <c r="G29" s="154"/>
    </row>
    <row r="30" spans="1:7" ht="15.75" customHeight="1" x14ac:dyDescent="0.2">
      <c r="A30" s="148" t="s">
        <v>32</v>
      </c>
      <c r="B30" s="148"/>
      <c r="C30" s="148"/>
      <c r="D30" s="148"/>
      <c r="E30" s="148"/>
      <c r="F30" s="148"/>
      <c r="G30" s="148"/>
    </row>
    <row r="31" spans="1:7" ht="15.75" customHeight="1" x14ac:dyDescent="0.2">
      <c r="A31" s="87" t="s">
        <v>121</v>
      </c>
      <c r="B31" s="87"/>
      <c r="C31" s="87"/>
      <c r="D31" s="87"/>
      <c r="E31" s="87"/>
      <c r="F31" s="87"/>
      <c r="G31" s="87"/>
    </row>
    <row r="32" spans="1:7" ht="15.75" customHeight="1" x14ac:dyDescent="0.2">
      <c r="A32" s="85" t="s">
        <v>34</v>
      </c>
      <c r="B32" s="85"/>
      <c r="C32" s="85"/>
      <c r="D32" s="88" t="s">
        <v>122</v>
      </c>
      <c r="E32" s="88"/>
      <c r="F32" s="175" t="s">
        <v>123</v>
      </c>
      <c r="G32" s="175"/>
    </row>
    <row r="33" spans="1:8" ht="15.75" customHeight="1" x14ac:dyDescent="0.2">
      <c r="A33" s="85" t="s">
        <v>34</v>
      </c>
      <c r="B33" s="85"/>
      <c r="C33" s="85"/>
      <c r="D33" s="144">
        <v>22183.49</v>
      </c>
      <c r="E33" s="144"/>
      <c r="F33" s="144">
        <v>431.69</v>
      </c>
      <c r="G33" s="144"/>
    </row>
    <row r="34" spans="1:8" ht="15.75" customHeight="1" x14ac:dyDescent="0.2">
      <c r="A34" s="85" t="s">
        <v>35</v>
      </c>
      <c r="B34" s="85"/>
      <c r="C34" s="85"/>
      <c r="D34" s="174">
        <v>3</v>
      </c>
      <c r="E34" s="174"/>
      <c r="F34" s="174">
        <v>1</v>
      </c>
      <c r="G34" s="174"/>
    </row>
    <row r="35" spans="1:8" ht="15.75" customHeight="1" x14ac:dyDescent="0.2">
      <c r="A35" s="85" t="s">
        <v>36</v>
      </c>
      <c r="B35" s="85"/>
      <c r="C35" s="85"/>
      <c r="D35" s="174">
        <v>0</v>
      </c>
      <c r="E35" s="174"/>
      <c r="F35" s="174"/>
      <c r="G35" s="174"/>
    </row>
    <row r="36" spans="1:8" ht="15.75" customHeight="1" x14ac:dyDescent="0.2">
      <c r="A36" s="85" t="s">
        <v>124</v>
      </c>
      <c r="B36" s="85"/>
      <c r="C36" s="85"/>
      <c r="D36" s="174">
        <v>3</v>
      </c>
      <c r="E36" s="174"/>
      <c r="F36" s="174">
        <v>1</v>
      </c>
      <c r="G36" s="174"/>
    </row>
    <row r="37" spans="1:8" ht="15.75" customHeight="1" x14ac:dyDescent="0.2">
      <c r="A37" s="85" t="s">
        <v>37</v>
      </c>
      <c r="B37" s="85"/>
      <c r="C37" s="85"/>
      <c r="D37" s="88" t="s">
        <v>125</v>
      </c>
      <c r="E37" s="88"/>
      <c r="F37" s="88"/>
      <c r="G37" s="88"/>
    </row>
    <row r="38" spans="1:8" ht="15.75" customHeight="1" x14ac:dyDescent="0.2">
      <c r="A38" s="85" t="s">
        <v>38</v>
      </c>
      <c r="B38" s="85"/>
      <c r="C38" s="85"/>
      <c r="D38" s="85" t="s">
        <v>126</v>
      </c>
      <c r="E38" s="85"/>
      <c r="F38" s="85"/>
      <c r="G38" s="85"/>
    </row>
    <row r="39" spans="1:8" ht="15.75" customHeight="1" x14ac:dyDescent="0.2">
      <c r="A39" s="148" t="s">
        <v>39</v>
      </c>
      <c r="B39" s="148"/>
      <c r="C39" s="148"/>
      <c r="D39" s="148"/>
      <c r="E39" s="148"/>
      <c r="F39" s="148"/>
      <c r="G39" s="148"/>
    </row>
    <row r="40" spans="1:8" ht="15" customHeight="1" x14ac:dyDescent="0.2">
      <c r="A40" s="43" t="s">
        <v>40</v>
      </c>
      <c r="B40" s="85" t="s">
        <v>186</v>
      </c>
      <c r="C40" s="85"/>
      <c r="D40" s="85"/>
      <c r="E40" s="44" t="s">
        <v>41</v>
      </c>
      <c r="F40" s="143">
        <v>43278</v>
      </c>
      <c r="G40" s="85"/>
    </row>
    <row r="41" spans="1:8" ht="15" customHeight="1" x14ac:dyDescent="0.2">
      <c r="A41" s="43" t="s">
        <v>127</v>
      </c>
      <c r="B41" s="85" t="s">
        <v>128</v>
      </c>
      <c r="C41" s="85"/>
      <c r="D41" s="85"/>
      <c r="E41" s="44" t="s">
        <v>41</v>
      </c>
      <c r="F41" s="143">
        <v>43278</v>
      </c>
      <c r="G41" s="85"/>
    </row>
    <row r="42" spans="1:8" ht="63.6" customHeight="1" x14ac:dyDescent="0.2">
      <c r="A42" s="43" t="s">
        <v>129</v>
      </c>
      <c r="B42" s="85" t="s">
        <v>197</v>
      </c>
      <c r="C42" s="87"/>
      <c r="D42" s="87"/>
      <c r="E42" s="44" t="s">
        <v>41</v>
      </c>
      <c r="F42" s="143">
        <v>43871</v>
      </c>
      <c r="G42" s="85"/>
    </row>
    <row r="43" spans="1:8" ht="30" x14ac:dyDescent="0.2">
      <c r="A43" s="42" t="s">
        <v>155</v>
      </c>
      <c r="B43" s="168" t="s">
        <v>55</v>
      </c>
      <c r="C43" s="169"/>
      <c r="D43" s="170" t="s">
        <v>130</v>
      </c>
      <c r="E43" s="42" t="s">
        <v>41</v>
      </c>
      <c r="F43" s="171" t="s">
        <v>55</v>
      </c>
      <c r="G43" s="172" t="s">
        <v>131</v>
      </c>
    </row>
    <row r="44" spans="1:8" ht="15" x14ac:dyDescent="0.2">
      <c r="A44" s="111" t="s">
        <v>42</v>
      </c>
      <c r="B44" s="113"/>
      <c r="C44" s="54">
        <v>43871</v>
      </c>
      <c r="D44" s="111" t="s">
        <v>43</v>
      </c>
      <c r="E44" s="113"/>
      <c r="F44" s="173">
        <v>45106</v>
      </c>
      <c r="G44" s="113"/>
      <c r="H44" s="72"/>
    </row>
    <row r="45" spans="1:8" ht="14.25" x14ac:dyDescent="0.2">
      <c r="A45" s="96" t="s">
        <v>44</v>
      </c>
      <c r="B45" s="114"/>
      <c r="C45" s="114"/>
      <c r="D45" s="114"/>
      <c r="E45" s="114"/>
      <c r="F45" s="114"/>
      <c r="G45" s="115"/>
    </row>
    <row r="46" spans="1:8" ht="45" x14ac:dyDescent="0.2">
      <c r="A46" s="111" t="s">
        <v>45</v>
      </c>
      <c r="B46" s="113"/>
      <c r="C46" s="1" t="str">
        <f>D37</f>
        <v>81143.15(Slum + Non Slum)</v>
      </c>
      <c r="D46" s="111" t="s">
        <v>132</v>
      </c>
      <c r="E46" s="112"/>
      <c r="F46" s="113"/>
      <c r="G46" s="60">
        <v>235</v>
      </c>
    </row>
    <row r="47" spans="1:8" ht="15" customHeight="1" x14ac:dyDescent="0.2">
      <c r="A47" s="111" t="s">
        <v>46</v>
      </c>
      <c r="B47" s="113"/>
      <c r="C47" s="111" t="s">
        <v>198</v>
      </c>
      <c r="D47" s="112"/>
      <c r="E47" s="112"/>
      <c r="F47" s="112"/>
      <c r="G47" s="113"/>
    </row>
    <row r="48" spans="1:8" ht="14.25" customHeight="1" x14ac:dyDescent="0.2">
      <c r="A48" s="96" t="s">
        <v>157</v>
      </c>
      <c r="B48" s="114"/>
      <c r="C48" s="115"/>
      <c r="D48" s="149" t="s">
        <v>222</v>
      </c>
      <c r="E48" s="150"/>
      <c r="F48" s="150"/>
      <c r="G48" s="151"/>
    </row>
    <row r="49" spans="1:13" ht="15" customHeight="1" x14ac:dyDescent="0.2">
      <c r="A49" s="111" t="s">
        <v>47</v>
      </c>
      <c r="B49" s="112"/>
      <c r="C49" s="113"/>
      <c r="D49" s="111" t="s">
        <v>183</v>
      </c>
      <c r="E49" s="112"/>
      <c r="F49" s="112"/>
      <c r="G49" s="113"/>
    </row>
    <row r="50" spans="1:13" ht="15.75" thickBot="1" x14ac:dyDescent="0.25">
      <c r="A50" s="111" t="s">
        <v>48</v>
      </c>
      <c r="B50" s="112"/>
      <c r="C50" s="112"/>
      <c r="D50" s="112"/>
      <c r="E50" s="112"/>
      <c r="F50" s="112"/>
      <c r="G50" s="113"/>
    </row>
    <row r="51" spans="1:13" s="28" customFormat="1" ht="15.75" customHeight="1" x14ac:dyDescent="0.25">
      <c r="A51" s="61" t="s">
        <v>160</v>
      </c>
      <c r="B51" s="109" t="str">
        <f>D48</f>
        <v>Wing A &amp; B - Basement + Stilt + 1st to 39th Floor</v>
      </c>
      <c r="C51" s="109"/>
      <c r="D51" s="109"/>
      <c r="E51" s="109"/>
      <c r="F51" s="109"/>
      <c r="G51" s="109"/>
      <c r="H51" s="30" t="str">
        <f ca="1">(IF(D55&gt;99%,"All work completed. Please provide OC.",IF(D55&gt;89.8%,"Plinth, RCC, Brick, Plaster, Flooring, Painting work Completed. Finishing work is in process.",IF(D55&lt;94%,(IF(B55=0,"Work not yet Started.",IF(C55=25%,"Piling work in process",IF(C55=50%,"Excavation work in process",IF(C55=100%,"Excavation work Completed. ","0")))&amp;(IF(B56=0%,"",IF(B56=I57,"Footing work is process",IF(B56=I58,"Footing work Completed",IF(B56=I59,"1st Basement Completed",IF(B56=I60,"1st &amp; 2nd Basement Completed",IF(B56=I61,"1st to 3rd Basement Completed",IF(B56=I62,"1st to 4th Basement Completed",IF(B56=I63,"Plinth work is process",IF(B56=I64,"Plinth work completed","0")))))))))))&amp;(IF(B57=(D52+F52+G52),", RCC Slab",IF(B57&gt;0,", RCC upto "&amp;B57&amp;" Slab",""))&amp;(IF(B58=G52,", Brickwork",IF(B58&gt;0,", Brickwork upto "&amp;B58&amp;" Floor",""))&amp;(IF(B59=G52,", Internal Plaster",IF(B59&gt;0,", Internal Plaster upto "&amp;B59&amp;" Floor",""))&amp;(IF(B60=G52,", External Plaster",IF(B60&gt;0,", External Plaster upto "&amp;B60&amp;" Floor",""))&amp;(IF(B61=G52,", Flooring",IF(B61&gt;0,", Flooring upto "&amp;B61&amp;" Floor",""))&amp;(IF(B62=G52,", Painting",IF(B62&gt;0,", Painting upto "&amp;B62&amp;" Floor",""))&amp;(IF(B63&gt;0,", Finishing upto "&amp;B63&amp;" Floor","")&amp;(IF(B57&gt;0.5," Completed",""))))))))))))))</f>
        <v>Excavation work Completed. Plinth work completed, RCC upto 37 Slab, Brickwork upto 33 Floor, Internal Plaster upto 25 Floor, External Plaster upto 15 Floor, Flooring upto 5 Floor Completed</v>
      </c>
      <c r="I51" s="31"/>
    </row>
    <row r="52" spans="1:13" s="28" customFormat="1" ht="15.75" x14ac:dyDescent="0.25">
      <c r="A52" s="62" t="s">
        <v>58</v>
      </c>
      <c r="B52" s="62">
        <v>1</v>
      </c>
      <c r="C52" s="62" t="s">
        <v>60</v>
      </c>
      <c r="D52" s="62">
        <v>1</v>
      </c>
      <c r="E52" s="106" t="s">
        <v>161</v>
      </c>
      <c r="F52" s="106"/>
      <c r="G52" s="62">
        <f ca="1">--TRIM(RIGHT(SUBSTITUTE(LEFT(B51,_xlfn.AGGREGATE(16,6,FIND({0,1,2,3,4,5,6,7,8,9},B51,ROW(INDIRECT("1:"&amp;LEN(B51)))),1))," ",REPT(" ",LEN(B51))),LEN(B51)))</f>
        <v>39</v>
      </c>
      <c r="H52" s="27"/>
      <c r="I52" s="32"/>
    </row>
    <row r="53" spans="1:13" s="28" customFormat="1" ht="48.75" customHeight="1" x14ac:dyDescent="0.25">
      <c r="A53" s="63" t="s">
        <v>162</v>
      </c>
      <c r="B53" s="109" t="str">
        <f ca="1">H51</f>
        <v>Excavation work Completed. Plinth work completed, RCC upto 37 Slab, Brickwork upto 33 Floor, Internal Plaster upto 25 Floor, External Plaster upto 15 Floor, Flooring upto 5 Floor Completed</v>
      </c>
      <c r="C53" s="109"/>
      <c r="D53" s="109"/>
      <c r="E53" s="109"/>
      <c r="F53" s="109"/>
      <c r="G53" s="109"/>
      <c r="H53" s="27" t="s">
        <v>163</v>
      </c>
      <c r="I53" s="32"/>
    </row>
    <row r="54" spans="1:13" s="28" customFormat="1" ht="15.75" customHeight="1" x14ac:dyDescent="0.25">
      <c r="A54" s="64" t="s">
        <v>164</v>
      </c>
      <c r="B54" s="65" t="s">
        <v>165</v>
      </c>
      <c r="C54" s="65" t="s">
        <v>166</v>
      </c>
      <c r="D54" s="107" t="s">
        <v>167</v>
      </c>
      <c r="E54" s="107"/>
      <c r="F54" s="107" t="s">
        <v>168</v>
      </c>
      <c r="G54" s="108"/>
      <c r="H54" s="29" t="s">
        <v>169</v>
      </c>
      <c r="I54" s="33">
        <f ca="1">G52*25%</f>
        <v>9.75</v>
      </c>
    </row>
    <row r="55" spans="1:13" s="28" customFormat="1" ht="15.75" x14ac:dyDescent="0.25">
      <c r="A55" s="64" t="s">
        <v>170</v>
      </c>
      <c r="B55" s="66">
        <f ca="1">I56</f>
        <v>39</v>
      </c>
      <c r="C55" s="67">
        <f ca="1">((100/G52)*B55)/100</f>
        <v>1.0000000000000002</v>
      </c>
      <c r="D55" s="102">
        <f ca="1">(((B56/G52*10)+(40/(D52+F52+G52)*B57)+(7.5/(G52)*B58)+(7.5/(G52)*B59)+(10/G52*B60)+(10/G52*B61)+(5/G52*B62)+(5/G52*B63)+(5/G52*B64))/100)</f>
        <v>0.63282051282051288</v>
      </c>
      <c r="E55" s="102"/>
      <c r="F55" s="102">
        <f ca="1">((((B55/G52)*20)+((B56/G52)*25)+(30/(G52+F52+D52)*B57)+(5/G52*B58)+(5/G52*B59)+(5/G52*B60)+(5/G52*B61)+(0/G52*B62)+(0/G52*B63)+(5/G52*B64))/100)</f>
        <v>0.8274999999999999</v>
      </c>
      <c r="G55" s="103"/>
      <c r="H55" s="29" t="s">
        <v>97</v>
      </c>
      <c r="I55" s="34">
        <f ca="1">G52*50%</f>
        <v>19.5</v>
      </c>
    </row>
    <row r="56" spans="1:13" s="28" customFormat="1" ht="15.75" x14ac:dyDescent="0.25">
      <c r="A56" s="64" t="s">
        <v>90</v>
      </c>
      <c r="B56" s="68">
        <f ca="1">I64</f>
        <v>39</v>
      </c>
      <c r="C56" s="67">
        <f ca="1">((100/G52)*B56)/100</f>
        <v>1.0000000000000002</v>
      </c>
      <c r="D56" s="102"/>
      <c r="E56" s="102"/>
      <c r="F56" s="102"/>
      <c r="G56" s="103"/>
      <c r="H56" s="29" t="s">
        <v>100</v>
      </c>
      <c r="I56" s="34">
        <f ca="1">G52</f>
        <v>39</v>
      </c>
    </row>
    <row r="57" spans="1:13" s="28" customFormat="1" ht="18" customHeight="1" x14ac:dyDescent="0.25">
      <c r="A57" s="74" t="s">
        <v>171</v>
      </c>
      <c r="B57" s="73">
        <v>37</v>
      </c>
      <c r="C57" s="67">
        <f ca="1">((100/(D52+F52+G52))*B57)/100</f>
        <v>0.92500000000000004</v>
      </c>
      <c r="D57" s="102"/>
      <c r="E57" s="102"/>
      <c r="F57" s="102"/>
      <c r="G57" s="103"/>
      <c r="H57" s="29" t="s">
        <v>101</v>
      </c>
      <c r="I57" s="35">
        <f ca="1">(IF(B52&gt;1,(G52/(B52+2)),G52/4))</f>
        <v>9.75</v>
      </c>
      <c r="K57" s="36"/>
    </row>
    <row r="58" spans="1:13" s="28" customFormat="1" ht="18" customHeight="1" x14ac:dyDescent="0.25">
      <c r="A58" s="64" t="s">
        <v>172</v>
      </c>
      <c r="B58" s="66">
        <v>33</v>
      </c>
      <c r="C58" s="67">
        <f ca="1">((100/G52)*B58)/100</f>
        <v>0.84615384615384626</v>
      </c>
      <c r="D58" s="102"/>
      <c r="E58" s="102"/>
      <c r="F58" s="102"/>
      <c r="G58" s="103"/>
      <c r="H58" s="29" t="s">
        <v>102</v>
      </c>
      <c r="I58" s="35">
        <f ca="1">(IF(B52&gt;1,(G52/(B52+2)+I57),G52/4+I57))</f>
        <v>19.5</v>
      </c>
      <c r="K58" s="36"/>
    </row>
    <row r="59" spans="1:13" s="28" customFormat="1" ht="18" customHeight="1" x14ac:dyDescent="0.25">
      <c r="A59" s="64" t="s">
        <v>173</v>
      </c>
      <c r="B59" s="66">
        <v>25</v>
      </c>
      <c r="C59" s="67">
        <f ca="1">((100/G52)*B59)/100</f>
        <v>0.64102564102564097</v>
      </c>
      <c r="D59" s="102"/>
      <c r="E59" s="102"/>
      <c r="F59" s="102"/>
      <c r="G59" s="103"/>
      <c r="H59" s="29" t="s">
        <v>174</v>
      </c>
      <c r="I59" s="35">
        <f>(IF(B52&gt;1,(G52/(B52+2)+I58),0))</f>
        <v>0</v>
      </c>
      <c r="K59" s="37"/>
      <c r="M59" s="36"/>
    </row>
    <row r="60" spans="1:13" s="28" customFormat="1" ht="17.25" customHeight="1" x14ac:dyDescent="0.25">
      <c r="A60" s="74" t="s">
        <v>175</v>
      </c>
      <c r="B60" s="66">
        <v>15</v>
      </c>
      <c r="C60" s="67">
        <f ca="1">((100/(G52))*B60)/100</f>
        <v>0.38461538461538469</v>
      </c>
      <c r="D60" s="102"/>
      <c r="E60" s="102"/>
      <c r="F60" s="102"/>
      <c r="G60" s="103"/>
      <c r="H60" s="29" t="s">
        <v>176</v>
      </c>
      <c r="I60" s="35">
        <f>(IF(B52&gt;2,(G52/(B52+2)+I59),0))</f>
        <v>0</v>
      </c>
      <c r="J60" s="38"/>
      <c r="K60" s="37"/>
    </row>
    <row r="61" spans="1:13" s="28" customFormat="1" ht="15.75" customHeight="1" x14ac:dyDescent="0.25">
      <c r="A61" s="76" t="s">
        <v>177</v>
      </c>
      <c r="B61" s="66">
        <v>5</v>
      </c>
      <c r="C61" s="67">
        <f ca="1">((100/G52)*B61)/100</f>
        <v>0.12820512820512822</v>
      </c>
      <c r="D61" s="102"/>
      <c r="E61" s="102"/>
      <c r="F61" s="102"/>
      <c r="G61" s="103"/>
      <c r="H61" s="29" t="s">
        <v>178</v>
      </c>
      <c r="I61" s="39">
        <f>(IF(B52&gt;3,(G52/(B52+2)+I60),0))</f>
        <v>0</v>
      </c>
      <c r="J61" s="38"/>
      <c r="K61" s="37"/>
    </row>
    <row r="62" spans="1:13" s="28" customFormat="1" ht="15.75" customHeight="1" x14ac:dyDescent="0.25">
      <c r="A62" s="76" t="s">
        <v>179</v>
      </c>
      <c r="B62" s="66">
        <v>0</v>
      </c>
      <c r="C62" s="67">
        <f ca="1">((100/G52)*B62)/100</f>
        <v>0</v>
      </c>
      <c r="D62" s="102"/>
      <c r="E62" s="102"/>
      <c r="F62" s="102"/>
      <c r="G62" s="103"/>
      <c r="H62" s="29" t="s">
        <v>180</v>
      </c>
      <c r="I62" s="35">
        <f>(IF(B52&gt;4,(G52/(B52+2)+I61),0))</f>
        <v>0</v>
      </c>
      <c r="J62" s="36"/>
      <c r="K62" s="37"/>
    </row>
    <row r="63" spans="1:13" s="28" customFormat="1" ht="15.75" x14ac:dyDescent="0.25">
      <c r="A63" s="75" t="s">
        <v>181</v>
      </c>
      <c r="B63" s="66">
        <v>0</v>
      </c>
      <c r="C63" s="67">
        <f ca="1">((100/(G52))*B63)/100</f>
        <v>0</v>
      </c>
      <c r="D63" s="102"/>
      <c r="E63" s="102"/>
      <c r="F63" s="102"/>
      <c r="G63" s="103"/>
      <c r="H63" s="29" t="s">
        <v>103</v>
      </c>
      <c r="I63" s="35">
        <f ca="1">(IF(B52=1,(G52/(B52+3)+I58),IF(B52=0,(G52/4+I58),IF(B52&gt;1,0))))</f>
        <v>29.25</v>
      </c>
      <c r="J63" s="38"/>
      <c r="K63" s="37"/>
    </row>
    <row r="64" spans="1:13" s="28" customFormat="1" ht="16.5" thickBot="1" x14ac:dyDescent="0.3">
      <c r="A64" s="69" t="s">
        <v>182</v>
      </c>
      <c r="B64" s="70">
        <v>0</v>
      </c>
      <c r="C64" s="71">
        <f ca="1">((100/(G52))*B64)/100</f>
        <v>0</v>
      </c>
      <c r="D64" s="104"/>
      <c r="E64" s="104"/>
      <c r="F64" s="104"/>
      <c r="G64" s="105"/>
      <c r="H64" s="40" t="s">
        <v>104</v>
      </c>
      <c r="I64" s="41">
        <f ca="1">(IF(B52&gt;1.5,(G52/(B52+2)+I58+MAX(0,I59-I58)+MAX(0,I60-I59)+MAX(0,I61-I60)+MAX(0,I62-I61)+MAX(0,I63-I62)),IF(B52=1,(G52/(B52+3)+I63),IF(B52=0,G52/4+I63))))</f>
        <v>39</v>
      </c>
      <c r="J64" s="38"/>
      <c r="K64" s="37"/>
    </row>
    <row r="65" spans="1:7" ht="15" x14ac:dyDescent="0.2">
      <c r="A65" s="111" t="s">
        <v>221</v>
      </c>
      <c r="B65" s="112"/>
      <c r="C65" s="112"/>
      <c r="D65" s="112"/>
      <c r="E65" s="112"/>
      <c r="F65" s="112"/>
      <c r="G65" s="113"/>
    </row>
    <row r="66" spans="1:7" ht="15" customHeight="1" x14ac:dyDescent="0.2">
      <c r="A66" s="111" t="s">
        <v>49</v>
      </c>
      <c r="B66" s="112"/>
      <c r="C66" s="112"/>
      <c r="D66" s="112"/>
      <c r="E66" s="112"/>
      <c r="F66" s="112"/>
      <c r="G66" s="113"/>
    </row>
    <row r="67" spans="1:7" ht="15" hidden="1" customHeight="1" x14ac:dyDescent="0.2">
      <c r="A67" s="110" t="s">
        <v>133</v>
      </c>
      <c r="B67" s="97"/>
      <c r="C67" s="97"/>
      <c r="D67" s="97"/>
      <c r="E67" s="97"/>
      <c r="F67" s="97"/>
      <c r="G67" s="98"/>
    </row>
    <row r="68" spans="1:7" ht="15" customHeight="1" x14ac:dyDescent="0.2">
      <c r="A68" s="96" t="s">
        <v>50</v>
      </c>
      <c r="B68" s="114"/>
      <c r="C68" s="114"/>
      <c r="D68" s="114"/>
      <c r="E68" s="114"/>
      <c r="F68" s="114"/>
      <c r="G68" s="115"/>
    </row>
    <row r="69" spans="1:7" ht="15" x14ac:dyDescent="0.2">
      <c r="A69" s="111" t="s">
        <v>134</v>
      </c>
      <c r="B69" s="112"/>
      <c r="C69" s="112"/>
      <c r="D69" s="113"/>
      <c r="E69" s="156">
        <v>20500</v>
      </c>
      <c r="F69" s="157"/>
      <c r="G69" s="158"/>
    </row>
    <row r="70" spans="1:7" ht="14.25" customHeight="1" x14ac:dyDescent="0.2">
      <c r="A70" s="111" t="s">
        <v>135</v>
      </c>
      <c r="B70" s="112"/>
      <c r="C70" s="112"/>
      <c r="D70" s="113"/>
      <c r="E70" s="99" t="s">
        <v>207</v>
      </c>
      <c r="F70" s="100"/>
      <c r="G70" s="101"/>
    </row>
    <row r="71" spans="1:7" ht="15" customHeight="1" x14ac:dyDescent="0.2">
      <c r="A71" s="111" t="s">
        <v>136</v>
      </c>
      <c r="B71" s="112"/>
      <c r="C71" s="112"/>
      <c r="D71" s="113"/>
      <c r="E71" s="99" t="s">
        <v>208</v>
      </c>
      <c r="F71" s="100"/>
      <c r="G71" s="101"/>
    </row>
    <row r="72" spans="1:7" ht="15" customHeight="1" x14ac:dyDescent="0.2">
      <c r="A72" s="111" t="s">
        <v>137</v>
      </c>
      <c r="B72" s="112"/>
      <c r="C72" s="112"/>
      <c r="D72" s="113"/>
      <c r="E72" s="99" t="s">
        <v>209</v>
      </c>
      <c r="F72" s="100"/>
      <c r="G72" s="101"/>
    </row>
    <row r="73" spans="1:7" ht="15" customHeight="1" x14ac:dyDescent="0.2">
      <c r="A73" s="111" t="s">
        <v>138</v>
      </c>
      <c r="B73" s="112"/>
      <c r="C73" s="112"/>
      <c r="D73" s="113"/>
      <c r="E73" s="99" t="s">
        <v>210</v>
      </c>
      <c r="F73" s="100"/>
      <c r="G73" s="101"/>
    </row>
    <row r="74" spans="1:7" ht="15" x14ac:dyDescent="0.2">
      <c r="A74" s="111" t="s">
        <v>51</v>
      </c>
      <c r="B74" s="112"/>
      <c r="C74" s="112"/>
      <c r="D74" s="113"/>
      <c r="E74" s="99" t="s">
        <v>99</v>
      </c>
      <c r="F74" s="100"/>
      <c r="G74" s="101"/>
    </row>
    <row r="75" spans="1:7" ht="14.25" customHeight="1" x14ac:dyDescent="0.2">
      <c r="A75" s="111" t="s">
        <v>139</v>
      </c>
      <c r="B75" s="112"/>
      <c r="C75" s="112"/>
      <c r="D75" s="113"/>
      <c r="E75" s="99" t="s">
        <v>211</v>
      </c>
      <c r="F75" s="100"/>
      <c r="G75" s="101"/>
    </row>
    <row r="76" spans="1:7" s="2" customFormat="1" ht="15.75" customHeight="1" x14ac:dyDescent="0.2">
      <c r="A76" s="96" t="s">
        <v>140</v>
      </c>
      <c r="B76" s="114"/>
      <c r="C76" s="114"/>
      <c r="D76" s="115"/>
      <c r="E76" s="116">
        <v>16400</v>
      </c>
      <c r="F76" s="117"/>
      <c r="G76" s="118"/>
    </row>
    <row r="77" spans="1:7" s="55" customFormat="1" ht="15.75" customHeight="1" x14ac:dyDescent="0.2">
      <c r="A77" s="124" t="s">
        <v>200</v>
      </c>
      <c r="B77" s="125"/>
      <c r="C77" s="125"/>
      <c r="D77" s="125"/>
      <c r="E77" s="125"/>
      <c r="F77" s="125"/>
      <c r="G77" s="126"/>
    </row>
    <row r="78" spans="1:7" s="55" customFormat="1" ht="15.75" customHeight="1" x14ac:dyDescent="0.2">
      <c r="A78" s="56" t="s">
        <v>205</v>
      </c>
      <c r="B78" s="127" t="s">
        <v>201</v>
      </c>
      <c r="C78" s="127"/>
      <c r="D78" s="128" t="s">
        <v>202</v>
      </c>
      <c r="E78" s="128"/>
      <c r="F78" s="129" t="s">
        <v>203</v>
      </c>
      <c r="G78" s="129"/>
    </row>
    <row r="79" spans="1:7" s="55" customFormat="1" ht="15.75" x14ac:dyDescent="0.2">
      <c r="A79" s="58" t="s">
        <v>190</v>
      </c>
      <c r="B79" s="130">
        <f>COUNT(D90:D91)+COUNT(D93:D94)*4+COUNT(D96:D97)*4+COUNT(D99)+COUNT(D102:D103)+COUNT(D105:D108)*4+COUNT(D110:D112)+COUNT(D115:D118)+COUNT(D120:D123)*16+COUNT(D125:D127)*2+COUNT(D130:D133)</f>
        <v>118</v>
      </c>
      <c r="C79" s="130"/>
      <c r="D79" s="135">
        <f>SUM(D90:D91)+SUM(D93:D94)*4+SUM(D96:D97)*4+SUM(D99)+SUM(D102:D103)+SUM(D105:D108)*4+SUM(D110:D112)+SUM(D115:D118)+SUM(D120:D123)*16+SUM(D125:D127)*2+SUM(D130:D133)</f>
        <v>122871.81348</v>
      </c>
      <c r="E79" s="135"/>
      <c r="F79" s="136">
        <f>SUM(F90:F91)+SUM(F93:F94)*4+SUM(F96:F97)*4+SUM(F99)+SUM(F102:F103)+SUM(F105:F108)*4+SUM(F110:F112)+SUM(F115:F118)+SUM(F120:F123)*16+SUM(F125:F127)*2+SUM(F130:F133)</f>
        <v>178164.12954599995</v>
      </c>
      <c r="G79" s="136"/>
    </row>
    <row r="80" spans="1:7" s="55" customFormat="1" ht="15.75" x14ac:dyDescent="0.2">
      <c r="A80" s="58" t="s">
        <v>194</v>
      </c>
      <c r="B80" s="130">
        <f>COUNT(D139:D140)+COUNT(D142:D143)*4+COUNT(D145:D146)*4+COUNT(D149)+COUNT(D151:D152)+COUNT(D154:D157)*4+COUNT(D160:D162)+COUNT(D164:D167)+COUNT(D169:D172)*16+COUNT(D175:D177)*2+COUNT(D180:D182)</f>
        <v>117</v>
      </c>
      <c r="C80" s="130"/>
      <c r="D80" s="135">
        <f>SUM(D139:D140)+SUM(D142:D143)*4+SUM(D145:D146)*4+SUM(D149)+SUM(D151:D152)+SUM(D154:D157)*4+SUM(D160:D162)+SUM(D164:D167)+SUM(D169:D172)*16+SUM(D175:D177)*2+SUM(D180:D182)</f>
        <v>107484.78311999999</v>
      </c>
      <c r="E80" s="135"/>
      <c r="F80" s="136">
        <f>SUM(F139:F140)+SUM(F142:F143)*4+SUM(F145:F146)*4+SUM(F149)+SUM(F151:F152)+SUM(F154:F157)*4+SUM(F160:F162)+SUM(F164:F167)+SUM(F169:F172)*16+SUM(F175:F177)*2+SUM(F180:F182)</f>
        <v>156053.53181339998</v>
      </c>
      <c r="G80" s="136"/>
    </row>
    <row r="81" spans="1:8" s="55" customFormat="1" ht="15.75" x14ac:dyDescent="0.2">
      <c r="A81" s="57" t="s">
        <v>204</v>
      </c>
      <c r="B81" s="137">
        <f>SUM(B79:C80)</f>
        <v>235</v>
      </c>
      <c r="C81" s="138"/>
      <c r="D81" s="139">
        <f>SUM(D79:E80)</f>
        <v>230356.59659999999</v>
      </c>
      <c r="E81" s="140"/>
      <c r="F81" s="141">
        <f>SUM(F79:G80)</f>
        <v>334217.66135939991</v>
      </c>
      <c r="G81" s="142"/>
    </row>
    <row r="82" spans="1:8" s="2" customFormat="1" ht="15.75" customHeight="1" x14ac:dyDescent="0.2">
      <c r="A82" s="119" t="s">
        <v>141</v>
      </c>
      <c r="B82" s="120"/>
      <c r="C82" s="120"/>
      <c r="D82" s="120"/>
      <c r="E82" s="120"/>
      <c r="F82" s="120"/>
      <c r="G82" s="121"/>
    </row>
    <row r="83" spans="1:8" s="2" customFormat="1" ht="14.25" x14ac:dyDescent="0.2">
      <c r="A83" s="122" t="s">
        <v>52</v>
      </c>
      <c r="B83" s="122"/>
      <c r="C83" s="122"/>
      <c r="D83" s="122"/>
      <c r="E83" s="122"/>
      <c r="F83" s="122"/>
      <c r="G83" s="122"/>
    </row>
    <row r="84" spans="1:8" s="2" customFormat="1" ht="33.75" customHeight="1" x14ac:dyDescent="0.2">
      <c r="A84" s="131" t="s">
        <v>53</v>
      </c>
      <c r="B84" s="132"/>
      <c r="C84" s="162" t="s">
        <v>54</v>
      </c>
      <c r="D84" s="163" t="s">
        <v>142</v>
      </c>
      <c r="E84" s="164" t="s">
        <v>143</v>
      </c>
      <c r="F84" s="52" t="s">
        <v>195</v>
      </c>
      <c r="G84" s="166" t="s">
        <v>144</v>
      </c>
    </row>
    <row r="85" spans="1:8" s="2" customFormat="1" ht="15.75" x14ac:dyDescent="0.2">
      <c r="A85" s="133"/>
      <c r="B85" s="134"/>
      <c r="C85" s="162"/>
      <c r="D85" s="163"/>
      <c r="E85" s="165"/>
      <c r="F85" s="53">
        <v>0.45</v>
      </c>
      <c r="G85" s="167"/>
    </row>
    <row r="86" spans="1:8" s="2" customFormat="1" ht="15.75" x14ac:dyDescent="0.2">
      <c r="A86" s="123" t="s">
        <v>145</v>
      </c>
      <c r="B86" s="123"/>
      <c r="C86" s="123"/>
      <c r="D86" s="123"/>
      <c r="E86" s="123"/>
      <c r="F86" s="123"/>
      <c r="G86" s="123"/>
    </row>
    <row r="87" spans="1:8" s="2" customFormat="1" ht="15.75" x14ac:dyDescent="0.2">
      <c r="A87" s="176" t="s">
        <v>229</v>
      </c>
      <c r="B87" s="82"/>
      <c r="C87" s="82"/>
      <c r="D87" s="82"/>
      <c r="E87" s="82"/>
      <c r="F87" s="82"/>
      <c r="G87" s="83"/>
    </row>
    <row r="88" spans="1:8" s="2" customFormat="1" ht="15.75" customHeight="1" x14ac:dyDescent="0.2">
      <c r="A88" s="80" t="s">
        <v>212</v>
      </c>
      <c r="B88" s="81"/>
      <c r="C88" s="81"/>
      <c r="D88" s="81"/>
      <c r="E88" s="81"/>
      <c r="F88" s="81"/>
      <c r="G88" s="84"/>
    </row>
    <row r="89" spans="1:8" s="2" customFormat="1" ht="15.75" customHeight="1" x14ac:dyDescent="0.2">
      <c r="A89" s="80" t="s">
        <v>213</v>
      </c>
      <c r="B89" s="81"/>
      <c r="C89" s="81"/>
      <c r="D89" s="81"/>
      <c r="E89" s="81"/>
      <c r="F89" s="81"/>
      <c r="G89" s="84"/>
    </row>
    <row r="90" spans="1:8" s="2" customFormat="1" ht="15.75" x14ac:dyDescent="0.2">
      <c r="A90" s="78">
        <v>1</v>
      </c>
      <c r="B90" s="79"/>
      <c r="C90" s="19" t="s">
        <v>147</v>
      </c>
      <c r="D90" s="18">
        <f>(113.44)*10.764</f>
        <v>1221.0681599999998</v>
      </c>
      <c r="E90" s="18">
        <v>0</v>
      </c>
      <c r="F90" s="51">
        <f>D90*(($F$85)+1)+(IF(E90&lt;101,E90,IF(E90&lt;201,E90/2,IF(E90&lt;=301,E90/3,E90/4))))</f>
        <v>1770.5488319999997</v>
      </c>
      <c r="G90" s="19" t="s">
        <v>148</v>
      </c>
    </row>
    <row r="91" spans="1:8" s="2" customFormat="1" ht="15.75" x14ac:dyDescent="0.2">
      <c r="A91" s="78">
        <v>4</v>
      </c>
      <c r="B91" s="79"/>
      <c r="C91" s="19" t="s">
        <v>147</v>
      </c>
      <c r="D91" s="18">
        <f>(108.64)*10.764</f>
        <v>1169.4009599999999</v>
      </c>
      <c r="E91" s="18">
        <v>0</v>
      </c>
      <c r="F91" s="51">
        <f>D91*(($F$85)+1)+(IF(E91&lt;101,E91,IF(E91&lt;201,E91/2,IF(E91&lt;=301,E91/3,E91/4))))</f>
        <v>1695.6313919999998</v>
      </c>
      <c r="G91" s="19" t="s">
        <v>148</v>
      </c>
    </row>
    <row r="92" spans="1:8" s="2" customFormat="1" ht="15.75" x14ac:dyDescent="0.2">
      <c r="A92" s="80" t="s">
        <v>214</v>
      </c>
      <c r="B92" s="81"/>
      <c r="C92" s="81"/>
      <c r="D92" s="81"/>
      <c r="E92" s="81"/>
      <c r="F92" s="81"/>
      <c r="G92" s="84"/>
      <c r="H92" s="2">
        <f>(108.78)*10.764</f>
        <v>1170.9079199999999</v>
      </c>
    </row>
    <row r="93" spans="1:8" s="2" customFormat="1" ht="15.75" customHeight="1" x14ac:dyDescent="0.2">
      <c r="A93" s="78">
        <v>1</v>
      </c>
      <c r="B93" s="79"/>
      <c r="C93" s="19" t="s">
        <v>147</v>
      </c>
      <c r="D93" s="18">
        <f>(113.44)*10.764</f>
        <v>1221.0681599999998</v>
      </c>
      <c r="E93" s="18">
        <v>0</v>
      </c>
      <c r="F93" s="51">
        <f>D93*(($F$85)+1)+(IF(E93&lt;101,E93,IF(E93&lt;201,E93/2,IF(E93&lt;=301,E93/3,E93/4))))</f>
        <v>1770.5488319999997</v>
      </c>
      <c r="G93" s="19" t="s">
        <v>148</v>
      </c>
    </row>
    <row r="94" spans="1:8" s="2" customFormat="1" ht="15.75" x14ac:dyDescent="0.2">
      <c r="A94" s="78">
        <v>4</v>
      </c>
      <c r="B94" s="79"/>
      <c r="C94" s="19" t="s">
        <v>147</v>
      </c>
      <c r="D94" s="18">
        <f>(108.64)*10.764</f>
        <v>1169.4009599999999</v>
      </c>
      <c r="E94" s="18">
        <v>0</v>
      </c>
      <c r="F94" s="51">
        <f>D94*(($F$85)+1)+(IF(E94&lt;101,E94,IF(E94&lt;201,E94/2,IF(E94&lt;=301,E94/3,E94/4))))</f>
        <v>1695.6313919999998</v>
      </c>
      <c r="G94" s="19" t="s">
        <v>148</v>
      </c>
    </row>
    <row r="95" spans="1:8" s="2" customFormat="1" ht="15.75" x14ac:dyDescent="0.2">
      <c r="A95" s="80" t="s">
        <v>215</v>
      </c>
      <c r="B95" s="81"/>
      <c r="C95" s="81"/>
      <c r="D95" s="81"/>
      <c r="E95" s="81"/>
      <c r="F95" s="81"/>
      <c r="G95" s="84"/>
    </row>
    <row r="96" spans="1:8" s="2" customFormat="1" ht="15.75" x14ac:dyDescent="0.2">
      <c r="A96" s="78">
        <v>1</v>
      </c>
      <c r="B96" s="79"/>
      <c r="C96" s="19" t="s">
        <v>147</v>
      </c>
      <c r="D96" s="18">
        <f>(113.44)*10.764</f>
        <v>1221.0681599999998</v>
      </c>
      <c r="E96" s="18">
        <v>0</v>
      </c>
      <c r="F96" s="51">
        <f>D96*(($F$85)+1)+(IF(E96&lt;101,E96,IF(E96&lt;201,E96/2,IF(E96&lt;=301,E96/3,E96/4))))</f>
        <v>1770.5488319999997</v>
      </c>
      <c r="G96" s="19" t="s">
        <v>148</v>
      </c>
    </row>
    <row r="97" spans="1:7" s="2" customFormat="1" ht="15.75" x14ac:dyDescent="0.2">
      <c r="A97" s="78">
        <v>4</v>
      </c>
      <c r="B97" s="79"/>
      <c r="C97" s="19" t="s">
        <v>147</v>
      </c>
      <c r="D97" s="18">
        <f>(108.64)*10.764</f>
        <v>1169.4009599999999</v>
      </c>
      <c r="E97" s="18">
        <v>0</v>
      </c>
      <c r="F97" s="51">
        <f>D97*(($F$85)+1)+(IF(E97&lt;101,E97,IF(E97&lt;201,E97/2,IF(E97&lt;=301,E97/3,E97/4))))</f>
        <v>1695.6313919999998</v>
      </c>
      <c r="G97" s="19" t="s">
        <v>148</v>
      </c>
    </row>
    <row r="98" spans="1:7" ht="15.75" x14ac:dyDescent="0.2">
      <c r="A98" s="80" t="s">
        <v>216</v>
      </c>
      <c r="B98" s="81"/>
      <c r="C98" s="81"/>
      <c r="D98" s="81"/>
      <c r="E98" s="81"/>
      <c r="F98" s="81"/>
      <c r="G98" s="84"/>
    </row>
    <row r="99" spans="1:7" ht="15.75" x14ac:dyDescent="0.2">
      <c r="A99" s="78">
        <v>1</v>
      </c>
      <c r="B99" s="79"/>
      <c r="C99" s="19" t="s">
        <v>147</v>
      </c>
      <c r="D99" s="18">
        <f>(113.44)*10.764</f>
        <v>1221.0681599999998</v>
      </c>
      <c r="E99" s="18">
        <v>0</v>
      </c>
      <c r="F99" s="51">
        <f>D99*(($F$85)+1)+(IF(E99&lt;101,E99,IF(E99&lt;201,E99/2,IF(E99&lt;=301,E99/3,E99/4))))</f>
        <v>1770.5488319999997</v>
      </c>
      <c r="G99" s="19" t="s">
        <v>148</v>
      </c>
    </row>
    <row r="100" spans="1:7" ht="15" customHeight="1" x14ac:dyDescent="0.2">
      <c r="A100" s="78">
        <v>4</v>
      </c>
      <c r="B100" s="79"/>
      <c r="C100" s="93" t="s">
        <v>191</v>
      </c>
      <c r="D100" s="94"/>
      <c r="E100" s="94"/>
      <c r="F100" s="94"/>
      <c r="G100" s="95"/>
    </row>
    <row r="101" spans="1:7" ht="15" customHeight="1" x14ac:dyDescent="0.2">
      <c r="A101" s="80" t="s">
        <v>217</v>
      </c>
      <c r="B101" s="81"/>
      <c r="C101" s="81"/>
      <c r="D101" s="81"/>
      <c r="E101" s="81"/>
      <c r="F101" s="81"/>
      <c r="G101" s="84"/>
    </row>
    <row r="102" spans="1:7" ht="15" customHeight="1" x14ac:dyDescent="0.2">
      <c r="A102" s="78">
        <v>1</v>
      </c>
      <c r="B102" s="79"/>
      <c r="C102" s="19" t="s">
        <v>147</v>
      </c>
      <c r="D102" s="18">
        <f>(113.44)*10.764</f>
        <v>1221.0681599999998</v>
      </c>
      <c r="E102" s="18">
        <v>0</v>
      </c>
      <c r="F102" s="51">
        <f>D102*(($F$85)+1)+(IF(E102&lt;101,E102,IF(E102&lt;201,E102/2,IF(E102&lt;=301,E102/3,E102/4))))</f>
        <v>1770.5488319999997</v>
      </c>
      <c r="G102" s="19" t="s">
        <v>148</v>
      </c>
    </row>
    <row r="103" spans="1:7" ht="15" customHeight="1" x14ac:dyDescent="0.2">
      <c r="A103" s="78">
        <v>4</v>
      </c>
      <c r="B103" s="79"/>
      <c r="C103" s="19" t="s">
        <v>147</v>
      </c>
      <c r="D103" s="18">
        <f>(108.64)*10.764</f>
        <v>1169.4009599999999</v>
      </c>
      <c r="E103" s="18">
        <v>0</v>
      </c>
      <c r="F103" s="51">
        <f>D103*(($F$85)+1)+(IF(E103&lt;101,E103,IF(E103&lt;201,E103/2,IF(E103&lt;=301,E103/3,E103/4))))</f>
        <v>1695.6313919999998</v>
      </c>
      <c r="G103" s="19" t="s">
        <v>148</v>
      </c>
    </row>
    <row r="104" spans="1:7" ht="15" customHeight="1" x14ac:dyDescent="0.2">
      <c r="A104" s="80" t="s">
        <v>219</v>
      </c>
      <c r="B104" s="81"/>
      <c r="C104" s="81"/>
      <c r="D104" s="81"/>
      <c r="E104" s="81"/>
      <c r="F104" s="81"/>
      <c r="G104" s="84"/>
    </row>
    <row r="105" spans="1:7" ht="15.75" x14ac:dyDescent="0.2">
      <c r="A105" s="78">
        <v>1</v>
      </c>
      <c r="B105" s="79"/>
      <c r="C105" s="19" t="s">
        <v>147</v>
      </c>
      <c r="D105" s="18">
        <f>(113.44)*10.764</f>
        <v>1221.0681599999998</v>
      </c>
      <c r="E105" s="18">
        <v>0</v>
      </c>
      <c r="F105" s="51">
        <f>D105*(($F$85)+1)+(IF(E105&lt;101,E105,IF(E105&lt;201,E105/2,IF(E105&lt;=301,E105/3,E105/4))))</f>
        <v>1770.5488319999997</v>
      </c>
      <c r="G105" s="19" t="s">
        <v>148</v>
      </c>
    </row>
    <row r="106" spans="1:7" ht="15.75" x14ac:dyDescent="0.2">
      <c r="A106" s="78">
        <v>2</v>
      </c>
      <c r="B106" s="79"/>
      <c r="C106" s="19" t="s">
        <v>150</v>
      </c>
      <c r="D106" s="18">
        <f>(83.73)*10.764</f>
        <v>901.26972000000001</v>
      </c>
      <c r="E106" s="18">
        <v>0</v>
      </c>
      <c r="F106" s="51">
        <f t="shared" ref="F106:F112" si="0">D106*(($F$85)+1)+(IF(E106&lt;101,E106,IF(E106&lt;201,E106/2,IF(E106&lt;=301,E106/3,E106/4))))</f>
        <v>1306.8410939999999</v>
      </c>
      <c r="G106" s="19" t="s">
        <v>148</v>
      </c>
    </row>
    <row r="107" spans="1:7" ht="15.75" x14ac:dyDescent="0.2">
      <c r="A107" s="78">
        <v>3</v>
      </c>
      <c r="B107" s="79"/>
      <c r="C107" s="19" t="s">
        <v>150</v>
      </c>
      <c r="D107" s="18">
        <f>(70.46)*10.764</f>
        <v>758.43143999999984</v>
      </c>
      <c r="E107" s="18">
        <v>0</v>
      </c>
      <c r="F107" s="51">
        <f t="shared" si="0"/>
        <v>1099.7255879999998</v>
      </c>
      <c r="G107" s="19" t="s">
        <v>148</v>
      </c>
    </row>
    <row r="108" spans="1:7" ht="15.75" x14ac:dyDescent="0.2">
      <c r="A108" s="78">
        <v>4</v>
      </c>
      <c r="B108" s="79"/>
      <c r="C108" s="19" t="s">
        <v>147</v>
      </c>
      <c r="D108" s="18">
        <f>(108.64)*10.764</f>
        <v>1169.4009599999999</v>
      </c>
      <c r="E108" s="18">
        <v>0</v>
      </c>
      <c r="F108" s="51">
        <f t="shared" si="0"/>
        <v>1695.6313919999998</v>
      </c>
      <c r="G108" s="19" t="s">
        <v>148</v>
      </c>
    </row>
    <row r="109" spans="1:7" ht="15.75" x14ac:dyDescent="0.2">
      <c r="A109" s="80" t="s">
        <v>151</v>
      </c>
      <c r="B109" s="81"/>
      <c r="C109" s="81"/>
      <c r="D109" s="81"/>
      <c r="E109" s="81"/>
      <c r="F109" s="81"/>
      <c r="G109" s="84"/>
    </row>
    <row r="110" spans="1:7" ht="15.75" x14ac:dyDescent="0.2">
      <c r="A110" s="78">
        <v>1</v>
      </c>
      <c r="B110" s="79"/>
      <c r="C110" s="19" t="s">
        <v>147</v>
      </c>
      <c r="D110" s="18">
        <f>(113.44)*10.764</f>
        <v>1221.0681599999998</v>
      </c>
      <c r="E110" s="18">
        <v>0</v>
      </c>
      <c r="F110" s="51">
        <f t="shared" si="0"/>
        <v>1770.5488319999997</v>
      </c>
      <c r="G110" s="19" t="s">
        <v>148</v>
      </c>
    </row>
    <row r="111" spans="1:7" ht="15.75" x14ac:dyDescent="0.2">
      <c r="A111" s="78">
        <v>2</v>
      </c>
      <c r="B111" s="79"/>
      <c r="C111" s="19" t="s">
        <v>150</v>
      </c>
      <c r="D111" s="18">
        <f>(83.73)*10.764</f>
        <v>901.26972000000001</v>
      </c>
      <c r="E111" s="18">
        <v>0</v>
      </c>
      <c r="F111" s="51">
        <f t="shared" si="0"/>
        <v>1306.8410939999999</v>
      </c>
      <c r="G111" s="19" t="s">
        <v>148</v>
      </c>
    </row>
    <row r="112" spans="1:7" ht="15.75" x14ac:dyDescent="0.2">
      <c r="A112" s="78">
        <v>3</v>
      </c>
      <c r="B112" s="79"/>
      <c r="C112" s="19" t="s">
        <v>150</v>
      </c>
      <c r="D112" s="18">
        <f>(70.46)*10.764</f>
        <v>758.43143999999984</v>
      </c>
      <c r="E112" s="18">
        <v>0</v>
      </c>
      <c r="F112" s="51">
        <f t="shared" si="0"/>
        <v>1099.7255879999998</v>
      </c>
      <c r="G112" s="19" t="s">
        <v>148</v>
      </c>
    </row>
    <row r="113" spans="1:9" ht="15.75" x14ac:dyDescent="0.2">
      <c r="A113" s="78">
        <v>4</v>
      </c>
      <c r="B113" s="79"/>
      <c r="C113" s="93" t="s">
        <v>191</v>
      </c>
      <c r="D113" s="94"/>
      <c r="E113" s="94"/>
      <c r="F113" s="94"/>
      <c r="G113" s="95"/>
    </row>
    <row r="114" spans="1:9" ht="15.75" x14ac:dyDescent="0.2">
      <c r="A114" s="80" t="s">
        <v>152</v>
      </c>
      <c r="B114" s="81"/>
      <c r="C114" s="81"/>
      <c r="D114" s="81"/>
      <c r="E114" s="81"/>
      <c r="F114" s="81"/>
      <c r="G114" s="84"/>
    </row>
    <row r="115" spans="1:9" ht="15.75" x14ac:dyDescent="0.2">
      <c r="A115" s="78">
        <v>1</v>
      </c>
      <c r="B115" s="79"/>
      <c r="C115" s="19" t="s">
        <v>147</v>
      </c>
      <c r="D115" s="18">
        <f>(113.44)*10.764</f>
        <v>1221.0681599999998</v>
      </c>
      <c r="E115" s="18">
        <v>0</v>
      </c>
      <c r="F115" s="51">
        <f t="shared" ref="F115:F127" si="1">D115*(($F$85)+1)+(IF(E115&lt;101,E115,IF(E115&lt;201,E115/2,IF(E115&lt;=301,E115/3,E115/4))))</f>
        <v>1770.5488319999997</v>
      </c>
      <c r="G115" s="19" t="s">
        <v>148</v>
      </c>
      <c r="H115">
        <v>30500000</v>
      </c>
      <c r="I115">
        <f>H115/F115</f>
        <v>17226.296981341886</v>
      </c>
    </row>
    <row r="116" spans="1:9" ht="15.75" x14ac:dyDescent="0.2">
      <c r="A116" s="78">
        <v>2</v>
      </c>
      <c r="B116" s="79"/>
      <c r="C116" s="19" t="s">
        <v>150</v>
      </c>
      <c r="D116" s="18">
        <f>(83.73)*10.764</f>
        <v>901.26972000000001</v>
      </c>
      <c r="E116" s="18">
        <v>0</v>
      </c>
      <c r="F116" s="51">
        <f t="shared" si="1"/>
        <v>1306.8410939999999</v>
      </c>
      <c r="G116" s="19" t="s">
        <v>148</v>
      </c>
      <c r="H116">
        <v>22500000</v>
      </c>
      <c r="I116">
        <f>H116/F116</f>
        <v>17217.089440562086</v>
      </c>
    </row>
    <row r="117" spans="1:9" ht="15.75" x14ac:dyDescent="0.2">
      <c r="A117" s="78">
        <v>3</v>
      </c>
      <c r="B117" s="79"/>
      <c r="C117" s="19" t="s">
        <v>150</v>
      </c>
      <c r="D117" s="18">
        <f>(70.46)*10.764</f>
        <v>758.43143999999984</v>
      </c>
      <c r="E117" s="18">
        <v>0</v>
      </c>
      <c r="F117" s="51">
        <f t="shared" si="1"/>
        <v>1099.7255879999998</v>
      </c>
      <c r="G117" s="19" t="s">
        <v>148</v>
      </c>
      <c r="H117">
        <v>19000000</v>
      </c>
      <c r="I117">
        <f>H117/F117</f>
        <v>17277.037296689694</v>
      </c>
    </row>
    <row r="118" spans="1:9" ht="15.75" x14ac:dyDescent="0.2">
      <c r="A118" s="78">
        <v>4</v>
      </c>
      <c r="B118" s="79"/>
      <c r="C118" s="19" t="s">
        <v>147</v>
      </c>
      <c r="D118" s="18">
        <f>(108.64)*10.764</f>
        <v>1169.4009599999999</v>
      </c>
      <c r="E118" s="18">
        <v>0</v>
      </c>
      <c r="F118" s="51">
        <f t="shared" si="1"/>
        <v>1695.6313919999998</v>
      </c>
      <c r="G118" s="19" t="s">
        <v>148</v>
      </c>
    </row>
    <row r="119" spans="1:9" ht="15.75" x14ac:dyDescent="0.2">
      <c r="A119" s="80" t="s">
        <v>187</v>
      </c>
      <c r="B119" s="81"/>
      <c r="C119" s="81"/>
      <c r="D119" s="81"/>
      <c r="E119" s="81"/>
      <c r="F119" s="81"/>
      <c r="G119" s="84"/>
    </row>
    <row r="120" spans="1:9" ht="15.75" x14ac:dyDescent="0.2">
      <c r="A120" s="78">
        <v>1</v>
      </c>
      <c r="B120" s="79"/>
      <c r="C120" s="19" t="s">
        <v>147</v>
      </c>
      <c r="D120" s="18">
        <f>(113.44)*10.764</f>
        <v>1221.0681599999998</v>
      </c>
      <c r="E120" s="18">
        <v>0</v>
      </c>
      <c r="F120" s="51">
        <f t="shared" si="1"/>
        <v>1770.5488319999997</v>
      </c>
      <c r="G120" s="19" t="s">
        <v>148</v>
      </c>
    </row>
    <row r="121" spans="1:9" ht="15.75" x14ac:dyDescent="0.2">
      <c r="A121" s="78">
        <v>2</v>
      </c>
      <c r="B121" s="79"/>
      <c r="C121" s="19" t="s">
        <v>150</v>
      </c>
      <c r="D121" s="18">
        <f>(83.73)*10.764</f>
        <v>901.26972000000001</v>
      </c>
      <c r="E121" s="18">
        <v>0</v>
      </c>
      <c r="F121" s="51">
        <f t="shared" si="1"/>
        <v>1306.8410939999999</v>
      </c>
      <c r="G121" s="19" t="s">
        <v>148</v>
      </c>
    </row>
    <row r="122" spans="1:9" ht="15.75" x14ac:dyDescent="0.2">
      <c r="A122" s="78">
        <v>3</v>
      </c>
      <c r="B122" s="79"/>
      <c r="C122" s="19" t="s">
        <v>150</v>
      </c>
      <c r="D122" s="18">
        <f>(70.46)*10.764</f>
        <v>758.43143999999984</v>
      </c>
      <c r="E122" s="18">
        <v>0</v>
      </c>
      <c r="F122" s="51">
        <f t="shared" si="1"/>
        <v>1099.7255879999998</v>
      </c>
      <c r="G122" s="19" t="s">
        <v>148</v>
      </c>
    </row>
    <row r="123" spans="1:9" ht="15.75" x14ac:dyDescent="0.2">
      <c r="A123" s="78">
        <v>4</v>
      </c>
      <c r="B123" s="79"/>
      <c r="C123" s="19" t="s">
        <v>147</v>
      </c>
      <c r="D123" s="18">
        <f>(108.64)*10.764</f>
        <v>1169.4009599999999</v>
      </c>
      <c r="E123" s="18">
        <v>0</v>
      </c>
      <c r="F123" s="51">
        <f t="shared" si="1"/>
        <v>1695.6313919999998</v>
      </c>
      <c r="G123" s="19" t="s">
        <v>148</v>
      </c>
    </row>
    <row r="124" spans="1:9" ht="15.75" x14ac:dyDescent="0.2">
      <c r="A124" s="80" t="s">
        <v>188</v>
      </c>
      <c r="B124" s="81"/>
      <c r="C124" s="81"/>
      <c r="D124" s="81"/>
      <c r="E124" s="81"/>
      <c r="F124" s="81"/>
      <c r="G124" s="84"/>
    </row>
    <row r="125" spans="1:9" ht="15.75" x14ac:dyDescent="0.2">
      <c r="A125" s="78">
        <v>1</v>
      </c>
      <c r="B125" s="79"/>
      <c r="C125" s="19" t="s">
        <v>147</v>
      </c>
      <c r="D125" s="18">
        <f>(113.44)*10.764</f>
        <v>1221.0681599999998</v>
      </c>
      <c r="E125" s="18">
        <v>0</v>
      </c>
      <c r="F125" s="51">
        <f t="shared" si="1"/>
        <v>1770.5488319999997</v>
      </c>
      <c r="G125" s="19" t="s">
        <v>148</v>
      </c>
    </row>
    <row r="126" spans="1:9" ht="15.75" x14ac:dyDescent="0.2">
      <c r="A126" s="78">
        <v>2</v>
      </c>
      <c r="B126" s="79"/>
      <c r="C126" s="19" t="s">
        <v>150</v>
      </c>
      <c r="D126" s="18">
        <f>(83.73)*10.764</f>
        <v>901.26972000000001</v>
      </c>
      <c r="E126" s="18">
        <v>0</v>
      </c>
      <c r="F126" s="51">
        <f t="shared" si="1"/>
        <v>1306.8410939999999</v>
      </c>
      <c r="G126" s="19" t="s">
        <v>148</v>
      </c>
    </row>
    <row r="127" spans="1:9" ht="15.75" x14ac:dyDescent="0.2">
      <c r="A127" s="78">
        <v>3</v>
      </c>
      <c r="B127" s="79"/>
      <c r="C127" s="19" t="s">
        <v>150</v>
      </c>
      <c r="D127" s="18">
        <f>(70.46)*10.764</f>
        <v>758.43143999999984</v>
      </c>
      <c r="E127" s="18">
        <v>0</v>
      </c>
      <c r="F127" s="51">
        <f t="shared" si="1"/>
        <v>1099.7255879999998</v>
      </c>
      <c r="G127" s="19" t="s">
        <v>148</v>
      </c>
    </row>
    <row r="128" spans="1:9" ht="15.75" x14ac:dyDescent="0.2">
      <c r="A128" s="78">
        <v>4</v>
      </c>
      <c r="B128" s="79"/>
      <c r="C128" s="93" t="s">
        <v>191</v>
      </c>
      <c r="D128" s="94"/>
      <c r="E128" s="94"/>
      <c r="F128" s="94"/>
      <c r="G128" s="95"/>
    </row>
    <row r="129" spans="1:8" ht="15.75" x14ac:dyDescent="0.2">
      <c r="A129" s="80" t="s">
        <v>189</v>
      </c>
      <c r="B129" s="81"/>
      <c r="C129" s="81"/>
      <c r="D129" s="81"/>
      <c r="E129" s="81"/>
      <c r="F129" s="81"/>
      <c r="G129" s="84"/>
    </row>
    <row r="130" spans="1:8" ht="15.75" x14ac:dyDescent="0.2">
      <c r="A130" s="78">
        <v>1</v>
      </c>
      <c r="B130" s="79"/>
      <c r="C130" s="19" t="s">
        <v>147</v>
      </c>
      <c r="D130" s="18">
        <f>(113.44)*10.764</f>
        <v>1221.0681599999998</v>
      </c>
      <c r="E130" s="18">
        <v>0</v>
      </c>
      <c r="F130" s="51">
        <f t="shared" ref="F130:F133" si="2">D130*(($F$85)+1)+(IF(E130&lt;101,E130,IF(E130&lt;201,E130/2,IF(E130&lt;=301,E130/3,E130/4))))</f>
        <v>1770.5488319999997</v>
      </c>
      <c r="G130" s="19" t="s">
        <v>148</v>
      </c>
    </row>
    <row r="131" spans="1:8" ht="15.75" x14ac:dyDescent="0.2">
      <c r="A131" s="78">
        <v>2</v>
      </c>
      <c r="B131" s="79"/>
      <c r="C131" s="19" t="s">
        <v>150</v>
      </c>
      <c r="D131" s="18">
        <f>(83.73)*10.764</f>
        <v>901.26972000000001</v>
      </c>
      <c r="E131" s="18">
        <v>0</v>
      </c>
      <c r="F131" s="51">
        <f t="shared" si="2"/>
        <v>1306.8410939999999</v>
      </c>
      <c r="G131" s="19" t="s">
        <v>148</v>
      </c>
    </row>
    <row r="132" spans="1:8" ht="15.75" x14ac:dyDescent="0.2">
      <c r="A132" s="78">
        <v>3</v>
      </c>
      <c r="B132" s="79"/>
      <c r="C132" s="19" t="s">
        <v>150</v>
      </c>
      <c r="D132" s="18">
        <f>(70.46)*10.764</f>
        <v>758.43143999999984</v>
      </c>
      <c r="E132" s="18">
        <v>0</v>
      </c>
      <c r="F132" s="51">
        <f t="shared" si="2"/>
        <v>1099.7255879999998</v>
      </c>
      <c r="G132" s="19" t="s">
        <v>148</v>
      </c>
    </row>
    <row r="133" spans="1:8" ht="15.75" x14ac:dyDescent="0.2">
      <c r="A133" s="78">
        <v>4</v>
      </c>
      <c r="B133" s="79"/>
      <c r="C133" s="19" t="s">
        <v>147</v>
      </c>
      <c r="D133" s="18">
        <f>(108.64)*10.764</f>
        <v>1169.4009599999999</v>
      </c>
      <c r="E133" s="18">
        <v>0</v>
      </c>
      <c r="F133" s="51">
        <f t="shared" si="2"/>
        <v>1695.6313919999998</v>
      </c>
      <c r="G133" s="19" t="s">
        <v>148</v>
      </c>
    </row>
    <row r="134" spans="1:8" ht="15.75" x14ac:dyDescent="0.2">
      <c r="A134" s="80" t="s">
        <v>153</v>
      </c>
      <c r="B134" s="81"/>
      <c r="C134" s="81"/>
      <c r="D134" s="81"/>
      <c r="E134" s="81"/>
      <c r="F134" s="81"/>
      <c r="G134" s="84"/>
    </row>
    <row r="135" spans="1:8" s="2" customFormat="1" ht="15.75" x14ac:dyDescent="0.2">
      <c r="A135" s="80" t="s">
        <v>145</v>
      </c>
      <c r="B135" s="81"/>
      <c r="C135" s="81"/>
      <c r="D135" s="81"/>
      <c r="E135" s="81"/>
      <c r="F135" s="81"/>
      <c r="G135" s="84"/>
    </row>
    <row r="136" spans="1:8" s="2" customFormat="1" ht="15.75" x14ac:dyDescent="0.2">
      <c r="A136" s="80" t="s">
        <v>228</v>
      </c>
      <c r="B136" s="81"/>
      <c r="C136" s="81"/>
      <c r="D136" s="81"/>
      <c r="E136" s="81"/>
      <c r="F136" s="81"/>
      <c r="G136" s="84"/>
    </row>
    <row r="137" spans="1:8" s="2" customFormat="1" ht="15.75" customHeight="1" x14ac:dyDescent="0.2">
      <c r="A137" s="80" t="s">
        <v>146</v>
      </c>
      <c r="B137" s="81"/>
      <c r="C137" s="81"/>
      <c r="D137" s="81"/>
      <c r="E137" s="81"/>
      <c r="F137" s="81"/>
      <c r="G137" s="84"/>
    </row>
    <row r="138" spans="1:8" s="2" customFormat="1" ht="15.75" customHeight="1" x14ac:dyDescent="0.2">
      <c r="A138" s="80" t="s">
        <v>213</v>
      </c>
      <c r="B138" s="81"/>
      <c r="C138" s="81"/>
      <c r="D138" s="81"/>
      <c r="E138" s="81"/>
      <c r="F138" s="81"/>
      <c r="G138" s="84"/>
    </row>
    <row r="139" spans="1:8" s="2" customFormat="1" ht="15.75" x14ac:dyDescent="0.2">
      <c r="A139" s="78">
        <v>1</v>
      </c>
      <c r="B139" s="79"/>
      <c r="C139" s="19" t="s">
        <v>147</v>
      </c>
      <c r="D139" s="18">
        <f>(105.11)*10.764</f>
        <v>1131.4040399999999</v>
      </c>
      <c r="E139" s="18">
        <v>0</v>
      </c>
      <c r="F139" s="51">
        <f t="shared" ref="F139:F146" si="3">D139*(($F$85)+1)+(IF(E139&lt;101,E139,IF(E139&lt;201,E139/2,IF(E139&lt;=301,E139/3,E139/4))))</f>
        <v>1640.5358579999997</v>
      </c>
      <c r="G139" s="19" t="s">
        <v>148</v>
      </c>
    </row>
    <row r="140" spans="1:8" s="2" customFormat="1" ht="15.75" x14ac:dyDescent="0.2">
      <c r="A140" s="78">
        <v>4</v>
      </c>
      <c r="B140" s="79"/>
      <c r="C140" s="19" t="s">
        <v>147</v>
      </c>
      <c r="D140" s="18">
        <f>(113.73)*10.764</f>
        <v>1224.1897200000001</v>
      </c>
      <c r="E140" s="18">
        <v>0</v>
      </c>
      <c r="F140" s="51">
        <f t="shared" si="3"/>
        <v>1775.075094</v>
      </c>
      <c r="G140" s="19" t="s">
        <v>148</v>
      </c>
    </row>
    <row r="141" spans="1:8" s="2" customFormat="1" ht="15.75" x14ac:dyDescent="0.2">
      <c r="A141" s="80" t="s">
        <v>214</v>
      </c>
      <c r="B141" s="81"/>
      <c r="C141" s="81"/>
      <c r="D141" s="81"/>
      <c r="E141" s="81"/>
      <c r="F141" s="81"/>
      <c r="G141" s="84"/>
      <c r="H141" s="2">
        <f>(108.78)*10.764</f>
        <v>1170.9079199999999</v>
      </c>
    </row>
    <row r="142" spans="1:8" s="2" customFormat="1" ht="15.75" customHeight="1" x14ac:dyDescent="0.2">
      <c r="A142" s="78">
        <v>1</v>
      </c>
      <c r="B142" s="79"/>
      <c r="C142" s="19" t="s">
        <v>147</v>
      </c>
      <c r="D142" s="18">
        <f>(105.11)*10.764</f>
        <v>1131.4040399999999</v>
      </c>
      <c r="E142" s="18">
        <v>0</v>
      </c>
      <c r="F142" s="51">
        <f t="shared" si="3"/>
        <v>1640.5358579999997</v>
      </c>
      <c r="G142" s="19" t="s">
        <v>148</v>
      </c>
    </row>
    <row r="143" spans="1:8" s="2" customFormat="1" ht="15.75" x14ac:dyDescent="0.2">
      <c r="A143" s="78">
        <v>4</v>
      </c>
      <c r="B143" s="79"/>
      <c r="C143" s="19" t="s">
        <v>147</v>
      </c>
      <c r="D143" s="18">
        <f>(113.73)*10.764</f>
        <v>1224.1897200000001</v>
      </c>
      <c r="E143" s="18">
        <v>0</v>
      </c>
      <c r="F143" s="51">
        <f t="shared" si="3"/>
        <v>1775.075094</v>
      </c>
      <c r="G143" s="19" t="s">
        <v>148</v>
      </c>
    </row>
    <row r="144" spans="1:8" s="2" customFormat="1" ht="15.75" x14ac:dyDescent="0.2">
      <c r="A144" s="80" t="s">
        <v>215</v>
      </c>
      <c r="B144" s="81"/>
      <c r="C144" s="81"/>
      <c r="D144" s="81"/>
      <c r="E144" s="81"/>
      <c r="F144" s="81"/>
      <c r="G144" s="84"/>
    </row>
    <row r="145" spans="1:7" s="2" customFormat="1" ht="15.75" x14ac:dyDescent="0.2">
      <c r="A145" s="78">
        <v>1</v>
      </c>
      <c r="B145" s="79"/>
      <c r="C145" s="19" t="s">
        <v>147</v>
      </c>
      <c r="D145" s="18">
        <f>(105.11)*10.764</f>
        <v>1131.4040399999999</v>
      </c>
      <c r="E145" s="18">
        <v>0</v>
      </c>
      <c r="F145" s="51">
        <f t="shared" si="3"/>
        <v>1640.5358579999997</v>
      </c>
      <c r="G145" s="19" t="s">
        <v>148</v>
      </c>
    </row>
    <row r="146" spans="1:7" s="2" customFormat="1" ht="15.75" x14ac:dyDescent="0.2">
      <c r="A146" s="78">
        <v>4</v>
      </c>
      <c r="B146" s="79"/>
      <c r="C146" s="19" t="s">
        <v>147</v>
      </c>
      <c r="D146" s="18">
        <f>(113.73)*10.764</f>
        <v>1224.1897200000001</v>
      </c>
      <c r="E146" s="18">
        <v>0</v>
      </c>
      <c r="F146" s="51">
        <f t="shared" si="3"/>
        <v>1775.075094</v>
      </c>
      <c r="G146" s="19" t="s">
        <v>148</v>
      </c>
    </row>
    <row r="147" spans="1:7" ht="15.75" x14ac:dyDescent="0.2">
      <c r="A147" s="80" t="s">
        <v>218</v>
      </c>
      <c r="B147" s="81"/>
      <c r="C147" s="81"/>
      <c r="D147" s="81"/>
      <c r="E147" s="81"/>
      <c r="F147" s="81"/>
      <c r="G147" s="84"/>
    </row>
    <row r="148" spans="1:7" ht="15.75" x14ac:dyDescent="0.2">
      <c r="A148" s="78">
        <v>1</v>
      </c>
      <c r="B148" s="79"/>
      <c r="C148" s="159" t="s">
        <v>191</v>
      </c>
      <c r="D148" s="160"/>
      <c r="E148" s="160"/>
      <c r="F148" s="160"/>
      <c r="G148" s="161"/>
    </row>
    <row r="149" spans="1:7" ht="15" customHeight="1" x14ac:dyDescent="0.2">
      <c r="A149" s="78">
        <v>4</v>
      </c>
      <c r="B149" s="79"/>
      <c r="C149" s="48" t="s">
        <v>147</v>
      </c>
      <c r="D149" s="50">
        <f>(105.11)*10.764</f>
        <v>1131.4040399999999</v>
      </c>
      <c r="E149" s="50">
        <v>0</v>
      </c>
      <c r="F149" s="51">
        <f t="shared" ref="F149:F157" si="4">D149*(($F$85)+1)+(IF(E149&lt;101,E149,IF(E149&lt;201,E149/2,IF(E149&lt;=301,E149/3,E149/4))))</f>
        <v>1640.5358579999997</v>
      </c>
      <c r="G149" s="48" t="s">
        <v>148</v>
      </c>
    </row>
    <row r="150" spans="1:7" ht="15" customHeight="1" x14ac:dyDescent="0.2">
      <c r="A150" s="80" t="s">
        <v>217</v>
      </c>
      <c r="B150" s="81"/>
      <c r="C150" s="82"/>
      <c r="D150" s="82"/>
      <c r="E150" s="82"/>
      <c r="F150" s="82"/>
      <c r="G150" s="83"/>
    </row>
    <row r="151" spans="1:7" ht="15" customHeight="1" x14ac:dyDescent="0.2">
      <c r="A151" s="78">
        <v>1</v>
      </c>
      <c r="B151" s="79"/>
      <c r="C151" s="19" t="s">
        <v>147</v>
      </c>
      <c r="D151" s="18">
        <f>(105.11)*10.764</f>
        <v>1131.4040399999999</v>
      </c>
      <c r="E151" s="18">
        <v>0</v>
      </c>
      <c r="F151" s="51">
        <f t="shared" si="4"/>
        <v>1640.5358579999997</v>
      </c>
      <c r="G151" s="19" t="s">
        <v>148</v>
      </c>
    </row>
    <row r="152" spans="1:7" ht="15" customHeight="1" x14ac:dyDescent="0.2">
      <c r="A152" s="78">
        <v>4</v>
      </c>
      <c r="B152" s="79"/>
      <c r="C152" s="19" t="s">
        <v>147</v>
      </c>
      <c r="D152" s="18">
        <f>(113.73)*10.764</f>
        <v>1224.1897200000001</v>
      </c>
      <c r="E152" s="18">
        <v>0</v>
      </c>
      <c r="F152" s="51">
        <f t="shared" si="4"/>
        <v>1775.075094</v>
      </c>
      <c r="G152" s="19" t="s">
        <v>148</v>
      </c>
    </row>
    <row r="153" spans="1:7" ht="15" customHeight="1" x14ac:dyDescent="0.2">
      <c r="A153" s="80" t="s">
        <v>149</v>
      </c>
      <c r="B153" s="81"/>
      <c r="C153" s="81"/>
      <c r="D153" s="81"/>
      <c r="E153" s="81"/>
      <c r="F153" s="81"/>
      <c r="G153" s="84"/>
    </row>
    <row r="154" spans="1:7" ht="15.75" x14ac:dyDescent="0.2">
      <c r="A154" s="78">
        <v>1</v>
      </c>
      <c r="B154" s="79"/>
      <c r="C154" s="19" t="s">
        <v>147</v>
      </c>
      <c r="D154" s="18">
        <f>(105.11)*10.764</f>
        <v>1131.4040399999999</v>
      </c>
      <c r="E154" s="18">
        <v>0</v>
      </c>
      <c r="F154" s="51">
        <f t="shared" si="4"/>
        <v>1640.5358579999997</v>
      </c>
      <c r="G154" s="19" t="s">
        <v>148</v>
      </c>
    </row>
    <row r="155" spans="1:7" ht="15.75" x14ac:dyDescent="0.2">
      <c r="A155" s="78">
        <v>2</v>
      </c>
      <c r="B155" s="79"/>
      <c r="C155" s="19" t="s">
        <v>150</v>
      </c>
      <c r="D155" s="18">
        <f>(70.57)*10.764</f>
        <v>759.61547999999993</v>
      </c>
      <c r="E155" s="18">
        <v>0</v>
      </c>
      <c r="F155" s="51">
        <f t="shared" si="4"/>
        <v>1101.4424459999998</v>
      </c>
      <c r="G155" s="19" t="s">
        <v>148</v>
      </c>
    </row>
    <row r="156" spans="1:7" ht="15.75" x14ac:dyDescent="0.2">
      <c r="A156" s="78">
        <v>3</v>
      </c>
      <c r="B156" s="79"/>
      <c r="C156" s="19" t="s">
        <v>150</v>
      </c>
      <c r="D156" s="18">
        <f>(83.73)*10.764</f>
        <v>901.26972000000001</v>
      </c>
      <c r="E156" s="18">
        <v>0</v>
      </c>
      <c r="F156" s="51">
        <f t="shared" si="4"/>
        <v>1306.8410939999999</v>
      </c>
      <c r="G156" s="19" t="s">
        <v>148</v>
      </c>
    </row>
    <row r="157" spans="1:7" ht="15.75" x14ac:dyDescent="0.2">
      <c r="A157" s="78">
        <v>4</v>
      </c>
      <c r="B157" s="79"/>
      <c r="C157" s="19" t="s">
        <v>147</v>
      </c>
      <c r="D157" s="18">
        <f>(113.73)*10.764</f>
        <v>1224.1897200000001</v>
      </c>
      <c r="E157" s="18">
        <v>0</v>
      </c>
      <c r="F157" s="51">
        <f t="shared" si="4"/>
        <v>1775.075094</v>
      </c>
      <c r="G157" s="19" t="s">
        <v>148</v>
      </c>
    </row>
    <row r="158" spans="1:7" ht="15.75" x14ac:dyDescent="0.2">
      <c r="A158" s="80" t="s">
        <v>192</v>
      </c>
      <c r="B158" s="81"/>
      <c r="C158" s="81"/>
      <c r="D158" s="81"/>
      <c r="E158" s="81"/>
      <c r="F158" s="81"/>
      <c r="G158" s="84"/>
    </row>
    <row r="159" spans="1:7" ht="15.75" x14ac:dyDescent="0.2">
      <c r="A159" s="78">
        <v>1</v>
      </c>
      <c r="B159" s="79"/>
      <c r="C159" s="93" t="s">
        <v>191</v>
      </c>
      <c r="D159" s="94"/>
      <c r="E159" s="94"/>
      <c r="F159" s="94"/>
      <c r="G159" s="95"/>
    </row>
    <row r="160" spans="1:7" ht="15.75" x14ac:dyDescent="0.2">
      <c r="A160" s="78">
        <v>2</v>
      </c>
      <c r="B160" s="79"/>
      <c r="C160" s="19" t="s">
        <v>150</v>
      </c>
      <c r="D160" s="18">
        <f>(70.57)*10.764</f>
        <v>759.61547999999993</v>
      </c>
      <c r="E160" s="18">
        <v>0</v>
      </c>
      <c r="F160" s="51">
        <f t="shared" ref="F160:F172" si="5">D160*(($F$85)+1)+(IF(E160&lt;101,E160,IF(E160&lt;201,E160/2,IF(E160&lt;=301,E160/3,E160/4))))</f>
        <v>1101.4424459999998</v>
      </c>
      <c r="G160" s="19" t="s">
        <v>148</v>
      </c>
    </row>
    <row r="161" spans="1:7" ht="15.75" x14ac:dyDescent="0.2">
      <c r="A161" s="78">
        <v>3</v>
      </c>
      <c r="B161" s="79"/>
      <c r="C161" s="46" t="s">
        <v>150</v>
      </c>
      <c r="D161" s="18">
        <f>(83.73)*10.764</f>
        <v>901.26972000000001</v>
      </c>
      <c r="E161" s="47">
        <v>0</v>
      </c>
      <c r="F161" s="51">
        <f t="shared" si="5"/>
        <v>1306.8410939999999</v>
      </c>
      <c r="G161" s="46" t="s">
        <v>148</v>
      </c>
    </row>
    <row r="162" spans="1:7" ht="15.75" x14ac:dyDescent="0.2">
      <c r="A162" s="78">
        <v>4</v>
      </c>
      <c r="B162" s="79"/>
      <c r="C162" s="19" t="s">
        <v>147</v>
      </c>
      <c r="D162" s="18">
        <f>(113.73)*10.764</f>
        <v>1224.1897200000001</v>
      </c>
      <c r="E162" s="18">
        <v>0</v>
      </c>
      <c r="F162" s="51">
        <f t="shared" si="5"/>
        <v>1775.075094</v>
      </c>
      <c r="G162" s="19" t="s">
        <v>148</v>
      </c>
    </row>
    <row r="163" spans="1:7" ht="15.75" x14ac:dyDescent="0.2">
      <c r="A163" s="80" t="s">
        <v>152</v>
      </c>
      <c r="B163" s="81"/>
      <c r="C163" s="82"/>
      <c r="D163" s="82"/>
      <c r="E163" s="82"/>
      <c r="F163" s="82"/>
      <c r="G163" s="83"/>
    </row>
    <row r="164" spans="1:7" ht="15.75" x14ac:dyDescent="0.2">
      <c r="A164" s="78">
        <v>1</v>
      </c>
      <c r="B164" s="79"/>
      <c r="C164" s="19" t="s">
        <v>147</v>
      </c>
      <c r="D164" s="18">
        <f>(88.64)*10.764</f>
        <v>954.12095999999997</v>
      </c>
      <c r="E164" s="18">
        <f>(6.8*0.9+3.32*2.46)*10.764</f>
        <v>153.78742079999998</v>
      </c>
      <c r="F164" s="51">
        <f t="shared" si="5"/>
        <v>1460.3691023999997</v>
      </c>
      <c r="G164" s="19" t="s">
        <v>148</v>
      </c>
    </row>
    <row r="165" spans="1:7" ht="15.75" x14ac:dyDescent="0.2">
      <c r="A165" s="78">
        <v>2</v>
      </c>
      <c r="B165" s="79"/>
      <c r="C165" s="19" t="s">
        <v>150</v>
      </c>
      <c r="D165" s="18">
        <f>(70.57)*10.764</f>
        <v>759.61547999999993</v>
      </c>
      <c r="E165" s="18">
        <v>0</v>
      </c>
      <c r="F165" s="51">
        <f t="shared" si="5"/>
        <v>1101.4424459999998</v>
      </c>
      <c r="G165" s="19" t="s">
        <v>148</v>
      </c>
    </row>
    <row r="166" spans="1:7" ht="15.75" x14ac:dyDescent="0.2">
      <c r="A166" s="78">
        <v>3</v>
      </c>
      <c r="B166" s="79"/>
      <c r="C166" s="19" t="s">
        <v>220</v>
      </c>
      <c r="D166" s="18">
        <f>(83.73)*10.764</f>
        <v>901.26972000000001</v>
      </c>
      <c r="E166" s="18">
        <v>0</v>
      </c>
      <c r="F166" s="51">
        <f t="shared" si="5"/>
        <v>1306.8410939999999</v>
      </c>
      <c r="G166" s="19" t="s">
        <v>148</v>
      </c>
    </row>
    <row r="167" spans="1:7" ht="15.75" x14ac:dyDescent="0.2">
      <c r="A167" s="78">
        <v>4</v>
      </c>
      <c r="B167" s="79"/>
      <c r="C167" s="19" t="s">
        <v>220</v>
      </c>
      <c r="D167" s="18">
        <f>(66.93)*10.764</f>
        <v>720.43452000000002</v>
      </c>
      <c r="E167" s="18">
        <f>(8.71*0.9+8.3*3.9+1.6*3.6)*10.764</f>
        <v>494.810316</v>
      </c>
      <c r="F167" s="51">
        <f t="shared" si="5"/>
        <v>1168.332633</v>
      </c>
      <c r="G167" s="19" t="s">
        <v>148</v>
      </c>
    </row>
    <row r="168" spans="1:7" ht="15.75" x14ac:dyDescent="0.2">
      <c r="A168" s="80" t="s">
        <v>187</v>
      </c>
      <c r="B168" s="81"/>
      <c r="C168" s="81"/>
      <c r="D168" s="81"/>
      <c r="E168" s="81"/>
      <c r="F168" s="81"/>
      <c r="G168" s="84"/>
    </row>
    <row r="169" spans="1:7" ht="15.75" x14ac:dyDescent="0.2">
      <c r="A169" s="78">
        <v>1</v>
      </c>
      <c r="B169" s="79"/>
      <c r="C169" s="19" t="s">
        <v>147</v>
      </c>
      <c r="D169" s="18">
        <f>(88.64)*10.764</f>
        <v>954.12095999999997</v>
      </c>
      <c r="E169" s="18">
        <v>0</v>
      </c>
      <c r="F169" s="51">
        <f t="shared" si="5"/>
        <v>1383.4753919999998</v>
      </c>
      <c r="G169" s="19" t="s">
        <v>148</v>
      </c>
    </row>
    <row r="170" spans="1:7" ht="15.75" x14ac:dyDescent="0.2">
      <c r="A170" s="78">
        <v>2</v>
      </c>
      <c r="B170" s="79"/>
      <c r="C170" s="19" t="s">
        <v>150</v>
      </c>
      <c r="D170" s="18">
        <f>(70.57)*10.764</f>
        <v>759.61547999999993</v>
      </c>
      <c r="E170" s="18">
        <v>0</v>
      </c>
      <c r="F170" s="51">
        <f t="shared" si="5"/>
        <v>1101.4424459999998</v>
      </c>
      <c r="G170" s="19" t="s">
        <v>148</v>
      </c>
    </row>
    <row r="171" spans="1:7" ht="15.75" x14ac:dyDescent="0.2">
      <c r="A171" s="78">
        <v>3</v>
      </c>
      <c r="B171" s="79"/>
      <c r="C171" s="19" t="s">
        <v>150</v>
      </c>
      <c r="D171" s="18">
        <f>(83.73)*10.764</f>
        <v>901.26972000000001</v>
      </c>
      <c r="E171" s="18">
        <v>0</v>
      </c>
      <c r="F171" s="51">
        <f t="shared" si="5"/>
        <v>1306.8410939999999</v>
      </c>
      <c r="G171" s="19" t="s">
        <v>148</v>
      </c>
    </row>
    <row r="172" spans="1:7" ht="15.75" x14ac:dyDescent="0.2">
      <c r="A172" s="78">
        <v>4</v>
      </c>
      <c r="B172" s="79"/>
      <c r="C172" s="19" t="s">
        <v>147</v>
      </c>
      <c r="D172" s="18">
        <f>(66.93)*10.764</f>
        <v>720.43452000000002</v>
      </c>
      <c r="E172" s="18">
        <v>0</v>
      </c>
      <c r="F172" s="51">
        <f t="shared" si="5"/>
        <v>1044.630054</v>
      </c>
      <c r="G172" s="19" t="s">
        <v>148</v>
      </c>
    </row>
    <row r="173" spans="1:7" ht="15.75" x14ac:dyDescent="0.2">
      <c r="A173" s="80" t="s">
        <v>188</v>
      </c>
      <c r="B173" s="81"/>
      <c r="C173" s="81"/>
      <c r="D173" s="81"/>
      <c r="E173" s="81"/>
      <c r="F173" s="81"/>
      <c r="G173" s="84"/>
    </row>
    <row r="174" spans="1:7" ht="15.75" x14ac:dyDescent="0.2">
      <c r="A174" s="78">
        <v>1</v>
      </c>
      <c r="B174" s="79"/>
      <c r="C174" s="93" t="s">
        <v>191</v>
      </c>
      <c r="D174" s="94"/>
      <c r="E174" s="94"/>
      <c r="F174" s="94"/>
      <c r="G174" s="95"/>
    </row>
    <row r="175" spans="1:7" ht="15.75" x14ac:dyDescent="0.2">
      <c r="A175" s="78">
        <v>2</v>
      </c>
      <c r="B175" s="79"/>
      <c r="C175" s="19" t="s">
        <v>150</v>
      </c>
      <c r="D175" s="18">
        <f>(70.57)*10.764</f>
        <v>759.61547999999993</v>
      </c>
      <c r="E175" s="18">
        <v>0</v>
      </c>
      <c r="F175" s="51">
        <f t="shared" ref="F175:F177" si="6">D175*(($F$85)+1)+(IF(E175&lt;101,E175,IF(E175&lt;201,E175/2,IF(E175&lt;=301,E175/3,E175/4))))</f>
        <v>1101.4424459999998</v>
      </c>
      <c r="G175" s="19" t="s">
        <v>148</v>
      </c>
    </row>
    <row r="176" spans="1:7" ht="15.75" x14ac:dyDescent="0.2">
      <c r="A176" s="78">
        <v>3</v>
      </c>
      <c r="B176" s="79"/>
      <c r="C176" s="46" t="s">
        <v>150</v>
      </c>
      <c r="D176" s="47">
        <f>(83.73)*10.764</f>
        <v>901.26972000000001</v>
      </c>
      <c r="E176" s="47">
        <v>0</v>
      </c>
      <c r="F176" s="51">
        <f t="shared" si="6"/>
        <v>1306.8410939999999</v>
      </c>
      <c r="G176" s="46" t="s">
        <v>148</v>
      </c>
    </row>
    <row r="177" spans="1:7" ht="15.75" x14ac:dyDescent="0.2">
      <c r="A177" s="78">
        <v>4</v>
      </c>
      <c r="B177" s="79"/>
      <c r="C177" s="48" t="s">
        <v>193</v>
      </c>
      <c r="D177" s="49">
        <f>(66.93)*10.764</f>
        <v>720.43452000000002</v>
      </c>
      <c r="E177" s="48">
        <v>0</v>
      </c>
      <c r="F177" s="51">
        <f t="shared" si="6"/>
        <v>1044.630054</v>
      </c>
      <c r="G177" s="48" t="s">
        <v>55</v>
      </c>
    </row>
    <row r="178" spans="1:7" ht="15.75" x14ac:dyDescent="0.2">
      <c r="A178" s="80" t="s">
        <v>189</v>
      </c>
      <c r="B178" s="81"/>
      <c r="C178" s="82"/>
      <c r="D178" s="82"/>
      <c r="E178" s="82"/>
      <c r="F178" s="82"/>
      <c r="G178" s="83"/>
    </row>
    <row r="179" spans="1:7" ht="15.75" x14ac:dyDescent="0.2">
      <c r="A179" s="78">
        <v>1</v>
      </c>
      <c r="B179" s="79"/>
      <c r="C179" s="93" t="s">
        <v>191</v>
      </c>
      <c r="D179" s="94"/>
      <c r="E179" s="94"/>
      <c r="F179" s="94"/>
      <c r="G179" s="95"/>
    </row>
    <row r="180" spans="1:7" ht="15.75" x14ac:dyDescent="0.2">
      <c r="A180" s="78">
        <v>2</v>
      </c>
      <c r="B180" s="79"/>
      <c r="C180" s="19" t="s">
        <v>150</v>
      </c>
      <c r="D180" s="18">
        <f>(70.57)*10.764</f>
        <v>759.61547999999993</v>
      </c>
      <c r="E180" s="18">
        <v>0</v>
      </c>
      <c r="F180" s="51">
        <f t="shared" ref="F180:F182" si="7">D180*(($F$85)+1)+(IF(E180&lt;101,E180,IF(E180&lt;201,E180/2,IF(E180&lt;=301,E180/3,E180/4))))</f>
        <v>1101.4424459999998</v>
      </c>
      <c r="G180" s="19" t="s">
        <v>148</v>
      </c>
    </row>
    <row r="181" spans="1:7" ht="15.75" x14ac:dyDescent="0.2">
      <c r="A181" s="78">
        <v>3</v>
      </c>
      <c r="B181" s="79"/>
      <c r="C181" s="19" t="s">
        <v>150</v>
      </c>
      <c r="D181" s="47">
        <f>(83.73)*10.764</f>
        <v>901.26972000000001</v>
      </c>
      <c r="E181" s="18">
        <v>0</v>
      </c>
      <c r="F181" s="51">
        <f t="shared" si="7"/>
        <v>1306.8410939999999</v>
      </c>
      <c r="G181" s="19" t="s">
        <v>148</v>
      </c>
    </row>
    <row r="182" spans="1:7" ht="15.75" x14ac:dyDescent="0.2">
      <c r="A182" s="78">
        <v>4</v>
      </c>
      <c r="B182" s="79"/>
      <c r="C182" s="19" t="s">
        <v>147</v>
      </c>
      <c r="D182" s="49">
        <f>(66.93)*10.764</f>
        <v>720.43452000000002</v>
      </c>
      <c r="E182" s="18">
        <v>0</v>
      </c>
      <c r="F182" s="51">
        <f t="shared" si="7"/>
        <v>1044.630054</v>
      </c>
      <c r="G182" s="19" t="s">
        <v>148</v>
      </c>
    </row>
    <row r="183" spans="1:7" ht="15.75" x14ac:dyDescent="0.2">
      <c r="A183" s="80" t="s">
        <v>153</v>
      </c>
      <c r="B183" s="81"/>
      <c r="C183" s="81"/>
      <c r="D183" s="81"/>
      <c r="E183" s="81"/>
      <c r="F183" s="81"/>
      <c r="G183" s="84"/>
    </row>
    <row r="184" spans="1:7" ht="174" customHeight="1" x14ac:dyDescent="0.2">
      <c r="A184" s="96" t="s">
        <v>233</v>
      </c>
      <c r="B184" s="97"/>
      <c r="C184" s="97"/>
      <c r="D184" s="97"/>
      <c r="E184" s="97"/>
      <c r="F184" s="97"/>
      <c r="G184" s="98"/>
    </row>
    <row r="185" spans="1:7" ht="52.5" customHeight="1" x14ac:dyDescent="0.2">
      <c r="A185" s="90" t="s">
        <v>156</v>
      </c>
      <c r="B185" s="91"/>
      <c r="C185" s="91"/>
      <c r="D185" s="91"/>
      <c r="E185" s="91"/>
      <c r="F185" s="91"/>
      <c r="G185" s="92"/>
    </row>
    <row r="186" spans="1:7" ht="15.75" x14ac:dyDescent="0.2">
      <c r="A186" s="24" t="s">
        <v>105</v>
      </c>
      <c r="B186" s="25"/>
      <c r="C186" s="25"/>
      <c r="D186" s="25" t="str">
        <f>D9</f>
        <v>Lamor</v>
      </c>
      <c r="E186" s="25"/>
      <c r="F186" s="21"/>
      <c r="G186" s="21"/>
    </row>
    <row r="187" spans="1:7" ht="14.25" x14ac:dyDescent="0.2">
      <c r="A187" s="20"/>
      <c r="B187" s="21"/>
      <c r="C187" s="21"/>
      <c r="D187" s="21"/>
      <c r="E187" s="21"/>
      <c r="F187" s="21"/>
      <c r="G187" s="21"/>
    </row>
    <row r="188" spans="1:7" ht="14.25" x14ac:dyDescent="0.2">
      <c r="A188" s="20"/>
      <c r="B188" s="21"/>
      <c r="C188" s="21"/>
      <c r="D188" s="21"/>
      <c r="E188" s="21"/>
      <c r="F188" s="21"/>
      <c r="G188" s="21"/>
    </row>
    <row r="189" spans="1:7" ht="14.25" x14ac:dyDescent="0.2">
      <c r="A189" s="20"/>
      <c r="B189" s="21"/>
      <c r="C189" s="21"/>
      <c r="D189" s="21"/>
      <c r="E189" s="21"/>
      <c r="F189" s="21"/>
      <c r="G189" s="21"/>
    </row>
    <row r="190" spans="1:7" ht="14.25" x14ac:dyDescent="0.2">
      <c r="A190" s="20"/>
      <c r="B190" s="21"/>
      <c r="C190" s="21"/>
      <c r="D190" s="21"/>
      <c r="E190" s="21"/>
      <c r="F190" s="21"/>
      <c r="G190" s="21"/>
    </row>
    <row r="235" spans="1:1" ht="15.75" x14ac:dyDescent="0.2">
      <c r="A235" s="59" t="s">
        <v>56</v>
      </c>
    </row>
    <row r="236" spans="1:1" x14ac:dyDescent="0.2">
      <c r="A236" s="26"/>
    </row>
  </sheetData>
  <mergeCells count="250">
    <mergeCell ref="D19:G19"/>
    <mergeCell ref="A20:C20"/>
    <mergeCell ref="D20:G20"/>
    <mergeCell ref="B13:C13"/>
    <mergeCell ref="A106:B106"/>
    <mergeCell ref="A107:B107"/>
    <mergeCell ref="A108:B108"/>
    <mergeCell ref="D34:E34"/>
    <mergeCell ref="F34:G34"/>
    <mergeCell ref="A35:C35"/>
    <mergeCell ref="A37:C37"/>
    <mergeCell ref="D37:G37"/>
    <mergeCell ref="A38:C38"/>
    <mergeCell ref="D38:G38"/>
    <mergeCell ref="A87:G87"/>
    <mergeCell ref="D8:G8"/>
    <mergeCell ref="B43:D43"/>
    <mergeCell ref="F43:G43"/>
    <mergeCell ref="F44:G44"/>
    <mergeCell ref="A44:B44"/>
    <mergeCell ref="D44:E44"/>
    <mergeCell ref="B42:D42"/>
    <mergeCell ref="A34:C34"/>
    <mergeCell ref="A36:C36"/>
    <mergeCell ref="A33:C33"/>
    <mergeCell ref="D35:G35"/>
    <mergeCell ref="D36:E36"/>
    <mergeCell ref="F36:G36"/>
    <mergeCell ref="B41:D41"/>
    <mergeCell ref="F41:G41"/>
    <mergeCell ref="A30:G30"/>
    <mergeCell ref="F42:G42"/>
    <mergeCell ref="B12:G12"/>
    <mergeCell ref="F13:G13"/>
    <mergeCell ref="B14:C14"/>
    <mergeCell ref="D18:G18"/>
    <mergeCell ref="F33:G33"/>
    <mergeCell ref="A32:C32"/>
    <mergeCell ref="D32:E32"/>
    <mergeCell ref="A99:B99"/>
    <mergeCell ref="A100:B100"/>
    <mergeCell ref="A96:B96"/>
    <mergeCell ref="A97:B97"/>
    <mergeCell ref="A111:B111"/>
    <mergeCell ref="A102:B102"/>
    <mergeCell ref="A103:B103"/>
    <mergeCell ref="A121:B121"/>
    <mergeCell ref="A8:C8"/>
    <mergeCell ref="A11:C11"/>
    <mergeCell ref="A115:B115"/>
    <mergeCell ref="A116:B116"/>
    <mergeCell ref="A117:B117"/>
    <mergeCell ref="A118:B118"/>
    <mergeCell ref="A19:C19"/>
    <mergeCell ref="A122:B122"/>
    <mergeCell ref="A123:B123"/>
    <mergeCell ref="A105:B105"/>
    <mergeCell ref="A29:B29"/>
    <mergeCell ref="A112:B112"/>
    <mergeCell ref="A113:B113"/>
    <mergeCell ref="A120:B120"/>
    <mergeCell ref="A39:G39"/>
    <mergeCell ref="A183:G183"/>
    <mergeCell ref="C159:G159"/>
    <mergeCell ref="C174:G174"/>
    <mergeCell ref="C179:G179"/>
    <mergeCell ref="C148:G148"/>
    <mergeCell ref="C84:C85"/>
    <mergeCell ref="D84:D85"/>
    <mergeCell ref="E84:E85"/>
    <mergeCell ref="G84:G85"/>
    <mergeCell ref="A90:B90"/>
    <mergeCell ref="A91:B91"/>
    <mergeCell ref="A93:B93"/>
    <mergeCell ref="A94:B94"/>
    <mergeCell ref="A142:B142"/>
    <mergeCell ref="A143:B143"/>
    <mergeCell ref="A148:B148"/>
    <mergeCell ref="C28:G28"/>
    <mergeCell ref="C29:G29"/>
    <mergeCell ref="A45:G45"/>
    <mergeCell ref="A46:B46"/>
    <mergeCell ref="D46:F46"/>
    <mergeCell ref="C47:G47"/>
    <mergeCell ref="A68:G68"/>
    <mergeCell ref="A71:D71"/>
    <mergeCell ref="E71:G71"/>
    <mergeCell ref="E69:G69"/>
    <mergeCell ref="A70:D70"/>
    <mergeCell ref="E70:G70"/>
    <mergeCell ref="A65:G65"/>
    <mergeCell ref="A66:G66"/>
    <mergeCell ref="A48:C48"/>
    <mergeCell ref="F32:G32"/>
    <mergeCell ref="B40:D40"/>
    <mergeCell ref="F40:G40"/>
    <mergeCell ref="A110:B110"/>
    <mergeCell ref="D33:E33"/>
    <mergeCell ref="A1:G1"/>
    <mergeCell ref="A2:G2"/>
    <mergeCell ref="A3:C3"/>
    <mergeCell ref="D3:G3"/>
    <mergeCell ref="A4:C4"/>
    <mergeCell ref="D4:G4"/>
    <mergeCell ref="A9:C9"/>
    <mergeCell ref="D9:G9"/>
    <mergeCell ref="A10:C10"/>
    <mergeCell ref="D10:G10"/>
    <mergeCell ref="A5:C5"/>
    <mergeCell ref="D5:G5"/>
    <mergeCell ref="A6:C6"/>
    <mergeCell ref="D6:G6"/>
    <mergeCell ref="A7:C7"/>
    <mergeCell ref="D7:G7"/>
    <mergeCell ref="D48:G48"/>
    <mergeCell ref="A49:C49"/>
    <mergeCell ref="D49:G49"/>
    <mergeCell ref="A50:G50"/>
    <mergeCell ref="B51:G51"/>
    <mergeCell ref="A47:B47"/>
    <mergeCell ref="A86:G86"/>
    <mergeCell ref="A74:D74"/>
    <mergeCell ref="A77:G77"/>
    <mergeCell ref="B78:C78"/>
    <mergeCell ref="D78:E78"/>
    <mergeCell ref="F78:G78"/>
    <mergeCell ref="B79:C79"/>
    <mergeCell ref="A84:B85"/>
    <mergeCell ref="D79:E79"/>
    <mergeCell ref="F79:G79"/>
    <mergeCell ref="B80:C80"/>
    <mergeCell ref="D80:E80"/>
    <mergeCell ref="F80:G80"/>
    <mergeCell ref="B81:C81"/>
    <mergeCell ref="D81:E81"/>
    <mergeCell ref="F81:G81"/>
    <mergeCell ref="A98:G98"/>
    <mergeCell ref="A89:G89"/>
    <mergeCell ref="A92:G92"/>
    <mergeCell ref="A95:G95"/>
    <mergeCell ref="E74:G74"/>
    <mergeCell ref="F55:G64"/>
    <mergeCell ref="D55:E64"/>
    <mergeCell ref="E52:F52"/>
    <mergeCell ref="D54:E54"/>
    <mergeCell ref="F54:G54"/>
    <mergeCell ref="B53:G53"/>
    <mergeCell ref="A67:G67"/>
    <mergeCell ref="A72:D72"/>
    <mergeCell ref="E72:G72"/>
    <mergeCell ref="A73:D73"/>
    <mergeCell ref="E73:G73"/>
    <mergeCell ref="A88:G88"/>
    <mergeCell ref="A75:D75"/>
    <mergeCell ref="E75:G75"/>
    <mergeCell ref="A76:D76"/>
    <mergeCell ref="E76:G76"/>
    <mergeCell ref="A82:G82"/>
    <mergeCell ref="A83:G83"/>
    <mergeCell ref="A69:D69"/>
    <mergeCell ref="A185:G185"/>
    <mergeCell ref="C100:G100"/>
    <mergeCell ref="A109:G109"/>
    <mergeCell ref="C113:G113"/>
    <mergeCell ref="A114:G114"/>
    <mergeCell ref="A119:G119"/>
    <mergeCell ref="A134:G134"/>
    <mergeCell ref="A124:G124"/>
    <mergeCell ref="C128:G128"/>
    <mergeCell ref="A184:G184"/>
    <mergeCell ref="A101:G101"/>
    <mergeCell ref="A104:G104"/>
    <mergeCell ref="A137:G137"/>
    <mergeCell ref="A138:G138"/>
    <mergeCell ref="A141:G141"/>
    <mergeCell ref="A144:G144"/>
    <mergeCell ref="A147:G147"/>
    <mergeCell ref="A150:G150"/>
    <mergeCell ref="A153:G153"/>
    <mergeCell ref="A158:G158"/>
    <mergeCell ref="A163:G163"/>
    <mergeCell ref="A168:G168"/>
    <mergeCell ref="A139:B139"/>
    <mergeCell ref="A140:B140"/>
    <mergeCell ref="D11:G11"/>
    <mergeCell ref="E14:G14"/>
    <mergeCell ref="B15:C15"/>
    <mergeCell ref="E15:G15"/>
    <mergeCell ref="A26:G26"/>
    <mergeCell ref="A27:G27"/>
    <mergeCell ref="A28:B28"/>
    <mergeCell ref="A31:G31"/>
    <mergeCell ref="A22:C22"/>
    <mergeCell ref="D22:G22"/>
    <mergeCell ref="A23:B23"/>
    <mergeCell ref="E23:F23"/>
    <mergeCell ref="A24:B24"/>
    <mergeCell ref="E24:F24"/>
    <mergeCell ref="A21:C21"/>
    <mergeCell ref="D21:G21"/>
    <mergeCell ref="A17:C17"/>
    <mergeCell ref="D17:G17"/>
    <mergeCell ref="A25:B25"/>
    <mergeCell ref="E25:F25"/>
    <mergeCell ref="A16:B16"/>
    <mergeCell ref="D16:E16"/>
    <mergeCell ref="F16:G16"/>
    <mergeCell ref="A18:C18"/>
    <mergeCell ref="A125:B125"/>
    <mergeCell ref="A126:B126"/>
    <mergeCell ref="A127:B127"/>
    <mergeCell ref="A128:B128"/>
    <mergeCell ref="A174:B174"/>
    <mergeCell ref="A166:B166"/>
    <mergeCell ref="A167:B167"/>
    <mergeCell ref="A173:G173"/>
    <mergeCell ref="A145:B145"/>
    <mergeCell ref="A146:B146"/>
    <mergeCell ref="A151:B151"/>
    <mergeCell ref="A152:B152"/>
    <mergeCell ref="A157:B157"/>
    <mergeCell ref="A159:B159"/>
    <mergeCell ref="A160:B160"/>
    <mergeCell ref="A155:B155"/>
    <mergeCell ref="A156:B156"/>
    <mergeCell ref="A136:G136"/>
    <mergeCell ref="A154:B154"/>
    <mergeCell ref="A129:G129"/>
    <mergeCell ref="A135:G135"/>
    <mergeCell ref="A149:B149"/>
    <mergeCell ref="A176:B176"/>
    <mergeCell ref="A177:B177"/>
    <mergeCell ref="A179:B179"/>
    <mergeCell ref="A180:B180"/>
    <mergeCell ref="A181:B181"/>
    <mergeCell ref="A182:B182"/>
    <mergeCell ref="A130:B130"/>
    <mergeCell ref="A131:B131"/>
    <mergeCell ref="A132:B132"/>
    <mergeCell ref="A133:B133"/>
    <mergeCell ref="A169:B169"/>
    <mergeCell ref="A170:B170"/>
    <mergeCell ref="A171:B171"/>
    <mergeCell ref="A172:B172"/>
    <mergeCell ref="A178:G178"/>
    <mergeCell ref="A175:B175"/>
    <mergeCell ref="A161:B161"/>
    <mergeCell ref="A162:B162"/>
    <mergeCell ref="A164:B164"/>
    <mergeCell ref="A165:B165"/>
  </mergeCells>
  <hyperlinks>
    <hyperlink ref="C29" r:id="rId1" xr:uid="{00000000-0004-0000-0000-000000000000}"/>
  </hyperlinks>
  <printOptions horizontalCentered="1"/>
  <pageMargins left="0.19685039370078741" right="0.19685039370078741" top="0.78740157480314965" bottom="0.78740157480314965" header="0.19685039370078741" footer="0.19685039370078741"/>
  <pageSetup paperSize="9" fitToHeight="0" orientation="portrait" r:id="rId2"/>
  <headerFooter>
    <oddHeader>&amp;C&amp;G</oddHeader>
    <oddFooter>&amp;L&amp;"Times New Roman,Bold"&amp;12&amp;F&amp;C&amp;G&amp;R&amp;P</oddFooter>
  </headerFooter>
  <rowBreaks count="2" manualBreakCount="2">
    <brk id="185" max="16383" man="1"/>
    <brk id="23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7"/>
  <sheetViews>
    <sheetView topLeftCell="A68" workbookViewId="0">
      <selection activeCell="I85" sqref="I85"/>
    </sheetView>
  </sheetViews>
  <sheetFormatPr defaultRowHeight="15" x14ac:dyDescent="0.25"/>
  <cols>
    <col min="1" max="1" width="31" style="3" customWidth="1"/>
    <col min="2" max="2" width="13.6640625" style="3" customWidth="1"/>
    <col min="3" max="4" width="9.33203125" style="3"/>
    <col min="5" max="5" width="11.83203125" style="3" customWidth="1"/>
    <col min="6" max="6" width="12.33203125" style="3" customWidth="1"/>
    <col min="7" max="7" width="9.33203125" style="3"/>
    <col min="8" max="8" width="12.1640625" style="3" customWidth="1"/>
    <col min="9" max="9" width="18" style="3" customWidth="1"/>
    <col min="10" max="258" width="9.33203125" style="3"/>
    <col min="259" max="259" width="13.6640625" style="3" customWidth="1"/>
    <col min="260" max="260" width="9.33203125" style="3"/>
    <col min="261" max="261" width="17.1640625" style="3" customWidth="1"/>
    <col min="262" max="262" width="12.33203125" style="3" customWidth="1"/>
    <col min="263" max="514" width="9.33203125" style="3"/>
    <col min="515" max="515" width="13.6640625" style="3" customWidth="1"/>
    <col min="516" max="516" width="9.33203125" style="3"/>
    <col min="517" max="517" width="17.1640625" style="3" customWidth="1"/>
    <col min="518" max="518" width="12.33203125" style="3" customWidth="1"/>
    <col min="519" max="770" width="9.33203125" style="3"/>
    <col min="771" max="771" width="13.6640625" style="3" customWidth="1"/>
    <col min="772" max="772" width="9.33203125" style="3"/>
    <col min="773" max="773" width="17.1640625" style="3" customWidth="1"/>
    <col min="774" max="774" width="12.33203125" style="3" customWidth="1"/>
    <col min="775" max="1026" width="9.33203125" style="3"/>
    <col min="1027" max="1027" width="13.6640625" style="3" customWidth="1"/>
    <col min="1028" max="1028" width="9.33203125" style="3"/>
    <col min="1029" max="1029" width="17.1640625" style="3" customWidth="1"/>
    <col min="1030" max="1030" width="12.33203125" style="3" customWidth="1"/>
    <col min="1031" max="1282" width="9.33203125" style="3"/>
    <col min="1283" max="1283" width="13.6640625" style="3" customWidth="1"/>
    <col min="1284" max="1284" width="9.33203125" style="3"/>
    <col min="1285" max="1285" width="17.1640625" style="3" customWidth="1"/>
    <col min="1286" max="1286" width="12.33203125" style="3" customWidth="1"/>
    <col min="1287" max="1538" width="9.33203125" style="3"/>
    <col min="1539" max="1539" width="13.6640625" style="3" customWidth="1"/>
    <col min="1540" max="1540" width="9.33203125" style="3"/>
    <col min="1541" max="1541" width="17.1640625" style="3" customWidth="1"/>
    <col min="1542" max="1542" width="12.33203125" style="3" customWidth="1"/>
    <col min="1543" max="1794" width="9.33203125" style="3"/>
    <col min="1795" max="1795" width="13.6640625" style="3" customWidth="1"/>
    <col min="1796" max="1796" width="9.33203125" style="3"/>
    <col min="1797" max="1797" width="17.1640625" style="3" customWidth="1"/>
    <col min="1798" max="1798" width="12.33203125" style="3" customWidth="1"/>
    <col min="1799" max="2050" width="9.33203125" style="3"/>
    <col min="2051" max="2051" width="13.6640625" style="3" customWidth="1"/>
    <col min="2052" max="2052" width="9.33203125" style="3"/>
    <col min="2053" max="2053" width="17.1640625" style="3" customWidth="1"/>
    <col min="2054" max="2054" width="12.33203125" style="3" customWidth="1"/>
    <col min="2055" max="2306" width="9.33203125" style="3"/>
    <col min="2307" max="2307" width="13.6640625" style="3" customWidth="1"/>
    <col min="2308" max="2308" width="9.33203125" style="3"/>
    <col min="2309" max="2309" width="17.1640625" style="3" customWidth="1"/>
    <col min="2310" max="2310" width="12.33203125" style="3" customWidth="1"/>
    <col min="2311" max="2562" width="9.33203125" style="3"/>
    <col min="2563" max="2563" width="13.6640625" style="3" customWidth="1"/>
    <col min="2564" max="2564" width="9.33203125" style="3"/>
    <col min="2565" max="2565" width="17.1640625" style="3" customWidth="1"/>
    <col min="2566" max="2566" width="12.33203125" style="3" customWidth="1"/>
    <col min="2567" max="2818" width="9.33203125" style="3"/>
    <col min="2819" max="2819" width="13.6640625" style="3" customWidth="1"/>
    <col min="2820" max="2820" width="9.33203125" style="3"/>
    <col min="2821" max="2821" width="17.1640625" style="3" customWidth="1"/>
    <col min="2822" max="2822" width="12.33203125" style="3" customWidth="1"/>
    <col min="2823" max="3074" width="9.33203125" style="3"/>
    <col min="3075" max="3075" width="13.6640625" style="3" customWidth="1"/>
    <col min="3076" max="3076" width="9.33203125" style="3"/>
    <col min="3077" max="3077" width="17.1640625" style="3" customWidth="1"/>
    <col min="3078" max="3078" width="12.33203125" style="3" customWidth="1"/>
    <col min="3079" max="3330" width="9.33203125" style="3"/>
    <col min="3331" max="3331" width="13.6640625" style="3" customWidth="1"/>
    <col min="3332" max="3332" width="9.33203125" style="3"/>
    <col min="3333" max="3333" width="17.1640625" style="3" customWidth="1"/>
    <col min="3334" max="3334" width="12.33203125" style="3" customWidth="1"/>
    <col min="3335" max="3586" width="9.33203125" style="3"/>
    <col min="3587" max="3587" width="13.6640625" style="3" customWidth="1"/>
    <col min="3588" max="3588" width="9.33203125" style="3"/>
    <col min="3589" max="3589" width="17.1640625" style="3" customWidth="1"/>
    <col min="3590" max="3590" width="12.33203125" style="3" customWidth="1"/>
    <col min="3591" max="3842" width="9.33203125" style="3"/>
    <col min="3843" max="3843" width="13.6640625" style="3" customWidth="1"/>
    <col min="3844" max="3844" width="9.33203125" style="3"/>
    <col min="3845" max="3845" width="17.1640625" style="3" customWidth="1"/>
    <col min="3846" max="3846" width="12.33203125" style="3" customWidth="1"/>
    <col min="3847" max="4098" width="9.33203125" style="3"/>
    <col min="4099" max="4099" width="13.6640625" style="3" customWidth="1"/>
    <col min="4100" max="4100" width="9.33203125" style="3"/>
    <col min="4101" max="4101" width="17.1640625" style="3" customWidth="1"/>
    <col min="4102" max="4102" width="12.33203125" style="3" customWidth="1"/>
    <col min="4103" max="4354" width="9.33203125" style="3"/>
    <col min="4355" max="4355" width="13.6640625" style="3" customWidth="1"/>
    <col min="4356" max="4356" width="9.33203125" style="3"/>
    <col min="4357" max="4357" width="17.1640625" style="3" customWidth="1"/>
    <col min="4358" max="4358" width="12.33203125" style="3" customWidth="1"/>
    <col min="4359" max="4610" width="9.33203125" style="3"/>
    <col min="4611" max="4611" width="13.6640625" style="3" customWidth="1"/>
    <col min="4612" max="4612" width="9.33203125" style="3"/>
    <col min="4613" max="4613" width="17.1640625" style="3" customWidth="1"/>
    <col min="4614" max="4614" width="12.33203125" style="3" customWidth="1"/>
    <col min="4615" max="4866" width="9.33203125" style="3"/>
    <col min="4867" max="4867" width="13.6640625" style="3" customWidth="1"/>
    <col min="4868" max="4868" width="9.33203125" style="3"/>
    <col min="4869" max="4869" width="17.1640625" style="3" customWidth="1"/>
    <col min="4870" max="4870" width="12.33203125" style="3" customWidth="1"/>
    <col min="4871" max="5122" width="9.33203125" style="3"/>
    <col min="5123" max="5123" width="13.6640625" style="3" customWidth="1"/>
    <col min="5124" max="5124" width="9.33203125" style="3"/>
    <col min="5125" max="5125" width="17.1640625" style="3" customWidth="1"/>
    <col min="5126" max="5126" width="12.33203125" style="3" customWidth="1"/>
    <col min="5127" max="5378" width="9.33203125" style="3"/>
    <col min="5379" max="5379" width="13.6640625" style="3" customWidth="1"/>
    <col min="5380" max="5380" width="9.33203125" style="3"/>
    <col min="5381" max="5381" width="17.1640625" style="3" customWidth="1"/>
    <col min="5382" max="5382" width="12.33203125" style="3" customWidth="1"/>
    <col min="5383" max="5634" width="9.33203125" style="3"/>
    <col min="5635" max="5635" width="13.6640625" style="3" customWidth="1"/>
    <col min="5636" max="5636" width="9.33203125" style="3"/>
    <col min="5637" max="5637" width="17.1640625" style="3" customWidth="1"/>
    <col min="5638" max="5638" width="12.33203125" style="3" customWidth="1"/>
    <col min="5639" max="5890" width="9.33203125" style="3"/>
    <col min="5891" max="5891" width="13.6640625" style="3" customWidth="1"/>
    <col min="5892" max="5892" width="9.33203125" style="3"/>
    <col min="5893" max="5893" width="17.1640625" style="3" customWidth="1"/>
    <col min="5894" max="5894" width="12.33203125" style="3" customWidth="1"/>
    <col min="5895" max="6146" width="9.33203125" style="3"/>
    <col min="6147" max="6147" width="13.6640625" style="3" customWidth="1"/>
    <col min="6148" max="6148" width="9.33203125" style="3"/>
    <col min="6149" max="6149" width="17.1640625" style="3" customWidth="1"/>
    <col min="6150" max="6150" width="12.33203125" style="3" customWidth="1"/>
    <col min="6151" max="6402" width="9.33203125" style="3"/>
    <col min="6403" max="6403" width="13.6640625" style="3" customWidth="1"/>
    <col min="6404" max="6404" width="9.33203125" style="3"/>
    <col min="6405" max="6405" width="17.1640625" style="3" customWidth="1"/>
    <col min="6406" max="6406" width="12.33203125" style="3" customWidth="1"/>
    <col min="6407" max="6658" width="9.33203125" style="3"/>
    <col min="6659" max="6659" width="13.6640625" style="3" customWidth="1"/>
    <col min="6660" max="6660" width="9.33203125" style="3"/>
    <col min="6661" max="6661" width="17.1640625" style="3" customWidth="1"/>
    <col min="6662" max="6662" width="12.33203125" style="3" customWidth="1"/>
    <col min="6663" max="6914" width="9.33203125" style="3"/>
    <col min="6915" max="6915" width="13.6640625" style="3" customWidth="1"/>
    <col min="6916" max="6916" width="9.33203125" style="3"/>
    <col min="6917" max="6917" width="17.1640625" style="3" customWidth="1"/>
    <col min="6918" max="6918" width="12.33203125" style="3" customWidth="1"/>
    <col min="6919" max="7170" width="9.33203125" style="3"/>
    <col min="7171" max="7171" width="13.6640625" style="3" customWidth="1"/>
    <col min="7172" max="7172" width="9.33203125" style="3"/>
    <col min="7173" max="7173" width="17.1640625" style="3" customWidth="1"/>
    <col min="7174" max="7174" width="12.33203125" style="3" customWidth="1"/>
    <col min="7175" max="7426" width="9.33203125" style="3"/>
    <col min="7427" max="7427" width="13.6640625" style="3" customWidth="1"/>
    <col min="7428" max="7428" width="9.33203125" style="3"/>
    <col min="7429" max="7429" width="17.1640625" style="3" customWidth="1"/>
    <col min="7430" max="7430" width="12.33203125" style="3" customWidth="1"/>
    <col min="7431" max="7682" width="9.33203125" style="3"/>
    <col min="7683" max="7683" width="13.6640625" style="3" customWidth="1"/>
    <col min="7684" max="7684" width="9.33203125" style="3"/>
    <col min="7685" max="7685" width="17.1640625" style="3" customWidth="1"/>
    <col min="7686" max="7686" width="12.33203125" style="3" customWidth="1"/>
    <col min="7687" max="7938" width="9.33203125" style="3"/>
    <col min="7939" max="7939" width="13.6640625" style="3" customWidth="1"/>
    <col min="7940" max="7940" width="9.33203125" style="3"/>
    <col min="7941" max="7941" width="17.1640625" style="3" customWidth="1"/>
    <col min="7942" max="7942" width="12.33203125" style="3" customWidth="1"/>
    <col min="7943" max="8194" width="9.33203125" style="3"/>
    <col min="8195" max="8195" width="13.6640625" style="3" customWidth="1"/>
    <col min="8196" max="8196" width="9.33203125" style="3"/>
    <col min="8197" max="8197" width="17.1640625" style="3" customWidth="1"/>
    <col min="8198" max="8198" width="12.33203125" style="3" customWidth="1"/>
    <col min="8199" max="8450" width="9.33203125" style="3"/>
    <col min="8451" max="8451" width="13.6640625" style="3" customWidth="1"/>
    <col min="8452" max="8452" width="9.33203125" style="3"/>
    <col min="8453" max="8453" width="17.1640625" style="3" customWidth="1"/>
    <col min="8454" max="8454" width="12.33203125" style="3" customWidth="1"/>
    <col min="8455" max="8706" width="9.33203125" style="3"/>
    <col min="8707" max="8707" width="13.6640625" style="3" customWidth="1"/>
    <col min="8708" max="8708" width="9.33203125" style="3"/>
    <col min="8709" max="8709" width="17.1640625" style="3" customWidth="1"/>
    <col min="8710" max="8710" width="12.33203125" style="3" customWidth="1"/>
    <col min="8711" max="8962" width="9.33203125" style="3"/>
    <col min="8963" max="8963" width="13.6640625" style="3" customWidth="1"/>
    <col min="8964" max="8964" width="9.33203125" style="3"/>
    <col min="8965" max="8965" width="17.1640625" style="3" customWidth="1"/>
    <col min="8966" max="8966" width="12.33203125" style="3" customWidth="1"/>
    <col min="8967" max="9218" width="9.33203125" style="3"/>
    <col min="9219" max="9219" width="13.6640625" style="3" customWidth="1"/>
    <col min="9220" max="9220" width="9.33203125" style="3"/>
    <col min="9221" max="9221" width="17.1640625" style="3" customWidth="1"/>
    <col min="9222" max="9222" width="12.33203125" style="3" customWidth="1"/>
    <col min="9223" max="9474" width="9.33203125" style="3"/>
    <col min="9475" max="9475" width="13.6640625" style="3" customWidth="1"/>
    <col min="9476" max="9476" width="9.33203125" style="3"/>
    <col min="9477" max="9477" width="17.1640625" style="3" customWidth="1"/>
    <col min="9478" max="9478" width="12.33203125" style="3" customWidth="1"/>
    <col min="9479" max="9730" width="9.33203125" style="3"/>
    <col min="9731" max="9731" width="13.6640625" style="3" customWidth="1"/>
    <col min="9732" max="9732" width="9.33203125" style="3"/>
    <col min="9733" max="9733" width="17.1640625" style="3" customWidth="1"/>
    <col min="9734" max="9734" width="12.33203125" style="3" customWidth="1"/>
    <col min="9735" max="9986" width="9.33203125" style="3"/>
    <col min="9987" max="9987" width="13.6640625" style="3" customWidth="1"/>
    <col min="9988" max="9988" width="9.33203125" style="3"/>
    <col min="9989" max="9989" width="17.1640625" style="3" customWidth="1"/>
    <col min="9990" max="9990" width="12.33203125" style="3" customWidth="1"/>
    <col min="9991" max="10242" width="9.33203125" style="3"/>
    <col min="10243" max="10243" width="13.6640625" style="3" customWidth="1"/>
    <col min="10244" max="10244" width="9.33203125" style="3"/>
    <col min="10245" max="10245" width="17.1640625" style="3" customWidth="1"/>
    <col min="10246" max="10246" width="12.33203125" style="3" customWidth="1"/>
    <col min="10247" max="10498" width="9.33203125" style="3"/>
    <col min="10499" max="10499" width="13.6640625" style="3" customWidth="1"/>
    <col min="10500" max="10500" width="9.33203125" style="3"/>
    <col min="10501" max="10501" width="17.1640625" style="3" customWidth="1"/>
    <col min="10502" max="10502" width="12.33203125" style="3" customWidth="1"/>
    <col min="10503" max="10754" width="9.33203125" style="3"/>
    <col min="10755" max="10755" width="13.6640625" style="3" customWidth="1"/>
    <col min="10756" max="10756" width="9.33203125" style="3"/>
    <col min="10757" max="10757" width="17.1640625" style="3" customWidth="1"/>
    <col min="10758" max="10758" width="12.33203125" style="3" customWidth="1"/>
    <col min="10759" max="11010" width="9.33203125" style="3"/>
    <col min="11011" max="11011" width="13.6640625" style="3" customWidth="1"/>
    <col min="11012" max="11012" width="9.33203125" style="3"/>
    <col min="11013" max="11013" width="17.1640625" style="3" customWidth="1"/>
    <col min="11014" max="11014" width="12.33203125" style="3" customWidth="1"/>
    <col min="11015" max="11266" width="9.33203125" style="3"/>
    <col min="11267" max="11267" width="13.6640625" style="3" customWidth="1"/>
    <col min="11268" max="11268" width="9.33203125" style="3"/>
    <col min="11269" max="11269" width="17.1640625" style="3" customWidth="1"/>
    <col min="11270" max="11270" width="12.33203125" style="3" customWidth="1"/>
    <col min="11271" max="11522" width="9.33203125" style="3"/>
    <col min="11523" max="11523" width="13.6640625" style="3" customWidth="1"/>
    <col min="11524" max="11524" width="9.33203125" style="3"/>
    <col min="11525" max="11525" width="17.1640625" style="3" customWidth="1"/>
    <col min="11526" max="11526" width="12.33203125" style="3" customWidth="1"/>
    <col min="11527" max="11778" width="9.33203125" style="3"/>
    <col min="11779" max="11779" width="13.6640625" style="3" customWidth="1"/>
    <col min="11780" max="11780" width="9.33203125" style="3"/>
    <col min="11781" max="11781" width="17.1640625" style="3" customWidth="1"/>
    <col min="11782" max="11782" width="12.33203125" style="3" customWidth="1"/>
    <col min="11783" max="12034" width="9.33203125" style="3"/>
    <col min="12035" max="12035" width="13.6640625" style="3" customWidth="1"/>
    <col min="12036" max="12036" width="9.33203125" style="3"/>
    <col min="12037" max="12037" width="17.1640625" style="3" customWidth="1"/>
    <col min="12038" max="12038" width="12.33203125" style="3" customWidth="1"/>
    <col min="12039" max="12290" width="9.33203125" style="3"/>
    <col min="12291" max="12291" width="13.6640625" style="3" customWidth="1"/>
    <col min="12292" max="12292" width="9.33203125" style="3"/>
    <col min="12293" max="12293" width="17.1640625" style="3" customWidth="1"/>
    <col min="12294" max="12294" width="12.33203125" style="3" customWidth="1"/>
    <col min="12295" max="12546" width="9.33203125" style="3"/>
    <col min="12547" max="12547" width="13.6640625" style="3" customWidth="1"/>
    <col min="12548" max="12548" width="9.33203125" style="3"/>
    <col min="12549" max="12549" width="17.1640625" style="3" customWidth="1"/>
    <col min="12550" max="12550" width="12.33203125" style="3" customWidth="1"/>
    <col min="12551" max="12802" width="9.33203125" style="3"/>
    <col min="12803" max="12803" width="13.6640625" style="3" customWidth="1"/>
    <col min="12804" max="12804" width="9.33203125" style="3"/>
    <col min="12805" max="12805" width="17.1640625" style="3" customWidth="1"/>
    <col min="12806" max="12806" width="12.33203125" style="3" customWidth="1"/>
    <col min="12807" max="13058" width="9.33203125" style="3"/>
    <col min="13059" max="13059" width="13.6640625" style="3" customWidth="1"/>
    <col min="13060" max="13060" width="9.33203125" style="3"/>
    <col min="13061" max="13061" width="17.1640625" style="3" customWidth="1"/>
    <col min="13062" max="13062" width="12.33203125" style="3" customWidth="1"/>
    <col min="13063" max="13314" width="9.33203125" style="3"/>
    <col min="13315" max="13315" width="13.6640625" style="3" customWidth="1"/>
    <col min="13316" max="13316" width="9.33203125" style="3"/>
    <col min="13317" max="13317" width="17.1640625" style="3" customWidth="1"/>
    <col min="13318" max="13318" width="12.33203125" style="3" customWidth="1"/>
    <col min="13319" max="13570" width="9.33203125" style="3"/>
    <col min="13571" max="13571" width="13.6640625" style="3" customWidth="1"/>
    <col min="13572" max="13572" width="9.33203125" style="3"/>
    <col min="13573" max="13573" width="17.1640625" style="3" customWidth="1"/>
    <col min="13574" max="13574" width="12.33203125" style="3" customWidth="1"/>
    <col min="13575" max="13826" width="9.33203125" style="3"/>
    <col min="13827" max="13827" width="13.6640625" style="3" customWidth="1"/>
    <col min="13828" max="13828" width="9.33203125" style="3"/>
    <col min="13829" max="13829" width="17.1640625" style="3" customWidth="1"/>
    <col min="13830" max="13830" width="12.33203125" style="3" customWidth="1"/>
    <col min="13831" max="14082" width="9.33203125" style="3"/>
    <col min="14083" max="14083" width="13.6640625" style="3" customWidth="1"/>
    <col min="14084" max="14084" width="9.33203125" style="3"/>
    <col min="14085" max="14085" width="17.1640625" style="3" customWidth="1"/>
    <col min="14086" max="14086" width="12.33203125" style="3" customWidth="1"/>
    <col min="14087" max="14338" width="9.33203125" style="3"/>
    <col min="14339" max="14339" width="13.6640625" style="3" customWidth="1"/>
    <col min="14340" max="14340" width="9.33203125" style="3"/>
    <col min="14341" max="14341" width="17.1640625" style="3" customWidth="1"/>
    <col min="14342" max="14342" width="12.33203125" style="3" customWidth="1"/>
    <col min="14343" max="14594" width="9.33203125" style="3"/>
    <col min="14595" max="14595" width="13.6640625" style="3" customWidth="1"/>
    <col min="14596" max="14596" width="9.33203125" style="3"/>
    <col min="14597" max="14597" width="17.1640625" style="3" customWidth="1"/>
    <col min="14598" max="14598" width="12.33203125" style="3" customWidth="1"/>
    <col min="14599" max="14850" width="9.33203125" style="3"/>
    <col min="14851" max="14851" width="13.6640625" style="3" customWidth="1"/>
    <col min="14852" max="14852" width="9.33203125" style="3"/>
    <col min="14853" max="14853" width="17.1640625" style="3" customWidth="1"/>
    <col min="14854" max="14854" width="12.33203125" style="3" customWidth="1"/>
    <col min="14855" max="15106" width="9.33203125" style="3"/>
    <col min="15107" max="15107" width="13.6640625" style="3" customWidth="1"/>
    <col min="15108" max="15108" width="9.33203125" style="3"/>
    <col min="15109" max="15109" width="17.1640625" style="3" customWidth="1"/>
    <col min="15110" max="15110" width="12.33203125" style="3" customWidth="1"/>
    <col min="15111" max="15362" width="9.33203125" style="3"/>
    <col min="15363" max="15363" width="13.6640625" style="3" customWidth="1"/>
    <col min="15364" max="15364" width="9.33203125" style="3"/>
    <col min="15365" max="15365" width="17.1640625" style="3" customWidth="1"/>
    <col min="15366" max="15366" width="12.33203125" style="3" customWidth="1"/>
    <col min="15367" max="15618" width="9.33203125" style="3"/>
    <col min="15619" max="15619" width="13.6640625" style="3" customWidth="1"/>
    <col min="15620" max="15620" width="9.33203125" style="3"/>
    <col min="15621" max="15621" width="17.1640625" style="3" customWidth="1"/>
    <col min="15622" max="15622" width="12.33203125" style="3" customWidth="1"/>
    <col min="15623" max="15874" width="9.33203125" style="3"/>
    <col min="15875" max="15875" width="13.6640625" style="3" customWidth="1"/>
    <col min="15876" max="15876" width="9.33203125" style="3"/>
    <col min="15877" max="15877" width="17.1640625" style="3" customWidth="1"/>
    <col min="15878" max="15878" width="12.33203125" style="3" customWidth="1"/>
    <col min="15879" max="16130" width="9.33203125" style="3"/>
    <col min="16131" max="16131" width="13.6640625" style="3" customWidth="1"/>
    <col min="16132" max="16132" width="9.33203125" style="3"/>
    <col min="16133" max="16133" width="17.1640625" style="3" customWidth="1"/>
    <col min="16134" max="16134" width="12.33203125" style="3" customWidth="1"/>
    <col min="16135" max="16384" width="9.33203125" style="3"/>
  </cols>
  <sheetData>
    <row r="2" spans="1:13" x14ac:dyDescent="0.25">
      <c r="E2" s="4" t="s">
        <v>57</v>
      </c>
      <c r="F2" s="5" t="s">
        <v>58</v>
      </c>
      <c r="G2" s="5" t="s">
        <v>59</v>
      </c>
      <c r="H2" s="5" t="s">
        <v>60</v>
      </c>
      <c r="I2" s="5" t="s">
        <v>61</v>
      </c>
    </row>
    <row r="3" spans="1:13" x14ac:dyDescent="0.25">
      <c r="A3" s="3" t="s">
        <v>62</v>
      </c>
      <c r="B3" s="6" t="s">
        <v>63</v>
      </c>
      <c r="C3" s="6">
        <f>I3</f>
        <v>39</v>
      </c>
      <c r="D3" s="7"/>
      <c r="E3" s="5">
        <f>F3+G3+H3+I3</f>
        <v>41</v>
      </c>
      <c r="F3" s="8">
        <v>1</v>
      </c>
      <c r="G3" s="8">
        <v>0</v>
      </c>
      <c r="H3" s="8">
        <v>1</v>
      </c>
      <c r="I3" s="8">
        <v>39</v>
      </c>
    </row>
    <row r="4" spans="1:13" x14ac:dyDescent="0.25">
      <c r="A4" s="3" t="s">
        <v>64</v>
      </c>
      <c r="B4" s="9">
        <v>10</v>
      </c>
      <c r="C4" s="10">
        <v>10</v>
      </c>
      <c r="D4" s="11">
        <f>((100/B4)*C4)/100</f>
        <v>1</v>
      </c>
    </row>
    <row r="5" spans="1:13" x14ac:dyDescent="0.25">
      <c r="A5" s="3" t="s">
        <v>65</v>
      </c>
      <c r="B5" s="9">
        <f>E3</f>
        <v>41</v>
      </c>
      <c r="C5" s="10">
        <v>35</v>
      </c>
      <c r="D5" s="11">
        <f t="shared" ref="D5:D10" si="0">((100/B5)*C5)/100</f>
        <v>0.85365853658536583</v>
      </c>
      <c r="F5" s="178" t="s">
        <v>66</v>
      </c>
      <c r="G5" s="178"/>
      <c r="H5" s="12" t="s">
        <v>67</v>
      </c>
    </row>
    <row r="6" spans="1:13" x14ac:dyDescent="0.25">
      <c r="A6" s="3" t="s">
        <v>68</v>
      </c>
      <c r="B6" s="9">
        <f>C3</f>
        <v>39</v>
      </c>
      <c r="C6" s="10">
        <v>30</v>
      </c>
      <c r="D6" s="11">
        <f>((100/B6)*C6)/100</f>
        <v>0.76923076923076938</v>
      </c>
      <c r="F6" s="177" t="s">
        <v>69</v>
      </c>
      <c r="G6" s="177"/>
      <c r="H6" s="9" t="s">
        <v>70</v>
      </c>
    </row>
    <row r="7" spans="1:13" x14ac:dyDescent="0.25">
      <c r="A7" s="3" t="s">
        <v>71</v>
      </c>
      <c r="B7" s="9">
        <f>C3</f>
        <v>39</v>
      </c>
      <c r="C7" s="10">
        <f>C6/2</f>
        <v>15</v>
      </c>
      <c r="D7" s="11">
        <f t="shared" si="0"/>
        <v>0.38461538461538469</v>
      </c>
      <c r="F7" s="177" t="s">
        <v>72</v>
      </c>
      <c r="G7" s="177"/>
      <c r="H7" s="9" t="s">
        <v>73</v>
      </c>
    </row>
    <row r="8" spans="1:13" x14ac:dyDescent="0.25">
      <c r="A8" s="3" t="s">
        <v>74</v>
      </c>
      <c r="B8" s="9">
        <f>C3</f>
        <v>39</v>
      </c>
      <c r="C8" s="10">
        <v>0</v>
      </c>
      <c r="D8" s="11">
        <f t="shared" si="0"/>
        <v>0</v>
      </c>
      <c r="F8" s="177" t="s">
        <v>75</v>
      </c>
      <c r="G8" s="177"/>
      <c r="H8" s="9" t="s">
        <v>76</v>
      </c>
    </row>
    <row r="9" spans="1:13" x14ac:dyDescent="0.25">
      <c r="A9" s="13" t="s">
        <v>77</v>
      </c>
      <c r="B9" s="9">
        <f>C3</f>
        <v>39</v>
      </c>
      <c r="C9" s="10">
        <v>0</v>
      </c>
      <c r="D9" s="11">
        <f t="shared" si="0"/>
        <v>0</v>
      </c>
      <c r="F9" s="177" t="s">
        <v>78</v>
      </c>
      <c r="G9" s="177"/>
      <c r="H9" s="9" t="s">
        <v>79</v>
      </c>
    </row>
    <row r="10" spans="1:13" x14ac:dyDescent="0.25">
      <c r="A10" s="3" t="s">
        <v>80</v>
      </c>
      <c r="B10" s="9">
        <f>C3</f>
        <v>39</v>
      </c>
      <c r="C10" s="10">
        <v>0</v>
      </c>
      <c r="D10" s="11">
        <f t="shared" si="0"/>
        <v>0</v>
      </c>
      <c r="F10" s="177" t="s">
        <v>81</v>
      </c>
      <c r="G10" s="177"/>
      <c r="H10" s="9" t="s">
        <v>82</v>
      </c>
    </row>
    <row r="11" spans="1:13" x14ac:dyDescent="0.25">
      <c r="F11" s="177" t="s">
        <v>83</v>
      </c>
      <c r="G11" s="177"/>
      <c r="H11" s="9" t="s">
        <v>84</v>
      </c>
    </row>
    <row r="12" spans="1:13" hidden="1" x14ac:dyDescent="0.25">
      <c r="A12" s="5"/>
      <c r="B12" s="5" t="s">
        <v>85</v>
      </c>
      <c r="C12" s="5" t="s">
        <v>86</v>
      </c>
      <c r="G12" s="5" t="s">
        <v>64</v>
      </c>
      <c r="H12" s="5" t="s">
        <v>87</v>
      </c>
      <c r="I12" s="5" t="s">
        <v>88</v>
      </c>
      <c r="J12" s="5" t="s">
        <v>89</v>
      </c>
      <c r="K12" s="5" t="s">
        <v>74</v>
      </c>
      <c r="L12" s="5" t="s">
        <v>77</v>
      </c>
      <c r="M12" s="5" t="s">
        <v>80</v>
      </c>
    </row>
    <row r="13" spans="1:13" hidden="1" x14ac:dyDescent="0.25">
      <c r="A13" s="5" t="s">
        <v>90</v>
      </c>
      <c r="B13" s="5">
        <f>G13</f>
        <v>10</v>
      </c>
      <c r="C13" s="5">
        <f>G14</f>
        <v>30</v>
      </c>
      <c r="E13" s="179" t="s">
        <v>85</v>
      </c>
      <c r="F13" s="179"/>
      <c r="G13" s="14">
        <f>C4</f>
        <v>10</v>
      </c>
      <c r="H13" s="14">
        <f>40/B5*C5</f>
        <v>34.146341463414636</v>
      </c>
      <c r="I13" s="14">
        <f>15/B6*C6</f>
        <v>11.538461538461538</v>
      </c>
      <c r="J13" s="14">
        <f>10/B7*C7</f>
        <v>3.8461538461538458</v>
      </c>
      <c r="K13" s="14">
        <f>10/B8*C8</f>
        <v>0</v>
      </c>
      <c r="L13" s="14">
        <f>5/B9*C9</f>
        <v>0</v>
      </c>
      <c r="M13" s="14">
        <f>5/B10*C10</f>
        <v>0</v>
      </c>
    </row>
    <row r="14" spans="1:13" hidden="1" x14ac:dyDescent="0.25">
      <c r="A14" s="5" t="s">
        <v>91</v>
      </c>
      <c r="B14" s="5">
        <f>H13</f>
        <v>34.146341463414636</v>
      </c>
      <c r="C14" s="5">
        <f>H14</f>
        <v>25.609756097560975</v>
      </c>
      <c r="E14" s="179" t="s">
        <v>92</v>
      </c>
      <c r="F14" s="179"/>
      <c r="G14" s="5">
        <f>G13+20</f>
        <v>30</v>
      </c>
      <c r="H14" s="5">
        <f>30/B5*C5</f>
        <v>25.609756097560975</v>
      </c>
      <c r="I14" s="5">
        <f>15/B6*C6</f>
        <v>11.538461538461538</v>
      </c>
      <c r="J14" s="5">
        <f>10/B7*C7</f>
        <v>3.8461538461538458</v>
      </c>
      <c r="K14" s="5">
        <f>5/B8*C8</f>
        <v>0</v>
      </c>
      <c r="L14" s="5">
        <f>5/B9*C9</f>
        <v>0</v>
      </c>
      <c r="M14" s="5">
        <f>5/B10*C10</f>
        <v>0</v>
      </c>
    </row>
    <row r="15" spans="1:13" hidden="1" x14ac:dyDescent="0.25">
      <c r="A15" s="5" t="s">
        <v>88</v>
      </c>
      <c r="B15" s="5">
        <f>I13</f>
        <v>11.538461538461538</v>
      </c>
      <c r="C15" s="5">
        <f>I14</f>
        <v>11.538461538461538</v>
      </c>
    </row>
    <row r="16" spans="1:13" hidden="1" x14ac:dyDescent="0.25">
      <c r="A16" s="5" t="s">
        <v>89</v>
      </c>
      <c r="B16" s="5">
        <f>J13</f>
        <v>3.8461538461538458</v>
      </c>
      <c r="C16" s="5">
        <f>J14</f>
        <v>3.8461538461538458</v>
      </c>
    </row>
    <row r="17" spans="1:8" hidden="1" x14ac:dyDescent="0.25">
      <c r="A17" s="5" t="s">
        <v>74</v>
      </c>
      <c r="B17" s="5">
        <f>K13</f>
        <v>0</v>
      </c>
      <c r="C17" s="5">
        <f>K14</f>
        <v>0</v>
      </c>
    </row>
    <row r="18" spans="1:8" hidden="1" x14ac:dyDescent="0.25">
      <c r="A18" s="15" t="s">
        <v>77</v>
      </c>
      <c r="B18" s="5">
        <f>L13</f>
        <v>0</v>
      </c>
      <c r="C18" s="5">
        <f>L14</f>
        <v>0</v>
      </c>
    </row>
    <row r="19" spans="1:8" hidden="1" x14ac:dyDescent="0.25">
      <c r="A19" s="5" t="s">
        <v>80</v>
      </c>
      <c r="B19" s="5">
        <f>M13</f>
        <v>0</v>
      </c>
      <c r="C19" s="5">
        <f>M14</f>
        <v>0</v>
      </c>
    </row>
    <row r="20" spans="1:8" x14ac:dyDescent="0.25">
      <c r="A20" s="5" t="s">
        <v>93</v>
      </c>
      <c r="B20" s="16">
        <f>(B13+B14+B15+B16+B17+B18+B19)/100</f>
        <v>0.59530956848030026</v>
      </c>
      <c r="C20" s="16">
        <f>(C13+C14+C15+C16+C17+C18+C19)/100</f>
        <v>0.70994371482176344</v>
      </c>
      <c r="F20" s="177" t="s">
        <v>94</v>
      </c>
      <c r="G20" s="177"/>
      <c r="H20" s="9" t="s">
        <v>73</v>
      </c>
    </row>
    <row r="21" spans="1:8" x14ac:dyDescent="0.25">
      <c r="F21" s="177" t="s">
        <v>95</v>
      </c>
      <c r="G21" s="177"/>
      <c r="H21" s="9" t="s">
        <v>96</v>
      </c>
    </row>
    <row r="22" spans="1:8" x14ac:dyDescent="0.25">
      <c r="A22" s="3" t="s">
        <v>97</v>
      </c>
      <c r="B22" s="17">
        <v>0.01</v>
      </c>
      <c r="C22" s="17">
        <v>0.02</v>
      </c>
      <c r="F22" s="177" t="s">
        <v>98</v>
      </c>
      <c r="G22" s="177"/>
      <c r="H22" s="9" t="s">
        <v>99</v>
      </c>
    </row>
    <row r="23" spans="1:8" x14ac:dyDescent="0.25">
      <c r="A23" s="3" t="s">
        <v>100</v>
      </c>
      <c r="B23" s="17">
        <v>0.01</v>
      </c>
      <c r="C23" s="17">
        <v>0.03</v>
      </c>
    </row>
    <row r="24" spans="1:8" x14ac:dyDescent="0.25">
      <c r="A24" s="3" t="s">
        <v>101</v>
      </c>
      <c r="B24" s="17">
        <v>0.03</v>
      </c>
      <c r="C24" s="17">
        <v>0.08</v>
      </c>
    </row>
    <row r="25" spans="1:8" x14ac:dyDescent="0.25">
      <c r="A25" s="3" t="s">
        <v>102</v>
      </c>
      <c r="B25" s="17">
        <v>0.05</v>
      </c>
      <c r="C25" s="17">
        <v>0.15</v>
      </c>
    </row>
    <row r="26" spans="1:8" x14ac:dyDescent="0.25">
      <c r="A26" s="3" t="s">
        <v>103</v>
      </c>
      <c r="B26" s="17">
        <v>7.0000000000000007E-2</v>
      </c>
      <c r="C26" s="17">
        <v>0.2</v>
      </c>
    </row>
    <row r="27" spans="1:8" x14ac:dyDescent="0.25">
      <c r="A27" s="3" t="s">
        <v>104</v>
      </c>
      <c r="B27" s="17">
        <v>0.1</v>
      </c>
      <c r="C27" s="17">
        <v>0.3</v>
      </c>
    </row>
  </sheetData>
  <mergeCells count="12">
    <mergeCell ref="F22:G22"/>
    <mergeCell ref="F5:G5"/>
    <mergeCell ref="F6:G6"/>
    <mergeCell ref="F7:G7"/>
    <mergeCell ref="F8:G8"/>
    <mergeCell ref="F9:G9"/>
    <mergeCell ref="F10:G10"/>
    <mergeCell ref="F11:G11"/>
    <mergeCell ref="E13:F13"/>
    <mergeCell ref="E14:F14"/>
    <mergeCell ref="F20:G20"/>
    <mergeCell ref="F21:G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2"/>
  <sheetViews>
    <sheetView workbookViewId="0">
      <selection activeCell="C2" sqref="C2"/>
    </sheetView>
  </sheetViews>
  <sheetFormatPr defaultRowHeight="12.75" x14ac:dyDescent="0.2"/>
  <cols>
    <col min="1" max="1" width="10.33203125" bestFit="1" customWidth="1"/>
  </cols>
  <sheetData>
    <row r="2" spans="1:2" ht="15" x14ac:dyDescent="0.25">
      <c r="A2" s="22">
        <v>44181</v>
      </c>
      <c r="B2" s="23" t="s">
        <v>159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1</vt:lpstr>
      <vt:lpstr>C%</vt:lpstr>
      <vt:lpstr>Note</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VSJCV - AXIS - APF New - June 19 - 04223</dc:title>
  <dc:creator>VSJ-01</dc:creator>
  <cp:lastModifiedBy>VSJC</cp:lastModifiedBy>
  <cp:lastPrinted>2025-09-11T12:36:16Z</cp:lastPrinted>
  <dcterms:created xsi:type="dcterms:W3CDTF">2020-07-13T07:05:04Z</dcterms:created>
  <dcterms:modified xsi:type="dcterms:W3CDTF">2025-09-11T12:36:47Z</dcterms:modified>
</cp:coreProperties>
</file>