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C8281E1E-005B-4D6D-A90A-6B5AEA1932F8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1" l="1"/>
  <c r="J131" i="1"/>
  <c r="J130" i="1"/>
  <c r="J129" i="1"/>
  <c r="H122" i="1"/>
  <c r="D133" i="1" l="1"/>
  <c r="D129" i="1"/>
  <c r="J125" i="1"/>
  <c r="D132" i="1"/>
  <c r="D128" i="1"/>
  <c r="D130" i="1"/>
  <c r="J127" i="1"/>
  <c r="J124" i="1"/>
  <c r="D134" i="1"/>
  <c r="D131" i="1"/>
  <c r="D127" i="1"/>
  <c r="J126" i="1"/>
  <c r="C125" i="1" s="1"/>
  <c r="J76" i="1"/>
  <c r="J75" i="1"/>
  <c r="J74" i="1"/>
  <c r="J73" i="1"/>
  <c r="H66" i="1"/>
  <c r="J128" i="1" l="1"/>
  <c r="D125" i="1"/>
  <c r="D78" i="1"/>
  <c r="D76" i="1"/>
  <c r="D74" i="1"/>
  <c r="D72" i="1"/>
  <c r="J69" i="1"/>
  <c r="J68" i="1"/>
  <c r="D77" i="1"/>
  <c r="D73" i="1"/>
  <c r="D71" i="1"/>
  <c r="J71" i="1"/>
  <c r="J72" i="1" s="1"/>
  <c r="D75" i="1"/>
  <c r="J70" i="1"/>
  <c r="C69" i="1" s="1"/>
  <c r="D69" i="1" s="1"/>
  <c r="J90" i="1"/>
  <c r="J89" i="1"/>
  <c r="J88" i="1"/>
  <c r="J87" i="1"/>
  <c r="J77" i="1" l="1"/>
  <c r="J133" i="1"/>
  <c r="J160" i="1"/>
  <c r="J159" i="1"/>
  <c r="J158" i="1"/>
  <c r="J157" i="1"/>
  <c r="J146" i="1"/>
  <c r="J145" i="1"/>
  <c r="J144" i="1"/>
  <c r="J143" i="1"/>
  <c r="H150" i="1"/>
  <c r="J78" i="1" l="1"/>
  <c r="C70" i="1" s="1"/>
  <c r="G69" i="1" s="1"/>
  <c r="J134" i="1"/>
  <c r="C126" i="1" s="1"/>
  <c r="G125" i="1" s="1"/>
  <c r="J154" i="1"/>
  <c r="C153" i="1" s="1"/>
  <c r="D162" i="1"/>
  <c r="D158" i="1"/>
  <c r="J153" i="1"/>
  <c r="J155" i="1"/>
  <c r="D155" i="1"/>
  <c r="D161" i="1"/>
  <c r="D157" i="1"/>
  <c r="D156" i="1"/>
  <c r="D159" i="1"/>
  <c r="J152" i="1"/>
  <c r="D160" i="1"/>
  <c r="L256" i="1"/>
  <c r="E69" i="1" l="1"/>
  <c r="I65" i="1" s="1"/>
  <c r="C67" i="1" s="1"/>
  <c r="D70" i="1"/>
  <c r="D126" i="1"/>
  <c r="E125" i="1"/>
  <c r="I121" i="1" s="1"/>
  <c r="C123" i="1" s="1"/>
  <c r="D153" i="1"/>
  <c r="J156" i="1"/>
  <c r="J161" i="1" s="1"/>
  <c r="J162" i="1" s="1"/>
  <c r="C154" i="1" s="1"/>
  <c r="G153" i="1" s="1"/>
  <c r="J196" i="1"/>
  <c r="J197" i="1"/>
  <c r="J198" i="1"/>
  <c r="J201" i="1"/>
  <c r="J208" i="1"/>
  <c r="J209" i="1"/>
  <c r="J210" i="1"/>
  <c r="J214" i="1"/>
  <c r="J222" i="1"/>
  <c r="J223" i="1"/>
  <c r="J224" i="1"/>
  <c r="J228" i="1"/>
  <c r="J234" i="1"/>
  <c r="J235" i="1"/>
  <c r="J236" i="1"/>
  <c r="J241" i="1"/>
  <c r="J266" i="1"/>
  <c r="J267" i="1"/>
  <c r="J268" i="1"/>
  <c r="J272" i="1"/>
  <c r="D265" i="1"/>
  <c r="J265" i="1" s="1"/>
  <c r="D264" i="1"/>
  <c r="J264" i="1" s="1"/>
  <c r="D263" i="1"/>
  <c r="J263" i="1" s="1"/>
  <c r="D262" i="1"/>
  <c r="J262" i="1" s="1"/>
  <c r="D261" i="1"/>
  <c r="J261" i="1" s="1"/>
  <c r="D260" i="1"/>
  <c r="J260" i="1" s="1"/>
  <c r="D259" i="1"/>
  <c r="J259" i="1" s="1"/>
  <c r="D258" i="1"/>
  <c r="J258" i="1" s="1"/>
  <c r="D256" i="1"/>
  <c r="J256" i="1" s="1"/>
  <c r="D255" i="1"/>
  <c r="J255" i="1" s="1"/>
  <c r="D254" i="1"/>
  <c r="J254" i="1" s="1"/>
  <c r="D253" i="1"/>
  <c r="J253" i="1" s="1"/>
  <c r="G258" i="1"/>
  <c r="G259" i="1" s="1"/>
  <c r="G260" i="1" s="1"/>
  <c r="G261" i="1" s="1"/>
  <c r="G262" i="1" s="1"/>
  <c r="G263" i="1" s="1"/>
  <c r="G264" i="1" s="1"/>
  <c r="G265" i="1" s="1"/>
  <c r="A254" i="1"/>
  <c r="A255" i="1" s="1"/>
  <c r="A256" i="1" s="1"/>
  <c r="G253" i="1"/>
  <c r="G254" i="1" s="1"/>
  <c r="G255" i="1" s="1"/>
  <c r="G256" i="1" s="1"/>
  <c r="D249" i="1"/>
  <c r="J249" i="1" s="1"/>
  <c r="D248" i="1"/>
  <c r="J248" i="1" s="1"/>
  <c r="D247" i="1"/>
  <c r="J247" i="1" s="1"/>
  <c r="D246" i="1"/>
  <c r="J246" i="1" s="1"/>
  <c r="D245" i="1"/>
  <c r="J245" i="1" s="1"/>
  <c r="D244" i="1"/>
  <c r="J244" i="1" s="1"/>
  <c r="D243" i="1"/>
  <c r="J243" i="1" s="1"/>
  <c r="D242" i="1"/>
  <c r="J242" i="1" s="1"/>
  <c r="D240" i="1"/>
  <c r="J240" i="1" s="1"/>
  <c r="D239" i="1"/>
  <c r="J239" i="1" s="1"/>
  <c r="D238" i="1"/>
  <c r="J238" i="1" s="1"/>
  <c r="D237" i="1"/>
  <c r="J237" i="1" s="1"/>
  <c r="G242" i="1"/>
  <c r="G243" i="1" s="1"/>
  <c r="G244" i="1" s="1"/>
  <c r="G245" i="1" s="1"/>
  <c r="G246" i="1" s="1"/>
  <c r="G247" i="1" s="1"/>
  <c r="G248" i="1" s="1"/>
  <c r="G249" i="1" s="1"/>
  <c r="A238" i="1"/>
  <c r="A239" i="1" s="1"/>
  <c r="A240" i="1" s="1"/>
  <c r="G237" i="1"/>
  <c r="G238" i="1" s="1"/>
  <c r="G239" i="1" s="1"/>
  <c r="G240" i="1" s="1"/>
  <c r="D233" i="1"/>
  <c r="J233" i="1" s="1"/>
  <c r="D232" i="1"/>
  <c r="J232" i="1" s="1"/>
  <c r="D231" i="1"/>
  <c r="J231" i="1" s="1"/>
  <c r="D230" i="1"/>
  <c r="J230" i="1" s="1"/>
  <c r="D229" i="1"/>
  <c r="J229" i="1" s="1"/>
  <c r="D227" i="1"/>
  <c r="J227" i="1" s="1"/>
  <c r="D226" i="1"/>
  <c r="J226" i="1" s="1"/>
  <c r="D225" i="1"/>
  <c r="J225" i="1" s="1"/>
  <c r="G229" i="1"/>
  <c r="G230" i="1" s="1"/>
  <c r="G231" i="1" s="1"/>
  <c r="G232" i="1" s="1"/>
  <c r="G233" i="1" s="1"/>
  <c r="A226" i="1"/>
  <c r="A227" i="1" s="1"/>
  <c r="G225" i="1"/>
  <c r="G226" i="1" s="1"/>
  <c r="G227" i="1" s="1"/>
  <c r="D221" i="1"/>
  <c r="J221" i="1" s="1"/>
  <c r="D220" i="1"/>
  <c r="J220" i="1" s="1"/>
  <c r="D219" i="1"/>
  <c r="J219" i="1" s="1"/>
  <c r="D218" i="1"/>
  <c r="J218" i="1" s="1"/>
  <c r="D217" i="1"/>
  <c r="J217" i="1" s="1"/>
  <c r="D216" i="1"/>
  <c r="J216" i="1" s="1"/>
  <c r="D215" i="1"/>
  <c r="J215" i="1" s="1"/>
  <c r="D213" i="1"/>
  <c r="J213" i="1" s="1"/>
  <c r="D212" i="1"/>
  <c r="J212" i="1" s="1"/>
  <c r="D211" i="1"/>
  <c r="J211" i="1" s="1"/>
  <c r="G215" i="1"/>
  <c r="G216" i="1" s="1"/>
  <c r="G217" i="1" s="1"/>
  <c r="G218" i="1" s="1"/>
  <c r="G219" i="1" s="1"/>
  <c r="G220" i="1" s="1"/>
  <c r="G221" i="1" s="1"/>
  <c r="A212" i="1"/>
  <c r="A213" i="1" s="1"/>
  <c r="G211" i="1"/>
  <c r="G212" i="1" s="1"/>
  <c r="G213" i="1" s="1"/>
  <c r="D207" i="1"/>
  <c r="J207" i="1" s="1"/>
  <c r="D206" i="1"/>
  <c r="J206" i="1" s="1"/>
  <c r="D205" i="1"/>
  <c r="J205" i="1" s="1"/>
  <c r="D204" i="1"/>
  <c r="J204" i="1" s="1"/>
  <c r="D203" i="1"/>
  <c r="J203" i="1" s="1"/>
  <c r="D202" i="1"/>
  <c r="J202" i="1" s="1"/>
  <c r="G202" i="1"/>
  <c r="G203" i="1" s="1"/>
  <c r="G204" i="1" s="1"/>
  <c r="G205" i="1" s="1"/>
  <c r="G206" i="1" s="1"/>
  <c r="G207" i="1" s="1"/>
  <c r="D200" i="1"/>
  <c r="J200" i="1" s="1"/>
  <c r="D199" i="1"/>
  <c r="J199" i="1" s="1"/>
  <c r="A200" i="1"/>
  <c r="G199" i="1"/>
  <c r="G200" i="1" s="1"/>
  <c r="D195" i="1"/>
  <c r="J195" i="1" s="1"/>
  <c r="D194" i="1"/>
  <c r="J194" i="1" s="1"/>
  <c r="D193" i="1"/>
  <c r="J193" i="1" s="1"/>
  <c r="D192" i="1"/>
  <c r="J192" i="1" s="1"/>
  <c r="D191" i="1"/>
  <c r="I191" i="1" s="1"/>
  <c r="G191" i="1"/>
  <c r="G192" i="1" s="1"/>
  <c r="G193" i="1" s="1"/>
  <c r="G194" i="1" s="1"/>
  <c r="G195" i="1" s="1"/>
  <c r="D278" i="1"/>
  <c r="J278" i="1" s="1"/>
  <c r="D277" i="1"/>
  <c r="J277" i="1" s="1"/>
  <c r="D276" i="1"/>
  <c r="J276" i="1" s="1"/>
  <c r="D275" i="1"/>
  <c r="J275" i="1" s="1"/>
  <c r="D274" i="1"/>
  <c r="J274" i="1" s="1"/>
  <c r="D273" i="1"/>
  <c r="J273" i="1" s="1"/>
  <c r="G273" i="1"/>
  <c r="G274" i="1" s="1"/>
  <c r="G275" i="1" s="1"/>
  <c r="G276" i="1" s="1"/>
  <c r="G277" i="1" s="1"/>
  <c r="G278" i="1" s="1"/>
  <c r="D271" i="1"/>
  <c r="J271" i="1" s="1"/>
  <c r="D270" i="1"/>
  <c r="J270" i="1" s="1"/>
  <c r="D269" i="1"/>
  <c r="J269" i="1" s="1"/>
  <c r="A273" i="1"/>
  <c r="A202" i="1"/>
  <c r="A191" i="1"/>
  <c r="A242" i="1"/>
  <c r="A258" i="1"/>
  <c r="A215" i="1"/>
  <c r="A229" i="1"/>
  <c r="E153" i="1" l="1"/>
  <c r="I149" i="1" s="1"/>
  <c r="C151" i="1" s="1"/>
  <c r="D154" i="1"/>
  <c r="J191" i="1"/>
  <c r="G175" i="1"/>
  <c r="G178" i="1"/>
  <c r="G179" i="1"/>
  <c r="G177" i="1"/>
  <c r="G180" i="1"/>
  <c r="C179" i="1"/>
  <c r="E181" i="1"/>
  <c r="G176" i="1"/>
  <c r="C176" i="1"/>
  <c r="C178" i="1"/>
  <c r="E177" i="1"/>
  <c r="C180" i="1"/>
  <c r="E178" i="1"/>
  <c r="C181" i="1"/>
  <c r="E175" i="1"/>
  <c r="E176" i="1"/>
  <c r="E180" i="1"/>
  <c r="E179" i="1"/>
  <c r="C177" i="1"/>
  <c r="C175" i="1"/>
  <c r="E28" i="1"/>
  <c r="A243" i="1"/>
  <c r="A203" i="1"/>
  <c r="A274" i="1"/>
  <c r="A259" i="1"/>
  <c r="A192" i="1"/>
  <c r="A230" i="1"/>
  <c r="A216" i="1"/>
  <c r="C182" i="1" l="1"/>
  <c r="E182" i="1"/>
  <c r="A270" i="1"/>
  <c r="A271" i="1" s="1"/>
  <c r="G269" i="1"/>
  <c r="G270" i="1" s="1"/>
  <c r="G271" i="1" s="1"/>
  <c r="A217" i="1"/>
  <c r="A204" i="1"/>
  <c r="A244" i="1"/>
  <c r="A231" i="1"/>
  <c r="A193" i="1"/>
  <c r="A260" i="1"/>
  <c r="A275" i="1"/>
  <c r="G181" i="1" l="1"/>
  <c r="G182" i="1" s="1"/>
  <c r="F172" i="1"/>
  <c r="A218" i="1"/>
  <c r="A276" i="1"/>
  <c r="A232" i="1"/>
  <c r="A261" i="1"/>
  <c r="A205" i="1"/>
  <c r="A194" i="1"/>
  <c r="A245" i="1"/>
  <c r="B281" i="1" l="1"/>
  <c r="A277" i="1"/>
  <c r="A246" i="1"/>
  <c r="A262" i="1"/>
  <c r="A219" i="1"/>
  <c r="A195" i="1"/>
  <c r="A233" i="1"/>
  <c r="A206" i="1"/>
  <c r="C14" i="1" l="1"/>
  <c r="A207" i="1"/>
  <c r="A278" i="1"/>
  <c r="A247" i="1"/>
  <c r="A220" i="1"/>
  <c r="A26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3" i="1"/>
  <c r="J118" i="1"/>
  <c r="J117" i="1"/>
  <c r="J116" i="1"/>
  <c r="J115" i="1"/>
  <c r="J104" i="1"/>
  <c r="J103" i="1"/>
  <c r="J102" i="1"/>
  <c r="J101" i="1"/>
  <c r="C93" i="1"/>
  <c r="D53" i="1"/>
  <c r="G48" i="1"/>
  <c r="C48" i="1"/>
  <c r="E41" i="1"/>
  <c r="E42" i="1" s="1"/>
  <c r="E25" i="1"/>
  <c r="E23" i="1"/>
  <c r="E7" i="1"/>
  <c r="E3" i="1"/>
  <c r="D59" i="1" s="1"/>
  <c r="A221" i="1"/>
  <c r="A264" i="1"/>
  <c r="A248" i="1"/>
  <c r="H108" i="1"/>
  <c r="H94" i="1"/>
  <c r="D118" i="1" l="1"/>
  <c r="D119" i="1"/>
  <c r="D120" i="1"/>
  <c r="D114" i="1"/>
  <c r="D115" i="1"/>
  <c r="D116" i="1"/>
  <c r="D117" i="1"/>
  <c r="D113" i="1"/>
  <c r="D106" i="1"/>
  <c r="D104" i="1"/>
  <c r="D103" i="1"/>
  <c r="D102" i="1"/>
  <c r="D100" i="1"/>
  <c r="D99" i="1"/>
  <c r="D105" i="1"/>
  <c r="D101" i="1"/>
  <c r="J97" i="1"/>
  <c r="J98" i="1"/>
  <c r="C97" i="1" s="1"/>
  <c r="J96" i="1"/>
  <c r="J99" i="1"/>
  <c r="J113" i="1"/>
  <c r="J114" i="1" s="1"/>
  <c r="J119" i="1" s="1"/>
  <c r="J120" i="1" s="1"/>
  <c r="C112" i="1" s="1"/>
  <c r="J111" i="1"/>
  <c r="J112" i="1"/>
  <c r="C111" i="1" s="1"/>
  <c r="J110" i="1"/>
  <c r="H136" i="1"/>
  <c r="A249" i="1"/>
  <c r="A265" i="1"/>
  <c r="J140" i="1" l="1"/>
  <c r="C139" i="1" s="1"/>
  <c r="D148" i="1"/>
  <c r="D144" i="1"/>
  <c r="J138" i="1"/>
  <c r="J139" i="1"/>
  <c r="D141" i="1"/>
  <c r="D147" i="1"/>
  <c r="D143" i="1"/>
  <c r="D146" i="1"/>
  <c r="D142" i="1"/>
  <c r="J141" i="1"/>
  <c r="J142" i="1" s="1"/>
  <c r="J147" i="1" s="1"/>
  <c r="J148" i="1" s="1"/>
  <c r="C140" i="1" s="1"/>
  <c r="E139" i="1" s="1"/>
  <c r="D145" i="1"/>
  <c r="J100" i="1"/>
  <c r="J105" i="1" s="1"/>
  <c r="J106" i="1" s="1"/>
  <c r="C98" i="1" s="1"/>
  <c r="E97" i="1" s="1"/>
  <c r="D97" i="1"/>
  <c r="E111" i="1"/>
  <c r="D112" i="1"/>
  <c r="G111" i="1"/>
  <c r="D111" i="1"/>
  <c r="D140" i="1" l="1"/>
  <c r="G139" i="1"/>
  <c r="D139" i="1"/>
  <c r="I135" i="1" s="1"/>
  <c r="C137" i="1" s="1"/>
  <c r="G97" i="1"/>
  <c r="D63" i="1" s="1"/>
  <c r="F64" i="1" s="1"/>
  <c r="D98" i="1"/>
  <c r="I93" i="1"/>
  <c r="C95" i="1" s="1"/>
  <c r="I107" i="1"/>
  <c r="C109" i="1" s="1"/>
  <c r="H80" i="1"/>
  <c r="J84" i="1" l="1"/>
  <c r="C83" i="1" s="1"/>
  <c r="J82" i="1"/>
  <c r="D92" i="1"/>
  <c r="D88" i="1"/>
  <c r="D91" i="1"/>
  <c r="D87" i="1"/>
  <c r="J83" i="1"/>
  <c r="D90" i="1"/>
  <c r="D86" i="1"/>
  <c r="J85" i="1"/>
  <c r="J86" i="1" s="1"/>
  <c r="J91" i="1" s="1"/>
  <c r="D89" i="1"/>
  <c r="D85" i="1"/>
  <c r="D64" i="1"/>
  <c r="J92" i="1" l="1"/>
  <c r="E83" i="1"/>
  <c r="D83" i="1"/>
  <c r="I79" i="1" l="1"/>
  <c r="C81" i="1" s="1"/>
  <c r="G83" i="1"/>
  <c r="D84" i="1"/>
</calcChain>
</file>

<file path=xl/sharedStrings.xml><?xml version="1.0" encoding="utf-8"?>
<sst xmlns="http://schemas.openxmlformats.org/spreadsheetml/2006/main" count="575" uniqueCount="233">
  <si>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</si>
  <si>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</si>
  <si>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</si>
  <si>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</si>
  <si>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</si>
  <si>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</si>
  <si>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</si>
  <si>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</si>
  <si>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</si>
  <si>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</si>
  <si>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</si>
  <si>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</si>
  <si>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</si>
  <si>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</si>
  <si>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</si>
  <si>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</si>
  <si>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</si>
  <si>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</si>
  <si>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</si>
  <si>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</si>
  <si>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</si>
  <si>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</si>
  <si>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</si>
  <si>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</si>
  <si>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</si>
  <si>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</si>
  <si>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</si>
  <si>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</si>
  <si>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</si>
  <si>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</si>
  <si>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</si>
  <si>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</si>
  <si>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</si>
  <si>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</si>
  <si>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</si>
  <si>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</si>
  <si>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</si>
  <si>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</si>
  <si>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</si>
  <si>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</si>
  <si>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</si>
  <si>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</si>
  <si>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</si>
  <si>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</si>
  <si>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</si>
  <si>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</si>
  <si>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</si>
  <si>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</si>
  <si>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</si>
  <si>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</si>
  <si>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</si>
  <si>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</si>
  <si>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</si>
  <si>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</si>
  <si>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</si>
  <si>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</si>
  <si>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</si>
  <si>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</si>
  <si>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</si>
  <si>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</si>
  <si>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</si>
  <si>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</si>
  <si>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</si>
  <si>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</si>
  <si>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</si>
  <si>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</si>
  <si>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</si>
  <si>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</si>
  <si>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</si>
  <si>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</si>
  <si>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</si>
  <si>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</si>
  <si>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</si>
  <si>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</si>
  <si>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</si>
  <si>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</si>
  <si>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</si>
  <si>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</si>
  <si>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</si>
  <si>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</si>
  <si>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</si>
  <si>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</si>
  <si>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</si>
  <si>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</si>
  <si>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</si>
  <si>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</si>
  <si>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</si>
  <si>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</si>
  <si>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</si>
  <si>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</si>
  <si>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</si>
  <si>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</si>
  <si>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</si>
  <si>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</si>
  <si>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</si>
  <si>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</si>
  <si>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</si>
  <si>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</si>
  <si>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</si>
  <si>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</si>
  <si>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</si>
  <si>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</si>
  <si>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</si>
  <si>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</si>
  <si>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</si>
  <si>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</si>
  <si>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</si>
  <si>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</si>
  <si>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</si>
  <si>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</si>
  <si>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</si>
  <si>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</si>
  <si>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</si>
  <si>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</si>
  <si>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</si>
  <si>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</si>
  <si>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</si>
  <si>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</si>
  <si>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</si>
  <si>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</si>
  <si>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</si>
  <si>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</si>
  <si>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</si>
  <si>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</si>
  <si>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</si>
  <si>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</si>
  <si>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</si>
  <si>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</si>
  <si>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</si>
  <si>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</si>
  <si>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</si>
  <si>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</si>
  <si>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</si>
  <si>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</si>
  <si>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</si>
  <si>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</si>
  <si>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</si>
  <si>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</si>
  <si>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</si>
  <si>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</si>
  <si>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</si>
  <si>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</si>
  <si>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</si>
  <si>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</si>
  <si>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</si>
  <si>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</si>
  <si>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</si>
  <si>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</si>
  <si>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</si>
  <si>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</si>
  <si>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</si>
  <si>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</si>
  <si>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</si>
  <si>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</si>
  <si>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</si>
  <si>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</si>
  <si>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</si>
  <si>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</si>
  <si>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</si>
  <si>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</si>
  <si>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</si>
  <si>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</si>
  <si>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</si>
  <si>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Legal Charges</t>
  </si>
  <si>
    <t>Ground Floor for Residential &amp; Parking</t>
  </si>
  <si>
    <t>1BHK</t>
  </si>
  <si>
    <t>1st to 7th Floor for Residential</t>
  </si>
  <si>
    <t>Ground Floor for Parking</t>
  </si>
  <si>
    <t>2BHK</t>
  </si>
  <si>
    <t>Building No. 3</t>
  </si>
  <si>
    <t>Building No. 7</t>
  </si>
  <si>
    <t>Building No. 1</t>
  </si>
  <si>
    <t>Building No. 2</t>
  </si>
  <si>
    <t>Building No. 4</t>
  </si>
  <si>
    <t>Building No. 5</t>
  </si>
  <si>
    <t>Building No. 6</t>
  </si>
  <si>
    <t>Flats - 334</t>
  </si>
  <si>
    <t>Axis Sanpada</t>
  </si>
  <si>
    <t>M/s. Shikhar Realty</t>
  </si>
  <si>
    <t>Shikhar Greens</t>
  </si>
  <si>
    <t>Approved Plans, CC, Builder Saleable Area, Cost Sheet.</t>
  </si>
  <si>
    <t>P52000034020</t>
  </si>
  <si>
    <t>Chavane</t>
  </si>
  <si>
    <t xml:space="preserve">Panvel </t>
  </si>
  <si>
    <t>Raigad</t>
  </si>
  <si>
    <t>Survey No</t>
  </si>
  <si>
    <t>Savroli - kharpada road</t>
  </si>
  <si>
    <t>Apta east</t>
  </si>
  <si>
    <t>JMJ Projects</t>
  </si>
  <si>
    <t>6.7 KM from Rasayani Railway Station</t>
  </si>
  <si>
    <t>Open land</t>
  </si>
  <si>
    <t>U/c Building</t>
  </si>
  <si>
    <t>7 Wings</t>
  </si>
  <si>
    <t xml:space="preserve">Alibag Municipal Council
</t>
  </si>
  <si>
    <t>SSNR-RA/BP/Mouje - Chavane/T.Panvel/S.No.31/1/1200</t>
  </si>
  <si>
    <t>MS/LNA-1(B)/Tokan No. 15054/P.K.61/2020</t>
  </si>
  <si>
    <t>As per RERA - 31/03/2027</t>
  </si>
  <si>
    <t>We considered Gross carpet area = Net carpet + Balcony + C.B Area.</t>
  </si>
  <si>
    <t xml:space="preserve">Builder Saleable Area </t>
  </si>
  <si>
    <t>Society, Clubhouse, Documentation Charges</t>
  </si>
  <si>
    <t xml:space="preserve">Wing A to G </t>
  </si>
  <si>
    <t>Building No. 1 to 7 (Wing A to G) = G/St +1st to 7th Floor.</t>
  </si>
  <si>
    <t>Building No. 2 (Wing - B) = G/St +1st to 7th Floor.</t>
  </si>
  <si>
    <t>3200 to 4000</t>
  </si>
  <si>
    <t>smith</t>
  </si>
  <si>
    <t>Location Link</t>
  </si>
  <si>
    <t>https://goo.gl/maps/ZD9nWMxc29vUeMPu9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</si>
  <si>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</si>
  <si>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Wing E</t>
  </si>
  <si>
    <t>Wing D</t>
  </si>
  <si>
    <t xml:space="preserve">Wing C </t>
  </si>
  <si>
    <t>Wing B</t>
  </si>
  <si>
    <t>Wing A</t>
  </si>
  <si>
    <t>Wing F</t>
  </si>
  <si>
    <t>Wing G</t>
  </si>
  <si>
    <t>Building No. 7 (Wing G) = G/St +1st to 7th Floor.</t>
  </si>
  <si>
    <t>Wing C</t>
  </si>
  <si>
    <t>Building No. 4 (Wing D) = G/St +1st to 7th Floor.</t>
  </si>
  <si>
    <t>Building No. 3 (Wing C) = G/St +1st to 7th Floor.</t>
  </si>
  <si>
    <t>Building No. 1 &amp; 2 (Wing A &amp; B) = G/St +1st to 7th Floor.
Building No. 4 to 7 (Wing D to G) = G/St +1st to 7th Floor.</t>
  </si>
  <si>
    <t>Building No. 6 (Wing F) = G/St +1st to 7th Floor.</t>
  </si>
  <si>
    <t>Building No. 5 (Wing E) = G/St +1st to 7th Floor.</t>
  </si>
  <si>
    <t>Building No. 1 (Wing A) = G/St +1st to 7th Floor.</t>
  </si>
  <si>
    <t>On Site, we meet Sales person : 8097807901.</t>
  </si>
  <si>
    <t>Since building no.1 (Wing A) have received CC on 23/03/2022, but as of construction work is not started.</t>
  </si>
  <si>
    <t>4000 to 4100</t>
  </si>
  <si>
    <t>Recommended Rates/Other Charges of the Property have been revised on 27/03/2024.</t>
  </si>
  <si>
    <t>Site Person - Contact Details ( Name &amp; Contact No.)</t>
  </si>
  <si>
    <t>Mr. Shravan 7489579808</t>
  </si>
  <si>
    <t>Mr. Dnyaneshwar 8355834925</t>
  </si>
  <si>
    <t>Gaurav Panchal</t>
  </si>
  <si>
    <t>Nitesh Patil</t>
  </si>
  <si>
    <t>Wing A = Construction work same as last visit dtd. 05/06/2025 but work is in process at the time of visit.
Wing B, C = Finishing work is in process at the time of visit. Few tenants have occupied flats in building.
Wing D, E, F &amp; G = Construction work is in process at the time of Visit.
Wing - G (Building no.7) = Work is same as last visit (30/08/2022).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</si>
</sst>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0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24" fillId="0" borderId="7" xfId="10" applyFill="1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20" fontId="7" fillId="0" borderId="0" xfId="1" applyNumberFormat="1" applyFont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347</xdr:row>
      <xdr:rowOff>19050</xdr:rowOff>
    </xdr:from>
    <xdr:to>
      <xdr:col>7</xdr:col>
      <xdr:colOff>56611</xdr:colOff>
      <xdr:row>365</xdr:row>
      <xdr:rowOff>58946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63569850"/>
          <a:ext cx="5400136" cy="36403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771525</xdr:colOff>
      <xdr:row>366</xdr:row>
      <xdr:rowOff>56781</xdr:rowOff>
    </xdr:from>
    <xdr:to>
      <xdr:col>7</xdr:col>
      <xdr:colOff>91116</xdr:colOff>
      <xdr:row>384</xdr:row>
      <xdr:rowOff>96678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67408056"/>
          <a:ext cx="5434641" cy="36403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861939</xdr:colOff>
      <xdr:row>301</xdr:row>
      <xdr:rowOff>23007</xdr:rowOff>
    </xdr:from>
    <xdr:to>
      <xdr:col>17</xdr:col>
      <xdr:colOff>76143</xdr:colOff>
      <xdr:row>342</xdr:row>
      <xdr:rowOff>163998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786614" y="64221507"/>
          <a:ext cx="6272229" cy="8332491"/>
          <a:chOff x="263769" y="63535414"/>
          <a:chExt cx="6323957" cy="8244275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313867" y="63566187"/>
            <a:ext cx="6273859" cy="8213502"/>
            <a:chOff x="211291" y="63566187"/>
            <a:chExt cx="6273859" cy="8213502"/>
          </a:xfrm>
        </xdr:grpSpPr>
        <xdr:pic>
          <xdr:nvPicPr>
            <xdr:cNvPr id="20" name="Picture 19" descr="https://vsjcllp.vsjadon.com/upload/insp-220671-1525.jpg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51486" y="70413364"/>
              <a:ext cx="1038957" cy="136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 descr="https://vsjcllp.vsjadon.com/upload/insp-220671-843.jpg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81034" y="63566187"/>
              <a:ext cx="1720189" cy="22662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20671-845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15207" y="70412387"/>
              <a:ext cx="1839709" cy="136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20671-844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8532" y="63566187"/>
              <a:ext cx="1713199" cy="22662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20671-847.jpg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38525" y="70413364"/>
              <a:ext cx="1038403" cy="136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20671-849.jpg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00359" y="68214786"/>
              <a:ext cx="2884791" cy="213582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20671-862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23992" y="65920235"/>
              <a:ext cx="1690850" cy="223435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20671-871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5662" y="65915290"/>
              <a:ext cx="1696983" cy="223435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20671-874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70881" y="65915829"/>
              <a:ext cx="1695449" cy="223435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20671-940.jpg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88578" y="63568385"/>
              <a:ext cx="1720965" cy="22662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20671-880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1291" y="68216584"/>
              <a:ext cx="1623612" cy="213582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20671-931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04910" y="68214387"/>
              <a:ext cx="1623610" cy="21334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797444" y="63544207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797444" y="65932783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4349536" y="63535414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2560302" y="63541275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4345890" y="65890917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2569094" y="65916664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263769" y="68206326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1962150" y="68182881"/>
            <a:ext cx="592337" cy="261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</xdr:grpSp>
    <xdr:clientData/>
  </xdr:twoCellAnchor>
  <xdr:twoCellAnchor>
    <xdr:from>
      <xdr:col>8</xdr:col>
      <xdr:colOff>962025</xdr:colOff>
      <xdr:row>303</xdr:row>
      <xdr:rowOff>97155</xdr:rowOff>
    </xdr:from>
    <xdr:to>
      <xdr:col>18</xdr:col>
      <xdr:colOff>87630</xdr:colOff>
      <xdr:row>338</xdr:row>
      <xdr:rowOff>175312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3FDE804-3B1D-B97C-348E-7B89BA70F162}"/>
            </a:ext>
          </a:extLst>
        </xdr:cNvPr>
        <xdr:cNvGrpSpPr/>
      </xdr:nvGrpSpPr>
      <xdr:grpSpPr>
        <a:xfrm>
          <a:off x="7886700" y="64695705"/>
          <a:ext cx="6793230" cy="7069507"/>
          <a:chOff x="-414700" y="258941"/>
          <a:chExt cx="8073240" cy="801629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AA395EB-3695-70C3-6ED1-4DEFAEF596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7255" y="2999216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D0CDD66B-26A4-AFF0-D802-6487368EF7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414700" y="2999216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F418BAF-564A-E7D2-C31A-8EE0D629E2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71165" y="303307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EA8393C-89DF-79FF-7CAC-D1A8E1D7C2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9210" y="3033079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3DDF82C8-30C6-54B6-FAC8-D3795E201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9027" y="575523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B15FB07-D60D-BDD0-E38F-427C7502CE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7439" y="575523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909A096-82D4-6170-338E-F13D13BC4D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2212" y="27706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3BF8C9D4-E3E4-29AD-A246-B48160591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180072" y="277063"/>
            <a:ext cx="3355333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C3BFFA1-6588-43FC-9E20-EC2CAD3D8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36538" y="277063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TextBox 22">
            <a:extLst>
              <a:ext uri="{FF2B5EF4-FFF2-40B4-BE49-F238E27FC236}">
                <a16:creationId xmlns:a16="http://schemas.microsoft.com/office/drawing/2014/main" id="{36D325FB-6A0B-0F4C-4C79-F78C27084438}"/>
              </a:ext>
            </a:extLst>
          </xdr:cNvPr>
          <xdr:cNvSpPr txBox="1"/>
        </xdr:nvSpPr>
        <xdr:spPr>
          <a:xfrm>
            <a:off x="5820102" y="2999216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G</a:t>
            </a:r>
          </a:p>
        </xdr:txBody>
      </xdr:sp>
      <xdr:sp macro="" textlink="">
        <xdr:nvSpPr>
          <xdr:cNvPr id="17" name="TextBox 23">
            <a:extLst>
              <a:ext uri="{FF2B5EF4-FFF2-40B4-BE49-F238E27FC236}">
                <a16:creationId xmlns:a16="http://schemas.microsoft.com/office/drawing/2014/main" id="{55ABC007-3E72-43DB-95BB-82D69536536B}"/>
              </a:ext>
            </a:extLst>
          </xdr:cNvPr>
          <xdr:cNvSpPr txBox="1"/>
        </xdr:nvSpPr>
        <xdr:spPr>
          <a:xfrm>
            <a:off x="4851351" y="3050525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F</a:t>
            </a:r>
          </a:p>
        </xdr:txBody>
      </xdr:sp>
      <xdr:sp macro="" textlink="">
        <xdr:nvSpPr>
          <xdr:cNvPr id="18" name="TextBox 24">
            <a:extLst>
              <a:ext uri="{FF2B5EF4-FFF2-40B4-BE49-F238E27FC236}">
                <a16:creationId xmlns:a16="http://schemas.microsoft.com/office/drawing/2014/main" id="{3B54A57D-F180-55FA-4A45-2C902EC2FBE7}"/>
              </a:ext>
            </a:extLst>
          </xdr:cNvPr>
          <xdr:cNvSpPr txBox="1"/>
        </xdr:nvSpPr>
        <xdr:spPr>
          <a:xfrm>
            <a:off x="-194289" y="3129023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D</a:t>
            </a:r>
          </a:p>
        </xdr:txBody>
      </xdr:sp>
      <xdr:sp macro="" textlink="">
        <xdr:nvSpPr>
          <xdr:cNvPr id="19" name="TextBox 25">
            <a:extLst>
              <a:ext uri="{FF2B5EF4-FFF2-40B4-BE49-F238E27FC236}">
                <a16:creationId xmlns:a16="http://schemas.microsoft.com/office/drawing/2014/main" id="{8D787F8E-6C6C-D7C4-77A6-092AA6DDE8D1}"/>
              </a:ext>
            </a:extLst>
          </xdr:cNvPr>
          <xdr:cNvSpPr txBox="1"/>
        </xdr:nvSpPr>
        <xdr:spPr>
          <a:xfrm>
            <a:off x="5771165" y="412830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C</a:t>
            </a:r>
          </a:p>
        </xdr:txBody>
      </xdr:sp>
      <xdr:sp macro="" textlink="">
        <xdr:nvSpPr>
          <xdr:cNvPr id="29" name="TextBox 26">
            <a:extLst>
              <a:ext uri="{FF2B5EF4-FFF2-40B4-BE49-F238E27FC236}">
                <a16:creationId xmlns:a16="http://schemas.microsoft.com/office/drawing/2014/main" id="{7C090FD1-A7B7-CFF2-C793-08736054AB20}"/>
              </a:ext>
            </a:extLst>
          </xdr:cNvPr>
          <xdr:cNvSpPr txBox="1"/>
        </xdr:nvSpPr>
        <xdr:spPr>
          <a:xfrm>
            <a:off x="3709026" y="258941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B</a:t>
            </a:r>
          </a:p>
        </xdr:txBody>
      </xdr:sp>
      <xdr:sp macro="" textlink="">
        <xdr:nvSpPr>
          <xdr:cNvPr id="33" name="TextBox 27">
            <a:extLst>
              <a:ext uri="{FF2B5EF4-FFF2-40B4-BE49-F238E27FC236}">
                <a16:creationId xmlns:a16="http://schemas.microsoft.com/office/drawing/2014/main" id="{5310D1B6-6065-F0D3-A72B-51441B88A39E}"/>
              </a:ext>
            </a:extLst>
          </xdr:cNvPr>
          <xdr:cNvSpPr txBox="1"/>
        </xdr:nvSpPr>
        <xdr:spPr>
          <a:xfrm>
            <a:off x="1184911" y="868767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A</a:t>
            </a:r>
          </a:p>
        </xdr:txBody>
      </xdr:sp>
      <xdr:sp macro="" textlink="">
        <xdr:nvSpPr>
          <xdr:cNvPr id="34" name="TextBox 28">
            <a:extLst>
              <a:ext uri="{FF2B5EF4-FFF2-40B4-BE49-F238E27FC236}">
                <a16:creationId xmlns:a16="http://schemas.microsoft.com/office/drawing/2014/main" id="{2D783524-8FEE-0192-EEF1-5EEACD2AE666}"/>
              </a:ext>
            </a:extLst>
          </xdr:cNvPr>
          <xdr:cNvSpPr txBox="1"/>
        </xdr:nvSpPr>
        <xdr:spPr>
          <a:xfrm>
            <a:off x="2765521" y="2999216"/>
            <a:ext cx="843023" cy="3565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E</a:t>
            </a:r>
          </a:p>
        </xdr:txBody>
      </xdr:sp>
    </xdr:grpSp>
    <xdr:clientData/>
  </xdr:twoCellAnchor>
  <xdr:twoCellAnchor>
    <xdr:from>
      <xdr:col>0</xdr:col>
      <xdr:colOff>85725</xdr:colOff>
      <xdr:row>304</xdr:row>
      <xdr:rowOff>9525</xdr:rowOff>
    </xdr:from>
    <xdr:to>
      <xdr:col>7</xdr:col>
      <xdr:colOff>1227125</xdr:colOff>
      <xdr:row>337</xdr:row>
      <xdr:rowOff>58444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CA45923D-800C-4DDD-A7F1-556B2806388F}"/>
            </a:ext>
          </a:extLst>
        </xdr:cNvPr>
        <xdr:cNvGrpSpPr/>
      </xdr:nvGrpSpPr>
      <xdr:grpSpPr>
        <a:xfrm>
          <a:off x="85725" y="64808100"/>
          <a:ext cx="6837350" cy="6640219"/>
          <a:chOff x="57150" y="392807"/>
          <a:chExt cx="6837350" cy="6640219"/>
        </a:xfrm>
      </xdr:grpSpPr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6F0CD63C-43A1-438C-90FD-3CDB6DC83C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392807"/>
            <a:ext cx="3115667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54A4817D-9C7A-440C-94E8-BB43B8C046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51579" y="392807"/>
            <a:ext cx="175256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42D789E2-CBA0-4303-8BF3-F21F6656F4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3379" y="392807"/>
            <a:ext cx="175256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1AFA3566-B7E4-447D-99DE-266C443264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" y="288879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00EEB580-5998-42FE-9576-B1277B24D1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3424" y="288879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9BC49EEA-DA6D-4105-93A9-0970D33E6D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1598" y="288879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DDDD8A93-075C-4FF9-B388-280C924DEA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9000" y="5233026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DA27558B-A685-4555-831C-FBEA15DE5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1002" y="523302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8619084F-B292-45F2-8064-B54D0CCD20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69272" y="523302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4" name="TextBox 27">
            <a:extLst>
              <a:ext uri="{FF2B5EF4-FFF2-40B4-BE49-F238E27FC236}">
                <a16:creationId xmlns:a16="http://schemas.microsoft.com/office/drawing/2014/main" id="{4222173B-748D-49F4-81C1-226A9A3109BF}"/>
              </a:ext>
            </a:extLst>
          </xdr:cNvPr>
          <xdr:cNvSpPr txBox="1"/>
        </xdr:nvSpPr>
        <xdr:spPr>
          <a:xfrm>
            <a:off x="531645" y="747137"/>
            <a:ext cx="847725" cy="3144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A</a:t>
            </a:r>
          </a:p>
        </xdr:txBody>
      </xdr:sp>
      <xdr:sp macro="" textlink="">
        <xdr:nvSpPr>
          <xdr:cNvPr id="75" name="TextBox 27">
            <a:extLst>
              <a:ext uri="{FF2B5EF4-FFF2-40B4-BE49-F238E27FC236}">
                <a16:creationId xmlns:a16="http://schemas.microsoft.com/office/drawing/2014/main" id="{CBD18FA5-0688-4EDC-A46B-4C6FCE94E957}"/>
              </a:ext>
            </a:extLst>
          </xdr:cNvPr>
          <xdr:cNvSpPr txBox="1"/>
        </xdr:nvSpPr>
        <xdr:spPr>
          <a:xfrm>
            <a:off x="3494353" y="423287"/>
            <a:ext cx="847725" cy="3144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B</a:t>
            </a:r>
          </a:p>
        </xdr:txBody>
      </xdr:sp>
      <xdr:sp macro="" textlink="">
        <xdr:nvSpPr>
          <xdr:cNvPr id="76" name="TextBox 27">
            <a:extLst>
              <a:ext uri="{FF2B5EF4-FFF2-40B4-BE49-F238E27FC236}">
                <a16:creationId xmlns:a16="http://schemas.microsoft.com/office/drawing/2014/main" id="{1D2EBC9E-CDA7-48A9-BECA-747D3FF91F87}"/>
              </a:ext>
            </a:extLst>
          </xdr:cNvPr>
          <xdr:cNvSpPr txBox="1"/>
        </xdr:nvSpPr>
        <xdr:spPr>
          <a:xfrm>
            <a:off x="5340078" y="421046"/>
            <a:ext cx="847725" cy="23400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C</a:t>
            </a:r>
          </a:p>
        </xdr:txBody>
      </xdr:sp>
      <xdr:sp macro="" textlink="">
        <xdr:nvSpPr>
          <xdr:cNvPr id="77" name="TextBox 24">
            <a:extLst>
              <a:ext uri="{FF2B5EF4-FFF2-40B4-BE49-F238E27FC236}">
                <a16:creationId xmlns:a16="http://schemas.microsoft.com/office/drawing/2014/main" id="{7BC7AB06-5A34-4A0A-80FF-0E432E9047D6}"/>
              </a:ext>
            </a:extLst>
          </xdr:cNvPr>
          <xdr:cNvSpPr txBox="1"/>
        </xdr:nvSpPr>
        <xdr:spPr>
          <a:xfrm>
            <a:off x="111575" y="2869587"/>
            <a:ext cx="847725" cy="3144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D</a:t>
            </a:r>
          </a:p>
        </xdr:txBody>
      </xdr:sp>
      <xdr:sp macro="" textlink="">
        <xdr:nvSpPr>
          <xdr:cNvPr id="78" name="TextBox 28">
            <a:extLst>
              <a:ext uri="{FF2B5EF4-FFF2-40B4-BE49-F238E27FC236}">
                <a16:creationId xmlns:a16="http://schemas.microsoft.com/office/drawing/2014/main" id="{4424FB1B-A8CC-4A80-AC0A-41D35ADF89F4}"/>
              </a:ext>
            </a:extLst>
          </xdr:cNvPr>
          <xdr:cNvSpPr txBox="1"/>
        </xdr:nvSpPr>
        <xdr:spPr>
          <a:xfrm>
            <a:off x="1773434" y="2831311"/>
            <a:ext cx="709362" cy="3144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E</a:t>
            </a:r>
          </a:p>
        </xdr:txBody>
      </xdr:sp>
      <xdr:sp macro="" textlink="">
        <xdr:nvSpPr>
          <xdr:cNvPr id="79" name="TextBox 23">
            <a:extLst>
              <a:ext uri="{FF2B5EF4-FFF2-40B4-BE49-F238E27FC236}">
                <a16:creationId xmlns:a16="http://schemas.microsoft.com/office/drawing/2014/main" id="{6B5C5FCC-AA42-4265-91E1-E125E08BB597}"/>
              </a:ext>
            </a:extLst>
          </xdr:cNvPr>
          <xdr:cNvSpPr txBox="1"/>
        </xdr:nvSpPr>
        <xdr:spPr>
          <a:xfrm>
            <a:off x="4397826" y="2888461"/>
            <a:ext cx="709362" cy="3144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F</a:t>
            </a:r>
          </a:p>
        </xdr:txBody>
      </xdr:sp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93FDB1A3-FD05-4CB5-A15E-45FEF70059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2574" y="288846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1" name="TextBox 23">
            <a:extLst>
              <a:ext uri="{FF2B5EF4-FFF2-40B4-BE49-F238E27FC236}">
                <a16:creationId xmlns:a16="http://schemas.microsoft.com/office/drawing/2014/main" id="{A9EB2C73-CFA5-4DE3-81A0-BE16449A0C53}"/>
              </a:ext>
            </a:extLst>
          </xdr:cNvPr>
          <xdr:cNvSpPr txBox="1"/>
        </xdr:nvSpPr>
        <xdr:spPr>
          <a:xfrm>
            <a:off x="6134100" y="2916700"/>
            <a:ext cx="760400" cy="40089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Wing 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D9nWMxc29vUeMPu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46"/>
  <sheetViews>
    <sheetView tabSelected="1" view="pageBreakPreview" topLeftCell="A28" zoomScaleNormal="100" zoomScaleSheetLayoutView="100" zoomScalePageLayoutView="85" workbookViewId="0">
      <selection activeCell="K35" sqref="K3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8.42578125" style="40" customWidth="1"/>
    <col min="9" max="9" width="17.42578125" style="20" customWidth="1"/>
    <col min="10" max="10" width="11.42578125" style="20" customWidth="1"/>
    <col min="11" max="11" width="11.285156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 x14ac:dyDescent="0.25">
      <c r="A1" s="134" t="s">
        <v>207</v>
      </c>
      <c r="B1" s="134"/>
      <c r="C1" s="134"/>
      <c r="D1" s="134"/>
      <c r="E1" s="134"/>
      <c r="F1" s="134"/>
      <c r="G1" s="134"/>
      <c r="H1" s="134"/>
    </row>
    <row r="2" spans="1:12" ht="16.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</row>
    <row r="3" spans="1:12" x14ac:dyDescent="0.25">
      <c r="A3" s="119" t="s">
        <v>1</v>
      </c>
      <c r="B3" s="119"/>
      <c r="C3" s="119"/>
      <c r="D3" s="119"/>
      <c r="E3" s="119" t="str">
        <f ca="1">TEXT(TODAY(),"DD/MM/YYYY")</f>
        <v>12/09/2025</v>
      </c>
      <c r="F3" s="119"/>
      <c r="G3" s="119"/>
      <c r="H3" s="119"/>
    </row>
    <row r="4" spans="1:12" ht="15" customHeight="1" x14ac:dyDescent="0.25">
      <c r="A4" s="119" t="s">
        <v>2</v>
      </c>
      <c r="B4" s="119"/>
      <c r="C4" s="119"/>
      <c r="D4" s="119"/>
      <c r="E4" s="119" t="s">
        <v>177</v>
      </c>
      <c r="F4" s="119"/>
      <c r="G4" s="119"/>
      <c r="H4" s="119"/>
    </row>
    <row r="5" spans="1:12" x14ac:dyDescent="0.25">
      <c r="A5" s="119" t="s">
        <v>3</v>
      </c>
      <c r="B5" s="119"/>
      <c r="C5" s="119"/>
      <c r="D5" s="119"/>
      <c r="E5" s="133">
        <v>45907</v>
      </c>
      <c r="F5" s="133"/>
      <c r="G5" s="133"/>
      <c r="H5" s="133"/>
    </row>
    <row r="6" spans="1:12" x14ac:dyDescent="0.25">
      <c r="A6" s="119" t="s">
        <v>4</v>
      </c>
      <c r="B6" s="119"/>
      <c r="C6" s="119"/>
      <c r="D6" s="119"/>
      <c r="E6" s="119" t="s">
        <v>178</v>
      </c>
      <c r="F6" s="119"/>
      <c r="G6" s="119"/>
      <c r="H6" s="119"/>
    </row>
    <row r="7" spans="1:12" ht="15" customHeight="1" x14ac:dyDescent="0.25">
      <c r="A7" s="119" t="s">
        <v>5</v>
      </c>
      <c r="B7" s="119"/>
      <c r="C7" s="119"/>
      <c r="D7" s="119"/>
      <c r="E7" s="119" t="str">
        <f>E6</f>
        <v>M/s. Shikhar Realty</v>
      </c>
      <c r="F7" s="119"/>
      <c r="G7" s="119"/>
      <c r="H7" s="119"/>
    </row>
    <row r="8" spans="1:12" x14ac:dyDescent="0.25">
      <c r="A8" s="119" t="s">
        <v>6</v>
      </c>
      <c r="B8" s="119"/>
      <c r="C8" s="119"/>
      <c r="D8" s="119"/>
      <c r="E8" s="67" t="s">
        <v>179</v>
      </c>
      <c r="F8" s="67"/>
      <c r="G8" s="67"/>
      <c r="H8" s="67"/>
    </row>
    <row r="9" spans="1:12" x14ac:dyDescent="0.25">
      <c r="A9" s="119" t="s">
        <v>125</v>
      </c>
      <c r="B9" s="119"/>
      <c r="C9" s="119"/>
      <c r="D9" s="119"/>
      <c r="E9" s="119">
        <v>8104395863</v>
      </c>
      <c r="F9" s="119"/>
      <c r="G9" s="119"/>
      <c r="H9" s="119"/>
    </row>
    <row r="10" spans="1:12" x14ac:dyDescent="0.25">
      <c r="A10" s="119" t="s">
        <v>227</v>
      </c>
      <c r="B10" s="119"/>
      <c r="C10" s="119"/>
      <c r="D10" s="119"/>
      <c r="E10" s="119" t="s">
        <v>229</v>
      </c>
      <c r="F10" s="119"/>
      <c r="G10" s="119"/>
      <c r="H10" s="119"/>
      <c r="I10" s="119" t="s">
        <v>228</v>
      </c>
      <c r="J10" s="119"/>
      <c r="K10" s="119"/>
      <c r="L10" s="119"/>
    </row>
    <row r="11" spans="1:12" x14ac:dyDescent="0.25">
      <c r="A11" s="119" t="s">
        <v>7</v>
      </c>
      <c r="B11" s="119"/>
      <c r="C11" s="119"/>
      <c r="D11" s="119"/>
      <c r="E11" s="119" t="s">
        <v>200</v>
      </c>
      <c r="F11" s="119"/>
      <c r="G11" s="119"/>
      <c r="H11" s="119"/>
    </row>
    <row r="12" spans="1:12" x14ac:dyDescent="0.25">
      <c r="A12" s="119" t="s">
        <v>8</v>
      </c>
      <c r="B12" s="119"/>
      <c r="C12" s="119"/>
      <c r="D12" s="119"/>
      <c r="E12" s="115" t="s">
        <v>180</v>
      </c>
      <c r="F12" s="115"/>
      <c r="G12" s="115"/>
      <c r="H12" s="115"/>
    </row>
    <row r="13" spans="1:12" x14ac:dyDescent="0.25">
      <c r="A13" s="119" t="s">
        <v>9</v>
      </c>
      <c r="B13" s="119"/>
      <c r="C13" s="119"/>
      <c r="D13" s="119"/>
      <c r="E13" s="115" t="s">
        <v>181</v>
      </c>
      <c r="F13" s="119"/>
      <c r="G13" s="119"/>
      <c r="H13" s="119"/>
    </row>
    <row r="14" spans="1:12" ht="33" customHeight="1" x14ac:dyDescent="0.25">
      <c r="A14" s="115" t="s">
        <v>10</v>
      </c>
      <c r="B14" s="115"/>
      <c r="C14" s="11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Shikhar Greens, Survey No.45322, near JMJ Projects, Savroli - kharpada road, Chavane, Apta east, Panvel , Raigad - 410207.</v>
      </c>
      <c r="D14" s="115"/>
      <c r="E14" s="115"/>
      <c r="F14" s="115"/>
      <c r="G14" s="115"/>
      <c r="H14" s="115"/>
    </row>
    <row r="15" spans="1:12" x14ac:dyDescent="0.25">
      <c r="A15" s="115" t="s">
        <v>185</v>
      </c>
      <c r="B15" s="115"/>
      <c r="C15" s="131">
        <v>45322</v>
      </c>
      <c r="D15" s="115"/>
      <c r="E15" s="115"/>
      <c r="F15" s="115"/>
      <c r="G15" s="115"/>
      <c r="H15" s="115"/>
    </row>
    <row r="16" spans="1:12" ht="15.75" customHeight="1" x14ac:dyDescent="0.25">
      <c r="A16" s="115" t="s">
        <v>11</v>
      </c>
      <c r="B16" s="115"/>
      <c r="C16" s="119" t="s">
        <v>186</v>
      </c>
      <c r="D16" s="119"/>
      <c r="E16" s="75" t="s">
        <v>77</v>
      </c>
      <c r="F16" s="75"/>
      <c r="G16" s="115" t="s">
        <v>182</v>
      </c>
      <c r="H16" s="115"/>
    </row>
    <row r="17" spans="1:8" x14ac:dyDescent="0.25">
      <c r="A17" s="74" t="s">
        <v>13</v>
      </c>
      <c r="B17" s="74"/>
      <c r="C17" s="115" t="s">
        <v>187</v>
      </c>
      <c r="D17" s="115"/>
      <c r="E17" s="75" t="s">
        <v>12</v>
      </c>
      <c r="F17" s="75"/>
      <c r="G17" s="132" t="s">
        <v>184</v>
      </c>
      <c r="H17" s="132"/>
    </row>
    <row r="18" spans="1:8" x14ac:dyDescent="0.25">
      <c r="A18" s="74" t="s">
        <v>78</v>
      </c>
      <c r="B18" s="74"/>
      <c r="C18" s="115" t="s">
        <v>183</v>
      </c>
      <c r="D18" s="115"/>
      <c r="E18" s="75" t="s">
        <v>14</v>
      </c>
      <c r="F18" s="75"/>
      <c r="G18" s="115">
        <v>410207</v>
      </c>
      <c r="H18" s="115"/>
    </row>
    <row r="19" spans="1:8" ht="32.25" customHeight="1" x14ac:dyDescent="0.25">
      <c r="A19" s="74" t="s">
        <v>126</v>
      </c>
      <c r="B19" s="74"/>
      <c r="C19" s="115" t="s">
        <v>188</v>
      </c>
      <c r="D19" s="115"/>
      <c r="E19" s="75" t="s">
        <v>15</v>
      </c>
      <c r="F19" s="75"/>
      <c r="G19" s="115" t="s">
        <v>189</v>
      </c>
      <c r="H19" s="115"/>
    </row>
    <row r="20" spans="1:8" ht="15" customHeight="1" x14ac:dyDescent="0.25">
      <c r="A20" s="75" t="s">
        <v>80</v>
      </c>
      <c r="B20" s="75"/>
      <c r="C20" s="75"/>
      <c r="D20" s="75"/>
      <c r="E20" s="119" t="s">
        <v>16</v>
      </c>
      <c r="F20" s="119"/>
      <c r="G20" s="119"/>
      <c r="H20" s="119"/>
    </row>
    <row r="21" spans="1:8" ht="18.75" customHeight="1" x14ac:dyDescent="0.25">
      <c r="A21" s="75"/>
      <c r="B21" s="75"/>
      <c r="C21" s="75"/>
      <c r="D21" s="75"/>
      <c r="E21" s="119"/>
      <c r="F21" s="119"/>
      <c r="G21" s="119"/>
      <c r="H21" s="119"/>
    </row>
    <row r="22" spans="1:8" ht="15" customHeight="1" x14ac:dyDescent="0.25">
      <c r="A22" s="75" t="s">
        <v>17</v>
      </c>
      <c r="B22" s="75"/>
      <c r="C22" s="75"/>
      <c r="D22" s="75"/>
      <c r="E22" s="115" t="s">
        <v>18</v>
      </c>
      <c r="F22" s="115"/>
      <c r="G22" s="115"/>
      <c r="H22" s="115"/>
    </row>
    <row r="23" spans="1:8" ht="15" customHeight="1" x14ac:dyDescent="0.25">
      <c r="A23" s="74" t="s">
        <v>19</v>
      </c>
      <c r="B23" s="74"/>
      <c r="C23" s="74"/>
      <c r="D23" s="74"/>
      <c r="E23" s="115" t="str">
        <f>IF(AND(G17="Mumbai"),"Upper Class","Middle Class")</f>
        <v>Middle Class</v>
      </c>
      <c r="F23" s="115"/>
      <c r="G23" s="115"/>
      <c r="H23" s="115"/>
    </row>
    <row r="24" spans="1:8" x14ac:dyDescent="0.25">
      <c r="A24" s="74" t="s">
        <v>20</v>
      </c>
      <c r="B24" s="74"/>
      <c r="C24" s="74"/>
      <c r="D24" s="74"/>
      <c r="E24" s="115" t="s">
        <v>21</v>
      </c>
      <c r="F24" s="115"/>
      <c r="G24" s="115"/>
      <c r="H24" s="115"/>
    </row>
    <row r="25" spans="1:8" ht="15.75" customHeight="1" x14ac:dyDescent="0.25">
      <c r="A25" s="74" t="s">
        <v>22</v>
      </c>
      <c r="B25" s="74"/>
      <c r="C25" s="74"/>
      <c r="D25" s="74"/>
      <c r="E25" s="115" t="str">
        <f>IF(AND(G17="Mumbai"),"Developed","Developing")</f>
        <v>Developing</v>
      </c>
      <c r="F25" s="115"/>
      <c r="G25" s="115"/>
      <c r="H25" s="115"/>
    </row>
    <row r="26" spans="1:8" x14ac:dyDescent="0.25">
      <c r="A26" s="74" t="s">
        <v>23</v>
      </c>
      <c r="B26" s="74"/>
      <c r="C26" s="74"/>
      <c r="D26" s="74"/>
      <c r="E26" s="115" t="s">
        <v>24</v>
      </c>
      <c r="F26" s="115"/>
      <c r="G26" s="115"/>
      <c r="H26" s="115"/>
    </row>
    <row r="27" spans="1:8" ht="15.75" customHeight="1" x14ac:dyDescent="0.25">
      <c r="A27" s="74" t="s">
        <v>85</v>
      </c>
      <c r="B27" s="74"/>
      <c r="C27" s="74"/>
      <c r="D27" s="74"/>
      <c r="E27" s="115" t="s">
        <v>86</v>
      </c>
      <c r="F27" s="115"/>
      <c r="G27" s="115"/>
      <c r="H27" s="115"/>
    </row>
    <row r="28" spans="1:8" ht="15" customHeight="1" x14ac:dyDescent="0.25">
      <c r="A28" s="74" t="s">
        <v>35</v>
      </c>
      <c r="B28" s="74"/>
      <c r="C28" s="74"/>
      <c r="D28" s="74"/>
      <c r="E28" s="115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Commercial",IF(AND(ISNUMBER(SEARCH("Shop",D54)),ISNUMBER(SEARCH("Office",D54))),"Commercial",IF(ISNUMBER(SEARCH("Shop",D54)),"Commercial",IF(ISNUMBER(SEARCH("Office",D54)),"Commercial",IF(ISNUMBER(SEARCH("Flat",D54)),"Residentail")))))))</f>
        <v>Residentail</v>
      </c>
      <c r="F28" s="115"/>
      <c r="G28" s="115"/>
      <c r="H28" s="115"/>
    </row>
    <row r="29" spans="1:8" ht="15.75" customHeight="1" x14ac:dyDescent="0.25">
      <c r="A29" s="74" t="s">
        <v>97</v>
      </c>
      <c r="B29" s="74"/>
      <c r="C29" s="74"/>
      <c r="D29" s="74"/>
      <c r="E29" s="115" t="s">
        <v>36</v>
      </c>
      <c r="F29" s="115"/>
      <c r="G29" s="115"/>
      <c r="H29" s="115"/>
    </row>
    <row r="30" spans="1:8" s="21" customFormat="1" x14ac:dyDescent="0.25">
      <c r="A30" s="129" t="s">
        <v>98</v>
      </c>
      <c r="B30" s="129"/>
      <c r="C30" s="127" t="s">
        <v>29</v>
      </c>
      <c r="D30" s="127"/>
      <c r="E30" s="127"/>
      <c r="F30" s="127" t="s">
        <v>31</v>
      </c>
      <c r="G30" s="127"/>
      <c r="H30" s="127"/>
    </row>
    <row r="31" spans="1:8" s="21" customFormat="1" x14ac:dyDescent="0.25">
      <c r="A31" s="128" t="s">
        <v>25</v>
      </c>
      <c r="B31" s="128" t="s">
        <v>30</v>
      </c>
      <c r="C31" s="130" t="s">
        <v>30</v>
      </c>
      <c r="D31" s="130"/>
      <c r="E31" s="130"/>
      <c r="F31" s="130" t="s">
        <v>186</v>
      </c>
      <c r="G31" s="130"/>
      <c r="H31" s="130"/>
    </row>
    <row r="32" spans="1:8" x14ac:dyDescent="0.25">
      <c r="A32" s="128" t="s">
        <v>26</v>
      </c>
      <c r="B32" s="128" t="s">
        <v>30</v>
      </c>
      <c r="C32" s="130" t="s">
        <v>30</v>
      </c>
      <c r="D32" s="130"/>
      <c r="E32" s="130"/>
      <c r="F32" s="130" t="s">
        <v>190</v>
      </c>
      <c r="G32" s="130"/>
      <c r="H32" s="130"/>
    </row>
    <row r="33" spans="1:11" s="21" customFormat="1" x14ac:dyDescent="0.25">
      <c r="A33" s="128" t="s">
        <v>28</v>
      </c>
      <c r="B33" s="128" t="s">
        <v>30</v>
      </c>
      <c r="C33" s="130" t="s">
        <v>30</v>
      </c>
      <c r="D33" s="130"/>
      <c r="E33" s="130"/>
      <c r="F33" s="130" t="s">
        <v>191</v>
      </c>
      <c r="G33" s="130"/>
      <c r="H33" s="130"/>
    </row>
    <row r="34" spans="1:11" x14ac:dyDescent="0.25">
      <c r="A34" s="128" t="s">
        <v>27</v>
      </c>
      <c r="B34" s="128" t="s">
        <v>30</v>
      </c>
      <c r="C34" s="130" t="s">
        <v>30</v>
      </c>
      <c r="D34" s="130"/>
      <c r="E34" s="130"/>
      <c r="F34" s="130" t="s">
        <v>190</v>
      </c>
      <c r="G34" s="130"/>
      <c r="H34" s="130"/>
    </row>
    <row r="35" spans="1:11" x14ac:dyDescent="0.25">
      <c r="A35" s="74" t="s">
        <v>32</v>
      </c>
      <c r="B35" s="74"/>
      <c r="C35" s="74"/>
      <c r="D35" s="74"/>
      <c r="E35" s="74"/>
      <c r="F35" s="74"/>
      <c r="G35" s="74"/>
      <c r="H35" s="74"/>
    </row>
    <row r="36" spans="1:11" ht="15.75" customHeight="1" x14ac:dyDescent="0.25">
      <c r="A36" s="57" t="s">
        <v>33</v>
      </c>
      <c r="B36" s="57"/>
      <c r="C36" s="125">
        <v>18.861298000000001</v>
      </c>
      <c r="D36" s="125"/>
      <c r="E36" s="57" t="s">
        <v>34</v>
      </c>
      <c r="F36" s="57"/>
      <c r="G36" s="126">
        <v>73.159825999999995</v>
      </c>
      <c r="H36" s="126"/>
    </row>
    <row r="37" spans="1:11" ht="15.75" customHeight="1" x14ac:dyDescent="0.25">
      <c r="A37" s="57" t="s">
        <v>205</v>
      </c>
      <c r="B37" s="57"/>
      <c r="C37" s="58" t="s">
        <v>206</v>
      </c>
      <c r="D37" s="59"/>
      <c r="E37" s="59"/>
      <c r="F37" s="59"/>
      <c r="G37" s="59"/>
      <c r="H37" s="60"/>
    </row>
    <row r="38" spans="1:11" x14ac:dyDescent="0.25">
      <c r="A38" s="73" t="s">
        <v>37</v>
      </c>
      <c r="B38" s="73"/>
      <c r="C38" s="73"/>
      <c r="D38" s="73"/>
      <c r="E38" s="73"/>
      <c r="F38" s="73"/>
      <c r="G38" s="73"/>
      <c r="H38" s="73"/>
    </row>
    <row r="39" spans="1:11" x14ac:dyDescent="0.25">
      <c r="A39" s="74" t="s">
        <v>38</v>
      </c>
      <c r="B39" s="74"/>
      <c r="C39" s="74"/>
      <c r="D39" s="74"/>
      <c r="E39" s="76">
        <v>9089.52</v>
      </c>
      <c r="F39" s="76"/>
      <c r="G39" s="76"/>
      <c r="H39" s="76"/>
    </row>
    <row r="40" spans="1:11" x14ac:dyDescent="0.25">
      <c r="A40" s="74" t="s">
        <v>39</v>
      </c>
      <c r="B40" s="74"/>
      <c r="C40" s="74"/>
      <c r="D40" s="74"/>
      <c r="E40" s="117">
        <v>1.1000000000000001</v>
      </c>
      <c r="F40" s="117"/>
      <c r="G40" s="117"/>
      <c r="H40" s="117"/>
    </row>
    <row r="41" spans="1:11" x14ac:dyDescent="0.25">
      <c r="A41" s="74" t="s">
        <v>40</v>
      </c>
      <c r="B41" s="74"/>
      <c r="C41" s="74"/>
      <c r="D41" s="74"/>
      <c r="E41" s="117">
        <f>E43/E39-E40</f>
        <v>1.0261287724764343</v>
      </c>
      <c r="F41" s="117"/>
      <c r="G41" s="117"/>
      <c r="H41" s="117"/>
    </row>
    <row r="42" spans="1:11" x14ac:dyDescent="0.25">
      <c r="A42" s="74" t="s">
        <v>41</v>
      </c>
      <c r="B42" s="74"/>
      <c r="C42" s="74"/>
      <c r="D42" s="74"/>
      <c r="E42" s="117">
        <f>E40+E41</f>
        <v>2.1261287724764344</v>
      </c>
      <c r="F42" s="117"/>
      <c r="G42" s="117"/>
      <c r="H42" s="117"/>
      <c r="J42" s="176"/>
      <c r="K42" s="176"/>
    </row>
    <row r="43" spans="1:11" x14ac:dyDescent="0.25">
      <c r="A43" s="74" t="s">
        <v>96</v>
      </c>
      <c r="B43" s="74"/>
      <c r="C43" s="74"/>
      <c r="D43" s="74"/>
      <c r="E43" s="118">
        <v>19325.490000000002</v>
      </c>
      <c r="F43" s="118"/>
      <c r="G43" s="118"/>
      <c r="H43" s="118"/>
      <c r="K43" s="176"/>
    </row>
    <row r="44" spans="1:11" x14ac:dyDescent="0.25">
      <c r="A44" s="119" t="s">
        <v>42</v>
      </c>
      <c r="B44" s="119"/>
      <c r="C44" s="119"/>
      <c r="D44" s="119"/>
      <c r="E44" s="119" t="s">
        <v>192</v>
      </c>
      <c r="F44" s="119"/>
      <c r="G44" s="119"/>
      <c r="H44" s="119"/>
    </row>
    <row r="45" spans="1:11" x14ac:dyDescent="0.25">
      <c r="A45" s="67" t="s">
        <v>43</v>
      </c>
      <c r="B45" s="67"/>
      <c r="C45" s="67"/>
      <c r="D45" s="67"/>
      <c r="E45" s="67"/>
      <c r="F45" s="67"/>
      <c r="G45" s="67"/>
      <c r="H45" s="67"/>
    </row>
    <row r="46" spans="1:11" ht="33.75" customHeight="1" x14ac:dyDescent="0.25">
      <c r="A46" s="95" t="s">
        <v>155</v>
      </c>
      <c r="B46" s="96"/>
      <c r="C46" s="97" t="s">
        <v>193</v>
      </c>
      <c r="D46" s="98"/>
      <c r="E46" s="98"/>
      <c r="F46" s="98"/>
      <c r="G46" s="98"/>
      <c r="H46" s="99"/>
    </row>
    <row r="47" spans="1:11" ht="31.5" customHeight="1" x14ac:dyDescent="0.25">
      <c r="A47" s="95" t="s">
        <v>44</v>
      </c>
      <c r="B47" s="96"/>
      <c r="C47" s="95" t="s">
        <v>194</v>
      </c>
      <c r="D47" s="167"/>
      <c r="E47" s="96"/>
      <c r="F47" s="49" t="s">
        <v>45</v>
      </c>
      <c r="G47" s="168">
        <v>44425</v>
      </c>
      <c r="H47" s="96"/>
    </row>
    <row r="48" spans="1:11" ht="32.25" customHeight="1" x14ac:dyDescent="0.25">
      <c r="A48" s="148" t="s">
        <v>46</v>
      </c>
      <c r="B48" s="150"/>
      <c r="C48" s="148" t="str">
        <f>C47</f>
        <v>SSNR-RA/BP/Mouje - Chavane/T.Panvel/S.No.31/1/1200</v>
      </c>
      <c r="D48" s="149"/>
      <c r="E48" s="150"/>
      <c r="F48" s="19" t="s">
        <v>45</v>
      </c>
      <c r="G48" s="156">
        <f>G47</f>
        <v>44425</v>
      </c>
      <c r="H48" s="157"/>
    </row>
    <row r="49" spans="1:14" s="22" customFormat="1" ht="33" customHeight="1" x14ac:dyDescent="0.25">
      <c r="A49" s="158" t="s">
        <v>159</v>
      </c>
      <c r="B49" s="159"/>
      <c r="C49" s="148" t="s">
        <v>195</v>
      </c>
      <c r="D49" s="149"/>
      <c r="E49" s="150"/>
      <c r="F49" s="19" t="s">
        <v>45</v>
      </c>
      <c r="G49" s="156">
        <v>44643</v>
      </c>
      <c r="H49" s="157"/>
    </row>
    <row r="50" spans="1:14" s="22" customFormat="1" x14ac:dyDescent="0.25">
      <c r="A50" s="160"/>
      <c r="B50" s="161"/>
      <c r="C50" s="148" t="s">
        <v>201</v>
      </c>
      <c r="D50" s="149"/>
      <c r="E50" s="149"/>
      <c r="F50" s="149"/>
      <c r="G50" s="149"/>
      <c r="H50" s="150"/>
    </row>
    <row r="51" spans="1:14" x14ac:dyDescent="0.25">
      <c r="A51" s="151" t="s">
        <v>47</v>
      </c>
      <c r="B51" s="152"/>
      <c r="C51" s="151" t="s">
        <v>109</v>
      </c>
      <c r="D51" s="153"/>
      <c r="E51" s="152"/>
      <c r="F51" s="44" t="s">
        <v>45</v>
      </c>
      <c r="G51" s="154" t="s">
        <v>30</v>
      </c>
      <c r="H51" s="155"/>
    </row>
    <row r="52" spans="1:14" x14ac:dyDescent="0.25">
      <c r="A52" s="140" t="s">
        <v>49</v>
      </c>
      <c r="B52" s="140"/>
      <c r="C52" s="140"/>
      <c r="D52" s="140"/>
      <c r="E52" s="140"/>
      <c r="F52" s="140"/>
      <c r="G52" s="140"/>
      <c r="H52" s="140"/>
    </row>
    <row r="53" spans="1:14" x14ac:dyDescent="0.25">
      <c r="A53" s="75" t="s">
        <v>95</v>
      </c>
      <c r="B53" s="75"/>
      <c r="C53" s="75"/>
      <c r="D53" s="119">
        <f>E43</f>
        <v>19325.490000000002</v>
      </c>
      <c r="E53" s="119"/>
      <c r="F53" s="119"/>
      <c r="G53" s="119"/>
      <c r="H53" s="119"/>
    </row>
    <row r="54" spans="1:14" x14ac:dyDescent="0.25">
      <c r="A54" s="115" t="s">
        <v>50</v>
      </c>
      <c r="B54" s="119"/>
      <c r="C54" s="119"/>
      <c r="D54" s="119" t="s">
        <v>176</v>
      </c>
      <c r="E54" s="119"/>
      <c r="F54" s="119"/>
      <c r="G54" s="119"/>
      <c r="H54" s="119"/>
      <c r="I54" s="23"/>
    </row>
    <row r="55" spans="1:14" x14ac:dyDescent="0.25">
      <c r="A55" s="120" t="s">
        <v>51</v>
      </c>
      <c r="B55" s="121"/>
      <c r="C55" s="122"/>
      <c r="D55" s="115" t="s">
        <v>201</v>
      </c>
      <c r="E55" s="119"/>
      <c r="F55" s="119"/>
      <c r="G55" s="119"/>
      <c r="H55" s="119"/>
    </row>
    <row r="56" spans="1:14" ht="15.75" customHeight="1" x14ac:dyDescent="0.25">
      <c r="A56" s="115" t="s">
        <v>93</v>
      </c>
      <c r="B56" s="115"/>
      <c r="C56" s="115"/>
      <c r="D56" s="169" t="s">
        <v>218</v>
      </c>
      <c r="E56" s="170"/>
      <c r="F56" s="170"/>
      <c r="G56" s="170"/>
      <c r="H56" s="170"/>
    </row>
    <row r="57" spans="1:14" ht="33" customHeight="1" x14ac:dyDescent="0.25">
      <c r="A57" s="115"/>
      <c r="B57" s="115"/>
      <c r="C57" s="115"/>
      <c r="D57" s="146" t="s">
        <v>219</v>
      </c>
      <c r="E57" s="147"/>
      <c r="F57" s="147"/>
      <c r="G57" s="147"/>
      <c r="H57" s="147"/>
    </row>
    <row r="58" spans="1:14" ht="15.75" customHeight="1" x14ac:dyDescent="0.25">
      <c r="A58" s="74" t="s">
        <v>48</v>
      </c>
      <c r="B58" s="74"/>
      <c r="C58" s="74"/>
      <c r="D58" s="115" t="s">
        <v>196</v>
      </c>
      <c r="E58" s="115"/>
      <c r="F58" s="115"/>
      <c r="G58" s="115"/>
      <c r="H58" s="115"/>
      <c r="J58" s="24"/>
      <c r="K58" s="23"/>
      <c r="N58" s="23"/>
    </row>
    <row r="59" spans="1:14" ht="15.75" customHeight="1" x14ac:dyDescent="0.25">
      <c r="A59" s="74" t="s">
        <v>91</v>
      </c>
      <c r="B59" s="74"/>
      <c r="C59" s="74"/>
      <c r="D59" s="116" t="str">
        <f>(IF(G51="NA","60 Years After Completion",IF(G51&lt;&gt;"NA",""&amp;60-ROUNDDOWN((E3-G51)/360,0)&amp;" Years"," ")))</f>
        <v>60 Years After Completion</v>
      </c>
      <c r="E59" s="116"/>
      <c r="F59" s="116"/>
      <c r="G59" s="116"/>
      <c r="H59" s="116"/>
      <c r="N59" s="23"/>
    </row>
    <row r="60" spans="1:14" ht="15.75" customHeight="1" x14ac:dyDescent="0.25">
      <c r="A60" s="74" t="s">
        <v>92</v>
      </c>
      <c r="B60" s="74"/>
      <c r="C60" s="74"/>
      <c r="D60" s="75" t="s">
        <v>24</v>
      </c>
      <c r="E60" s="75"/>
      <c r="F60" s="75"/>
      <c r="G60" s="75"/>
      <c r="H60" s="75"/>
      <c r="J60" s="15"/>
      <c r="K60" s="15"/>
    </row>
    <row r="61" spans="1:14" ht="15" hidden="1" customHeight="1" x14ac:dyDescent="0.25">
      <c r="A61" s="74" t="s">
        <v>79</v>
      </c>
      <c r="B61" s="74"/>
      <c r="C61" s="74"/>
      <c r="D61" s="115" t="s">
        <v>152</v>
      </c>
      <c r="E61" s="75"/>
      <c r="F61" s="75"/>
      <c r="G61" s="75"/>
      <c r="H61" s="75"/>
    </row>
    <row r="62" spans="1:14" x14ac:dyDescent="0.25">
      <c r="A62" s="75" t="s">
        <v>153</v>
      </c>
      <c r="B62" s="75"/>
      <c r="C62" s="75"/>
      <c r="D62" s="75" t="s">
        <v>30</v>
      </c>
      <c r="E62" s="75"/>
      <c r="F62" s="75"/>
      <c r="G62" s="75"/>
      <c r="H62" s="75"/>
      <c r="I62" s="25"/>
      <c r="J62" s="25"/>
      <c r="K62" s="25"/>
      <c r="L62" s="25"/>
      <c r="M62" s="25"/>
      <c r="N62" s="25"/>
    </row>
    <row r="63" spans="1:14" ht="15.75" customHeight="1" x14ac:dyDescent="0.25">
      <c r="A63" s="135" t="s">
        <v>90</v>
      </c>
      <c r="B63" s="135"/>
      <c r="C63" s="135"/>
      <c r="D63" s="124" t="str">
        <f ca="1">(IF(G97&gt;95%,"Nothing",IF(G97&gt;0%,"Cement, Aggregate, Steel, etc",IF(G97=0%,"Work not yet Started"))))</f>
        <v>Cement, Aggregate, Steel, etc</v>
      </c>
      <c r="E63" s="124"/>
      <c r="F63" s="124"/>
      <c r="G63" s="124"/>
      <c r="H63" s="124"/>
      <c r="J63" s="15"/>
    </row>
    <row r="64" spans="1:14" ht="33.75" customHeight="1" thickBot="1" x14ac:dyDescent="0.3">
      <c r="A64" s="123" t="s">
        <v>122</v>
      </c>
      <c r="B64" s="123"/>
      <c r="C64" s="123"/>
      <c r="D64" s="124" t="str">
        <f ca="1">(IF(D63="Nothing","Yes",IF(D63="Cement, Aggregate, Steel, etc","Under Construction",IF(D63="Work not yet Started","Work not yet Started"))))</f>
        <v>Under Construction</v>
      </c>
      <c r="E64" s="124"/>
      <c r="F64" s="124" t="str">
        <f ca="1">(IF(D63="Nothing","Yes",IF(D63="Cement, Aggregate, Steel, etc","Under Construction",IF(D63="Work not yet Started","Work not yet Started"))))</f>
        <v>Under Construction</v>
      </c>
      <c r="G64" s="124"/>
      <c r="H64" s="124"/>
    </row>
    <row r="65" spans="1:10" x14ac:dyDescent="0.25">
      <c r="A65" s="61" t="s">
        <v>144</v>
      </c>
      <c r="B65" s="62"/>
      <c r="C65" s="63" t="s">
        <v>222</v>
      </c>
      <c r="D65" s="64"/>
      <c r="E65" s="64"/>
      <c r="F65" s="64"/>
      <c r="G65" s="64"/>
      <c r="H65" s="65"/>
      <c r="I65" s="14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</v>
      </c>
      <c r="J65" s="26"/>
    </row>
    <row r="66" spans="1:10" x14ac:dyDescent="0.25">
      <c r="A66" s="17" t="s">
        <v>146</v>
      </c>
      <c r="B66" s="48">
        <v>0</v>
      </c>
      <c r="C66" s="48" t="s">
        <v>76</v>
      </c>
      <c r="D66" s="48">
        <v>1</v>
      </c>
      <c r="E66" s="48" t="s">
        <v>75</v>
      </c>
      <c r="F66" s="48">
        <v>0</v>
      </c>
      <c r="G66" s="48" t="s">
        <v>84</v>
      </c>
      <c r="H66" s="18">
        <f ca="1">--TRIM(RIGHT(SUBSTITUTE(LEFT(C65,_xlfn.AGGREGATE(16,6,FIND({0,1,2,3,4,5,6,7,8,9},C65,ROW(INDIRECT("1:"&amp;LEN(C65)))),1))," ",REPT(" ",LEN(C65))),LEN(C65)))</f>
        <v>7</v>
      </c>
      <c r="I66" s="15"/>
      <c r="J66" s="27"/>
    </row>
    <row r="67" spans="1:10" x14ac:dyDescent="0.25">
      <c r="A67" s="66" t="s">
        <v>94</v>
      </c>
      <c r="B67" s="67"/>
      <c r="C67" s="68" t="str">
        <f ca="1">(IF($G$51="NA",I65,"All work Completed. OC Received."))</f>
        <v>Excavation work Completed. Plinth work completed</v>
      </c>
      <c r="D67" s="68"/>
      <c r="E67" s="68"/>
      <c r="F67" s="68"/>
      <c r="G67" s="68"/>
      <c r="H67" s="69"/>
      <c r="I67" s="15" t="s">
        <v>108</v>
      </c>
      <c r="J67" s="27"/>
    </row>
    <row r="68" spans="1:10" ht="15.75" customHeight="1" x14ac:dyDescent="0.25">
      <c r="A68" s="70" t="s">
        <v>52</v>
      </c>
      <c r="B68" s="71"/>
      <c r="C68" s="50" t="s">
        <v>143</v>
      </c>
      <c r="D68" s="50" t="s">
        <v>87</v>
      </c>
      <c r="E68" s="71" t="s">
        <v>89</v>
      </c>
      <c r="F68" s="71"/>
      <c r="G68" s="71" t="s">
        <v>88</v>
      </c>
      <c r="H68" s="72"/>
      <c r="I68" s="13" t="s">
        <v>145</v>
      </c>
      <c r="J68" s="28">
        <f ca="1">H66*25%</f>
        <v>1.75</v>
      </c>
    </row>
    <row r="69" spans="1:10" x14ac:dyDescent="0.25">
      <c r="A69" s="70" t="s">
        <v>132</v>
      </c>
      <c r="B69" s="71"/>
      <c r="C69" s="50">
        <f ca="1">J70</f>
        <v>7</v>
      </c>
      <c r="D69" s="51">
        <f ca="1">((100/H66)*C69)/100</f>
        <v>1</v>
      </c>
      <c r="E69" s="79">
        <f ca="1">(((C70/H66*10)+(40/(D66+F66+H66)*C71)+(7.5/(H66)*C72)+(7.5/(H66)*C73)+(10/H66*C74)+(10/H66*C75)+(5/H66*C76)+(5/H66*C77)+(5/H66*C78))/100)</f>
        <v>0.1</v>
      </c>
      <c r="F69" s="80"/>
      <c r="G69" s="79">
        <f ca="1">((((C69/H66)*20)+((C70/H66)*25)+(30/(H66+F66+D66)*C71)+(5/H66*C72)+(5/H66*C73)+(5/H66*C74)+(5/H66*C75)+(0/H66*C76)+(0/H66*C77)+(5/H66*C78))/100)</f>
        <v>0.45</v>
      </c>
      <c r="H69" s="85"/>
      <c r="I69" s="13" t="s">
        <v>103</v>
      </c>
      <c r="J69" s="29">
        <f ca="1">H66*50%</f>
        <v>3.5</v>
      </c>
    </row>
    <row r="70" spans="1:10" x14ac:dyDescent="0.25">
      <c r="A70" s="70" t="s">
        <v>53</v>
      </c>
      <c r="B70" s="71"/>
      <c r="C70" s="52">
        <f ca="1">J78</f>
        <v>7</v>
      </c>
      <c r="D70" s="51">
        <f ca="1">((100/H66)*C70)/100</f>
        <v>1</v>
      </c>
      <c r="E70" s="81"/>
      <c r="F70" s="82"/>
      <c r="G70" s="81"/>
      <c r="H70" s="86"/>
      <c r="I70" s="13" t="s">
        <v>104</v>
      </c>
      <c r="J70" s="29">
        <f ca="1">H66</f>
        <v>7</v>
      </c>
    </row>
    <row r="71" spans="1:10" ht="15.75" customHeight="1" x14ac:dyDescent="0.25">
      <c r="A71" s="70" t="s">
        <v>133</v>
      </c>
      <c r="B71" s="71"/>
      <c r="C71" s="50">
        <v>0</v>
      </c>
      <c r="D71" s="51">
        <f ca="1">((100/(D66+F66+H66))*C71)/100</f>
        <v>0</v>
      </c>
      <c r="E71" s="81"/>
      <c r="F71" s="82"/>
      <c r="G71" s="81"/>
      <c r="H71" s="86"/>
      <c r="I71" s="13" t="s">
        <v>105</v>
      </c>
      <c r="J71" s="30">
        <f ca="1">(IF(B66&gt;1,(H66/(B66+2)),H66/4))</f>
        <v>1.75</v>
      </c>
    </row>
    <row r="72" spans="1:10" ht="15.75" customHeight="1" x14ac:dyDescent="0.25">
      <c r="A72" s="70" t="s">
        <v>140</v>
      </c>
      <c r="B72" s="71" t="s">
        <v>134</v>
      </c>
      <c r="C72" s="50">
        <v>0</v>
      </c>
      <c r="D72" s="51">
        <f ca="1">((100/H66)*C72)/100</f>
        <v>0</v>
      </c>
      <c r="E72" s="81"/>
      <c r="F72" s="82"/>
      <c r="G72" s="81"/>
      <c r="H72" s="86"/>
      <c r="I72" s="13" t="s">
        <v>106</v>
      </c>
      <c r="J72" s="30">
        <f ca="1">(IF(B66&gt;1,(H66/(B66+2)+J71),H66/4+J71))</f>
        <v>3.5</v>
      </c>
    </row>
    <row r="73" spans="1:10" ht="15.75" customHeight="1" x14ac:dyDescent="0.25">
      <c r="A73" s="70" t="s">
        <v>141</v>
      </c>
      <c r="B73" s="71" t="s">
        <v>134</v>
      </c>
      <c r="C73" s="50">
        <v>0</v>
      </c>
      <c r="D73" s="51">
        <f ca="1">((100/H66)*C73)/100</f>
        <v>0</v>
      </c>
      <c r="E73" s="81"/>
      <c r="F73" s="82"/>
      <c r="G73" s="81"/>
      <c r="H73" s="86"/>
      <c r="I73" s="13" t="s">
        <v>150</v>
      </c>
      <c r="J73" s="30">
        <f>(IF(B66&gt;1,(H66/(B66+2)+J72),0))</f>
        <v>0</v>
      </c>
    </row>
    <row r="74" spans="1:10" ht="15" customHeight="1" x14ac:dyDescent="0.25">
      <c r="A74" s="70" t="s">
        <v>139</v>
      </c>
      <c r="B74" s="71" t="s">
        <v>136</v>
      </c>
      <c r="C74" s="50">
        <v>0</v>
      </c>
      <c r="D74" s="51">
        <f ca="1">((100/(H66))*C74)/100</f>
        <v>0</v>
      </c>
      <c r="E74" s="81"/>
      <c r="F74" s="82"/>
      <c r="G74" s="81"/>
      <c r="H74" s="86"/>
      <c r="I74" s="13" t="s">
        <v>147</v>
      </c>
      <c r="J74" s="30">
        <f>(IF(B66&gt;2,(H66/(B66+2)+J73),0))</f>
        <v>0</v>
      </c>
    </row>
    <row r="75" spans="1:10" ht="15.75" customHeight="1" x14ac:dyDescent="0.25">
      <c r="A75" s="70" t="s">
        <v>135</v>
      </c>
      <c r="B75" s="71" t="s">
        <v>135</v>
      </c>
      <c r="C75" s="50">
        <v>0</v>
      </c>
      <c r="D75" s="51">
        <f ca="1">((100/H66)*C75)/100</f>
        <v>0</v>
      </c>
      <c r="E75" s="81"/>
      <c r="F75" s="82"/>
      <c r="G75" s="81"/>
      <c r="H75" s="86"/>
      <c r="I75" s="13" t="s">
        <v>148</v>
      </c>
      <c r="J75" s="31">
        <f>(IF(B66&gt;3,(H66/(B66+2)+J74),0))</f>
        <v>0</v>
      </c>
    </row>
    <row r="76" spans="1:10" ht="15.75" customHeight="1" x14ac:dyDescent="0.25">
      <c r="A76" s="70" t="s">
        <v>142</v>
      </c>
      <c r="B76" s="71"/>
      <c r="C76" s="50">
        <v>0</v>
      </c>
      <c r="D76" s="51">
        <f ca="1">((100/H66)*C76)/100</f>
        <v>0</v>
      </c>
      <c r="E76" s="81"/>
      <c r="F76" s="82"/>
      <c r="G76" s="81"/>
      <c r="H76" s="86"/>
      <c r="I76" s="13" t="s">
        <v>149</v>
      </c>
      <c r="J76" s="30">
        <f>(IF(B66&gt;4,(H66/(B66+2)+J75),0))</f>
        <v>0</v>
      </c>
    </row>
    <row r="77" spans="1:10" ht="15.75" customHeight="1" x14ac:dyDescent="0.25">
      <c r="A77" s="70" t="s">
        <v>137</v>
      </c>
      <c r="B77" s="71" t="s">
        <v>137</v>
      </c>
      <c r="C77" s="50">
        <v>0</v>
      </c>
      <c r="D77" s="51">
        <f ca="1">((100/(H66))*C77)/100</f>
        <v>0</v>
      </c>
      <c r="E77" s="81"/>
      <c r="F77" s="82"/>
      <c r="G77" s="81"/>
      <c r="H77" s="86"/>
      <c r="I77" s="13" t="s">
        <v>151</v>
      </c>
      <c r="J77" s="30">
        <f ca="1">(IF(B66=1,(H66/(B66+3)+J72),IF(B66=0,(H66/4+J72),IF(B66&gt;1,0))))</f>
        <v>5.25</v>
      </c>
    </row>
    <row r="78" spans="1:10" ht="16.5" thickBot="1" x14ac:dyDescent="0.3">
      <c r="A78" s="88" t="s">
        <v>138</v>
      </c>
      <c r="B78" s="89"/>
      <c r="C78" s="53">
        <v>0</v>
      </c>
      <c r="D78" s="54">
        <f ca="1">((100/(H66))*C78)/100</f>
        <v>0</v>
      </c>
      <c r="E78" s="83"/>
      <c r="F78" s="84"/>
      <c r="G78" s="83"/>
      <c r="H78" s="87"/>
      <c r="I78" s="16" t="s">
        <v>107</v>
      </c>
      <c r="J78" s="32">
        <f ca="1">(IF(B66&gt;1.5,(H66/(B66+2)+J72+MAX(0,J73-J72)+MAX(0,J74-J73)+MAX(0,J75-J74)+MAX(0,J76-J75)+MAX(0,J77-J76)),IF(B66=1,(H66/(B66+3)+J77),IF(B66=0,H66/4+J77))))</f>
        <v>7</v>
      </c>
    </row>
    <row r="79" spans="1:10" ht="15.75" customHeight="1" x14ac:dyDescent="0.25">
      <c r="A79" s="61" t="s">
        <v>144</v>
      </c>
      <c r="B79" s="62"/>
      <c r="C79" s="63" t="s">
        <v>202</v>
      </c>
      <c r="D79" s="64"/>
      <c r="E79" s="64"/>
      <c r="F79" s="64"/>
      <c r="G79" s="64"/>
      <c r="H79" s="65"/>
      <c r="I79" s="14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Slab Completed, Brickwork Completed, Internal Plaster Completed, External Plaster Completed, Flooring Completed, Painting upto 5 Floor Completed.</v>
      </c>
      <c r="J79" s="26"/>
    </row>
    <row r="80" spans="1:10" x14ac:dyDescent="0.25">
      <c r="A80" s="17" t="s">
        <v>146</v>
      </c>
      <c r="B80" s="48">
        <v>0</v>
      </c>
      <c r="C80" s="48" t="s">
        <v>76</v>
      </c>
      <c r="D80" s="48">
        <v>1</v>
      </c>
      <c r="E80" s="48" t="s">
        <v>75</v>
      </c>
      <c r="F80" s="48">
        <v>0</v>
      </c>
      <c r="G80" s="48" t="s">
        <v>84</v>
      </c>
      <c r="H80" s="18">
        <f ca="1">--TRIM(RIGHT(SUBSTITUTE(LEFT(C79,_xlfn.AGGREGATE(16,6,FIND({0,1,2,3,4,5,6,7,8,9},C79,ROW(INDIRECT("1:"&amp;LEN(C79)))),1))," ",REPT(" ",LEN(C79))),LEN(C79)))</f>
        <v>7</v>
      </c>
      <c r="I80" s="15"/>
      <c r="J80" s="27"/>
    </row>
    <row r="81" spans="1:10" ht="50.45" customHeight="1" x14ac:dyDescent="0.25">
      <c r="A81" s="66" t="s">
        <v>94</v>
      </c>
      <c r="B81" s="67"/>
      <c r="C81" s="68" t="str">
        <f ca="1">(IF($G$51="NA",I79,"All work Completed. OC Received."))</f>
        <v>Excavation work Completed. Plinth work completed, RCC Slab Completed, Brickwork Completed, Internal Plaster Completed, External Plaster Completed, Flooring Completed, Painting upto 5 Floor Completed.</v>
      </c>
      <c r="D81" s="68"/>
      <c r="E81" s="68"/>
      <c r="F81" s="68"/>
      <c r="G81" s="68"/>
      <c r="H81" s="69"/>
      <c r="I81" s="15" t="s">
        <v>108</v>
      </c>
      <c r="J81" s="27"/>
    </row>
    <row r="82" spans="1:10" ht="15.75" customHeight="1" x14ac:dyDescent="0.25">
      <c r="A82" s="70" t="s">
        <v>52</v>
      </c>
      <c r="B82" s="71"/>
      <c r="C82" s="50" t="s">
        <v>143</v>
      </c>
      <c r="D82" s="50" t="s">
        <v>87</v>
      </c>
      <c r="E82" s="71" t="s">
        <v>89</v>
      </c>
      <c r="F82" s="71"/>
      <c r="G82" s="71" t="s">
        <v>88</v>
      </c>
      <c r="H82" s="72"/>
      <c r="I82" s="13" t="s">
        <v>145</v>
      </c>
      <c r="J82" s="28">
        <f ca="1">H80*25%</f>
        <v>1.75</v>
      </c>
    </row>
    <row r="83" spans="1:10" x14ac:dyDescent="0.25">
      <c r="A83" s="70" t="s">
        <v>132</v>
      </c>
      <c r="B83" s="71"/>
      <c r="C83" s="50">
        <f ca="1">J84</f>
        <v>7</v>
      </c>
      <c r="D83" s="51">
        <f ca="1">((100/H80)*C83)/100</f>
        <v>1</v>
      </c>
      <c r="E83" s="79">
        <f ca="1">(((C84/H80*10)+(40/(D80+F80+H80)*C85)+(7.5/(H80)*C86)+(7.5/(H80)*C87)+(10/H80*C88)+(10/H80*C89)+(5/H80*C90)+(5/H80*C91)+(5/H80*C92))/100)</f>
        <v>0.88571428571428568</v>
      </c>
      <c r="F83" s="80"/>
      <c r="G83" s="79">
        <f ca="1">((((C83/H80)*20)+((C84/H80)*25)+(30/(H80+F80+D80)*C85)+(5/H80*C86)+(5/H80*C87)+(5/H80*C88)+(5/H80*C89)+(0/H80*C90)+(0/H80*C91)+(5/H80*C92))/100)</f>
        <v>0.95</v>
      </c>
      <c r="H83" s="85"/>
      <c r="I83" s="13" t="s">
        <v>103</v>
      </c>
      <c r="J83" s="29">
        <f ca="1">H80*50%</f>
        <v>3.5</v>
      </c>
    </row>
    <row r="84" spans="1:10" x14ac:dyDescent="0.25">
      <c r="A84" s="70" t="s">
        <v>53</v>
      </c>
      <c r="B84" s="71"/>
      <c r="C84" s="52">
        <v>7</v>
      </c>
      <c r="D84" s="51">
        <f ca="1">((100/H80)*C84)/100</f>
        <v>1</v>
      </c>
      <c r="E84" s="81"/>
      <c r="F84" s="82"/>
      <c r="G84" s="81"/>
      <c r="H84" s="86"/>
      <c r="I84" s="13" t="s">
        <v>104</v>
      </c>
      <c r="J84" s="29">
        <f ca="1">H80</f>
        <v>7</v>
      </c>
    </row>
    <row r="85" spans="1:10" ht="15.75" customHeight="1" x14ac:dyDescent="0.25">
      <c r="A85" s="70" t="s">
        <v>133</v>
      </c>
      <c r="B85" s="71"/>
      <c r="C85" s="50">
        <v>8</v>
      </c>
      <c r="D85" s="51">
        <f ca="1">((100/(D80+F80+H80))*C85)/100</f>
        <v>1</v>
      </c>
      <c r="E85" s="81"/>
      <c r="F85" s="82"/>
      <c r="G85" s="81"/>
      <c r="H85" s="86"/>
      <c r="I85" s="13" t="s">
        <v>105</v>
      </c>
      <c r="J85" s="30">
        <f ca="1">(IF(B80&gt;1,(H80/(B80+2)),H80/4))</f>
        <v>1.75</v>
      </c>
    </row>
    <row r="86" spans="1:10" ht="15.75" customHeight="1" x14ac:dyDescent="0.25">
      <c r="A86" s="70" t="s">
        <v>140</v>
      </c>
      <c r="B86" s="71" t="s">
        <v>134</v>
      </c>
      <c r="C86" s="50">
        <v>7</v>
      </c>
      <c r="D86" s="51">
        <f ca="1">((100/H80)*C86)/100</f>
        <v>1</v>
      </c>
      <c r="E86" s="81"/>
      <c r="F86" s="82"/>
      <c r="G86" s="81"/>
      <c r="H86" s="86"/>
      <c r="I86" s="13" t="s">
        <v>106</v>
      </c>
      <c r="J86" s="30">
        <f ca="1">(IF(B80&gt;1,(H80/(B80+2)+J85),H80/4+J85))</f>
        <v>3.5</v>
      </c>
    </row>
    <row r="87" spans="1:10" ht="15.75" customHeight="1" x14ac:dyDescent="0.25">
      <c r="A87" s="70" t="s">
        <v>141</v>
      </c>
      <c r="B87" s="71" t="s">
        <v>134</v>
      </c>
      <c r="C87" s="50">
        <v>7</v>
      </c>
      <c r="D87" s="51">
        <f ca="1">((100/H80)*C87)/100</f>
        <v>1</v>
      </c>
      <c r="E87" s="81"/>
      <c r="F87" s="82"/>
      <c r="G87" s="81"/>
      <c r="H87" s="86"/>
      <c r="I87" s="13" t="s">
        <v>150</v>
      </c>
      <c r="J87" s="30">
        <f>(IF(B80&gt;1,(H80/(B80+2)+J86),0))</f>
        <v>0</v>
      </c>
    </row>
    <row r="88" spans="1:10" ht="15" customHeight="1" x14ac:dyDescent="0.25">
      <c r="A88" s="70" t="s">
        <v>139</v>
      </c>
      <c r="B88" s="71" t="s">
        <v>136</v>
      </c>
      <c r="C88" s="50">
        <v>7</v>
      </c>
      <c r="D88" s="51">
        <f ca="1">((100/(H80))*C88)/100</f>
        <v>1</v>
      </c>
      <c r="E88" s="81"/>
      <c r="F88" s="82"/>
      <c r="G88" s="81"/>
      <c r="H88" s="86"/>
      <c r="I88" s="13" t="s">
        <v>147</v>
      </c>
      <c r="J88" s="30">
        <f>(IF(B80&gt;2,(H80/(B80+2)+J87),0))</f>
        <v>0</v>
      </c>
    </row>
    <row r="89" spans="1:10" ht="15.75" customHeight="1" x14ac:dyDescent="0.25">
      <c r="A89" s="70" t="s">
        <v>135</v>
      </c>
      <c r="B89" s="71" t="s">
        <v>135</v>
      </c>
      <c r="C89" s="50">
        <v>7</v>
      </c>
      <c r="D89" s="51">
        <f ca="1">((100/H80)*C89)/100</f>
        <v>1</v>
      </c>
      <c r="E89" s="81"/>
      <c r="F89" s="82"/>
      <c r="G89" s="81"/>
      <c r="H89" s="86"/>
      <c r="I89" s="13" t="s">
        <v>148</v>
      </c>
      <c r="J89" s="31">
        <f>(IF(B80&gt;3,(H80/(B80+2)+J88),0))</f>
        <v>0</v>
      </c>
    </row>
    <row r="90" spans="1:10" ht="15.75" customHeight="1" x14ac:dyDescent="0.25">
      <c r="A90" s="70" t="s">
        <v>142</v>
      </c>
      <c r="B90" s="71"/>
      <c r="C90" s="50">
        <v>5</v>
      </c>
      <c r="D90" s="51">
        <f ca="1">((100/H80)*C90)/100</f>
        <v>0.7142857142857143</v>
      </c>
      <c r="E90" s="81"/>
      <c r="F90" s="82"/>
      <c r="G90" s="81"/>
      <c r="H90" s="86"/>
      <c r="I90" s="13" t="s">
        <v>149</v>
      </c>
      <c r="J90" s="30">
        <f>(IF(B80&gt;4,(H80/(B80+2)+J89),0))</f>
        <v>0</v>
      </c>
    </row>
    <row r="91" spans="1:10" ht="15.75" customHeight="1" x14ac:dyDescent="0.25">
      <c r="A91" s="70" t="s">
        <v>137</v>
      </c>
      <c r="B91" s="71" t="s">
        <v>137</v>
      </c>
      <c r="C91" s="50">
        <v>0</v>
      </c>
      <c r="D91" s="51">
        <f ca="1">((100/(H80))*C91)/100</f>
        <v>0</v>
      </c>
      <c r="E91" s="81"/>
      <c r="F91" s="82"/>
      <c r="G91" s="81"/>
      <c r="H91" s="86"/>
      <c r="I91" s="13" t="s">
        <v>151</v>
      </c>
      <c r="J91" s="30">
        <f ca="1">(IF(B80=1,(H80/(B80+3)+J86),IF(B80=0,(H80/4+J86),IF(B80&gt;1,0))))</f>
        <v>5.25</v>
      </c>
    </row>
    <row r="92" spans="1:10" ht="16.5" thickBot="1" x14ac:dyDescent="0.3">
      <c r="A92" s="88" t="s">
        <v>138</v>
      </c>
      <c r="B92" s="89"/>
      <c r="C92" s="53">
        <v>0</v>
      </c>
      <c r="D92" s="54">
        <f ca="1">((100/(H80))*C92)/100</f>
        <v>0</v>
      </c>
      <c r="E92" s="83"/>
      <c r="F92" s="84"/>
      <c r="G92" s="83"/>
      <c r="H92" s="87"/>
      <c r="I92" s="16" t="s">
        <v>107</v>
      </c>
      <c r="J92" s="32">
        <f ca="1">(IF(B80&gt;1.5,(H80/(B80+2)+J86+MAX(0,J87-J86)+MAX(0,J88-J87)+MAX(0,J89-J88)+MAX(0,J90-J89)+MAX(0,J91-J90)),IF(B80=1,(H80/(B80+3)+J91),IF(B80=0,H80/4+J91))))</f>
        <v>7</v>
      </c>
    </row>
    <row r="93" spans="1:10" ht="15.75" customHeight="1" x14ac:dyDescent="0.25">
      <c r="A93" s="61" t="s">
        <v>144</v>
      </c>
      <c r="B93" s="62"/>
      <c r="C93" s="63" t="str">
        <f>D56</f>
        <v>Building No. 3 (Wing C) = G/St +1st to 7th Floor.</v>
      </c>
      <c r="D93" s="64"/>
      <c r="E93" s="64"/>
      <c r="F93" s="64"/>
      <c r="G93" s="64"/>
      <c r="H93" s="65"/>
      <c r="I93" s="14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Plinth, RCC, Brick, Plaster, Flooring, Painting work Completed. Finishing work is in process.</v>
      </c>
      <c r="J93" s="26"/>
    </row>
    <row r="94" spans="1:10" x14ac:dyDescent="0.25">
      <c r="A94" s="17" t="s">
        <v>146</v>
      </c>
      <c r="B94" s="48">
        <v>0</v>
      </c>
      <c r="C94" s="48" t="s">
        <v>76</v>
      </c>
      <c r="D94" s="48">
        <v>1</v>
      </c>
      <c r="E94" s="48" t="s">
        <v>75</v>
      </c>
      <c r="F94" s="48">
        <v>0</v>
      </c>
      <c r="G94" s="48" t="s">
        <v>84</v>
      </c>
      <c r="H94" s="18">
        <f ca="1">--TRIM(RIGHT(SUBSTITUTE(LEFT(C93,_xlfn.AGGREGATE(16,6,FIND({0,1,2,3,4,5,6,7,8,9},C93,ROW(INDIRECT("1:"&amp;LEN(C93)))),1))," ",REPT(" ",LEN(C93))),LEN(C93)))</f>
        <v>7</v>
      </c>
      <c r="I94" s="15"/>
      <c r="J94" s="27"/>
    </row>
    <row r="95" spans="1:10" x14ac:dyDescent="0.25">
      <c r="A95" s="66" t="s">
        <v>94</v>
      </c>
      <c r="B95" s="67"/>
      <c r="C95" s="68" t="str">
        <f ca="1">(IF($G$51="NA",I93,"All work Completed. OC Received."))</f>
        <v>Plinth, RCC, Brick, Plaster, Flooring, Painting work Completed. Finishing work is in process.</v>
      </c>
      <c r="D95" s="68"/>
      <c r="E95" s="68"/>
      <c r="F95" s="68"/>
      <c r="G95" s="68"/>
      <c r="H95" s="69"/>
      <c r="I95" s="15" t="s">
        <v>108</v>
      </c>
      <c r="J95" s="27"/>
    </row>
    <row r="96" spans="1:10" ht="15.75" customHeight="1" x14ac:dyDescent="0.25">
      <c r="A96" s="70" t="s">
        <v>52</v>
      </c>
      <c r="B96" s="71"/>
      <c r="C96" s="50" t="s">
        <v>143</v>
      </c>
      <c r="D96" s="50" t="s">
        <v>87</v>
      </c>
      <c r="E96" s="71" t="s">
        <v>89</v>
      </c>
      <c r="F96" s="71"/>
      <c r="G96" s="71" t="s">
        <v>88</v>
      </c>
      <c r="H96" s="72"/>
      <c r="I96" s="13" t="s">
        <v>145</v>
      </c>
      <c r="J96" s="28">
        <f ca="1">H94*25%</f>
        <v>1.75</v>
      </c>
    </row>
    <row r="97" spans="1:10" x14ac:dyDescent="0.25">
      <c r="A97" s="70" t="s">
        <v>132</v>
      </c>
      <c r="B97" s="71"/>
      <c r="C97" s="50">
        <f ca="1">J98</f>
        <v>7</v>
      </c>
      <c r="D97" s="51">
        <f ca="1">((100/H94)*C97)/100</f>
        <v>1</v>
      </c>
      <c r="E97" s="79">
        <f ca="1">(((C98/H94*10)+(40/(D94+F94+H94)*C99)+(7.5/(H94)*C100)+(7.5/(H94)*C101)+(10/H94*C102)+(10/H94*C103)+(5/H94*C104)+(5/H94*C105)+(5/H94*C106))/100)</f>
        <v>0.93571428571428572</v>
      </c>
      <c r="F97" s="80"/>
      <c r="G97" s="79">
        <f ca="1">((((C97/H94)*20)+((C98/H94)*25)+(30/(H94+F94+D94)*C99)+(5/H94*C100)+(5/H94*C101)+(5/H94*C102)+(5/H94*C103)+(0/H94*C104)+(0/H94*C105)+(5/H94*C106))/100)</f>
        <v>0.95</v>
      </c>
      <c r="H97" s="85"/>
      <c r="I97" s="13" t="s">
        <v>103</v>
      </c>
      <c r="J97" s="29">
        <f ca="1">H94*50%</f>
        <v>3.5</v>
      </c>
    </row>
    <row r="98" spans="1:10" x14ac:dyDescent="0.25">
      <c r="A98" s="70" t="s">
        <v>53</v>
      </c>
      <c r="B98" s="71"/>
      <c r="C98" s="52">
        <f ca="1">J106</f>
        <v>7</v>
      </c>
      <c r="D98" s="51">
        <f ca="1">((100/H94)*C98)/100</f>
        <v>1</v>
      </c>
      <c r="E98" s="81"/>
      <c r="F98" s="82"/>
      <c r="G98" s="81"/>
      <c r="H98" s="86"/>
      <c r="I98" s="13" t="s">
        <v>104</v>
      </c>
      <c r="J98" s="29">
        <f ca="1">H94</f>
        <v>7</v>
      </c>
    </row>
    <row r="99" spans="1:10" ht="15.75" customHeight="1" x14ac:dyDescent="0.25">
      <c r="A99" s="70" t="s">
        <v>133</v>
      </c>
      <c r="B99" s="71"/>
      <c r="C99" s="50">
        <v>8</v>
      </c>
      <c r="D99" s="51">
        <f ca="1">((100/(D94+F94+H94))*C99)/100</f>
        <v>1</v>
      </c>
      <c r="E99" s="81"/>
      <c r="F99" s="82"/>
      <c r="G99" s="81"/>
      <c r="H99" s="86"/>
      <c r="I99" s="13" t="s">
        <v>105</v>
      </c>
      <c r="J99" s="30">
        <f ca="1">(IF(B94&gt;1,(H94/(B94+2)),H94/4))</f>
        <v>1.75</v>
      </c>
    </row>
    <row r="100" spans="1:10" ht="15.75" customHeight="1" x14ac:dyDescent="0.25">
      <c r="A100" s="70" t="s">
        <v>140</v>
      </c>
      <c r="B100" s="71" t="s">
        <v>134</v>
      </c>
      <c r="C100" s="50">
        <v>7</v>
      </c>
      <c r="D100" s="51">
        <f ca="1">((100/H94)*C100)/100</f>
        <v>1</v>
      </c>
      <c r="E100" s="81"/>
      <c r="F100" s="82"/>
      <c r="G100" s="81"/>
      <c r="H100" s="86"/>
      <c r="I100" s="13" t="s">
        <v>106</v>
      </c>
      <c r="J100" s="30">
        <f ca="1">(IF(B94&gt;1,(H94/(B94+2)+J99),H94/4+J99))</f>
        <v>3.5</v>
      </c>
    </row>
    <row r="101" spans="1:10" ht="15.75" customHeight="1" x14ac:dyDescent="0.25">
      <c r="A101" s="70" t="s">
        <v>141</v>
      </c>
      <c r="B101" s="71" t="s">
        <v>134</v>
      </c>
      <c r="C101" s="50">
        <v>7</v>
      </c>
      <c r="D101" s="51">
        <f ca="1">((100/H94)*C101)/100</f>
        <v>1</v>
      </c>
      <c r="E101" s="81"/>
      <c r="F101" s="82"/>
      <c r="G101" s="81"/>
      <c r="H101" s="86"/>
      <c r="I101" s="13" t="s">
        <v>150</v>
      </c>
      <c r="J101" s="30">
        <f>(IF(B94&gt;1,(H94/(B94+2)+J100),0))</f>
        <v>0</v>
      </c>
    </row>
    <row r="102" spans="1:10" ht="15" customHeight="1" x14ac:dyDescent="0.25">
      <c r="A102" s="70" t="s">
        <v>139</v>
      </c>
      <c r="B102" s="71" t="s">
        <v>136</v>
      </c>
      <c r="C102" s="50">
        <v>7</v>
      </c>
      <c r="D102" s="51">
        <f ca="1">((100/(H94))*C102)/100</f>
        <v>1</v>
      </c>
      <c r="E102" s="81"/>
      <c r="F102" s="82"/>
      <c r="G102" s="81"/>
      <c r="H102" s="86"/>
      <c r="I102" s="13" t="s">
        <v>147</v>
      </c>
      <c r="J102" s="30">
        <f>(IF(B94&gt;2,(H94/(B94+2)+J101),0))</f>
        <v>0</v>
      </c>
    </row>
    <row r="103" spans="1:10" ht="15.75" customHeight="1" x14ac:dyDescent="0.25">
      <c r="A103" s="70" t="s">
        <v>135</v>
      </c>
      <c r="B103" s="71" t="s">
        <v>135</v>
      </c>
      <c r="C103" s="50">
        <v>7</v>
      </c>
      <c r="D103" s="51">
        <f ca="1">((100/H94)*C103)/100</f>
        <v>1</v>
      </c>
      <c r="E103" s="81"/>
      <c r="F103" s="82"/>
      <c r="G103" s="81"/>
      <c r="H103" s="86"/>
      <c r="I103" s="13" t="s">
        <v>148</v>
      </c>
      <c r="J103" s="31">
        <f>(IF(B94&gt;3,(H94/(B94+2)+J102),0))</f>
        <v>0</v>
      </c>
    </row>
    <row r="104" spans="1:10" ht="15.75" customHeight="1" x14ac:dyDescent="0.25">
      <c r="A104" s="70" t="s">
        <v>142</v>
      </c>
      <c r="B104" s="71"/>
      <c r="C104" s="50">
        <v>7</v>
      </c>
      <c r="D104" s="51">
        <f ca="1">((100/H94)*C104)/100</f>
        <v>1</v>
      </c>
      <c r="E104" s="81"/>
      <c r="F104" s="82"/>
      <c r="G104" s="81"/>
      <c r="H104" s="86"/>
      <c r="I104" s="13" t="s">
        <v>149</v>
      </c>
      <c r="J104" s="30">
        <f>(IF(B94&gt;4,(H94/(B94+2)+J103),0))</f>
        <v>0</v>
      </c>
    </row>
    <row r="105" spans="1:10" ht="15.75" customHeight="1" x14ac:dyDescent="0.25">
      <c r="A105" s="70" t="s">
        <v>137</v>
      </c>
      <c r="B105" s="71" t="s">
        <v>137</v>
      </c>
      <c r="C105" s="50">
        <v>5</v>
      </c>
      <c r="D105" s="51">
        <f ca="1">((100/(H94))*C105)/100</f>
        <v>0.7142857142857143</v>
      </c>
      <c r="E105" s="81"/>
      <c r="F105" s="82"/>
      <c r="G105" s="81"/>
      <c r="H105" s="86"/>
      <c r="I105" s="13" t="s">
        <v>151</v>
      </c>
      <c r="J105" s="30">
        <f ca="1">(IF(B94=1,(H94/(B94+3)+J100),IF(B94=0,(H94/4+J100),IF(B94&gt;1,0))))</f>
        <v>5.25</v>
      </c>
    </row>
    <row r="106" spans="1:10" ht="16.5" thickBot="1" x14ac:dyDescent="0.3">
      <c r="A106" s="88" t="s">
        <v>138</v>
      </c>
      <c r="B106" s="89"/>
      <c r="C106" s="53">
        <v>0</v>
      </c>
      <c r="D106" s="54">
        <f ca="1">((100/(H94))*C106)/100</f>
        <v>0</v>
      </c>
      <c r="E106" s="83"/>
      <c r="F106" s="84"/>
      <c r="G106" s="83"/>
      <c r="H106" s="87"/>
      <c r="I106" s="16" t="s">
        <v>107</v>
      </c>
      <c r="J106" s="32">
        <f ca="1">(IF(B94&gt;1.5,(H94/(B94+2)+J100+MAX(0,J101-J100)+MAX(0,J102-J101)+MAX(0,J103-J102)+MAX(0,J104-J103)+MAX(0,J105-J104)),IF(B94=1,(H94/(B94+3)+J105),IF(B94=0,H94/4+J105))))</f>
        <v>7</v>
      </c>
    </row>
    <row r="107" spans="1:10" x14ac:dyDescent="0.25">
      <c r="A107" s="61" t="s">
        <v>144</v>
      </c>
      <c r="B107" s="62"/>
      <c r="C107" s="63" t="s">
        <v>217</v>
      </c>
      <c r="D107" s="64"/>
      <c r="E107" s="64"/>
      <c r="F107" s="64"/>
      <c r="G107" s="64"/>
      <c r="H107" s="65"/>
      <c r="I107" s="14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 Completed",IF(C113&gt;0,", RCC upto "&amp;C113&amp;" Slab Completed",""))&amp;(IF(C114=H108,", Brickwork Completed",IF(C114&gt;0,", Brickwork upto "&amp;C114&amp;" Floor Completed",""))&amp;(IF(C115=H108,", Internal Plaster Completed",IF(C115&gt;0,", Internal Plaster upto "&amp;C115&amp;" Floor Completed",""))&amp;(IF(C116=H108,", External Plaster Completed",IF(C116&gt;0,", External Plaster upto "&amp;C116&amp;" Floor Completed",""))&amp;(IF(C117=H108,", Flooring Completed",IF(C117&gt;0,", Flooring upto "&amp;C117&amp;" Floor Completed",""))&amp;(IF(C118=H108,", Painting Completed",IF(C118&gt;0,", Painting upto "&amp;C118&amp;" Floor Completed",""))&amp;(IF(C119&gt;0,", Finishing upto "&amp;C119&amp;" Floor Completed","")&amp;(IF(C113&gt;0.5,".",""))))))))))))))</f>
        <v>Excavation work Completed. Plinth work completed, RCC Slab Completed, Brickwork Completed, Internal Plaster Completed, External Plaster upto 6 Floor Completed, Flooring upto 2 Floor Completed.</v>
      </c>
      <c r="J107" s="26"/>
    </row>
    <row r="108" spans="1:10" x14ac:dyDescent="0.25">
      <c r="A108" s="17" t="s">
        <v>146</v>
      </c>
      <c r="B108" s="48">
        <v>0</v>
      </c>
      <c r="C108" s="48" t="s">
        <v>76</v>
      </c>
      <c r="D108" s="48">
        <v>1</v>
      </c>
      <c r="E108" s="48" t="s">
        <v>75</v>
      </c>
      <c r="F108" s="48">
        <v>0</v>
      </c>
      <c r="G108" s="48" t="s">
        <v>84</v>
      </c>
      <c r="H108" s="18">
        <f ca="1">--TRIM(RIGHT(SUBSTITUTE(LEFT(C107,_xlfn.AGGREGATE(16,6,FIND({0,1,2,3,4,5,6,7,8,9},C107,ROW(INDIRECT("1:"&amp;LEN(C107)))),1))," ",REPT(" ",LEN(C107))),LEN(C107)))</f>
        <v>7</v>
      </c>
      <c r="I108" s="15"/>
      <c r="J108" s="27"/>
    </row>
    <row r="109" spans="1:10" ht="48.75" customHeight="1" x14ac:dyDescent="0.25">
      <c r="A109" s="66" t="s">
        <v>94</v>
      </c>
      <c r="B109" s="67"/>
      <c r="C109" s="68" t="str">
        <f ca="1">(IF($G$51="NA",I107,"All work Completed. OC Received."))</f>
        <v>Excavation work Completed. Plinth work completed, RCC Slab Completed, Brickwork Completed, Internal Plaster Completed, External Plaster upto 6 Floor Completed, Flooring upto 2 Floor Completed.</v>
      </c>
      <c r="D109" s="68"/>
      <c r="E109" s="68"/>
      <c r="F109" s="68"/>
      <c r="G109" s="68"/>
      <c r="H109" s="69"/>
      <c r="I109" s="15" t="s">
        <v>108</v>
      </c>
      <c r="J109" s="27"/>
    </row>
    <row r="110" spans="1:10" ht="15.75" customHeight="1" x14ac:dyDescent="0.25">
      <c r="A110" s="70" t="s">
        <v>52</v>
      </c>
      <c r="B110" s="71"/>
      <c r="C110" s="50" t="s">
        <v>143</v>
      </c>
      <c r="D110" s="50" t="s">
        <v>87</v>
      </c>
      <c r="E110" s="71" t="s">
        <v>89</v>
      </c>
      <c r="F110" s="71"/>
      <c r="G110" s="71" t="s">
        <v>88</v>
      </c>
      <c r="H110" s="72"/>
      <c r="I110" s="13" t="s">
        <v>145</v>
      </c>
      <c r="J110" s="28">
        <f ca="1">H108*25%</f>
        <v>1.75</v>
      </c>
    </row>
    <row r="111" spans="1:10" x14ac:dyDescent="0.25">
      <c r="A111" s="70" t="s">
        <v>132</v>
      </c>
      <c r="B111" s="71"/>
      <c r="C111" s="50">
        <f ca="1">J112</f>
        <v>7</v>
      </c>
      <c r="D111" s="51">
        <f ca="1">((100/H108)*C111)/100</f>
        <v>1</v>
      </c>
      <c r="E111" s="79">
        <f ca="1">(((C112/H108*10)+(40/(D108+F108+H108)*C113)+(7.5/(H108)*C114)+(7.5/(H108)*C115)+(10/H108*C116)+(10/H108*C117)+(5/H108*C118)+(5/H108*C119)+(5/H108*C120))/100)</f>
        <v>0.76428571428571435</v>
      </c>
      <c r="F111" s="80"/>
      <c r="G111" s="79">
        <f ca="1">((((C111/H108)*20)+((C112/H108)*25)+(30/(H108+F108+D108)*C113)+(5/H108*C114)+(5/H108*C115)+(5/H108*C116)+(5/H108*C117)+(0/H108*C118)+(0/H108*C119)+(5/H108*C120))/100)</f>
        <v>0.90714285714285725</v>
      </c>
      <c r="H111" s="85"/>
      <c r="I111" s="13" t="s">
        <v>103</v>
      </c>
      <c r="J111" s="29">
        <f ca="1">H108*50%</f>
        <v>3.5</v>
      </c>
    </row>
    <row r="112" spans="1:10" x14ac:dyDescent="0.25">
      <c r="A112" s="70" t="s">
        <v>53</v>
      </c>
      <c r="B112" s="71"/>
      <c r="C112" s="52">
        <f ca="1">J120</f>
        <v>7</v>
      </c>
      <c r="D112" s="51">
        <f ca="1">((100/H108)*C112)/100</f>
        <v>1</v>
      </c>
      <c r="E112" s="81"/>
      <c r="F112" s="82"/>
      <c r="G112" s="81"/>
      <c r="H112" s="86"/>
      <c r="I112" s="13" t="s">
        <v>104</v>
      </c>
      <c r="J112" s="29">
        <f ca="1">H108</f>
        <v>7</v>
      </c>
    </row>
    <row r="113" spans="1:10" ht="15.75" customHeight="1" x14ac:dyDescent="0.25">
      <c r="A113" s="70" t="s">
        <v>133</v>
      </c>
      <c r="B113" s="71"/>
      <c r="C113" s="50">
        <v>8</v>
      </c>
      <c r="D113" s="51">
        <f ca="1">((100/(D108+F108+H108))*C113)/100</f>
        <v>1</v>
      </c>
      <c r="E113" s="81"/>
      <c r="F113" s="82"/>
      <c r="G113" s="81"/>
      <c r="H113" s="86"/>
      <c r="I113" s="13" t="s">
        <v>105</v>
      </c>
      <c r="J113" s="30">
        <f ca="1">(IF(B108&gt;1,(H108/(B108+2)),H108/4))</f>
        <v>1.75</v>
      </c>
    </row>
    <row r="114" spans="1:10" ht="15.75" customHeight="1" x14ac:dyDescent="0.25">
      <c r="A114" s="70" t="s">
        <v>140</v>
      </c>
      <c r="B114" s="71" t="s">
        <v>134</v>
      </c>
      <c r="C114" s="50">
        <v>7</v>
      </c>
      <c r="D114" s="51">
        <f ca="1">((100/H108)*C114)/100</f>
        <v>1</v>
      </c>
      <c r="E114" s="81"/>
      <c r="F114" s="82"/>
      <c r="G114" s="81"/>
      <c r="H114" s="86"/>
      <c r="I114" s="13" t="s">
        <v>106</v>
      </c>
      <c r="J114" s="30">
        <f ca="1">(IF(B108&gt;1,(H108/(B108+2)+J113),H108/4+J113))</f>
        <v>3.5</v>
      </c>
    </row>
    <row r="115" spans="1:10" ht="15.75" customHeight="1" x14ac:dyDescent="0.25">
      <c r="A115" s="70" t="s">
        <v>141</v>
      </c>
      <c r="B115" s="71" t="s">
        <v>134</v>
      </c>
      <c r="C115" s="50">
        <v>7</v>
      </c>
      <c r="D115" s="51">
        <f ca="1">((100/H108)*C115)/100</f>
        <v>1</v>
      </c>
      <c r="E115" s="81"/>
      <c r="F115" s="82"/>
      <c r="G115" s="81"/>
      <c r="H115" s="86"/>
      <c r="I115" s="13" t="s">
        <v>150</v>
      </c>
      <c r="J115" s="30">
        <f>(IF(B108&gt;1,(H108/(B108+2)+J114),0))</f>
        <v>0</v>
      </c>
    </row>
    <row r="116" spans="1:10" ht="15" customHeight="1" x14ac:dyDescent="0.25">
      <c r="A116" s="70" t="s">
        <v>139</v>
      </c>
      <c r="B116" s="71" t="s">
        <v>136</v>
      </c>
      <c r="C116" s="50">
        <v>6</v>
      </c>
      <c r="D116" s="51">
        <f ca="1">((100/(H108))*C116)/100</f>
        <v>0.85714285714285721</v>
      </c>
      <c r="E116" s="81"/>
      <c r="F116" s="82"/>
      <c r="G116" s="81"/>
      <c r="H116" s="86"/>
      <c r="I116" s="13" t="s">
        <v>147</v>
      </c>
      <c r="J116" s="30">
        <f>(IF(B108&gt;2,(H108/(B108+2)+J115),0))</f>
        <v>0</v>
      </c>
    </row>
    <row r="117" spans="1:10" ht="15.75" customHeight="1" x14ac:dyDescent="0.25">
      <c r="A117" s="70" t="s">
        <v>135</v>
      </c>
      <c r="B117" s="71" t="s">
        <v>135</v>
      </c>
      <c r="C117" s="50">
        <v>2</v>
      </c>
      <c r="D117" s="51">
        <f ca="1">((100/H108)*C117)/100</f>
        <v>0.28571428571428575</v>
      </c>
      <c r="E117" s="81"/>
      <c r="F117" s="82"/>
      <c r="G117" s="81"/>
      <c r="H117" s="86"/>
      <c r="I117" s="13" t="s">
        <v>148</v>
      </c>
      <c r="J117" s="31">
        <f>(IF(B108&gt;3,(H108/(B108+2)+J116),0))</f>
        <v>0</v>
      </c>
    </row>
    <row r="118" spans="1:10" ht="15.75" customHeight="1" x14ac:dyDescent="0.25">
      <c r="A118" s="70" t="s">
        <v>142</v>
      </c>
      <c r="B118" s="71"/>
      <c r="C118" s="50">
        <v>0</v>
      </c>
      <c r="D118" s="51">
        <f ca="1">((100/H108)*C118)/100</f>
        <v>0</v>
      </c>
      <c r="E118" s="81"/>
      <c r="F118" s="82"/>
      <c r="G118" s="81"/>
      <c r="H118" s="86"/>
      <c r="I118" s="13" t="s">
        <v>149</v>
      </c>
      <c r="J118" s="30">
        <f>(IF(B108&gt;4,(H108/(B108+2)+J117),0))</f>
        <v>0</v>
      </c>
    </row>
    <row r="119" spans="1:10" ht="15.75" customHeight="1" x14ac:dyDescent="0.25">
      <c r="A119" s="70" t="s">
        <v>137</v>
      </c>
      <c r="B119" s="71" t="s">
        <v>137</v>
      </c>
      <c r="C119" s="50">
        <v>0</v>
      </c>
      <c r="D119" s="51">
        <f ca="1">((100/(H108))*C119)/100</f>
        <v>0</v>
      </c>
      <c r="E119" s="81"/>
      <c r="F119" s="82"/>
      <c r="G119" s="81"/>
      <c r="H119" s="86"/>
      <c r="I119" s="13" t="s">
        <v>151</v>
      </c>
      <c r="J119" s="30">
        <f ca="1">(IF(B108=1,(H108/(B108+3)+J114),IF(B108=0,(H108/4+J114),IF(B108&gt;1,0))))</f>
        <v>5.25</v>
      </c>
    </row>
    <row r="120" spans="1:10" ht="16.5" thickBot="1" x14ac:dyDescent="0.3">
      <c r="A120" s="88" t="s">
        <v>138</v>
      </c>
      <c r="B120" s="89"/>
      <c r="C120" s="53">
        <v>0</v>
      </c>
      <c r="D120" s="54">
        <f ca="1">((100/(H108))*C120)/100</f>
        <v>0</v>
      </c>
      <c r="E120" s="83"/>
      <c r="F120" s="84"/>
      <c r="G120" s="83"/>
      <c r="H120" s="87"/>
      <c r="I120" s="16" t="s">
        <v>107</v>
      </c>
      <c r="J120" s="32">
        <f ca="1">(IF(B108&gt;1.5,(H108/(B108+2)+J114+MAX(0,J115-J114)+MAX(0,J116-J115)+MAX(0,J117-J116)+MAX(0,J118-J117)+MAX(0,J119-J118)),IF(B108=1,(H108/(B108+3)+J119),IF(B108=0,H108/4+J119))))</f>
        <v>7</v>
      </c>
    </row>
    <row r="121" spans="1:10" x14ac:dyDescent="0.25">
      <c r="A121" s="61" t="s">
        <v>144</v>
      </c>
      <c r="B121" s="62"/>
      <c r="C121" s="63" t="s">
        <v>221</v>
      </c>
      <c r="D121" s="64"/>
      <c r="E121" s="64"/>
      <c r="F121" s="64"/>
      <c r="G121" s="64"/>
      <c r="H121" s="65"/>
      <c r="I121" s="14" t="str">
        <f ca="1"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","0")))&amp;(IF(C126=0%,"",IF(C126=J127,"Footing work is process",IF(C126=J128,"Footing work Completed",IF(C126=J129,"1st Basement Completed",IF(C126=J130,"1st &amp; 2nd Basement Completed",IF(C126=J131,"1st to 3rd Basement Completed",IF(C126=J132,"1st to 4th Basement Completed",IF(C126=J133,"Plinth work is process",IF(C126=J134,"Plinth work completed","0")))))))))))&amp;(IF(C127=(D122+F122+H122),", RCC Slab Completed",IF(C127&gt;0,", RCC upto "&amp;C127&amp;" Slab Completed",""))&amp;(IF(C128=H122,", Brickwork Completed",IF(C128&gt;0,", Brickwork upto "&amp;C128&amp;" Floor Completed",""))&amp;(IF(C129=H122,", Internal Plaster Completed",IF(C129&gt;0,", Internal Plaster upto "&amp;C129&amp;" Floor Completed",""))&amp;(IF(C130=H122,", External Plaster Completed",IF(C130&gt;0,", External Plaster upto "&amp;C130&amp;" Floor Completed",""))&amp;(IF(C131=H122,", Flooring Completed",IF(C131&gt;0,", Flooring upto "&amp;C131&amp;" Floor Completed",""))&amp;(IF(C132=H122,", Painting Completed",IF(C132&gt;0,", Painting upto "&amp;C132&amp;" Floor Completed",""))&amp;(IF(C133&gt;0,", Finishing upto "&amp;C133&amp;" Floor Completed","")&amp;(IF(C127&gt;0.5,".",""))))))))))))))</f>
        <v>Excavation work Completed. Plinth work completed, RCC Slab Completed, Brickwork upto 5 Floor Completed.</v>
      </c>
      <c r="J121" s="26"/>
    </row>
    <row r="122" spans="1:10" x14ac:dyDescent="0.25">
      <c r="A122" s="17" t="s">
        <v>146</v>
      </c>
      <c r="B122" s="48">
        <v>0</v>
      </c>
      <c r="C122" s="48" t="s">
        <v>76</v>
      </c>
      <c r="D122" s="48">
        <v>1</v>
      </c>
      <c r="E122" s="48" t="s">
        <v>75</v>
      </c>
      <c r="F122" s="48">
        <v>0</v>
      </c>
      <c r="G122" s="48" t="s">
        <v>84</v>
      </c>
      <c r="H122" s="18">
        <f ca="1">--TRIM(RIGHT(SUBSTITUTE(LEFT(C121,_xlfn.AGGREGATE(16,6,FIND({0,1,2,3,4,5,6,7,8,9},C121,ROW(INDIRECT("1:"&amp;LEN(C121)))),1))," ",REPT(" ",LEN(C121))),LEN(C121)))</f>
        <v>7</v>
      </c>
      <c r="I122" s="15"/>
      <c r="J122" s="27"/>
    </row>
    <row r="123" spans="1:10" ht="32.25" customHeight="1" x14ac:dyDescent="0.25">
      <c r="A123" s="66" t="s">
        <v>94</v>
      </c>
      <c r="B123" s="67"/>
      <c r="C123" s="68" t="str">
        <f ca="1">(IF($G$51="NA",I121,"All work Completed. OC Received."))</f>
        <v>Excavation work Completed. Plinth work completed, RCC Slab Completed, Brickwork upto 5 Floor Completed.</v>
      </c>
      <c r="D123" s="68"/>
      <c r="E123" s="68"/>
      <c r="F123" s="68"/>
      <c r="G123" s="68"/>
      <c r="H123" s="69"/>
      <c r="I123" s="15" t="s">
        <v>108</v>
      </c>
      <c r="J123" s="27"/>
    </row>
    <row r="124" spans="1:10" ht="15.75" customHeight="1" x14ac:dyDescent="0.25">
      <c r="A124" s="70" t="s">
        <v>52</v>
      </c>
      <c r="B124" s="71"/>
      <c r="C124" s="50" t="s">
        <v>143</v>
      </c>
      <c r="D124" s="50" t="s">
        <v>87</v>
      </c>
      <c r="E124" s="71" t="s">
        <v>89</v>
      </c>
      <c r="F124" s="71"/>
      <c r="G124" s="71" t="s">
        <v>88</v>
      </c>
      <c r="H124" s="72"/>
      <c r="I124" s="13" t="s">
        <v>145</v>
      </c>
      <c r="J124" s="28">
        <f ca="1">H122*25%</f>
        <v>1.75</v>
      </c>
    </row>
    <row r="125" spans="1:10" x14ac:dyDescent="0.25">
      <c r="A125" s="70" t="s">
        <v>132</v>
      </c>
      <c r="B125" s="71"/>
      <c r="C125" s="50">
        <f ca="1">J126</f>
        <v>7</v>
      </c>
      <c r="D125" s="51">
        <f ca="1">((100/H122)*C125)/100</f>
        <v>1</v>
      </c>
      <c r="E125" s="79">
        <f ca="1">(((C126/H122*10)+(40/(D122+F122+H122)*C127)+(7.5/(H122)*C128)+(7.5/(H122)*C129)+(10/H122*C130)+(10/H122*C131)+(5/H122*C132)+(5/H122*C133)+(5/H122*C134))/100)</f>
        <v>0.55357142857142849</v>
      </c>
      <c r="F125" s="80"/>
      <c r="G125" s="79">
        <f ca="1">((((C125/H122)*20)+((C126/H122)*25)+(30/(H122+F122+D122)*C127)+(5/H122*C128)+(5/H122*C129)+(5/H122*C130)+(5/H122*C131)+(0/H122*C132)+(0/H122*C133)+(5/H122*C134))/100)</f>
        <v>0.7857142857142857</v>
      </c>
      <c r="H125" s="85"/>
      <c r="I125" s="13" t="s">
        <v>103</v>
      </c>
      <c r="J125" s="29">
        <f ca="1">H122*50%</f>
        <v>3.5</v>
      </c>
    </row>
    <row r="126" spans="1:10" x14ac:dyDescent="0.25">
      <c r="A126" s="70" t="s">
        <v>53</v>
      </c>
      <c r="B126" s="71"/>
      <c r="C126" s="52">
        <f ca="1">J134</f>
        <v>7</v>
      </c>
      <c r="D126" s="51">
        <f ca="1">((100/H122)*C126)/100</f>
        <v>1</v>
      </c>
      <c r="E126" s="81"/>
      <c r="F126" s="82"/>
      <c r="G126" s="81"/>
      <c r="H126" s="86"/>
      <c r="I126" s="13" t="s">
        <v>104</v>
      </c>
      <c r="J126" s="29">
        <f ca="1">H122</f>
        <v>7</v>
      </c>
    </row>
    <row r="127" spans="1:10" ht="15.75" customHeight="1" x14ac:dyDescent="0.25">
      <c r="A127" s="70" t="s">
        <v>133</v>
      </c>
      <c r="B127" s="71"/>
      <c r="C127" s="50">
        <v>8</v>
      </c>
      <c r="D127" s="51">
        <f ca="1">((100/(D122+F122+H122))*C127)/100</f>
        <v>1</v>
      </c>
      <c r="E127" s="81"/>
      <c r="F127" s="82"/>
      <c r="G127" s="81"/>
      <c r="H127" s="86"/>
      <c r="I127" s="13" t="s">
        <v>105</v>
      </c>
      <c r="J127" s="30">
        <f ca="1">(IF(B122&gt;1,(H122/(B122+2)),H122/4))</f>
        <v>1.75</v>
      </c>
    </row>
    <row r="128" spans="1:10" ht="15.75" customHeight="1" x14ac:dyDescent="0.25">
      <c r="A128" s="70" t="s">
        <v>140</v>
      </c>
      <c r="B128" s="71" t="s">
        <v>134</v>
      </c>
      <c r="C128" s="50">
        <v>5</v>
      </c>
      <c r="D128" s="51">
        <f ca="1">((100/H122)*C128)/100</f>
        <v>0.7142857142857143</v>
      </c>
      <c r="E128" s="81"/>
      <c r="F128" s="82"/>
      <c r="G128" s="81"/>
      <c r="H128" s="86"/>
      <c r="I128" s="13" t="s">
        <v>106</v>
      </c>
      <c r="J128" s="30">
        <f ca="1">(IF(B122&gt;1,(H122/(B122+2)+J127),H122/4+J127))</f>
        <v>3.5</v>
      </c>
    </row>
    <row r="129" spans="1:10" ht="15.75" customHeight="1" x14ac:dyDescent="0.25">
      <c r="A129" s="70" t="s">
        <v>141</v>
      </c>
      <c r="B129" s="71" t="s">
        <v>134</v>
      </c>
      <c r="C129" s="50">
        <v>0</v>
      </c>
      <c r="D129" s="51">
        <f ca="1">((100/H122)*C129)/100</f>
        <v>0</v>
      </c>
      <c r="E129" s="81"/>
      <c r="F129" s="82"/>
      <c r="G129" s="81"/>
      <c r="H129" s="86"/>
      <c r="I129" s="13" t="s">
        <v>150</v>
      </c>
      <c r="J129" s="30">
        <f>(IF(B122&gt;1,(H122/(B122+2)+J128),0))</f>
        <v>0</v>
      </c>
    </row>
    <row r="130" spans="1:10" ht="15" customHeight="1" x14ac:dyDescent="0.25">
      <c r="A130" s="70" t="s">
        <v>139</v>
      </c>
      <c r="B130" s="71" t="s">
        <v>136</v>
      </c>
      <c r="C130" s="50">
        <v>0</v>
      </c>
      <c r="D130" s="51">
        <f ca="1">((100/(H122))*C130)/100</f>
        <v>0</v>
      </c>
      <c r="E130" s="81"/>
      <c r="F130" s="82"/>
      <c r="G130" s="81"/>
      <c r="H130" s="86"/>
      <c r="I130" s="13" t="s">
        <v>147</v>
      </c>
      <c r="J130" s="30">
        <f>(IF(B122&gt;2,(H122/(B122+2)+J129),0))</f>
        <v>0</v>
      </c>
    </row>
    <row r="131" spans="1:10" ht="15.75" customHeight="1" x14ac:dyDescent="0.25">
      <c r="A131" s="70" t="s">
        <v>135</v>
      </c>
      <c r="B131" s="71" t="s">
        <v>135</v>
      </c>
      <c r="C131" s="50">
        <v>0</v>
      </c>
      <c r="D131" s="51">
        <f ca="1">((100/H122)*C131)/100</f>
        <v>0</v>
      </c>
      <c r="E131" s="81"/>
      <c r="F131" s="82"/>
      <c r="G131" s="81"/>
      <c r="H131" s="86"/>
      <c r="I131" s="13" t="s">
        <v>148</v>
      </c>
      <c r="J131" s="31">
        <f>(IF(B122&gt;3,(H122/(B122+2)+J130),0))</f>
        <v>0</v>
      </c>
    </row>
    <row r="132" spans="1:10" ht="15.75" customHeight="1" x14ac:dyDescent="0.25">
      <c r="A132" s="70" t="s">
        <v>142</v>
      </c>
      <c r="B132" s="71"/>
      <c r="C132" s="50">
        <v>0</v>
      </c>
      <c r="D132" s="51">
        <f ca="1">((100/H122)*C132)/100</f>
        <v>0</v>
      </c>
      <c r="E132" s="81"/>
      <c r="F132" s="82"/>
      <c r="G132" s="81"/>
      <c r="H132" s="86"/>
      <c r="I132" s="13" t="s">
        <v>149</v>
      </c>
      <c r="J132" s="30">
        <f>(IF(B122&gt;4,(H122/(B122+2)+J131),0))</f>
        <v>0</v>
      </c>
    </row>
    <row r="133" spans="1:10" ht="15.75" customHeight="1" x14ac:dyDescent="0.25">
      <c r="A133" s="70" t="s">
        <v>137</v>
      </c>
      <c r="B133" s="71" t="s">
        <v>137</v>
      </c>
      <c r="C133" s="50">
        <v>0</v>
      </c>
      <c r="D133" s="51">
        <f ca="1">((100/(H122))*C133)/100</f>
        <v>0</v>
      </c>
      <c r="E133" s="81"/>
      <c r="F133" s="82"/>
      <c r="G133" s="81"/>
      <c r="H133" s="86"/>
      <c r="I133" s="13" t="s">
        <v>151</v>
      </c>
      <c r="J133" s="30">
        <f ca="1">(IF(B122=1,(H122/(B122+3)+J128),IF(B122=0,(H122/4+J128),IF(B122&gt;1,0))))</f>
        <v>5.25</v>
      </c>
    </row>
    <row r="134" spans="1:10" ht="16.5" thickBot="1" x14ac:dyDescent="0.3">
      <c r="A134" s="88" t="s">
        <v>138</v>
      </c>
      <c r="B134" s="89"/>
      <c r="C134" s="53">
        <v>0</v>
      </c>
      <c r="D134" s="54">
        <f ca="1">((100/(H122))*C134)/100</f>
        <v>0</v>
      </c>
      <c r="E134" s="83"/>
      <c r="F134" s="84"/>
      <c r="G134" s="83"/>
      <c r="H134" s="87"/>
      <c r="I134" s="16" t="s">
        <v>107</v>
      </c>
      <c r="J134" s="32">
        <f ca="1">(IF(B122&gt;1.5,(H122/(B122+2)+J128+MAX(0,J129-J128)+MAX(0,J130-J129)+MAX(0,J131-J130)+MAX(0,J132-J131)+MAX(0,J133-J132)),IF(B122=1,(H122/(B122+3)+J133),IF(B122=0,H122/4+J133))))</f>
        <v>7</v>
      </c>
    </row>
    <row r="135" spans="1:10" x14ac:dyDescent="0.25">
      <c r="A135" s="61" t="s">
        <v>144</v>
      </c>
      <c r="B135" s="62"/>
      <c r="C135" s="63" t="s">
        <v>220</v>
      </c>
      <c r="D135" s="64"/>
      <c r="E135" s="64"/>
      <c r="F135" s="64"/>
      <c r="G135" s="64"/>
      <c r="H135" s="65"/>
      <c r="I135" s="14" t="str">
        <f ca="1">(IF(E139&gt;99%,"All work completed. Please provide OC.",IF(E139&gt;89.8%,"Plinth, RCC, Brick, Plaster, Flooring, Painting work Completed. Finishing work is in process.",IF(E139&lt;94%,(IF(C139=0,"Work not yet Started.",IF(D139=25%,"Piling work in process",IF(D139=50%,"Excavation work in process",IF(D139=100%,"Excavation work Completed. ","0")))&amp;(IF(C140=0%,"",IF(C140=J141,"Footing work is process",IF(C140=J142,"Footing work Completed",IF(C140=J143,"1st Basement Completed",IF(C140=J144,"1st &amp; 2nd Basement Completed",IF(C140=J145,"1st to 3rd Basement Completed",IF(C140=J146,"1st to 4th Basement Completed",IF(C140=J147,"Plinth work is process",IF(C140=J148,"Plinth work completed","0")))))))))))&amp;(IF(C141=(D136+F136+H136),", RCC Slab Completed",IF(C141&gt;0,", RCC upto "&amp;C141&amp;" Slab Completed",""))&amp;(IF(C142=H136,", Brickwork Completed",IF(C142&gt;0,", Brickwork upto "&amp;C142&amp;" Floor Completed",""))&amp;(IF(C143=H136,", Internal Plaster Completed",IF(C143&gt;0,", Internal Plaster upto "&amp;C143&amp;" Floor Completed",""))&amp;(IF(C144=H136,", External Plaster Completed",IF(C144&gt;0,", External Plaster upto "&amp;C144&amp;" Floor Completed",""))&amp;(IF(C145=H136,", Flooring Completed",IF(C145&gt;0,", Flooring upto "&amp;C145&amp;" Floor Completed",""))&amp;(IF(C146=H136,", Painting Completed",IF(C146&gt;0,", Painting upto "&amp;C146&amp;" Floor Completed",""))&amp;(IF(C147&gt;0,", Finishing upto "&amp;C147&amp;" Floor Completed","")&amp;(IF(C141&gt;0.5,".",""))))))))))))))</f>
        <v>Plinth, RCC, Brick, Plaster, Flooring, Painting work Completed. Finishing work is in process.</v>
      </c>
      <c r="J135" s="26"/>
    </row>
    <row r="136" spans="1:10" x14ac:dyDescent="0.25">
      <c r="A136" s="17" t="s">
        <v>146</v>
      </c>
      <c r="B136" s="48">
        <v>0</v>
      </c>
      <c r="C136" s="48" t="s">
        <v>76</v>
      </c>
      <c r="D136" s="48">
        <v>1</v>
      </c>
      <c r="E136" s="48" t="s">
        <v>75</v>
      </c>
      <c r="F136" s="48">
        <v>0</v>
      </c>
      <c r="G136" s="48" t="s">
        <v>84</v>
      </c>
      <c r="H136" s="18">
        <f ca="1">--TRIM(RIGHT(SUBSTITUTE(LEFT(C135,_xlfn.AGGREGATE(16,6,FIND({0,1,2,3,4,5,6,7,8,9},C135,ROW(INDIRECT("1:"&amp;LEN(C135)))),1))," ",REPT(" ",LEN(C135))),LEN(C135)))</f>
        <v>7</v>
      </c>
      <c r="I136" s="15"/>
      <c r="J136" s="27"/>
    </row>
    <row r="137" spans="1:10" ht="35.25" customHeight="1" x14ac:dyDescent="0.25">
      <c r="A137" s="66" t="s">
        <v>94</v>
      </c>
      <c r="B137" s="67"/>
      <c r="C137" s="68" t="str">
        <f ca="1">(IF($G$51="NA",I135,"All work Completed. OC Received."))</f>
        <v>Plinth, RCC, Brick, Plaster, Flooring, Painting work Completed. Finishing work is in process.</v>
      </c>
      <c r="D137" s="68"/>
      <c r="E137" s="68"/>
      <c r="F137" s="68"/>
      <c r="G137" s="68"/>
      <c r="H137" s="69"/>
      <c r="I137" s="15" t="s">
        <v>108</v>
      </c>
      <c r="J137" s="27"/>
    </row>
    <row r="138" spans="1:10" ht="15.75" customHeight="1" x14ac:dyDescent="0.25">
      <c r="A138" s="70" t="s">
        <v>52</v>
      </c>
      <c r="B138" s="71"/>
      <c r="C138" s="50" t="s">
        <v>143</v>
      </c>
      <c r="D138" s="50" t="s">
        <v>87</v>
      </c>
      <c r="E138" s="71" t="s">
        <v>89</v>
      </c>
      <c r="F138" s="71"/>
      <c r="G138" s="71" t="s">
        <v>88</v>
      </c>
      <c r="H138" s="72"/>
      <c r="I138" s="13" t="s">
        <v>145</v>
      </c>
      <c r="J138" s="28">
        <f ca="1">H136*25%</f>
        <v>1.75</v>
      </c>
    </row>
    <row r="139" spans="1:10" x14ac:dyDescent="0.25">
      <c r="A139" s="70" t="s">
        <v>132</v>
      </c>
      <c r="B139" s="71"/>
      <c r="C139" s="50">
        <f ca="1">J140</f>
        <v>7</v>
      </c>
      <c r="D139" s="51">
        <f ca="1">((100/H136)*C139)/100</f>
        <v>1</v>
      </c>
      <c r="E139" s="79">
        <f ca="1">(((C140/H136*10)+(40/(D136+F136+H136)*C141)+(7.5/(H136)*C142)+(7.5/(H136)*C143)+(10/H136*C144)+(10/H136*C145)+(5/H136*C146)+(5/H136*C147)+(5/H136*C148))/100)</f>
        <v>0.90714285714285725</v>
      </c>
      <c r="F139" s="80"/>
      <c r="G139" s="79">
        <f ca="1">((((C139/H136)*20)+((C140/H136)*25)+(30/(H136+F136+D136)*C141)+(5/H136*C142)+(5/H136*C143)+(5/H136*C144)+(5/H136*C145)+(0/H136*C146)+(0/H136*C147)+(5/H136*C148))/100)</f>
        <v>0.95</v>
      </c>
      <c r="H139" s="85"/>
      <c r="I139" s="13" t="s">
        <v>103</v>
      </c>
      <c r="J139" s="29">
        <f ca="1">H136*50%</f>
        <v>3.5</v>
      </c>
    </row>
    <row r="140" spans="1:10" x14ac:dyDescent="0.25">
      <c r="A140" s="70" t="s">
        <v>53</v>
      </c>
      <c r="B140" s="71"/>
      <c r="C140" s="52">
        <f ca="1">J148</f>
        <v>7</v>
      </c>
      <c r="D140" s="51">
        <f ca="1">((100/H136)*C140)/100</f>
        <v>1</v>
      </c>
      <c r="E140" s="81"/>
      <c r="F140" s="82"/>
      <c r="G140" s="81"/>
      <c r="H140" s="86"/>
      <c r="I140" s="13" t="s">
        <v>104</v>
      </c>
      <c r="J140" s="29">
        <f ca="1">H136</f>
        <v>7</v>
      </c>
    </row>
    <row r="141" spans="1:10" ht="15.75" customHeight="1" x14ac:dyDescent="0.25">
      <c r="A141" s="70" t="s">
        <v>133</v>
      </c>
      <c r="B141" s="71"/>
      <c r="C141" s="50">
        <v>8</v>
      </c>
      <c r="D141" s="51">
        <f ca="1">((100/(D136+F136+H136))*C141)/100</f>
        <v>1</v>
      </c>
      <c r="E141" s="81"/>
      <c r="F141" s="82"/>
      <c r="G141" s="81"/>
      <c r="H141" s="86"/>
      <c r="I141" s="13" t="s">
        <v>105</v>
      </c>
      <c r="J141" s="30">
        <f ca="1">(IF(B136&gt;1,(H136/(B136+2)),H136/4))</f>
        <v>1.75</v>
      </c>
    </row>
    <row r="142" spans="1:10" ht="15.75" customHeight="1" x14ac:dyDescent="0.25">
      <c r="A142" s="70" t="s">
        <v>140</v>
      </c>
      <c r="B142" s="71" t="s">
        <v>134</v>
      </c>
      <c r="C142" s="50">
        <v>7</v>
      </c>
      <c r="D142" s="51">
        <f ca="1">((100/H136)*C142)/100</f>
        <v>1</v>
      </c>
      <c r="E142" s="81"/>
      <c r="F142" s="82"/>
      <c r="G142" s="81"/>
      <c r="H142" s="86"/>
      <c r="I142" s="13" t="s">
        <v>106</v>
      </c>
      <c r="J142" s="30">
        <f ca="1">(IF(B136&gt;1,(H136/(B136+2)+J141),H136/4+J141))</f>
        <v>3.5</v>
      </c>
    </row>
    <row r="143" spans="1:10" ht="15.75" customHeight="1" x14ac:dyDescent="0.25">
      <c r="A143" s="70" t="s">
        <v>141</v>
      </c>
      <c r="B143" s="71" t="s">
        <v>134</v>
      </c>
      <c r="C143" s="50">
        <v>7</v>
      </c>
      <c r="D143" s="51">
        <f ca="1">((100/H136)*C143)/100</f>
        <v>1</v>
      </c>
      <c r="E143" s="81"/>
      <c r="F143" s="82"/>
      <c r="G143" s="81"/>
      <c r="H143" s="86"/>
      <c r="I143" s="13" t="s">
        <v>150</v>
      </c>
      <c r="J143" s="30">
        <f>(IF(B136&gt;1,(H136/(B136+2)+J142),0))</f>
        <v>0</v>
      </c>
    </row>
    <row r="144" spans="1:10" ht="15" customHeight="1" x14ac:dyDescent="0.25">
      <c r="A144" s="70" t="s">
        <v>139</v>
      </c>
      <c r="B144" s="71" t="s">
        <v>136</v>
      </c>
      <c r="C144" s="50">
        <v>7</v>
      </c>
      <c r="D144" s="51">
        <f ca="1">((100/(H136))*C144)/100</f>
        <v>1</v>
      </c>
      <c r="E144" s="81"/>
      <c r="F144" s="82"/>
      <c r="G144" s="81"/>
      <c r="H144" s="86"/>
      <c r="I144" s="13" t="s">
        <v>147</v>
      </c>
      <c r="J144" s="30">
        <f>(IF(B136&gt;2,(H136/(B136+2)+J143),0))</f>
        <v>0</v>
      </c>
    </row>
    <row r="145" spans="1:10" ht="15.75" customHeight="1" x14ac:dyDescent="0.25">
      <c r="A145" s="70" t="s">
        <v>135</v>
      </c>
      <c r="B145" s="71" t="s">
        <v>135</v>
      </c>
      <c r="C145" s="50">
        <v>7</v>
      </c>
      <c r="D145" s="51">
        <f ca="1">((100/H136)*C145)/100</f>
        <v>1</v>
      </c>
      <c r="E145" s="81"/>
      <c r="F145" s="82"/>
      <c r="G145" s="81"/>
      <c r="H145" s="86"/>
      <c r="I145" s="13" t="s">
        <v>148</v>
      </c>
      <c r="J145" s="31">
        <f>(IF(B136&gt;3,(H136/(B136+2)+J144),0))</f>
        <v>0</v>
      </c>
    </row>
    <row r="146" spans="1:10" ht="15.75" customHeight="1" x14ac:dyDescent="0.25">
      <c r="A146" s="70" t="s">
        <v>142</v>
      </c>
      <c r="B146" s="71"/>
      <c r="C146" s="50">
        <v>6</v>
      </c>
      <c r="D146" s="51">
        <f ca="1">((100/H136)*C146)/100</f>
        <v>0.85714285714285721</v>
      </c>
      <c r="E146" s="81"/>
      <c r="F146" s="82"/>
      <c r="G146" s="81"/>
      <c r="H146" s="86"/>
      <c r="I146" s="13" t="s">
        <v>149</v>
      </c>
      <c r="J146" s="30">
        <f>(IF(B136&gt;4,(H136/(B136+2)+J145),0))</f>
        <v>0</v>
      </c>
    </row>
    <row r="147" spans="1:10" ht="15.75" customHeight="1" x14ac:dyDescent="0.25">
      <c r="A147" s="70" t="s">
        <v>137</v>
      </c>
      <c r="B147" s="71" t="s">
        <v>137</v>
      </c>
      <c r="C147" s="50">
        <v>2</v>
      </c>
      <c r="D147" s="51">
        <f ca="1">((100/(H136))*C147)/100</f>
        <v>0.28571428571428575</v>
      </c>
      <c r="E147" s="81"/>
      <c r="F147" s="82"/>
      <c r="G147" s="81"/>
      <c r="H147" s="86"/>
      <c r="I147" s="13" t="s">
        <v>151</v>
      </c>
      <c r="J147" s="30">
        <f ca="1">(IF(B136=1,(H136/(B136+3)+J142),IF(B136=0,(H136/4+J142),IF(B136&gt;1,0))))</f>
        <v>5.25</v>
      </c>
    </row>
    <row r="148" spans="1:10" ht="16.5" thickBot="1" x14ac:dyDescent="0.3">
      <c r="A148" s="88" t="s">
        <v>138</v>
      </c>
      <c r="B148" s="89"/>
      <c r="C148" s="53">
        <v>0</v>
      </c>
      <c r="D148" s="54">
        <f ca="1">((100/(H136))*C148)/100</f>
        <v>0</v>
      </c>
      <c r="E148" s="83"/>
      <c r="F148" s="84"/>
      <c r="G148" s="83"/>
      <c r="H148" s="87"/>
      <c r="I148" s="16" t="s">
        <v>107</v>
      </c>
      <c r="J148" s="32">
        <f ca="1">(IF(B136&gt;1.5,(H136/(B136+2)+J142+MAX(0,J143-J142)+MAX(0,J144-J143)+MAX(0,J145-J144)+MAX(0,J146-J145)+MAX(0,J147-J146)),IF(B136=1,(H136/(B136+3)+J147),IF(B136=0,H136/4+J147))))</f>
        <v>7</v>
      </c>
    </row>
    <row r="149" spans="1:10" x14ac:dyDescent="0.25">
      <c r="A149" s="61" t="s">
        <v>144</v>
      </c>
      <c r="B149" s="62"/>
      <c r="C149" s="63" t="s">
        <v>215</v>
      </c>
      <c r="D149" s="64"/>
      <c r="E149" s="64"/>
      <c r="F149" s="64"/>
      <c r="G149" s="64"/>
      <c r="H149" s="65"/>
      <c r="I149" s="14" t="str">
        <f ca="1">(IF(E153&gt;99%,"All work completed. Please provide OC.",IF(E153&gt;89.8%,"Plinth, RCC, Brick, Plaster, Flooring, Painting work Completed. Finishing work is in process.",IF(E153&lt;94%,(IF(C153=0,"Work not yet Started.",IF(D153=25%,"Piling work in process",IF(D153=50%,"Excavation work in process",IF(D153=100%,"Excavation work Completed. ","0")))&amp;(IF(C154=0%,"",IF(C154=J155,"Footing work is process",IF(C154=J156,"Footing work Completed",IF(C154=J157,"1st Basement Completed",IF(C154=J158,"1st &amp; 2nd Basement Completed",IF(C154=J159,"1st to 3rd Basement Completed",IF(C154=J160,"1st to 4th Basement Completed",IF(C154=J161,"Plinth work is process",IF(C154=J162,"Plinth work completed","0")))))))))))&amp;(IF(C155=(D150+F150+H150),", RCC Slab Completed",IF(C155&gt;0,", RCC upto "&amp;C155&amp;" Slab Completed",""))&amp;(IF(C156=H150,", Brickwork Completed",IF(C156&gt;0,", Brickwork upto "&amp;C156&amp;" Floor Completed",""))&amp;(IF(C157=H150,", Internal Plaster Completed",IF(C157&gt;0,", Internal Plaster upto "&amp;C157&amp;" Floor Completed",""))&amp;(IF(C158=H150,", External Plaster Completed",IF(C158&gt;0,", External Plaster upto "&amp;C158&amp;" Floor Completed",""))&amp;(IF(C159=H150,", Flooring Completed",IF(C159&gt;0,", Flooring upto "&amp;C159&amp;" Floor Completed",""))&amp;(IF(C160=H150,", Painting Completed",IF(C160&gt;0,", Painting upto "&amp;C160&amp;" Floor Completed",""))&amp;(IF(C161&gt;0,", Finishing upto "&amp;C161&amp;" Floor Completed","")&amp;(IF(C155&gt;0.5,".",""))))))))))))))</f>
        <v>Excavation work Completed. Plinth work completed, RCC Slab Completed, Brickwork Completed, Internal Plaster upto 3 Floor Completed.</v>
      </c>
      <c r="J149" s="26"/>
    </row>
    <row r="150" spans="1:10" x14ac:dyDescent="0.25">
      <c r="A150" s="17" t="s">
        <v>146</v>
      </c>
      <c r="B150" s="48">
        <v>0</v>
      </c>
      <c r="C150" s="48" t="s">
        <v>76</v>
      </c>
      <c r="D150" s="48">
        <v>1</v>
      </c>
      <c r="E150" s="48" t="s">
        <v>75</v>
      </c>
      <c r="F150" s="48">
        <v>0</v>
      </c>
      <c r="G150" s="48" t="s">
        <v>84</v>
      </c>
      <c r="H150" s="18">
        <f ca="1">--TRIM(RIGHT(SUBSTITUTE(LEFT(C149,_xlfn.AGGREGATE(16,6,FIND({0,1,2,3,4,5,6,7,8,9},C149,ROW(INDIRECT("1:"&amp;LEN(C149)))),1))," ",REPT(" ",LEN(C149))),LEN(C149)))</f>
        <v>7</v>
      </c>
      <c r="I150" s="15"/>
      <c r="J150" s="27"/>
    </row>
    <row r="151" spans="1:10" ht="33" customHeight="1" x14ac:dyDescent="0.25">
      <c r="A151" s="66" t="s">
        <v>94</v>
      </c>
      <c r="B151" s="67"/>
      <c r="C151" s="68" t="str">
        <f ca="1">(IF($G$51="NA",I149,"All work Completed. OC Received."))</f>
        <v>Excavation work Completed. Plinth work completed, RCC Slab Completed, Brickwork Completed, Internal Plaster upto 3 Floor Completed.</v>
      </c>
      <c r="D151" s="68"/>
      <c r="E151" s="68"/>
      <c r="F151" s="68"/>
      <c r="G151" s="68"/>
      <c r="H151" s="69"/>
      <c r="I151" s="15" t="s">
        <v>108</v>
      </c>
      <c r="J151" s="27"/>
    </row>
    <row r="152" spans="1:10" ht="15.75" customHeight="1" x14ac:dyDescent="0.25">
      <c r="A152" s="70" t="s">
        <v>52</v>
      </c>
      <c r="B152" s="71"/>
      <c r="C152" s="50" t="s">
        <v>143</v>
      </c>
      <c r="D152" s="50" t="s">
        <v>87</v>
      </c>
      <c r="E152" s="71" t="s">
        <v>89</v>
      </c>
      <c r="F152" s="71"/>
      <c r="G152" s="71" t="s">
        <v>88</v>
      </c>
      <c r="H152" s="72"/>
      <c r="I152" s="13" t="s">
        <v>145</v>
      </c>
      <c r="J152" s="28">
        <f ca="1">H150*25%</f>
        <v>1.75</v>
      </c>
    </row>
    <row r="153" spans="1:10" x14ac:dyDescent="0.25">
      <c r="A153" s="70" t="s">
        <v>132</v>
      </c>
      <c r="B153" s="71"/>
      <c r="C153" s="50">
        <f ca="1">J154</f>
        <v>7</v>
      </c>
      <c r="D153" s="51">
        <f ca="1">((100/H150)*C153)/100</f>
        <v>1</v>
      </c>
      <c r="E153" s="79">
        <f ca="1">(((C154/H150*10)+(40/(D150+F150+H150)*C155)+(7.5/(H150)*C156)+(7.5/(H150)*C157)+(10/H150*C158)+(10/H150*C159)+(5/H150*C160)+(5/H150*C161)+(5/H150*C162))/100)</f>
        <v>0.60714285714285721</v>
      </c>
      <c r="F153" s="80"/>
      <c r="G153" s="79">
        <f ca="1">((((C153/H150)*20)+((C154/H150)*25)+(30/(H150+F150+D150)*C155)+(5/H150*C156)+(5/H150*C157)+(5/H150*C158)+(5/H150*C159)+(0/H150*C160)+(0/H150*C161)+(5/H150*C162))/100)</f>
        <v>0.8214285714285714</v>
      </c>
      <c r="H153" s="85"/>
      <c r="I153" s="13" t="s">
        <v>103</v>
      </c>
      <c r="J153" s="29">
        <f ca="1">H150*50%</f>
        <v>3.5</v>
      </c>
    </row>
    <row r="154" spans="1:10" x14ac:dyDescent="0.25">
      <c r="A154" s="70" t="s">
        <v>53</v>
      </c>
      <c r="B154" s="71"/>
      <c r="C154" s="52">
        <f ca="1">J162</f>
        <v>7</v>
      </c>
      <c r="D154" s="51">
        <f ca="1">((100/H150)*C154)/100</f>
        <v>1</v>
      </c>
      <c r="E154" s="81"/>
      <c r="F154" s="82"/>
      <c r="G154" s="81"/>
      <c r="H154" s="86"/>
      <c r="I154" s="13" t="s">
        <v>104</v>
      </c>
      <c r="J154" s="29">
        <f ca="1">H150</f>
        <v>7</v>
      </c>
    </row>
    <row r="155" spans="1:10" ht="15.75" customHeight="1" x14ac:dyDescent="0.25">
      <c r="A155" s="70" t="s">
        <v>133</v>
      </c>
      <c r="B155" s="71"/>
      <c r="C155" s="50">
        <v>8</v>
      </c>
      <c r="D155" s="51">
        <f ca="1">((100/(D150+F150+H150))*C155)/100</f>
        <v>1</v>
      </c>
      <c r="E155" s="81"/>
      <c r="F155" s="82"/>
      <c r="G155" s="81"/>
      <c r="H155" s="86"/>
      <c r="I155" s="13" t="s">
        <v>105</v>
      </c>
      <c r="J155" s="30">
        <f ca="1">(IF(B150&gt;1,(H150/(B150+2)),H150/4))</f>
        <v>1.75</v>
      </c>
    </row>
    <row r="156" spans="1:10" ht="15.75" customHeight="1" x14ac:dyDescent="0.25">
      <c r="A156" s="70" t="s">
        <v>140</v>
      </c>
      <c r="B156" s="71" t="s">
        <v>134</v>
      </c>
      <c r="C156" s="50">
        <v>7</v>
      </c>
      <c r="D156" s="51">
        <f ca="1">((100/H150)*C156)/100</f>
        <v>1</v>
      </c>
      <c r="E156" s="81"/>
      <c r="F156" s="82"/>
      <c r="G156" s="81"/>
      <c r="H156" s="86"/>
      <c r="I156" s="13" t="s">
        <v>106</v>
      </c>
      <c r="J156" s="30">
        <f ca="1">(IF(B150&gt;1,(H150/(B150+2)+J155),H150/4+J155))</f>
        <v>3.5</v>
      </c>
    </row>
    <row r="157" spans="1:10" ht="15.75" customHeight="1" x14ac:dyDescent="0.25">
      <c r="A157" s="70" t="s">
        <v>141</v>
      </c>
      <c r="B157" s="71" t="s">
        <v>134</v>
      </c>
      <c r="C157" s="50">
        <v>3</v>
      </c>
      <c r="D157" s="51">
        <f ca="1">((100/H150)*C157)/100</f>
        <v>0.4285714285714286</v>
      </c>
      <c r="E157" s="81"/>
      <c r="F157" s="82"/>
      <c r="G157" s="81"/>
      <c r="H157" s="86"/>
      <c r="I157" s="13" t="s">
        <v>150</v>
      </c>
      <c r="J157" s="30">
        <f>(IF(B150&gt;1,(H150/(B150+2)+J156),0))</f>
        <v>0</v>
      </c>
    </row>
    <row r="158" spans="1:10" ht="15" customHeight="1" x14ac:dyDescent="0.25">
      <c r="A158" s="70" t="s">
        <v>139</v>
      </c>
      <c r="B158" s="71" t="s">
        <v>136</v>
      </c>
      <c r="C158" s="50">
        <v>0</v>
      </c>
      <c r="D158" s="51">
        <f ca="1">((100/(H150))*C158)/100</f>
        <v>0</v>
      </c>
      <c r="E158" s="81"/>
      <c r="F158" s="82"/>
      <c r="G158" s="81"/>
      <c r="H158" s="86"/>
      <c r="I158" s="13" t="s">
        <v>147</v>
      </c>
      <c r="J158" s="30">
        <f>(IF(B150&gt;2,(H150/(B150+2)+J157),0))</f>
        <v>0</v>
      </c>
    </row>
    <row r="159" spans="1:10" ht="15.75" customHeight="1" x14ac:dyDescent="0.25">
      <c r="A159" s="70" t="s">
        <v>135</v>
      </c>
      <c r="B159" s="71" t="s">
        <v>135</v>
      </c>
      <c r="C159" s="50">
        <v>0</v>
      </c>
      <c r="D159" s="51">
        <f ca="1">((100/H150)*C159)/100</f>
        <v>0</v>
      </c>
      <c r="E159" s="81"/>
      <c r="F159" s="82"/>
      <c r="G159" s="81"/>
      <c r="H159" s="86"/>
      <c r="I159" s="13" t="s">
        <v>148</v>
      </c>
      <c r="J159" s="31">
        <f>(IF(B150&gt;3,(H150/(B150+2)+J158),0))</f>
        <v>0</v>
      </c>
    </row>
    <row r="160" spans="1:10" ht="15.75" customHeight="1" x14ac:dyDescent="0.25">
      <c r="A160" s="70" t="s">
        <v>142</v>
      </c>
      <c r="B160" s="71"/>
      <c r="C160" s="50">
        <v>0</v>
      </c>
      <c r="D160" s="51">
        <f ca="1">((100/H150)*C160)/100</f>
        <v>0</v>
      </c>
      <c r="E160" s="81"/>
      <c r="F160" s="82"/>
      <c r="G160" s="81"/>
      <c r="H160" s="86"/>
      <c r="I160" s="13" t="s">
        <v>149</v>
      </c>
      <c r="J160" s="30">
        <f>(IF(B150&gt;4,(H150/(B150+2)+J159),0))</f>
        <v>0</v>
      </c>
    </row>
    <row r="161" spans="1:11" ht="15.75" customHeight="1" x14ac:dyDescent="0.25">
      <c r="A161" s="70" t="s">
        <v>137</v>
      </c>
      <c r="B161" s="71" t="s">
        <v>137</v>
      </c>
      <c r="C161" s="50">
        <v>0</v>
      </c>
      <c r="D161" s="51">
        <f ca="1">((100/(H150))*C161)/100</f>
        <v>0</v>
      </c>
      <c r="E161" s="81"/>
      <c r="F161" s="82"/>
      <c r="G161" s="81"/>
      <c r="H161" s="86"/>
      <c r="I161" s="13" t="s">
        <v>151</v>
      </c>
      <c r="J161" s="30">
        <f ca="1">(IF(B150=1,(H150/(B150+3)+J156),IF(B150=0,(H150/4+J156),IF(B150&gt;1,0))))</f>
        <v>5.25</v>
      </c>
    </row>
    <row r="162" spans="1:11" ht="16.5" thickBot="1" x14ac:dyDescent="0.3">
      <c r="A162" s="88" t="s">
        <v>138</v>
      </c>
      <c r="B162" s="89"/>
      <c r="C162" s="53">
        <v>0</v>
      </c>
      <c r="D162" s="54">
        <f ca="1">((100/(H150))*C162)/100</f>
        <v>0</v>
      </c>
      <c r="E162" s="83"/>
      <c r="F162" s="84"/>
      <c r="G162" s="83"/>
      <c r="H162" s="87"/>
      <c r="I162" s="16" t="s">
        <v>107</v>
      </c>
      <c r="J162" s="32">
        <f ca="1">(IF(B150&gt;1.5,(H150/(B150+2)+J156+MAX(0,J157-J156)+MAX(0,J158-J157)+MAX(0,J159-J158)+MAX(0,J160-J159)+MAX(0,J161-J160)),IF(B150=1,(H150/(B150+3)+J161),IF(B150=0,H150/4+J161))))</f>
        <v>7</v>
      </c>
    </row>
    <row r="163" spans="1:11" x14ac:dyDescent="0.25">
      <c r="A163" s="104" t="s">
        <v>160</v>
      </c>
      <c r="B163" s="104"/>
      <c r="C163" s="104"/>
      <c r="D163" s="104"/>
      <c r="E163" s="104"/>
      <c r="F163" s="105" t="s">
        <v>162</v>
      </c>
      <c r="G163" s="105"/>
      <c r="H163" s="105"/>
      <c r="I163" s="20" t="s">
        <v>203</v>
      </c>
      <c r="J163" s="24">
        <v>45034</v>
      </c>
      <c r="K163" s="20" t="s">
        <v>204</v>
      </c>
    </row>
    <row r="164" spans="1:11" x14ac:dyDescent="0.25">
      <c r="A164" s="74" t="s">
        <v>161</v>
      </c>
      <c r="B164" s="74"/>
      <c r="C164" s="74"/>
      <c r="D164" s="74"/>
      <c r="E164" s="74"/>
      <c r="F164" s="166">
        <v>4100</v>
      </c>
      <c r="G164" s="166"/>
      <c r="H164" s="166"/>
      <c r="I164" s="20" t="s">
        <v>225</v>
      </c>
      <c r="J164" s="24">
        <v>45378</v>
      </c>
      <c r="K164" s="20" t="s">
        <v>204</v>
      </c>
    </row>
    <row r="165" spans="1:11" s="33" customFormat="1" x14ac:dyDescent="0.25">
      <c r="A165" s="74" t="s">
        <v>99</v>
      </c>
      <c r="B165" s="74"/>
      <c r="C165" s="74"/>
      <c r="D165" s="74"/>
      <c r="E165" s="74"/>
      <c r="F165" s="103">
        <v>200000</v>
      </c>
      <c r="G165" s="103"/>
      <c r="H165" s="103"/>
    </row>
    <row r="166" spans="1:11" s="33" customFormat="1" hidden="1" x14ac:dyDescent="0.25">
      <c r="A166" s="74" t="s">
        <v>100</v>
      </c>
      <c r="B166" s="74"/>
      <c r="C166" s="74"/>
      <c r="D166" s="74"/>
      <c r="E166" s="74"/>
      <c r="F166" s="103"/>
      <c r="G166" s="103"/>
      <c r="H166" s="103"/>
    </row>
    <row r="167" spans="1:11" s="33" customFormat="1" hidden="1" x14ac:dyDescent="0.25">
      <c r="A167" s="74" t="s">
        <v>163</v>
      </c>
      <c r="B167" s="74"/>
      <c r="C167" s="74"/>
      <c r="D167" s="74"/>
      <c r="E167" s="74"/>
      <c r="F167" s="103"/>
      <c r="G167" s="103"/>
      <c r="H167" s="103"/>
    </row>
    <row r="168" spans="1:11" s="33" customFormat="1" hidden="1" x14ac:dyDescent="0.25">
      <c r="A168" s="74" t="s">
        <v>101</v>
      </c>
      <c r="B168" s="74"/>
      <c r="C168" s="74"/>
      <c r="D168" s="74"/>
      <c r="E168" s="74"/>
      <c r="F168" s="103"/>
      <c r="G168" s="103"/>
      <c r="H168" s="103"/>
    </row>
    <row r="169" spans="1:11" s="33" customFormat="1" hidden="1" x14ac:dyDescent="0.25">
      <c r="A169" s="74" t="s">
        <v>102</v>
      </c>
      <c r="B169" s="74"/>
      <c r="C169" s="74"/>
      <c r="D169" s="74"/>
      <c r="E169" s="74"/>
      <c r="F169" s="103"/>
      <c r="G169" s="103"/>
      <c r="H169" s="103"/>
    </row>
    <row r="170" spans="1:11" s="33" customFormat="1" x14ac:dyDescent="0.25">
      <c r="A170" s="74" t="s">
        <v>199</v>
      </c>
      <c r="B170" s="74"/>
      <c r="C170" s="74"/>
      <c r="D170" s="74"/>
      <c r="E170" s="74"/>
      <c r="F170" s="103">
        <v>150000</v>
      </c>
      <c r="G170" s="103"/>
      <c r="H170" s="103"/>
    </row>
    <row r="171" spans="1:11" x14ac:dyDescent="0.25">
      <c r="A171" s="74" t="s">
        <v>54</v>
      </c>
      <c r="B171" s="74"/>
      <c r="C171" s="74"/>
      <c r="D171" s="74"/>
      <c r="E171" s="74"/>
      <c r="F171" s="103">
        <v>100000</v>
      </c>
      <c r="G171" s="103"/>
      <c r="H171" s="103"/>
    </row>
    <row r="172" spans="1:11" s="34" customFormat="1" x14ac:dyDescent="0.25">
      <c r="A172" s="73" t="s">
        <v>55</v>
      </c>
      <c r="B172" s="73"/>
      <c r="C172" s="73"/>
      <c r="D172" s="73"/>
      <c r="E172" s="73"/>
      <c r="F172" s="103">
        <f>F164*0.8</f>
        <v>3280</v>
      </c>
      <c r="G172" s="103"/>
      <c r="H172" s="103"/>
    </row>
    <row r="173" spans="1:11" s="35" customFormat="1" x14ac:dyDescent="0.25">
      <c r="A173" s="138" t="s">
        <v>74</v>
      </c>
      <c r="B173" s="138"/>
      <c r="C173" s="138"/>
      <c r="D173" s="138"/>
      <c r="E173" s="138"/>
      <c r="F173" s="138"/>
      <c r="G173" s="138"/>
      <c r="H173" s="138"/>
    </row>
    <row r="174" spans="1:11" s="35" customFormat="1" ht="15.75" customHeight="1" x14ac:dyDescent="0.25">
      <c r="A174" s="163" t="s">
        <v>56</v>
      </c>
      <c r="B174" s="163"/>
      <c r="C174" s="174" t="s">
        <v>82</v>
      </c>
      <c r="D174" s="174"/>
      <c r="E174" s="141" t="s">
        <v>57</v>
      </c>
      <c r="F174" s="141"/>
      <c r="G174" s="163" t="s">
        <v>58</v>
      </c>
      <c r="H174" s="163"/>
    </row>
    <row r="175" spans="1:11" s="35" customFormat="1" x14ac:dyDescent="0.25">
      <c r="A175" s="106" t="s">
        <v>212</v>
      </c>
      <c r="B175" s="106"/>
      <c r="C175" s="110">
        <f>COUNT(D191:D195)*7</f>
        <v>35</v>
      </c>
      <c r="D175" s="110"/>
      <c r="E175" s="109">
        <f>SUM(D191:D195)*7</f>
        <v>19896.091487999998</v>
      </c>
      <c r="F175" s="109"/>
      <c r="G175" s="109">
        <f>SUM(F191:F195)*7</f>
        <v>29890</v>
      </c>
      <c r="H175" s="109"/>
    </row>
    <row r="176" spans="1:11" s="35" customFormat="1" x14ac:dyDescent="0.25">
      <c r="A176" s="106" t="s">
        <v>211</v>
      </c>
      <c r="B176" s="106"/>
      <c r="C176" s="110">
        <f>COUNT(D199:D200)+COUNT(D202:D207)*7</f>
        <v>44</v>
      </c>
      <c r="D176" s="110"/>
      <c r="E176" s="109">
        <f>SUM(D199:D200)+SUM(D202:D207)*7</f>
        <v>23237.667647999999</v>
      </c>
      <c r="F176" s="109"/>
      <c r="G176" s="109">
        <f>SUM(F199:F200)+SUM(F202:F207)*7</f>
        <v>34855</v>
      </c>
      <c r="H176" s="109"/>
    </row>
    <row r="177" spans="1:14" s="35" customFormat="1" x14ac:dyDescent="0.25">
      <c r="A177" s="106" t="s">
        <v>216</v>
      </c>
      <c r="B177" s="106"/>
      <c r="C177" s="110">
        <f>COUNT(D211:D213)+COUNT(D215:D221)*7</f>
        <v>52</v>
      </c>
      <c r="D177" s="110"/>
      <c r="E177" s="109">
        <f>SUM(D211:D213)+SUM(D215:D221)*7</f>
        <v>27780.043356000002</v>
      </c>
      <c r="F177" s="109"/>
      <c r="G177" s="109">
        <f>SUM(F211:F213)+SUM(F215:F221)*7</f>
        <v>41665</v>
      </c>
      <c r="H177" s="109"/>
    </row>
    <row r="178" spans="1:14" s="35" customFormat="1" x14ac:dyDescent="0.25">
      <c r="A178" s="106" t="s">
        <v>209</v>
      </c>
      <c r="B178" s="106"/>
      <c r="C178" s="110">
        <f>COUNT(D225:D227)+COUNT(D229:D233)*7</f>
        <v>38</v>
      </c>
      <c r="D178" s="110"/>
      <c r="E178" s="109">
        <f>SUM(D225:D227)+SUM(D229:D233)*7</f>
        <v>19434.434292000002</v>
      </c>
      <c r="F178" s="109"/>
      <c r="G178" s="109">
        <f>SUM(F225:F227)+SUM(F229:F233)*7</f>
        <v>29070</v>
      </c>
      <c r="H178" s="109"/>
    </row>
    <row r="179" spans="1:14" s="35" customFormat="1" x14ac:dyDescent="0.25">
      <c r="A179" s="106" t="s">
        <v>208</v>
      </c>
      <c r="B179" s="106"/>
      <c r="C179" s="110">
        <f>COUNT(D237:D240)+COUNT(D242:D249)*7</f>
        <v>60</v>
      </c>
      <c r="D179" s="110"/>
      <c r="E179" s="109">
        <f>SUM(D237:D240)+SUM(D242:D249)*7</f>
        <v>31172.565527999999</v>
      </c>
      <c r="F179" s="109"/>
      <c r="G179" s="109">
        <f>SUM(F237:F240)+SUM(F242:F249)*7</f>
        <v>46850</v>
      </c>
      <c r="H179" s="109"/>
    </row>
    <row r="180" spans="1:14" s="35" customFormat="1" x14ac:dyDescent="0.25">
      <c r="A180" s="106" t="s">
        <v>213</v>
      </c>
      <c r="B180" s="106"/>
      <c r="C180" s="110">
        <f>COUNT(D253:D256)+COUNT(D258:D265)*7</f>
        <v>60</v>
      </c>
      <c r="D180" s="110"/>
      <c r="E180" s="109">
        <f t="shared" ref="E180" si="0">SUM(D253:D256)+SUM(D258:D265)*7</f>
        <v>22631.482223999999</v>
      </c>
      <c r="F180" s="109"/>
      <c r="G180" s="109">
        <f>SUM(F253:F256)+SUM(F258:F265)*7</f>
        <v>34065</v>
      </c>
      <c r="H180" s="109"/>
    </row>
    <row r="181" spans="1:14" s="35" customFormat="1" ht="16.5" thickBot="1" x14ac:dyDescent="0.3">
      <c r="A181" s="171" t="s">
        <v>214</v>
      </c>
      <c r="B181" s="171"/>
      <c r="C181" s="172">
        <f>COUNT(D269:D271)+COUNT(D273:D278)*7</f>
        <v>45</v>
      </c>
      <c r="D181" s="172"/>
      <c r="E181" s="173">
        <f t="shared" ref="E181" si="1">SUM(D269:D271)+SUM(D273:D278)*7</f>
        <v>17823.257244</v>
      </c>
      <c r="F181" s="173"/>
      <c r="G181" s="173">
        <f>SUM(F269:F271)+SUM(F273:F278)*7</f>
        <v>26675</v>
      </c>
      <c r="H181" s="173"/>
    </row>
    <row r="182" spans="1:14" s="35" customFormat="1" ht="16.5" thickBot="1" x14ac:dyDescent="0.3">
      <c r="A182" s="77" t="s">
        <v>154</v>
      </c>
      <c r="B182" s="78"/>
      <c r="C182" s="114">
        <f>SUM(C175:D181)</f>
        <v>334</v>
      </c>
      <c r="D182" s="114"/>
      <c r="E182" s="112">
        <f>SUM(E175:F181)</f>
        <v>161975.54178</v>
      </c>
      <c r="F182" s="113"/>
      <c r="G182" s="107">
        <f>SUM(G175:H181)</f>
        <v>243070</v>
      </c>
      <c r="H182" s="108"/>
    </row>
    <row r="183" spans="1:14" s="34" customFormat="1" x14ac:dyDescent="0.25">
      <c r="A183" s="105" t="s">
        <v>59</v>
      </c>
      <c r="B183" s="105"/>
      <c r="C183" s="105"/>
      <c r="D183" s="105"/>
      <c r="E183" s="105"/>
      <c r="F183" s="105"/>
      <c r="G183" s="105"/>
      <c r="H183" s="105"/>
    </row>
    <row r="184" spans="1:14" x14ac:dyDescent="0.25">
      <c r="A184" s="57" t="s">
        <v>60</v>
      </c>
      <c r="B184" s="57"/>
      <c r="C184" s="57"/>
      <c r="D184" s="57"/>
      <c r="E184" s="57"/>
      <c r="F184" s="57"/>
      <c r="G184" s="57"/>
      <c r="H184" s="57"/>
    </row>
    <row r="185" spans="1:14" s="37" customFormat="1" x14ac:dyDescent="0.25">
      <c r="A185" s="93"/>
      <c r="B185" s="145"/>
      <c r="C185" s="145"/>
      <c r="D185" s="145"/>
      <c r="E185" s="145"/>
      <c r="F185" s="145"/>
      <c r="G185" s="145"/>
      <c r="H185" s="94"/>
      <c r="I185" s="36"/>
      <c r="N185" s="36"/>
    </row>
    <row r="186" spans="1:14" ht="47.25" customHeight="1" x14ac:dyDescent="0.25">
      <c r="A186" s="47" t="s">
        <v>123</v>
      </c>
      <c r="B186" s="47" t="s">
        <v>124</v>
      </c>
      <c r="C186" s="43" t="s">
        <v>61</v>
      </c>
      <c r="D186" s="43" t="s">
        <v>62</v>
      </c>
      <c r="E186" s="46" t="s">
        <v>63</v>
      </c>
      <c r="F186" s="43" t="s">
        <v>198</v>
      </c>
      <c r="G186" s="164" t="s">
        <v>64</v>
      </c>
      <c r="H186" s="165"/>
      <c r="I186" s="36"/>
    </row>
    <row r="187" spans="1:14" x14ac:dyDescent="0.25">
      <c r="A187" s="57" t="s">
        <v>171</v>
      </c>
      <c r="B187" s="57"/>
      <c r="C187" s="57"/>
      <c r="D187" s="57"/>
      <c r="E187" s="57"/>
      <c r="F187" s="57"/>
      <c r="G187" s="57"/>
      <c r="H187" s="57"/>
    </row>
    <row r="188" spans="1:14" x14ac:dyDescent="0.25">
      <c r="A188" s="57" t="s">
        <v>212</v>
      </c>
      <c r="B188" s="57"/>
      <c r="C188" s="57"/>
      <c r="D188" s="57"/>
      <c r="E188" s="57"/>
      <c r="F188" s="57"/>
      <c r="G188" s="57"/>
      <c r="H188" s="57"/>
    </row>
    <row r="189" spans="1:14" x14ac:dyDescent="0.25">
      <c r="A189" s="57" t="s">
        <v>167</v>
      </c>
      <c r="B189" s="57"/>
      <c r="C189" s="57"/>
      <c r="D189" s="57"/>
      <c r="E189" s="57"/>
      <c r="F189" s="57"/>
      <c r="G189" s="57"/>
      <c r="H189" s="57"/>
    </row>
    <row r="190" spans="1:14" s="37" customFormat="1" x14ac:dyDescent="0.25">
      <c r="A190" s="90" t="s">
        <v>166</v>
      </c>
      <c r="B190" s="91"/>
      <c r="C190" s="91"/>
      <c r="D190" s="91"/>
      <c r="E190" s="91"/>
      <c r="F190" s="91"/>
      <c r="G190" s="91"/>
      <c r="H190" s="92"/>
      <c r="I190" s="36"/>
    </row>
    <row r="191" spans="1:14" s="37" customFormat="1" x14ac:dyDescent="0.25">
      <c r="A191" s="93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10^ROW(INDIRECT("1:"&amp;LEN((LEFT(A190,SUM(LEN(A190)-LEN(SUBSTITUTE(A190,{"0","1","2"},""))))))))/10))*100+1&amp;""&amp;" to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",LEN(A190))),LEN(A190)))))))/10))*100+1</f>
        <v>101 to 701</v>
      </c>
      <c r="B191" s="94"/>
      <c r="C191" s="42" t="s">
        <v>168</v>
      </c>
      <c r="D191" s="42">
        <f>(51.453+4.4)*10.764</f>
        <v>601.20169199999998</v>
      </c>
      <c r="E191" s="42">
        <v>0</v>
      </c>
      <c r="F191" s="55">
        <v>900</v>
      </c>
      <c r="G191" s="93" t="str">
        <f>A190</f>
        <v>1st to 7th Floor for Residential</v>
      </c>
      <c r="H191" s="94"/>
      <c r="I191" s="36">
        <f>F191/D191</f>
        <v>1.4970017749051845</v>
      </c>
      <c r="J191" s="56">
        <f>F191/D191</f>
        <v>1.4970017749051845</v>
      </c>
    </row>
    <row r="192" spans="1:14" s="37" customFormat="1" x14ac:dyDescent="0.25">
      <c r="A192" s="93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102 to 702</v>
      </c>
      <c r="B192" s="94"/>
      <c r="C192" s="42" t="s">
        <v>168</v>
      </c>
      <c r="D192" s="42">
        <f>(51.453+8.25)*10.764</f>
        <v>642.64309200000002</v>
      </c>
      <c r="E192" s="42">
        <v>0</v>
      </c>
      <c r="F192" s="55">
        <v>965</v>
      </c>
      <c r="G192" s="93" t="str">
        <f>G191</f>
        <v>1st to 7th Floor for Residential</v>
      </c>
      <c r="H192" s="94"/>
      <c r="I192" s="36"/>
      <c r="J192" s="56">
        <f t="shared" ref="J192:J255" si="2">F192/D192</f>
        <v>1.5016110995557079</v>
      </c>
    </row>
    <row r="193" spans="1:14" s="37" customFormat="1" x14ac:dyDescent="0.25">
      <c r="A193" s="93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103 to 703</v>
      </c>
      <c r="B193" s="94"/>
      <c r="C193" s="42" t="s">
        <v>165</v>
      </c>
      <c r="D193" s="42">
        <f>(31.875+4.55)*10.764</f>
        <v>392.07869999999997</v>
      </c>
      <c r="E193" s="42">
        <v>0</v>
      </c>
      <c r="F193" s="55">
        <v>590</v>
      </c>
      <c r="G193" s="93" t="str">
        <f>G192</f>
        <v>1st to 7th Floor for Residential</v>
      </c>
      <c r="H193" s="94"/>
      <c r="I193" s="36"/>
      <c r="J193" s="56">
        <f t="shared" si="2"/>
        <v>1.5047999291978882</v>
      </c>
    </row>
    <row r="194" spans="1:14" s="37" customFormat="1" x14ac:dyDescent="0.25">
      <c r="A194" s="93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104 to 704</v>
      </c>
      <c r="B194" s="94"/>
      <c r="C194" s="42" t="s">
        <v>168</v>
      </c>
      <c r="D194" s="42">
        <f>(51.455+7.75)*10.764</f>
        <v>637.28261999999995</v>
      </c>
      <c r="E194" s="42">
        <v>0</v>
      </c>
      <c r="F194" s="55">
        <v>960</v>
      </c>
      <c r="G194" s="93" t="str">
        <f>G193</f>
        <v>1st to 7th Floor for Residential</v>
      </c>
      <c r="H194" s="94"/>
      <c r="I194" s="36"/>
      <c r="J194" s="56">
        <f t="shared" si="2"/>
        <v>1.5063960162604153</v>
      </c>
    </row>
    <row r="195" spans="1:14" s="37" customFormat="1" x14ac:dyDescent="0.25">
      <c r="A195" s="93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105 to 705</v>
      </c>
      <c r="B195" s="94"/>
      <c r="C195" s="42" t="s">
        <v>168</v>
      </c>
      <c r="D195" s="42">
        <f>(49.22+3.65)*10.764</f>
        <v>569.09267999999997</v>
      </c>
      <c r="E195" s="42">
        <v>0</v>
      </c>
      <c r="F195" s="55">
        <v>855</v>
      </c>
      <c r="G195" s="93" t="str">
        <f>G194</f>
        <v>1st to 7th Floor for Residential</v>
      </c>
      <c r="H195" s="94"/>
      <c r="I195" s="36"/>
      <c r="J195" s="56">
        <f t="shared" si="2"/>
        <v>1.5023914909606639</v>
      </c>
    </row>
    <row r="196" spans="1:14" x14ac:dyDescent="0.25">
      <c r="A196" s="57" t="s">
        <v>172</v>
      </c>
      <c r="B196" s="57"/>
      <c r="C196" s="57"/>
      <c r="D196" s="57"/>
      <c r="E196" s="57"/>
      <c r="F196" s="57"/>
      <c r="G196" s="57"/>
      <c r="H196" s="57"/>
      <c r="J196" s="56" t="e">
        <f t="shared" si="2"/>
        <v>#DIV/0!</v>
      </c>
    </row>
    <row r="197" spans="1:14" x14ac:dyDescent="0.25">
      <c r="A197" s="57" t="s">
        <v>211</v>
      </c>
      <c r="B197" s="57"/>
      <c r="C197" s="57"/>
      <c r="D197" s="57"/>
      <c r="E197" s="57"/>
      <c r="F197" s="57"/>
      <c r="G197" s="57"/>
      <c r="H197" s="57"/>
      <c r="J197" s="56" t="e">
        <f t="shared" si="2"/>
        <v>#DIV/0!</v>
      </c>
    </row>
    <row r="198" spans="1:14" s="37" customFormat="1" x14ac:dyDescent="0.25">
      <c r="A198" s="90" t="s">
        <v>164</v>
      </c>
      <c r="B198" s="91"/>
      <c r="C198" s="91"/>
      <c r="D198" s="91"/>
      <c r="E198" s="91"/>
      <c r="F198" s="91"/>
      <c r="G198" s="91"/>
      <c r="H198" s="92"/>
      <c r="J198" s="56" t="e">
        <f t="shared" si="2"/>
        <v>#DIV/0!</v>
      </c>
    </row>
    <row r="199" spans="1:14" s="37" customFormat="1" x14ac:dyDescent="0.25">
      <c r="A199" s="93">
        <v>1</v>
      </c>
      <c r="B199" s="94"/>
      <c r="C199" s="42" t="s">
        <v>168</v>
      </c>
      <c r="D199" s="42">
        <f>(51.137+7.49)*10.764</f>
        <v>631.06102799999996</v>
      </c>
      <c r="E199" s="42">
        <v>0</v>
      </c>
      <c r="F199" s="42">
        <v>955</v>
      </c>
      <c r="G199" s="93" t="str">
        <f>A198</f>
        <v>Ground Floor for Residential &amp; Parking</v>
      </c>
      <c r="H199" s="94"/>
      <c r="I199" s="36"/>
      <c r="J199" s="56">
        <f t="shared" si="2"/>
        <v>1.5133243182939828</v>
      </c>
      <c r="L199" s="111"/>
      <c r="M199" s="111"/>
      <c r="N199" s="36"/>
    </row>
    <row r="200" spans="1:14" s="37" customFormat="1" x14ac:dyDescent="0.25">
      <c r="A200" s="93">
        <f t="shared" ref="A200" si="3">A199+1</f>
        <v>2</v>
      </c>
      <c r="B200" s="94"/>
      <c r="C200" s="42" t="s">
        <v>168</v>
      </c>
      <c r="D200" s="42">
        <f>(41.243+3.3)*10.764</f>
        <v>479.46085199999999</v>
      </c>
      <c r="E200" s="42">
        <v>0</v>
      </c>
      <c r="F200" s="42">
        <v>720</v>
      </c>
      <c r="G200" s="93" t="str">
        <f t="shared" ref="G200" si="4">G199</f>
        <v>Ground Floor for Residential &amp; Parking</v>
      </c>
      <c r="H200" s="94"/>
      <c r="I200" s="36"/>
      <c r="J200" s="56">
        <f t="shared" si="2"/>
        <v>1.5016867320796401</v>
      </c>
      <c r="L200" s="111"/>
      <c r="M200" s="111"/>
      <c r="N200" s="36"/>
    </row>
    <row r="201" spans="1:14" s="37" customFormat="1" x14ac:dyDescent="0.25">
      <c r="A201" s="90" t="s">
        <v>166</v>
      </c>
      <c r="B201" s="91"/>
      <c r="C201" s="91"/>
      <c r="D201" s="91"/>
      <c r="E201" s="91"/>
      <c r="F201" s="91"/>
      <c r="G201" s="91"/>
      <c r="H201" s="92"/>
      <c r="I201" s="36"/>
      <c r="J201" s="56" t="e">
        <f t="shared" si="2"/>
        <v>#DIV/0!</v>
      </c>
    </row>
    <row r="202" spans="1:14" s="37" customFormat="1" x14ac:dyDescent="0.25">
      <c r="A202" s="93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10^ROW(INDIRECT("1:"&amp;LEN((LEFT(A201,SUM(LEN(A201)-LEN(SUBSTITUTE(A201,{"0","1","2"},""))))))))/10))*100+1&amp;""&amp;" to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101 to 701</v>
      </c>
      <c r="B202" s="94"/>
      <c r="C202" s="42" t="s">
        <v>168</v>
      </c>
      <c r="D202" s="42">
        <f>(51.137+7.918)*10.764</f>
        <v>635.66801999999996</v>
      </c>
      <c r="E202" s="42">
        <v>0</v>
      </c>
      <c r="F202" s="42">
        <v>955</v>
      </c>
      <c r="G202" s="93" t="str">
        <f>A201</f>
        <v>1st to 7th Floor for Residential</v>
      </c>
      <c r="H202" s="94"/>
      <c r="I202" s="36"/>
      <c r="J202" s="56">
        <f t="shared" si="2"/>
        <v>1.5023565288057121</v>
      </c>
    </row>
    <row r="203" spans="1:14" s="37" customFormat="1" x14ac:dyDescent="0.25">
      <c r="A203" s="93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to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102 to 702</v>
      </c>
      <c r="B203" s="94"/>
      <c r="C203" s="42" t="s">
        <v>168</v>
      </c>
      <c r="D203" s="42">
        <f>(41.243+6.55+0.69)*10.764</f>
        <v>521.87101199999995</v>
      </c>
      <c r="E203" s="42">
        <v>0</v>
      </c>
      <c r="F203" s="42">
        <v>780</v>
      </c>
      <c r="G203" s="93" t="str">
        <f>G202</f>
        <v>1st to 7th Floor for Residential</v>
      </c>
      <c r="H203" s="94"/>
      <c r="I203" s="36"/>
      <c r="J203" s="56">
        <f t="shared" si="2"/>
        <v>1.4946221998626743</v>
      </c>
    </row>
    <row r="204" spans="1:14" s="37" customFormat="1" x14ac:dyDescent="0.25">
      <c r="A204" s="93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to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103 to 703</v>
      </c>
      <c r="B204" s="94"/>
      <c r="C204" s="42" t="s">
        <v>165</v>
      </c>
      <c r="D204" s="42">
        <f>(34.82+4.475)*10.764</f>
        <v>422.97138000000001</v>
      </c>
      <c r="E204" s="42">
        <v>0</v>
      </c>
      <c r="F204" s="42">
        <v>635</v>
      </c>
      <c r="G204" s="93" t="str">
        <f>G203</f>
        <v>1st to 7th Floor for Residential</v>
      </c>
      <c r="H204" s="94"/>
      <c r="I204" s="36"/>
      <c r="J204" s="56">
        <f t="shared" si="2"/>
        <v>1.5012836093070883</v>
      </c>
    </row>
    <row r="205" spans="1:14" s="37" customFormat="1" x14ac:dyDescent="0.25">
      <c r="A205" s="93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104 to 704</v>
      </c>
      <c r="B205" s="94"/>
      <c r="C205" s="42" t="s">
        <v>165</v>
      </c>
      <c r="D205" s="42">
        <f>(34.82+4.475)*10.764</f>
        <v>422.97138000000001</v>
      </c>
      <c r="E205" s="42">
        <v>0</v>
      </c>
      <c r="F205" s="42">
        <v>635</v>
      </c>
      <c r="G205" s="93" t="str">
        <f>G204</f>
        <v>1st to 7th Floor for Residential</v>
      </c>
      <c r="H205" s="94"/>
      <c r="I205" s="36"/>
      <c r="J205" s="56">
        <f t="shared" si="2"/>
        <v>1.5012836093070883</v>
      </c>
    </row>
    <row r="206" spans="1:14" s="37" customFormat="1" x14ac:dyDescent="0.25">
      <c r="A206" s="93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to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105 to 705</v>
      </c>
      <c r="B206" s="94"/>
      <c r="C206" s="42" t="s">
        <v>168</v>
      </c>
      <c r="D206" s="42">
        <f>(41.243+6.55+0.69)*10.764</f>
        <v>521.87101199999995</v>
      </c>
      <c r="E206" s="42">
        <v>0</v>
      </c>
      <c r="F206" s="42">
        <v>780</v>
      </c>
      <c r="G206" s="93" t="str">
        <f>G205</f>
        <v>1st to 7th Floor for Residential</v>
      </c>
      <c r="H206" s="94"/>
      <c r="I206" s="36"/>
      <c r="J206" s="56">
        <f t="shared" si="2"/>
        <v>1.4946221998626743</v>
      </c>
    </row>
    <row r="207" spans="1:14" s="37" customFormat="1" x14ac:dyDescent="0.25">
      <c r="A207" s="93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to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106 to 706</v>
      </c>
      <c r="B207" s="94"/>
      <c r="C207" s="42" t="s">
        <v>168</v>
      </c>
      <c r="D207" s="42">
        <f>(51.137+7.918)*10.764</f>
        <v>635.66801999999996</v>
      </c>
      <c r="E207" s="42">
        <v>0</v>
      </c>
      <c r="F207" s="42">
        <v>955</v>
      </c>
      <c r="G207" s="93" t="str">
        <f>G206</f>
        <v>1st to 7th Floor for Residential</v>
      </c>
      <c r="H207" s="94"/>
      <c r="I207" s="36"/>
      <c r="J207" s="56">
        <f t="shared" si="2"/>
        <v>1.5023565288057121</v>
      </c>
    </row>
    <row r="208" spans="1:14" x14ac:dyDescent="0.25">
      <c r="A208" s="57" t="s">
        <v>169</v>
      </c>
      <c r="B208" s="57"/>
      <c r="C208" s="57"/>
      <c r="D208" s="57"/>
      <c r="E208" s="57"/>
      <c r="F208" s="57"/>
      <c r="G208" s="57"/>
      <c r="H208" s="57"/>
      <c r="J208" s="56" t="e">
        <f t="shared" si="2"/>
        <v>#DIV/0!</v>
      </c>
    </row>
    <row r="209" spans="1:14" x14ac:dyDescent="0.25">
      <c r="A209" s="57" t="s">
        <v>210</v>
      </c>
      <c r="B209" s="57"/>
      <c r="C209" s="57"/>
      <c r="D209" s="57"/>
      <c r="E209" s="57"/>
      <c r="F209" s="57"/>
      <c r="G209" s="57"/>
      <c r="H209" s="57"/>
      <c r="J209" s="56" t="e">
        <f t="shared" si="2"/>
        <v>#DIV/0!</v>
      </c>
    </row>
    <row r="210" spans="1:14" s="37" customFormat="1" x14ac:dyDescent="0.25">
      <c r="A210" s="90" t="s">
        <v>164</v>
      </c>
      <c r="B210" s="91"/>
      <c r="C210" s="91"/>
      <c r="D210" s="91"/>
      <c r="E210" s="91"/>
      <c r="F210" s="91"/>
      <c r="G210" s="91"/>
      <c r="H210" s="92"/>
      <c r="J210" s="56" t="e">
        <f t="shared" si="2"/>
        <v>#DIV/0!</v>
      </c>
    </row>
    <row r="211" spans="1:14" s="37" customFormat="1" x14ac:dyDescent="0.25">
      <c r="A211" s="93">
        <v>1</v>
      </c>
      <c r="B211" s="94"/>
      <c r="C211" s="42" t="s">
        <v>165</v>
      </c>
      <c r="D211" s="42">
        <f>(34.82+4.55)*10.764</f>
        <v>423.77867999999995</v>
      </c>
      <c r="E211" s="42">
        <v>0</v>
      </c>
      <c r="F211" s="42">
        <v>635</v>
      </c>
      <c r="G211" s="93" t="str">
        <f>A210</f>
        <v>Ground Floor for Residential &amp; Parking</v>
      </c>
      <c r="H211" s="94"/>
      <c r="I211" s="36"/>
      <c r="J211" s="56">
        <f t="shared" si="2"/>
        <v>1.4984236583114565</v>
      </c>
      <c r="L211" s="111"/>
      <c r="M211" s="111"/>
      <c r="N211" s="36"/>
    </row>
    <row r="212" spans="1:14" s="37" customFormat="1" x14ac:dyDescent="0.25">
      <c r="A212" s="93">
        <f t="shared" ref="A212:A213" si="5">A211+1</f>
        <v>2</v>
      </c>
      <c r="B212" s="94"/>
      <c r="C212" s="42" t="s">
        <v>165</v>
      </c>
      <c r="D212" s="42">
        <f>(34.82+4.48)*10.764</f>
        <v>423.02519999999993</v>
      </c>
      <c r="E212" s="42">
        <v>0</v>
      </c>
      <c r="F212" s="42">
        <v>635</v>
      </c>
      <c r="G212" s="93" t="str">
        <f t="shared" ref="G212:G213" si="6">G211</f>
        <v>Ground Floor for Residential &amp; Parking</v>
      </c>
      <c r="H212" s="94"/>
      <c r="I212" s="36"/>
      <c r="J212" s="56">
        <f t="shared" si="2"/>
        <v>1.5010926063033601</v>
      </c>
      <c r="L212" s="111"/>
      <c r="M212" s="111"/>
      <c r="N212" s="36"/>
    </row>
    <row r="213" spans="1:14" s="37" customFormat="1" x14ac:dyDescent="0.25">
      <c r="A213" s="93">
        <f t="shared" si="5"/>
        <v>3</v>
      </c>
      <c r="B213" s="94"/>
      <c r="C213" s="42" t="s">
        <v>165</v>
      </c>
      <c r="D213" s="42">
        <f>(34.82+4.48)*10.764</f>
        <v>423.02519999999993</v>
      </c>
      <c r="E213" s="42">
        <v>0</v>
      </c>
      <c r="F213" s="42">
        <v>635</v>
      </c>
      <c r="G213" s="93" t="str">
        <f t="shared" si="6"/>
        <v>Ground Floor for Residential &amp; Parking</v>
      </c>
      <c r="H213" s="94"/>
      <c r="I213" s="36"/>
      <c r="J213" s="56">
        <f t="shared" si="2"/>
        <v>1.5010926063033601</v>
      </c>
      <c r="L213" s="111"/>
      <c r="M213" s="111"/>
      <c r="N213" s="36"/>
    </row>
    <row r="214" spans="1:14" s="37" customFormat="1" x14ac:dyDescent="0.25">
      <c r="A214" s="90" t="s">
        <v>166</v>
      </c>
      <c r="B214" s="91"/>
      <c r="C214" s="91"/>
      <c r="D214" s="91"/>
      <c r="E214" s="91"/>
      <c r="F214" s="91"/>
      <c r="G214" s="91"/>
      <c r="H214" s="92"/>
      <c r="I214" s="36"/>
      <c r="J214" s="56" t="e">
        <f t="shared" si="2"/>
        <v>#DIV/0!</v>
      </c>
    </row>
    <row r="215" spans="1:14" s="37" customFormat="1" x14ac:dyDescent="0.25">
      <c r="A215" s="93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10^ROW(INDIRECT("1:"&amp;LEN((LEFT(A214,SUM(LEN(A214)-LEN(SUBSTITUTE(A214,{"0","1","2"},""))))))))/10))*100+1&amp;""&amp;" to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",LEN(A214))),LEN(A214)))))))/10))*100+1</f>
        <v>101 to 701</v>
      </c>
      <c r="B215" s="94"/>
      <c r="C215" s="42" t="s">
        <v>165</v>
      </c>
      <c r="D215" s="42">
        <f>(34.82+4.55)*10.764</f>
        <v>423.77867999999995</v>
      </c>
      <c r="E215" s="42">
        <v>0</v>
      </c>
      <c r="F215" s="42">
        <v>635</v>
      </c>
      <c r="G215" s="93" t="str">
        <f>A214</f>
        <v>1st to 7th Floor for Residential</v>
      </c>
      <c r="H215" s="94"/>
      <c r="I215" s="36"/>
      <c r="J215" s="56">
        <f t="shared" si="2"/>
        <v>1.4984236583114565</v>
      </c>
    </row>
    <row r="216" spans="1:14" s="37" customFormat="1" x14ac:dyDescent="0.25">
      <c r="A216" s="93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to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102 to 702</v>
      </c>
      <c r="B216" s="94"/>
      <c r="C216" s="42" t="s">
        <v>165</v>
      </c>
      <c r="D216" s="42">
        <f>(34.82+4.48)*10.764</f>
        <v>423.02519999999993</v>
      </c>
      <c r="E216" s="42">
        <v>0</v>
      </c>
      <c r="F216" s="42">
        <v>635</v>
      </c>
      <c r="G216" s="93" t="str">
        <f t="shared" ref="G216:G221" si="7">G215</f>
        <v>1st to 7th Floor for Residential</v>
      </c>
      <c r="H216" s="94"/>
      <c r="I216" s="36"/>
      <c r="J216" s="56">
        <f t="shared" si="2"/>
        <v>1.5010926063033601</v>
      </c>
    </row>
    <row r="217" spans="1:14" s="37" customFormat="1" x14ac:dyDescent="0.25">
      <c r="A217" s="93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to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103 to 703</v>
      </c>
      <c r="B217" s="94"/>
      <c r="C217" s="42" t="s">
        <v>165</v>
      </c>
      <c r="D217" s="42">
        <f>(34.82+4.48)*10.764</f>
        <v>423.02519999999993</v>
      </c>
      <c r="E217" s="42">
        <v>0</v>
      </c>
      <c r="F217" s="42">
        <v>635</v>
      </c>
      <c r="G217" s="93" t="str">
        <f t="shared" si="7"/>
        <v>1st to 7th Floor for Residential</v>
      </c>
      <c r="H217" s="94"/>
      <c r="I217" s="36"/>
      <c r="J217" s="56">
        <f t="shared" si="2"/>
        <v>1.5010926063033601</v>
      </c>
    </row>
    <row r="218" spans="1:14" s="37" customFormat="1" x14ac:dyDescent="0.25">
      <c r="A218" s="93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to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104 to 704</v>
      </c>
      <c r="B218" s="94"/>
      <c r="C218" s="42" t="s">
        <v>165</v>
      </c>
      <c r="D218" s="42">
        <f>(34.82+4.55)*10.764</f>
        <v>423.77867999999995</v>
      </c>
      <c r="E218" s="42">
        <v>0</v>
      </c>
      <c r="F218" s="42">
        <v>635</v>
      </c>
      <c r="G218" s="93" t="str">
        <f t="shared" si="7"/>
        <v>1st to 7th Floor for Residential</v>
      </c>
      <c r="H218" s="94"/>
      <c r="I218" s="36"/>
      <c r="J218" s="56">
        <f t="shared" si="2"/>
        <v>1.4984236583114565</v>
      </c>
    </row>
    <row r="219" spans="1:14" s="37" customFormat="1" x14ac:dyDescent="0.25">
      <c r="A219" s="93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to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105 to 705</v>
      </c>
      <c r="B219" s="94"/>
      <c r="C219" s="42" t="s">
        <v>168</v>
      </c>
      <c r="D219" s="42">
        <f>(60.707+12.3)*10.764</f>
        <v>785.84734800000001</v>
      </c>
      <c r="E219" s="42">
        <v>0</v>
      </c>
      <c r="F219" s="42">
        <v>1180</v>
      </c>
      <c r="G219" s="93" t="str">
        <f t="shared" si="7"/>
        <v>1st to 7th Floor for Residential</v>
      </c>
      <c r="H219" s="94"/>
      <c r="I219" s="36"/>
      <c r="J219" s="56">
        <f t="shared" si="2"/>
        <v>1.5015638889704568</v>
      </c>
    </row>
    <row r="220" spans="1:14" s="37" customFormat="1" x14ac:dyDescent="0.25">
      <c r="A220" s="93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to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106 to 706</v>
      </c>
      <c r="B220" s="94"/>
      <c r="C220" s="42" t="s">
        <v>168</v>
      </c>
      <c r="D220" s="42">
        <f>(60.707+12.3)*10.764</f>
        <v>785.84734800000001</v>
      </c>
      <c r="E220" s="42">
        <v>0</v>
      </c>
      <c r="F220" s="42">
        <v>1180</v>
      </c>
      <c r="G220" s="93" t="str">
        <f t="shared" si="7"/>
        <v>1st to 7th Floor for Residential</v>
      </c>
      <c r="H220" s="94"/>
      <c r="I220" s="36"/>
      <c r="J220" s="56">
        <f t="shared" si="2"/>
        <v>1.5015638889704568</v>
      </c>
    </row>
    <row r="221" spans="1:14" s="37" customFormat="1" x14ac:dyDescent="0.25">
      <c r="A221" s="93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to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107 to 707</v>
      </c>
      <c r="B221" s="94"/>
      <c r="C221" s="42" t="s">
        <v>168</v>
      </c>
      <c r="D221" s="42">
        <f>(41.243+6.55+0.69)*10.764</f>
        <v>521.87101199999995</v>
      </c>
      <c r="E221" s="42">
        <v>0</v>
      </c>
      <c r="F221" s="42">
        <v>780</v>
      </c>
      <c r="G221" s="93" t="str">
        <f t="shared" si="7"/>
        <v>1st to 7th Floor for Residential</v>
      </c>
      <c r="H221" s="94"/>
      <c r="I221" s="36"/>
      <c r="J221" s="56">
        <f t="shared" si="2"/>
        <v>1.4946221998626743</v>
      </c>
    </row>
    <row r="222" spans="1:14" x14ac:dyDescent="0.25">
      <c r="A222" s="57" t="s">
        <v>173</v>
      </c>
      <c r="B222" s="57"/>
      <c r="C222" s="57"/>
      <c r="D222" s="57"/>
      <c r="E222" s="57"/>
      <c r="F222" s="57"/>
      <c r="G222" s="57"/>
      <c r="H222" s="57"/>
      <c r="J222" s="56" t="e">
        <f t="shared" si="2"/>
        <v>#DIV/0!</v>
      </c>
    </row>
    <row r="223" spans="1:14" x14ac:dyDescent="0.25">
      <c r="A223" s="57" t="s">
        <v>209</v>
      </c>
      <c r="B223" s="57"/>
      <c r="C223" s="57"/>
      <c r="D223" s="57"/>
      <c r="E223" s="57"/>
      <c r="F223" s="57"/>
      <c r="G223" s="57"/>
      <c r="H223" s="57"/>
      <c r="J223" s="56" t="e">
        <f t="shared" si="2"/>
        <v>#DIV/0!</v>
      </c>
    </row>
    <row r="224" spans="1:14" s="37" customFormat="1" x14ac:dyDescent="0.25">
      <c r="A224" s="90" t="s">
        <v>164</v>
      </c>
      <c r="B224" s="91"/>
      <c r="C224" s="91"/>
      <c r="D224" s="91"/>
      <c r="E224" s="91"/>
      <c r="F224" s="91"/>
      <c r="G224" s="91"/>
      <c r="H224" s="92"/>
      <c r="J224" s="56" t="e">
        <f t="shared" si="2"/>
        <v>#DIV/0!</v>
      </c>
    </row>
    <row r="225" spans="1:14" s="37" customFormat="1" x14ac:dyDescent="0.25">
      <c r="A225" s="93">
        <v>1</v>
      </c>
      <c r="B225" s="94"/>
      <c r="C225" s="42" t="s">
        <v>168</v>
      </c>
      <c r="D225" s="42">
        <f>(41.243+3.3)*10.764</f>
        <v>479.46085199999999</v>
      </c>
      <c r="E225" s="42">
        <v>0</v>
      </c>
      <c r="F225" s="42">
        <v>720</v>
      </c>
      <c r="G225" s="93" t="str">
        <f>A224</f>
        <v>Ground Floor for Residential &amp; Parking</v>
      </c>
      <c r="H225" s="94"/>
      <c r="I225" s="36"/>
      <c r="J225" s="56">
        <f t="shared" si="2"/>
        <v>1.5016867320796401</v>
      </c>
      <c r="L225" s="111"/>
      <c r="M225" s="111"/>
      <c r="N225" s="36"/>
    </row>
    <row r="226" spans="1:14" s="37" customFormat="1" x14ac:dyDescent="0.25">
      <c r="A226" s="93">
        <f t="shared" ref="A226:A227" si="8">A225+1</f>
        <v>2</v>
      </c>
      <c r="B226" s="94"/>
      <c r="C226" s="42" t="s">
        <v>168</v>
      </c>
      <c r="D226" s="42">
        <f>(48.803)*10.764</f>
        <v>525.31549199999995</v>
      </c>
      <c r="E226" s="42">
        <v>0</v>
      </c>
      <c r="F226" s="42">
        <v>785</v>
      </c>
      <c r="G226" s="93" t="str">
        <f t="shared" ref="G226:G227" si="9">G225</f>
        <v>Ground Floor for Residential &amp; Parking</v>
      </c>
      <c r="H226" s="94"/>
      <c r="I226" s="36"/>
      <c r="J226" s="56">
        <f t="shared" si="2"/>
        <v>1.4943400907734892</v>
      </c>
      <c r="L226" s="111"/>
      <c r="M226" s="111"/>
      <c r="N226" s="36"/>
    </row>
    <row r="227" spans="1:14" s="37" customFormat="1" x14ac:dyDescent="0.25">
      <c r="A227" s="93">
        <f t="shared" si="8"/>
        <v>3</v>
      </c>
      <c r="B227" s="94"/>
      <c r="C227" s="42" t="s">
        <v>168</v>
      </c>
      <c r="D227" s="42">
        <f>(41.243+3.3+0.69)*10.764</f>
        <v>486.88801199999995</v>
      </c>
      <c r="E227" s="42">
        <v>0</v>
      </c>
      <c r="F227" s="42">
        <v>720</v>
      </c>
      <c r="G227" s="93" t="str">
        <f t="shared" si="9"/>
        <v>Ground Floor for Residential &amp; Parking</v>
      </c>
      <c r="H227" s="94"/>
      <c r="I227" s="36"/>
      <c r="J227" s="56">
        <f t="shared" si="2"/>
        <v>1.4787794775279866</v>
      </c>
      <c r="L227" s="111"/>
      <c r="M227" s="111"/>
      <c r="N227" s="36"/>
    </row>
    <row r="228" spans="1:14" s="37" customFormat="1" x14ac:dyDescent="0.25">
      <c r="A228" s="90" t="s">
        <v>166</v>
      </c>
      <c r="B228" s="91"/>
      <c r="C228" s="91"/>
      <c r="D228" s="91"/>
      <c r="E228" s="91"/>
      <c r="F228" s="91"/>
      <c r="G228" s="91"/>
      <c r="H228" s="92"/>
      <c r="I228" s="36"/>
      <c r="J228" s="56" t="e">
        <f t="shared" si="2"/>
        <v>#DIV/0!</v>
      </c>
    </row>
    <row r="229" spans="1:14" s="37" customFormat="1" x14ac:dyDescent="0.25">
      <c r="A229" s="93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10^ROW(INDIRECT("1:"&amp;LEN((LEFT(A228,SUM(LEN(A228)-LEN(SUBSTITUTE(A228,{"0","1","2"},""))))))))/10))*100+1&amp;""&amp;" to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101 to 701</v>
      </c>
      <c r="B229" s="94"/>
      <c r="C229" s="42" t="s">
        <v>168</v>
      </c>
      <c r="D229" s="42">
        <f>(41.243+6.55+0.69)*10.764</f>
        <v>521.87101199999995</v>
      </c>
      <c r="E229" s="42">
        <v>0</v>
      </c>
      <c r="F229" s="42">
        <v>780</v>
      </c>
      <c r="G229" s="93" t="str">
        <f>A228</f>
        <v>1st to 7th Floor for Residential</v>
      </c>
      <c r="H229" s="94"/>
      <c r="I229" s="36"/>
      <c r="J229" s="56">
        <f t="shared" si="2"/>
        <v>1.4946221998626743</v>
      </c>
    </row>
    <row r="230" spans="1:14" s="37" customFormat="1" x14ac:dyDescent="0.25">
      <c r="A230" s="93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to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102 to 702</v>
      </c>
      <c r="B230" s="94"/>
      <c r="C230" s="42" t="s">
        <v>168</v>
      </c>
      <c r="D230" s="42">
        <f>(48.803+3.7+0.81)*10.764</f>
        <v>573.861132</v>
      </c>
      <c r="E230" s="42">
        <v>0</v>
      </c>
      <c r="F230" s="42">
        <v>860</v>
      </c>
      <c r="G230" s="93" t="str">
        <f>G229</f>
        <v>1st to 7th Floor for Residential</v>
      </c>
      <c r="H230" s="94"/>
      <c r="I230" s="36"/>
      <c r="J230" s="56">
        <f t="shared" si="2"/>
        <v>1.4986204014249218</v>
      </c>
    </row>
    <row r="231" spans="1:14" s="37" customFormat="1" x14ac:dyDescent="0.25">
      <c r="A231" s="93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103 to 703</v>
      </c>
      <c r="B231" s="94"/>
      <c r="C231" s="42" t="s">
        <v>168</v>
      </c>
      <c r="D231" s="42">
        <f>(41.243+6.55+0.69)*10.764</f>
        <v>521.87101199999995</v>
      </c>
      <c r="E231" s="42">
        <v>0</v>
      </c>
      <c r="F231" s="42">
        <v>780</v>
      </c>
      <c r="G231" s="93" t="str">
        <f>G230</f>
        <v>1st to 7th Floor for Residential</v>
      </c>
      <c r="H231" s="94"/>
      <c r="I231" s="36"/>
      <c r="J231" s="56">
        <f t="shared" si="2"/>
        <v>1.4946221998626743</v>
      </c>
    </row>
    <row r="232" spans="1:14" s="37" customFormat="1" x14ac:dyDescent="0.25">
      <c r="A232" s="93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to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104 to 704</v>
      </c>
      <c r="B232" s="94"/>
      <c r="C232" s="42" t="s">
        <v>168</v>
      </c>
      <c r="D232" s="42">
        <f>(41.243+6.55+0.69)*10.764</f>
        <v>521.87101199999995</v>
      </c>
      <c r="E232" s="42">
        <v>0</v>
      </c>
      <c r="F232" s="42">
        <v>780</v>
      </c>
      <c r="G232" s="93" t="str">
        <f>G231</f>
        <v>1st to 7th Floor for Residential</v>
      </c>
      <c r="H232" s="94"/>
      <c r="I232" s="36"/>
      <c r="J232" s="56">
        <f t="shared" si="2"/>
        <v>1.4946221998626743</v>
      </c>
    </row>
    <row r="233" spans="1:14" s="37" customFormat="1" x14ac:dyDescent="0.25">
      <c r="A233" s="93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to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105 to 705</v>
      </c>
      <c r="B233" s="94"/>
      <c r="C233" s="42" t="s">
        <v>165</v>
      </c>
      <c r="D233" s="42">
        <f>(34.82+4.55)*10.764</f>
        <v>423.77867999999995</v>
      </c>
      <c r="E233" s="42">
        <v>0</v>
      </c>
      <c r="F233" s="42">
        <v>635</v>
      </c>
      <c r="G233" s="93" t="str">
        <f>G232</f>
        <v>1st to 7th Floor for Residential</v>
      </c>
      <c r="H233" s="94"/>
      <c r="I233" s="36"/>
      <c r="J233" s="56">
        <f t="shared" si="2"/>
        <v>1.4984236583114565</v>
      </c>
    </row>
    <row r="234" spans="1:14" x14ac:dyDescent="0.25">
      <c r="A234" s="57" t="s">
        <v>174</v>
      </c>
      <c r="B234" s="57"/>
      <c r="C234" s="57"/>
      <c r="D234" s="57"/>
      <c r="E234" s="57"/>
      <c r="F234" s="57"/>
      <c r="G234" s="57"/>
      <c r="H234" s="57"/>
      <c r="J234" s="56" t="e">
        <f t="shared" si="2"/>
        <v>#DIV/0!</v>
      </c>
    </row>
    <row r="235" spans="1:14" x14ac:dyDescent="0.25">
      <c r="A235" s="57" t="s">
        <v>208</v>
      </c>
      <c r="B235" s="57"/>
      <c r="C235" s="57"/>
      <c r="D235" s="57"/>
      <c r="E235" s="57"/>
      <c r="F235" s="57"/>
      <c r="G235" s="57"/>
      <c r="H235" s="57"/>
      <c r="J235" s="56" t="e">
        <f t="shared" si="2"/>
        <v>#DIV/0!</v>
      </c>
    </row>
    <row r="236" spans="1:14" s="37" customFormat="1" x14ac:dyDescent="0.25">
      <c r="A236" s="90" t="s">
        <v>164</v>
      </c>
      <c r="B236" s="91"/>
      <c r="C236" s="91"/>
      <c r="D236" s="91"/>
      <c r="E236" s="91"/>
      <c r="F236" s="91"/>
      <c r="G236" s="91"/>
      <c r="H236" s="92"/>
      <c r="J236" s="56" t="e">
        <f t="shared" si="2"/>
        <v>#DIV/0!</v>
      </c>
    </row>
    <row r="237" spans="1:14" s="37" customFormat="1" x14ac:dyDescent="0.25">
      <c r="A237" s="93">
        <v>1</v>
      </c>
      <c r="B237" s="94"/>
      <c r="C237" s="42" t="s">
        <v>168</v>
      </c>
      <c r="D237" s="42">
        <f>(46.901+6.705)*10.764</f>
        <v>577.01498400000003</v>
      </c>
      <c r="E237" s="42">
        <v>0</v>
      </c>
      <c r="F237" s="42">
        <v>870</v>
      </c>
      <c r="G237" s="93" t="str">
        <f>A236</f>
        <v>Ground Floor for Residential &amp; Parking</v>
      </c>
      <c r="H237" s="94"/>
      <c r="I237" s="36"/>
      <c r="J237" s="56">
        <f t="shared" si="2"/>
        <v>1.5077598054195416</v>
      </c>
      <c r="L237" s="111"/>
      <c r="M237" s="111"/>
      <c r="N237" s="36"/>
    </row>
    <row r="238" spans="1:14" s="37" customFormat="1" x14ac:dyDescent="0.25">
      <c r="A238" s="93">
        <f t="shared" ref="A238:A240" si="10">A237+1</f>
        <v>2</v>
      </c>
      <c r="B238" s="94"/>
      <c r="C238" s="42" t="s">
        <v>168</v>
      </c>
      <c r="D238" s="42">
        <f>(49.718+3.281)*10.764</f>
        <v>570.48123599999997</v>
      </c>
      <c r="E238" s="42">
        <v>0</v>
      </c>
      <c r="F238" s="42">
        <v>855</v>
      </c>
      <c r="G238" s="93" t="str">
        <f t="shared" ref="G238:G240" si="11">G237</f>
        <v>Ground Floor for Residential &amp; Parking</v>
      </c>
      <c r="H238" s="94"/>
      <c r="I238" s="36"/>
      <c r="J238" s="56">
        <f t="shared" si="2"/>
        <v>1.4987346577688316</v>
      </c>
      <c r="L238" s="111"/>
      <c r="M238" s="111"/>
      <c r="N238" s="36"/>
    </row>
    <row r="239" spans="1:14" s="37" customFormat="1" x14ac:dyDescent="0.25">
      <c r="A239" s="93">
        <f t="shared" si="10"/>
        <v>3</v>
      </c>
      <c r="B239" s="94"/>
      <c r="C239" s="42" t="s">
        <v>168</v>
      </c>
      <c r="D239" s="42">
        <f>(49.718+3.281)*10.764</f>
        <v>570.48123599999997</v>
      </c>
      <c r="E239" s="42">
        <v>0</v>
      </c>
      <c r="F239" s="42">
        <v>855</v>
      </c>
      <c r="G239" s="93" t="str">
        <f t="shared" si="11"/>
        <v>Ground Floor for Residential &amp; Parking</v>
      </c>
      <c r="H239" s="94"/>
      <c r="I239" s="36"/>
      <c r="J239" s="56">
        <f t="shared" si="2"/>
        <v>1.4987346577688316</v>
      </c>
      <c r="L239" s="111"/>
      <c r="M239" s="111"/>
      <c r="N239" s="36"/>
    </row>
    <row r="240" spans="1:14" s="37" customFormat="1" x14ac:dyDescent="0.25">
      <c r="A240" s="93">
        <f t="shared" si="10"/>
        <v>4</v>
      </c>
      <c r="B240" s="94"/>
      <c r="C240" s="42" t="s">
        <v>168</v>
      </c>
      <c r="D240" s="42">
        <f>(46.901+6.705)*10.764</f>
        <v>577.01498400000003</v>
      </c>
      <c r="E240" s="42">
        <v>0</v>
      </c>
      <c r="F240" s="42">
        <v>870</v>
      </c>
      <c r="G240" s="93" t="str">
        <f t="shared" si="11"/>
        <v>Ground Floor for Residential &amp; Parking</v>
      </c>
      <c r="H240" s="94"/>
      <c r="I240" s="36"/>
      <c r="J240" s="56">
        <f t="shared" si="2"/>
        <v>1.5077598054195416</v>
      </c>
      <c r="L240" s="111"/>
      <c r="M240" s="111"/>
      <c r="N240" s="36"/>
    </row>
    <row r="241" spans="1:14" s="37" customFormat="1" x14ac:dyDescent="0.25">
      <c r="A241" s="90" t="s">
        <v>166</v>
      </c>
      <c r="B241" s="91"/>
      <c r="C241" s="91"/>
      <c r="D241" s="91"/>
      <c r="E241" s="91"/>
      <c r="F241" s="91"/>
      <c r="G241" s="91"/>
      <c r="H241" s="92"/>
      <c r="I241" s="36"/>
      <c r="J241" s="56" t="e">
        <f t="shared" si="2"/>
        <v>#DIV/0!</v>
      </c>
    </row>
    <row r="242" spans="1:14" s="37" customFormat="1" x14ac:dyDescent="0.25">
      <c r="A242" s="93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10^ROW(INDIRECT("1:"&amp;LEN((LEFT(A241,SUM(LEN(A241)-LEN(SUBSTITUTE(A241,{"0","1","2"},""))))))))/10))*100+1&amp;""&amp;" to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101 to 701</v>
      </c>
      <c r="B242" s="94"/>
      <c r="C242" s="42" t="s">
        <v>165</v>
      </c>
      <c r="D242" s="42">
        <f>(29.475)*10.764</f>
        <v>317.26889999999997</v>
      </c>
      <c r="E242" s="42">
        <v>0</v>
      </c>
      <c r="F242" s="42">
        <v>475</v>
      </c>
      <c r="G242" s="93" t="str">
        <f>A241</f>
        <v>1st to 7th Floor for Residential</v>
      </c>
      <c r="H242" s="94"/>
      <c r="I242" s="36"/>
      <c r="J242" s="56">
        <f t="shared" si="2"/>
        <v>1.4971527306962644</v>
      </c>
    </row>
    <row r="243" spans="1:14" s="37" customFormat="1" x14ac:dyDescent="0.25">
      <c r="A243" s="93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to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102 to 702</v>
      </c>
      <c r="B243" s="94"/>
      <c r="C243" s="42" t="s">
        <v>165</v>
      </c>
      <c r="D243" s="42">
        <f>(29.475)*10.764</f>
        <v>317.26889999999997</v>
      </c>
      <c r="E243" s="42">
        <v>0</v>
      </c>
      <c r="F243" s="42">
        <v>475</v>
      </c>
      <c r="G243" s="93" t="str">
        <f t="shared" ref="G243:G249" si="12">G242</f>
        <v>1st to 7th Floor for Residential</v>
      </c>
      <c r="H243" s="94"/>
      <c r="I243" s="36"/>
      <c r="J243" s="56">
        <f t="shared" si="2"/>
        <v>1.4971527306962644</v>
      </c>
    </row>
    <row r="244" spans="1:14" s="37" customFormat="1" x14ac:dyDescent="0.25">
      <c r="A244" s="93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to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103 to 703</v>
      </c>
      <c r="B244" s="94"/>
      <c r="C244" s="42" t="s">
        <v>168</v>
      </c>
      <c r="D244" s="42">
        <f>(46.901+6.705)*10.764</f>
        <v>577.01498400000003</v>
      </c>
      <c r="E244" s="42">
        <v>0</v>
      </c>
      <c r="F244" s="42">
        <v>870</v>
      </c>
      <c r="G244" s="93" t="str">
        <f t="shared" si="12"/>
        <v>1st to 7th Floor for Residential</v>
      </c>
      <c r="H244" s="94"/>
      <c r="I244" s="36"/>
      <c r="J244" s="56">
        <f t="shared" si="2"/>
        <v>1.5077598054195416</v>
      </c>
    </row>
    <row r="245" spans="1:14" s="37" customFormat="1" x14ac:dyDescent="0.25">
      <c r="A245" s="93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to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104 to 704</v>
      </c>
      <c r="B245" s="94"/>
      <c r="C245" s="42" t="s">
        <v>168</v>
      </c>
      <c r="D245" s="42">
        <f>(46.901+6.705)*10.764</f>
        <v>577.01498400000003</v>
      </c>
      <c r="E245" s="42">
        <v>0</v>
      </c>
      <c r="F245" s="42">
        <v>870</v>
      </c>
      <c r="G245" s="93" t="str">
        <f t="shared" si="12"/>
        <v>1st to 7th Floor for Residential</v>
      </c>
      <c r="H245" s="94"/>
      <c r="I245" s="36"/>
      <c r="J245" s="56">
        <f t="shared" si="2"/>
        <v>1.5077598054195416</v>
      </c>
    </row>
    <row r="246" spans="1:14" s="37" customFormat="1" x14ac:dyDescent="0.25">
      <c r="A246" s="93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to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105 to 705</v>
      </c>
      <c r="B246" s="94"/>
      <c r="C246" s="42" t="s">
        <v>168</v>
      </c>
      <c r="D246" s="42">
        <f>(49.717+5.156)*10.764</f>
        <v>590.65297199999998</v>
      </c>
      <c r="E246" s="42">
        <v>0</v>
      </c>
      <c r="F246" s="42">
        <v>885</v>
      </c>
      <c r="G246" s="93" t="str">
        <f t="shared" si="12"/>
        <v>1st to 7th Floor for Residential</v>
      </c>
      <c r="H246" s="94"/>
      <c r="I246" s="36"/>
      <c r="J246" s="56">
        <f t="shared" si="2"/>
        <v>1.4983417369480365</v>
      </c>
    </row>
    <row r="247" spans="1:14" s="37" customFormat="1" x14ac:dyDescent="0.25">
      <c r="A247" s="93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to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106 to 706</v>
      </c>
      <c r="B247" s="94"/>
      <c r="C247" s="42" t="s">
        <v>168</v>
      </c>
      <c r="D247" s="42">
        <f>(49.717+5.156)*10.764</f>
        <v>590.65297199999998</v>
      </c>
      <c r="E247" s="42">
        <v>0</v>
      </c>
      <c r="F247" s="42">
        <v>885</v>
      </c>
      <c r="G247" s="93" t="str">
        <f t="shared" si="12"/>
        <v>1st to 7th Floor for Residential</v>
      </c>
      <c r="H247" s="94"/>
      <c r="I247" s="36"/>
      <c r="J247" s="56">
        <f t="shared" si="2"/>
        <v>1.4983417369480365</v>
      </c>
    </row>
    <row r="248" spans="1:14" s="37" customFormat="1" x14ac:dyDescent="0.25">
      <c r="A248" s="93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to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107 to 707</v>
      </c>
      <c r="B248" s="94"/>
      <c r="C248" s="42" t="s">
        <v>168</v>
      </c>
      <c r="D248" s="42">
        <f>(46.901+6.773)*10.764</f>
        <v>577.74693600000001</v>
      </c>
      <c r="E248" s="42">
        <v>0</v>
      </c>
      <c r="F248" s="42">
        <v>870</v>
      </c>
      <c r="G248" s="93" t="str">
        <f t="shared" si="12"/>
        <v>1st to 7th Floor for Residential</v>
      </c>
      <c r="H248" s="94"/>
      <c r="I248" s="36"/>
      <c r="J248" s="56">
        <f t="shared" si="2"/>
        <v>1.5058496130215739</v>
      </c>
    </row>
    <row r="249" spans="1:14" s="37" customFormat="1" x14ac:dyDescent="0.25">
      <c r="A249" s="93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to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108 to 708</v>
      </c>
      <c r="B249" s="94"/>
      <c r="C249" s="42" t="s">
        <v>168</v>
      </c>
      <c r="D249" s="42">
        <f>(46.901+6.773)*10.764</f>
        <v>577.74693600000001</v>
      </c>
      <c r="E249" s="42">
        <v>0</v>
      </c>
      <c r="F249" s="42">
        <v>870</v>
      </c>
      <c r="G249" s="93" t="str">
        <f t="shared" si="12"/>
        <v>1st to 7th Floor for Residential</v>
      </c>
      <c r="H249" s="94"/>
      <c r="I249" s="36"/>
      <c r="J249" s="56">
        <f t="shared" si="2"/>
        <v>1.5058496130215739</v>
      </c>
    </row>
    <row r="250" spans="1:14" x14ac:dyDescent="0.25">
      <c r="A250" s="57" t="s">
        <v>175</v>
      </c>
      <c r="B250" s="57"/>
      <c r="C250" s="57"/>
      <c r="D250" s="57"/>
      <c r="E250" s="57"/>
      <c r="F250" s="57"/>
      <c r="G250" s="57"/>
      <c r="H250" s="57"/>
      <c r="J250" s="56"/>
    </row>
    <row r="251" spans="1:14" x14ac:dyDescent="0.25">
      <c r="A251" s="57" t="s">
        <v>213</v>
      </c>
      <c r="B251" s="57"/>
      <c r="C251" s="57"/>
      <c r="D251" s="57"/>
      <c r="E251" s="57"/>
      <c r="F251" s="57"/>
      <c r="G251" s="57"/>
      <c r="H251" s="57"/>
      <c r="J251" s="56"/>
    </row>
    <row r="252" spans="1:14" s="37" customFormat="1" x14ac:dyDescent="0.25">
      <c r="A252" s="90" t="s">
        <v>164</v>
      </c>
      <c r="B252" s="91"/>
      <c r="C252" s="91"/>
      <c r="D252" s="91"/>
      <c r="E252" s="91"/>
      <c r="F252" s="91"/>
      <c r="G252" s="91"/>
      <c r="H252" s="92"/>
      <c r="J252" s="56"/>
    </row>
    <row r="253" spans="1:14" s="37" customFormat="1" x14ac:dyDescent="0.25">
      <c r="A253" s="93">
        <v>1</v>
      </c>
      <c r="B253" s="94"/>
      <c r="C253" s="42" t="s">
        <v>165</v>
      </c>
      <c r="D253" s="42">
        <f>(32.12+3.668)*10.764</f>
        <v>385.22203199999996</v>
      </c>
      <c r="E253" s="42">
        <v>0</v>
      </c>
      <c r="F253" s="42">
        <v>580</v>
      </c>
      <c r="G253" s="93" t="str">
        <f>A252</f>
        <v>Ground Floor for Residential &amp; Parking</v>
      </c>
      <c r="H253" s="94"/>
      <c r="I253" s="36"/>
      <c r="J253" s="56">
        <f t="shared" si="2"/>
        <v>1.5056252026623442</v>
      </c>
      <c r="L253" s="111"/>
      <c r="M253" s="111"/>
      <c r="N253" s="36"/>
    </row>
    <row r="254" spans="1:14" s="37" customFormat="1" x14ac:dyDescent="0.25">
      <c r="A254" s="93">
        <f t="shared" ref="A254:A256" si="13">A253+1</f>
        <v>2</v>
      </c>
      <c r="B254" s="94"/>
      <c r="C254" s="42" t="s">
        <v>165</v>
      </c>
      <c r="D254" s="42">
        <f>(31.081)*10.764</f>
        <v>334.55588399999999</v>
      </c>
      <c r="E254" s="42">
        <v>0</v>
      </c>
      <c r="F254" s="42">
        <v>505</v>
      </c>
      <c r="G254" s="93" t="str">
        <f t="shared" ref="G254:G256" si="14">G253</f>
        <v>Ground Floor for Residential &amp; Parking</v>
      </c>
      <c r="H254" s="94"/>
      <c r="I254" s="36"/>
      <c r="J254" s="56">
        <f t="shared" si="2"/>
        <v>1.5094638120308774</v>
      </c>
      <c r="L254" s="111"/>
      <c r="M254" s="111"/>
      <c r="N254" s="36"/>
    </row>
    <row r="255" spans="1:14" s="37" customFormat="1" x14ac:dyDescent="0.25">
      <c r="A255" s="93">
        <f t="shared" si="13"/>
        <v>3</v>
      </c>
      <c r="B255" s="94"/>
      <c r="C255" s="42" t="s">
        <v>165</v>
      </c>
      <c r="D255" s="42">
        <f>(31.081)*10.764</f>
        <v>334.55588399999999</v>
      </c>
      <c r="E255" s="42">
        <v>0</v>
      </c>
      <c r="F255" s="42">
        <v>505</v>
      </c>
      <c r="G255" s="93" t="str">
        <f t="shared" si="14"/>
        <v>Ground Floor for Residential &amp; Parking</v>
      </c>
      <c r="H255" s="94"/>
      <c r="I255" s="36"/>
      <c r="J255" s="56">
        <f t="shared" si="2"/>
        <v>1.5094638120308774</v>
      </c>
      <c r="L255" s="111"/>
      <c r="M255" s="111"/>
      <c r="N255" s="36"/>
    </row>
    <row r="256" spans="1:14" s="37" customFormat="1" x14ac:dyDescent="0.25">
      <c r="A256" s="93">
        <f t="shared" si="13"/>
        <v>4</v>
      </c>
      <c r="B256" s="94"/>
      <c r="C256" s="42" t="s">
        <v>165</v>
      </c>
      <c r="D256" s="42">
        <f>(32.12+3.668)*10.764</f>
        <v>385.22203199999996</v>
      </c>
      <c r="E256" s="42">
        <v>0</v>
      </c>
      <c r="F256" s="42">
        <v>625</v>
      </c>
      <c r="G256" s="93" t="str">
        <f t="shared" si="14"/>
        <v>Ground Floor for Residential &amp; Parking</v>
      </c>
      <c r="H256" s="94"/>
      <c r="I256" s="36"/>
      <c r="J256" s="56">
        <f t="shared" ref="J256:J278" si="15">F256/D256</f>
        <v>1.6224409511447675</v>
      </c>
      <c r="L256" s="111">
        <f>1616000/505</f>
        <v>3200</v>
      </c>
      <c r="M256" s="111"/>
      <c r="N256" s="36"/>
    </row>
    <row r="257" spans="1:14" s="37" customFormat="1" x14ac:dyDescent="0.25">
      <c r="A257" s="90" t="s">
        <v>166</v>
      </c>
      <c r="B257" s="91"/>
      <c r="C257" s="91"/>
      <c r="D257" s="91"/>
      <c r="E257" s="91"/>
      <c r="F257" s="91"/>
      <c r="G257" s="91"/>
      <c r="H257" s="92"/>
      <c r="I257" s="36"/>
      <c r="J257" s="56"/>
    </row>
    <row r="258" spans="1:14" s="37" customFormat="1" x14ac:dyDescent="0.25">
      <c r="A258" s="93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10^ROW(INDIRECT("1:"&amp;LEN((LEFT(A257,SUM(LEN(A257)-LEN(SUBSTITUTE(A257,{"0","1","2"},""))))))))/10))*100+1&amp;""&amp;" to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",LEN(A257))),LEN(A257)))))))/10))*100+1</f>
        <v>101 to 701</v>
      </c>
      <c r="B258" s="94"/>
      <c r="C258" s="42" t="s">
        <v>165</v>
      </c>
      <c r="D258" s="42">
        <f>(29.19+2.9)*10.764</f>
        <v>345.41676000000001</v>
      </c>
      <c r="E258" s="42">
        <v>0</v>
      </c>
      <c r="F258" s="42">
        <v>520</v>
      </c>
      <c r="G258" s="93" t="str">
        <f>A257</f>
        <v>1st to 7th Floor for Residential</v>
      </c>
      <c r="H258" s="94"/>
      <c r="I258" s="36"/>
      <c r="J258" s="56">
        <f t="shared" si="15"/>
        <v>1.5054278200050282</v>
      </c>
    </row>
    <row r="259" spans="1:14" s="37" customFormat="1" x14ac:dyDescent="0.25">
      <c r="A259" s="93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to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102 to 702</v>
      </c>
      <c r="B259" s="94"/>
      <c r="C259" s="42" t="s">
        <v>165</v>
      </c>
      <c r="D259" s="42">
        <f>(32.12+6.643)*10.764</f>
        <v>417.24493199999995</v>
      </c>
      <c r="E259" s="42">
        <v>0</v>
      </c>
      <c r="F259" s="42">
        <v>625</v>
      </c>
      <c r="G259" s="93" t="str">
        <f t="shared" ref="G259:G265" si="16">G258</f>
        <v>1st to 7th Floor for Residential</v>
      </c>
      <c r="H259" s="94"/>
      <c r="I259" s="36"/>
      <c r="J259" s="56">
        <f t="shared" si="15"/>
        <v>1.4979211299323825</v>
      </c>
    </row>
    <row r="260" spans="1:14" s="37" customFormat="1" x14ac:dyDescent="0.25">
      <c r="A260" s="93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to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103 to 703</v>
      </c>
      <c r="B260" s="94"/>
      <c r="C260" s="42" t="s">
        <v>165</v>
      </c>
      <c r="D260" s="42">
        <f>(32.13+6.643)*10.764</f>
        <v>417.35257200000001</v>
      </c>
      <c r="E260" s="42">
        <v>0</v>
      </c>
      <c r="F260" s="42">
        <v>625</v>
      </c>
      <c r="G260" s="93" t="str">
        <f t="shared" si="16"/>
        <v>1st to 7th Floor for Residential</v>
      </c>
      <c r="H260" s="94"/>
      <c r="I260" s="36"/>
      <c r="J260" s="56">
        <f t="shared" si="15"/>
        <v>1.4975347989469201</v>
      </c>
    </row>
    <row r="261" spans="1:14" s="37" customFormat="1" x14ac:dyDescent="0.25">
      <c r="A261" s="93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to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104 to 704</v>
      </c>
      <c r="B261" s="94"/>
      <c r="C261" s="42" t="s">
        <v>165</v>
      </c>
      <c r="D261" s="42">
        <f>(31.081)*10.764</f>
        <v>334.55588399999999</v>
      </c>
      <c r="E261" s="42">
        <v>0</v>
      </c>
      <c r="F261" s="42">
        <v>505</v>
      </c>
      <c r="G261" s="93" t="str">
        <f t="shared" si="16"/>
        <v>1st to 7th Floor for Residential</v>
      </c>
      <c r="H261" s="94"/>
      <c r="I261" s="36"/>
      <c r="J261" s="56">
        <f t="shared" si="15"/>
        <v>1.5094638120308774</v>
      </c>
    </row>
    <row r="262" spans="1:14" s="37" customFormat="1" x14ac:dyDescent="0.25">
      <c r="A262" s="93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to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105 to 705</v>
      </c>
      <c r="B262" s="94"/>
      <c r="C262" s="42" t="s">
        <v>165</v>
      </c>
      <c r="D262" s="42">
        <f>(31.081)*10.764</f>
        <v>334.55588399999999</v>
      </c>
      <c r="E262" s="42">
        <v>0</v>
      </c>
      <c r="F262" s="42">
        <v>505</v>
      </c>
      <c r="G262" s="93" t="str">
        <f t="shared" si="16"/>
        <v>1st to 7th Floor for Residential</v>
      </c>
      <c r="H262" s="94"/>
      <c r="I262" s="36"/>
      <c r="J262" s="56">
        <f t="shared" si="15"/>
        <v>1.5094638120308774</v>
      </c>
    </row>
    <row r="263" spans="1:14" s="37" customFormat="1" x14ac:dyDescent="0.25">
      <c r="A263" s="93" t="str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10^ROW(INDIRECT("1:"&amp;LEN((LEFT(A262,SUM(LEN(A262)-LEN(SUBSTITUTE(A262,{"0","1","2"},""))))))))/10))*1+1&amp;""&amp;" to "&amp;""&amp;(SUMPRODUCT(MID(0&amp;(--TRIM(RIGHT(SUBSTITUTE(LEFT(A262,_xlfn.AGGREGATE(16,6,FIND({0,1,2,3,4,5,6,7,8,9},A262,ROW(INDIRECT("1:"&amp;LEN(A262)))),1)),"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",LEN(A262))),LEN(A262)))))))/10))*1+1</f>
        <v>106 to 706</v>
      </c>
      <c r="B263" s="94"/>
      <c r="C263" s="42" t="s">
        <v>165</v>
      </c>
      <c r="D263" s="42">
        <f>(32.12+6.568)*10.764</f>
        <v>416.43763199999995</v>
      </c>
      <c r="E263" s="42">
        <v>0</v>
      </c>
      <c r="F263" s="42">
        <v>625</v>
      </c>
      <c r="G263" s="93" t="str">
        <f t="shared" si="16"/>
        <v>1st to 7th Floor for Residential</v>
      </c>
      <c r="H263" s="94"/>
      <c r="I263" s="36"/>
      <c r="J263" s="56">
        <f t="shared" si="15"/>
        <v>1.5008249782766991</v>
      </c>
    </row>
    <row r="264" spans="1:14" s="37" customFormat="1" x14ac:dyDescent="0.25">
      <c r="A264" s="93" t="str">
        <f ca="1">(SUMPRODUCT(MID(0&amp;(LEFT(A263,SUM(LEN(A263)-LEN(SUBSTITUTE(A263,{"0","1","2"},""))))), LARGE(INDEX(ISNUMBER(--MID((LEFT(A263,SUM(LEN(A263)-LEN(SUBSTITUTE(A263,{"0","1","2"},""))))), ROW(INDIRECT("1:"&amp;LEN((LEFT(A263,SUM(LEN(A263)-LEN(SUBSTITUTE(A263,{"0","1","2"},"")))))))), 1)) * ROW(INDIRECT("1:"&amp;LEN((LEFT(A263,SUM(LEN(A263)-LEN(SUBSTITUTE(A263,{"0","1","2"},"")))))))), 0), ROW(INDIRECT("1:"&amp;LEN((LEFT(A263,SUM(LEN(A263)-LEN(SUBSTITUTE(A263,{"0","1","2"},"")))))))))+1, 1) * 10^ROW(INDIRECT("1:"&amp;LEN((LEFT(A263,SUM(LEN(A263)-LEN(SUBSTITUTE(A263,{"0","1","2"},""))))))))/10))*1+1&amp;""&amp;" to "&amp;""&amp;(SUMPRODUCT(MID(0&amp;(--TRIM(RIGHT(SUBSTITUTE(LEFT(A263,_xlfn.AGGREGATE(16,6,FIND({0,1,2,3,4,5,6,7,8,9},A263,ROW(INDIRECT("1:"&amp;LEN(A263)))),1))," ",REPT(" ",LEN(A263))),LEN(A263)))), LARGE(INDEX(ISNUMBER(--MID((--TRIM(RIGHT(SUBSTITUTE(LEFT(A263,_xlfn.AGGREGATE(16,6,FIND({0,1,2,3,4,5,6,7,8,9},A263,ROW(INDIRECT("1:"&amp;LEN(A263)))),1))," ",REPT(" ",LEN(A263))),LEN(A263)))), ROW(INDIRECT("1:"&amp;LEN((--TRIM(RIGHT(SUBSTITUTE(LEFT(A263,_xlfn.AGGREGATE(16,6,FIND({0,1,2,3,4,5,6,7,8,9},A263,ROW(INDIRECT("1:"&amp;LEN(A263)))),1))," ",REPT(" ",LEN(A263))),LEN(A263))))))), 1)) * ROW(INDIRECT("1:"&amp;LEN((--TRIM(RIGHT(SUBSTITUTE(LEFT(A263,_xlfn.AGGREGATE(16,6,FIND({0,1,2,3,4,5,6,7,8,9},A263,ROW(INDIRECT("1:"&amp;LEN(A263)))),1))," ",REPT(" ",LEN(A263))),LEN(A263))))))), 0), ROW(INDIRECT("1:"&amp;LEN((--TRIM(RIGHT(SUBSTITUTE(LEFT(A263,_xlfn.AGGREGATE(16,6,FIND({0,1,2,3,4,5,6,7,8,9},A263,ROW(INDIRECT("1:"&amp;LEN(A263)))),1))," ",REPT(" ",LEN(A263))),LEN(A263))))))))+1, 1) * 10^ROW(INDIRECT("1:"&amp;LEN((--TRIM(RIGHT(SUBSTITUTE(LEFT(A263,_xlfn.AGGREGATE(16,6,FIND({0,1,2,3,4,5,6,7,8,9},A263,ROW(INDIRECT("1:"&amp;LEN(A263)))),1))," ",REPT(" ",LEN(A263))),LEN(A263)))))))/10))*1+1</f>
        <v>107 to 707</v>
      </c>
      <c r="B264" s="94"/>
      <c r="C264" s="42" t="s">
        <v>165</v>
      </c>
      <c r="D264" s="42">
        <f>(32.12+6.568)*10.764</f>
        <v>416.43763199999995</v>
      </c>
      <c r="E264" s="42">
        <v>0</v>
      </c>
      <c r="F264" s="42">
        <v>625</v>
      </c>
      <c r="G264" s="93" t="str">
        <f t="shared" si="16"/>
        <v>1st to 7th Floor for Residential</v>
      </c>
      <c r="H264" s="94"/>
      <c r="I264" s="36"/>
      <c r="J264" s="56">
        <f t="shared" si="15"/>
        <v>1.5008249782766991</v>
      </c>
    </row>
    <row r="265" spans="1:14" s="37" customFormat="1" x14ac:dyDescent="0.25">
      <c r="A265" s="93" t="str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10^ROW(INDIRECT("1:"&amp;LEN((LEFT(A264,SUM(LEN(A264)-LEN(SUBSTITUTE(A264,{"0","1","2"},""))))))))/10))*1+1&amp;""&amp;" to "&amp;""&amp;(SUMPRODUCT(MID(0&amp;(--TRIM(RIGHT(SUBSTITUTE(LEFT(A264,_xlfn.AGGREGATE(16,6,FIND({0,1,2,3,4,5,6,7,8,9},A264,ROW(INDIRECT("1:"&amp;LEN(A264)))),1)),"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",LEN(A264))),LEN(A264)))))))/10))*1+1</f>
        <v>108 to 708</v>
      </c>
      <c r="B265" s="94"/>
      <c r="C265" s="42" t="s">
        <v>165</v>
      </c>
      <c r="D265" s="42">
        <f>(29.19+2.9)*10.764</f>
        <v>345.41676000000001</v>
      </c>
      <c r="E265" s="42">
        <v>0</v>
      </c>
      <c r="F265" s="42">
        <v>520</v>
      </c>
      <c r="G265" s="93" t="str">
        <f t="shared" si="16"/>
        <v>1st to 7th Floor for Residential</v>
      </c>
      <c r="H265" s="94"/>
      <c r="I265" s="36"/>
      <c r="J265" s="56">
        <f t="shared" si="15"/>
        <v>1.5054278200050282</v>
      </c>
    </row>
    <row r="266" spans="1:14" x14ac:dyDescent="0.25">
      <c r="A266" s="57" t="s">
        <v>170</v>
      </c>
      <c r="B266" s="57"/>
      <c r="C266" s="57"/>
      <c r="D266" s="57"/>
      <c r="E266" s="57"/>
      <c r="F266" s="57"/>
      <c r="G266" s="57"/>
      <c r="H266" s="57"/>
      <c r="J266" s="56" t="e">
        <f t="shared" si="15"/>
        <v>#DIV/0!</v>
      </c>
    </row>
    <row r="267" spans="1:14" x14ac:dyDescent="0.25">
      <c r="A267" s="57" t="s">
        <v>214</v>
      </c>
      <c r="B267" s="57"/>
      <c r="C267" s="57"/>
      <c r="D267" s="57"/>
      <c r="E267" s="57"/>
      <c r="F267" s="57"/>
      <c r="G267" s="57"/>
      <c r="H267" s="57"/>
      <c r="J267" s="56" t="e">
        <f t="shared" si="15"/>
        <v>#DIV/0!</v>
      </c>
    </row>
    <row r="268" spans="1:14" s="37" customFormat="1" x14ac:dyDescent="0.25">
      <c r="A268" s="90" t="s">
        <v>164</v>
      </c>
      <c r="B268" s="91"/>
      <c r="C268" s="91"/>
      <c r="D268" s="91"/>
      <c r="E268" s="91"/>
      <c r="F268" s="91"/>
      <c r="G268" s="91"/>
      <c r="H268" s="92"/>
      <c r="J268" s="56" t="e">
        <f t="shared" si="15"/>
        <v>#DIV/0!</v>
      </c>
    </row>
    <row r="269" spans="1:14" s="37" customFormat="1" x14ac:dyDescent="0.25">
      <c r="A269" s="93">
        <v>1</v>
      </c>
      <c r="B269" s="94"/>
      <c r="C269" s="42" t="s">
        <v>165</v>
      </c>
      <c r="D269" s="42">
        <f>(32.12+3.668)*10.764</f>
        <v>385.22203199999996</v>
      </c>
      <c r="E269" s="42">
        <v>0</v>
      </c>
      <c r="F269" s="42">
        <v>580</v>
      </c>
      <c r="G269" s="93" t="str">
        <f>A268</f>
        <v>Ground Floor for Residential &amp; Parking</v>
      </c>
      <c r="H269" s="94"/>
      <c r="I269" s="36"/>
      <c r="J269" s="56">
        <f t="shared" si="15"/>
        <v>1.5056252026623442</v>
      </c>
      <c r="L269" s="111"/>
      <c r="M269" s="111"/>
      <c r="N269" s="36"/>
    </row>
    <row r="270" spans="1:14" s="37" customFormat="1" x14ac:dyDescent="0.25">
      <c r="A270" s="93">
        <f t="shared" ref="A270:A271" si="17">A269+1</f>
        <v>2</v>
      </c>
      <c r="B270" s="94"/>
      <c r="C270" s="42" t="s">
        <v>165</v>
      </c>
      <c r="D270" s="42">
        <f>(31.875)*10.764</f>
        <v>343.10249999999996</v>
      </c>
      <c r="E270" s="42">
        <v>0</v>
      </c>
      <c r="F270" s="42">
        <v>515</v>
      </c>
      <c r="G270" s="93" t="str">
        <f t="shared" ref="G270:G271" si="18">G269</f>
        <v>Ground Floor for Residential &amp; Parking</v>
      </c>
      <c r="H270" s="94"/>
      <c r="I270" s="36"/>
      <c r="J270" s="56">
        <f t="shared" si="15"/>
        <v>1.501009173643445</v>
      </c>
      <c r="L270" s="111"/>
      <c r="M270" s="111"/>
      <c r="N270" s="36"/>
    </row>
    <row r="271" spans="1:14" s="37" customFormat="1" x14ac:dyDescent="0.25">
      <c r="A271" s="93">
        <f t="shared" si="17"/>
        <v>3</v>
      </c>
      <c r="B271" s="94"/>
      <c r="C271" s="42" t="s">
        <v>165</v>
      </c>
      <c r="D271" s="42">
        <f>(32.12+6.735)*10.764</f>
        <v>418.23521999999991</v>
      </c>
      <c r="E271" s="42">
        <v>0</v>
      </c>
      <c r="F271" s="42">
        <v>625</v>
      </c>
      <c r="G271" s="93" t="str">
        <f t="shared" si="18"/>
        <v>Ground Floor for Residential &amp; Parking</v>
      </c>
      <c r="H271" s="94"/>
      <c r="I271" s="36"/>
      <c r="J271" s="56">
        <f t="shared" si="15"/>
        <v>1.4943743857822402</v>
      </c>
      <c r="L271" s="111"/>
      <c r="M271" s="111"/>
      <c r="N271" s="36"/>
    </row>
    <row r="272" spans="1:14" s="37" customFormat="1" x14ac:dyDescent="0.25">
      <c r="A272" s="90" t="s">
        <v>166</v>
      </c>
      <c r="B272" s="91"/>
      <c r="C272" s="91"/>
      <c r="D272" s="91"/>
      <c r="E272" s="91"/>
      <c r="F272" s="91"/>
      <c r="G272" s="91"/>
      <c r="H272" s="92"/>
      <c r="I272" s="36"/>
      <c r="J272" s="56" t="e">
        <f t="shared" si="15"/>
        <v>#DIV/0!</v>
      </c>
    </row>
    <row r="273" spans="1:10" s="37" customFormat="1" x14ac:dyDescent="0.25">
      <c r="A273" s="93" t="str">
        <f ca="1">(SUMPRODUCT(MID(0&amp;(LEFT(A272,SUM(LEN(A272)-LEN(SUBSTITUTE(A272,{"0","1","2"},""))))), LARGE(INDEX(ISNUMBER(--MID((LEFT(A272,SUM(LEN(A272)-LEN(SUBSTITUTE(A272,{"0","1","2"},""))))), ROW(INDIRECT("1:"&amp;LEN((LEFT(A272,SUM(LEN(A272)-LEN(SUBSTITUTE(A272,{"0","1","2"},"")))))))), 1)) * ROW(INDIRECT("1:"&amp;LEN((LEFT(A272,SUM(LEN(A272)-LEN(SUBSTITUTE(A272,{"0","1","2"},"")))))))), 0), ROW(INDIRECT("1:"&amp;LEN((LEFT(A272,SUM(LEN(A272)-LEN(SUBSTITUTE(A272,{"0","1","2"},"")))))))))+1, 1) * 10^ROW(INDIRECT("1:"&amp;LEN((LEFT(A272,SUM(LEN(A272)-LEN(SUBSTITUTE(A272,{"0","1","2"},""))))))))/10))*100+1&amp;""&amp;" to "&amp;""&amp;(SUMPRODUCT(MID(0&amp;(--TRIM(RIGHT(SUBSTITUTE(LEFT(A272,_xlfn.AGGREGATE(16,6,FIND({0,1,2,3,4,5,6,7,8,9},A272,ROW(INDIRECT("1:"&amp;LEN(A272)))),1))," ",REPT(" ",LEN(A272))),LEN(A272)))), LARGE(INDEX(ISNUMBER(--MID((--TRIM(RIGHT(SUBSTITUTE(LEFT(A272,_xlfn.AGGREGATE(16,6,FIND({0,1,2,3,4,5,6,7,8,9},A272,ROW(INDIRECT("1:"&amp;LEN(A272)))),1))," ",REPT(" ",LEN(A272))),LEN(A272)))), ROW(INDIRECT("1:"&amp;LEN((--TRIM(RIGHT(SUBSTITUTE(LEFT(A272,_xlfn.AGGREGATE(16,6,FIND({0,1,2,3,4,5,6,7,8,9},A272,ROW(INDIRECT("1:"&amp;LEN(A272)))),1))," ",REPT(" ",LEN(A272))),LEN(A272))))))), 1)) * ROW(INDIRECT("1:"&amp;LEN((--TRIM(RIGHT(SUBSTITUTE(LEFT(A272,_xlfn.AGGREGATE(16,6,FIND({0,1,2,3,4,5,6,7,8,9},A272,ROW(INDIRECT("1:"&amp;LEN(A272)))),1))," ",REPT(" ",LEN(A272))),LEN(A272))))))), 0), ROW(INDIRECT("1:"&amp;LEN((--TRIM(RIGHT(SUBSTITUTE(LEFT(A272,_xlfn.AGGREGATE(16,6,FIND({0,1,2,3,4,5,6,7,8,9},A272,ROW(INDIRECT("1:"&amp;LEN(A272)))),1))," ",REPT(" ",LEN(A272))),LEN(A272))))))))+1, 1) * 10^ROW(INDIRECT("1:"&amp;LEN((--TRIM(RIGHT(SUBSTITUTE(LEFT(A272,_xlfn.AGGREGATE(16,6,FIND({0,1,2,3,4,5,6,7,8,9},A272,ROW(INDIRECT("1:"&amp;LEN(A272)))),1))," ",REPT(" ",LEN(A272))),LEN(A272)))))))/10))*100+1</f>
        <v>101 to 701</v>
      </c>
      <c r="B273" s="94"/>
      <c r="C273" s="42" t="s">
        <v>165</v>
      </c>
      <c r="D273" s="42">
        <f>(29.475)*10.764</f>
        <v>317.26889999999997</v>
      </c>
      <c r="E273" s="42">
        <v>0</v>
      </c>
      <c r="F273" s="42">
        <v>475</v>
      </c>
      <c r="G273" s="93" t="str">
        <f>A272</f>
        <v>1st to 7th Floor for Residential</v>
      </c>
      <c r="H273" s="94"/>
      <c r="I273" s="36"/>
      <c r="J273" s="56">
        <f t="shared" si="15"/>
        <v>1.4971527306962644</v>
      </c>
    </row>
    <row r="274" spans="1:10" s="37" customFormat="1" x14ac:dyDescent="0.25">
      <c r="A274" s="93" t="str">
        <f ca="1">(SUMPRODUCT(MID(0&amp;(LEFT(A273,SUM(LEN(A273)-LEN(SUBSTITUTE(A273,{"0","1","2"},""))))), LARGE(INDEX(ISNUMBER(--MID((LEFT(A273,SUM(LEN(A273)-LEN(SUBSTITUTE(A273,{"0","1","2"},""))))), ROW(INDIRECT("1:"&amp;LEN((LEFT(A273,SUM(LEN(A273)-LEN(SUBSTITUTE(A273,{"0","1","2"},"")))))))), 1)) * ROW(INDIRECT("1:"&amp;LEN((LEFT(A273,SUM(LEN(A273)-LEN(SUBSTITUTE(A273,{"0","1","2"},"")))))))), 0), ROW(INDIRECT("1:"&amp;LEN((LEFT(A273,SUM(LEN(A273)-LEN(SUBSTITUTE(A273,{"0","1","2"},"")))))))))+1, 1) * 10^ROW(INDIRECT("1:"&amp;LEN((LEFT(A273,SUM(LEN(A273)-LEN(SUBSTITUTE(A273,{"0","1","2"},""))))))))/10))*1+1&amp;""&amp;" to "&amp;""&amp;(SUMPRODUCT(MID(0&amp;(--TRIM(RIGHT(SUBSTITUTE(LEFT(A273,_xlfn.AGGREGATE(16,6,FIND({0,1,2,3,4,5,6,7,8,9},A273,ROW(INDIRECT("1:"&amp;LEN(A273)))),1))," ",REPT(" ",LEN(A273))),LEN(A273)))), LARGE(INDEX(ISNUMBER(--MID((--TRIM(RIGHT(SUBSTITUTE(LEFT(A273,_xlfn.AGGREGATE(16,6,FIND({0,1,2,3,4,5,6,7,8,9},A273,ROW(INDIRECT("1:"&amp;LEN(A273)))),1))," ",REPT(" ",LEN(A273))),LEN(A273)))), ROW(INDIRECT("1:"&amp;LEN((--TRIM(RIGHT(SUBSTITUTE(LEFT(A273,_xlfn.AGGREGATE(16,6,FIND({0,1,2,3,4,5,6,7,8,9},A273,ROW(INDIRECT("1:"&amp;LEN(A273)))),1))," ",REPT(" ",LEN(A273))),LEN(A273))))))), 1)) * ROW(INDIRECT("1:"&amp;LEN((--TRIM(RIGHT(SUBSTITUTE(LEFT(A273,_xlfn.AGGREGATE(16,6,FIND({0,1,2,3,4,5,6,7,8,9},A273,ROW(INDIRECT("1:"&amp;LEN(A273)))),1))," ",REPT(" ",LEN(A273))),LEN(A273))))))), 0), ROW(INDIRECT("1:"&amp;LEN((--TRIM(RIGHT(SUBSTITUTE(LEFT(A273,_xlfn.AGGREGATE(16,6,FIND({0,1,2,3,4,5,6,7,8,9},A273,ROW(INDIRECT("1:"&amp;LEN(A273)))),1))," ",REPT(" ",LEN(A273))),LEN(A273))))))))+1, 1) * 10^ROW(INDIRECT("1:"&amp;LEN((--TRIM(RIGHT(SUBSTITUTE(LEFT(A273,_xlfn.AGGREGATE(16,6,FIND({0,1,2,3,4,5,6,7,8,9},A273,ROW(INDIRECT("1:"&amp;LEN(A273)))),1))," ",REPT(" ",LEN(A273))),LEN(A273)))))))/10))*1+1</f>
        <v>102 to 702</v>
      </c>
      <c r="B274" s="94"/>
      <c r="C274" s="42" t="s">
        <v>165</v>
      </c>
      <c r="D274" s="42">
        <f>(32.12+6.648)*10.764</f>
        <v>417.29875199999998</v>
      </c>
      <c r="E274" s="42">
        <v>0</v>
      </c>
      <c r="F274" s="42">
        <v>625</v>
      </c>
      <c r="G274" s="93" t="str">
        <f>G273</f>
        <v>1st to 7th Floor for Residential</v>
      </c>
      <c r="H274" s="94"/>
      <c r="I274" s="36"/>
      <c r="J274" s="56">
        <f t="shared" si="15"/>
        <v>1.4977279395266441</v>
      </c>
    </row>
    <row r="275" spans="1:10" s="37" customFormat="1" x14ac:dyDescent="0.25">
      <c r="A275" s="93" t="str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10^ROW(INDIRECT("1:"&amp;LEN((LEFT(A274,SUM(LEN(A274)-LEN(SUBSTITUTE(A274,{"0","1","2"},""))))))))/10))*1+1&amp;""&amp;" to "&amp;""&amp;(SUMPRODUCT(MID(0&amp;(--TRIM(RIGHT(SUBSTITUTE(LEFT(A274,_xlfn.AGGREGATE(16,6,FIND({0,1,2,3,4,5,6,7,8,9},A274,ROW(INDIRECT("1:"&amp;LEN(A274)))),1)),"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",LEN(A274))),LEN(A274)))))))/10))*1+1</f>
        <v>103 to 703</v>
      </c>
      <c r="B275" s="94"/>
      <c r="C275" s="42" t="s">
        <v>165</v>
      </c>
      <c r="D275" s="42">
        <f>(32.12+6.648)*10.764</f>
        <v>417.29875199999998</v>
      </c>
      <c r="E275" s="42">
        <v>0</v>
      </c>
      <c r="F275" s="42">
        <v>625</v>
      </c>
      <c r="G275" s="93" t="str">
        <f>G274</f>
        <v>1st to 7th Floor for Residential</v>
      </c>
      <c r="H275" s="94"/>
      <c r="I275" s="36"/>
      <c r="J275" s="56">
        <f t="shared" si="15"/>
        <v>1.4977279395266441</v>
      </c>
    </row>
    <row r="276" spans="1:10" s="37" customFormat="1" x14ac:dyDescent="0.25">
      <c r="A276" s="93" t="str">
        <f ca="1">(SUMPRODUCT(MID(0&amp;(LEFT(A275,SUM(LEN(A275)-LEN(SUBSTITUTE(A275,{"0","1","2"},""))))), LARGE(INDEX(ISNUMBER(--MID((LEFT(A275,SUM(LEN(A275)-LEN(SUBSTITUTE(A275,{"0","1","2"},""))))), ROW(INDIRECT("1:"&amp;LEN((LEFT(A275,SUM(LEN(A275)-LEN(SUBSTITUTE(A275,{"0","1","2"},"")))))))), 1)) * ROW(INDIRECT("1:"&amp;LEN((LEFT(A275,SUM(LEN(A275)-LEN(SUBSTITUTE(A275,{"0","1","2"},"")))))))), 0), ROW(INDIRECT("1:"&amp;LEN((LEFT(A275,SUM(LEN(A275)-LEN(SUBSTITUTE(A275,{"0","1","2"},"")))))))))+1, 1) * 10^ROW(INDIRECT("1:"&amp;LEN((LEFT(A275,SUM(LEN(A275)-LEN(SUBSTITUTE(A275,{"0","1","2"},""))))))))/10))*1+1&amp;""&amp;" to "&amp;""&amp;(SUMPRODUCT(MID(0&amp;(--TRIM(RIGHT(SUBSTITUTE(LEFT(A275,_xlfn.AGGREGATE(16,6,FIND({0,1,2,3,4,5,6,7,8,9},A275,ROW(INDIRECT("1:"&amp;LEN(A275)))),1))," ",REPT(" ",LEN(A275))),LEN(A275)))), LARGE(INDEX(ISNUMBER(--MID((--TRIM(RIGHT(SUBSTITUTE(LEFT(A275,_xlfn.AGGREGATE(16,6,FIND({0,1,2,3,4,5,6,7,8,9},A275,ROW(INDIRECT("1:"&amp;LEN(A275)))),1))," ",REPT(" ",LEN(A275))),LEN(A275)))), ROW(INDIRECT("1:"&amp;LEN((--TRIM(RIGHT(SUBSTITUTE(LEFT(A275,_xlfn.AGGREGATE(16,6,FIND({0,1,2,3,4,5,6,7,8,9},A275,ROW(INDIRECT("1:"&amp;LEN(A275)))),1))," ",REPT(" ",LEN(A275))),LEN(A275))))))), 1)) * ROW(INDIRECT("1:"&amp;LEN((--TRIM(RIGHT(SUBSTITUTE(LEFT(A275,_xlfn.AGGREGATE(16,6,FIND({0,1,2,3,4,5,6,7,8,9},A275,ROW(INDIRECT("1:"&amp;LEN(A275)))),1))," ",REPT(" ",LEN(A275))),LEN(A275))))))), 0), ROW(INDIRECT("1:"&amp;LEN((--TRIM(RIGHT(SUBSTITUTE(LEFT(A275,_xlfn.AGGREGATE(16,6,FIND({0,1,2,3,4,5,6,7,8,9},A275,ROW(INDIRECT("1:"&amp;LEN(A275)))),1))," ",REPT(" ",LEN(A275))),LEN(A275))))))))+1, 1) * 10^ROW(INDIRECT("1:"&amp;LEN((--TRIM(RIGHT(SUBSTITUTE(LEFT(A275,_xlfn.AGGREGATE(16,6,FIND({0,1,2,3,4,5,6,7,8,9},A275,ROW(INDIRECT("1:"&amp;LEN(A275)))),1))," ",REPT(" ",LEN(A275))),LEN(A275)))))))/10))*1+1</f>
        <v>104 to 704</v>
      </c>
      <c r="B276" s="94"/>
      <c r="C276" s="42" t="s">
        <v>165</v>
      </c>
      <c r="D276" s="42">
        <f>(31.875+4.55)*10.764</f>
        <v>392.07869999999997</v>
      </c>
      <c r="E276" s="42">
        <v>0</v>
      </c>
      <c r="F276" s="42">
        <v>590</v>
      </c>
      <c r="G276" s="93" t="str">
        <f>G275</f>
        <v>1st to 7th Floor for Residential</v>
      </c>
      <c r="H276" s="94"/>
      <c r="I276" s="36"/>
      <c r="J276" s="56">
        <f t="shared" si="15"/>
        <v>1.5047999291978882</v>
      </c>
    </row>
    <row r="277" spans="1:10" s="37" customFormat="1" x14ac:dyDescent="0.25">
      <c r="A277" s="93" t="str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10^ROW(INDIRECT("1:"&amp;LEN((LEFT(A276,SUM(LEN(A276)-LEN(SUBSTITUTE(A276,{"0","1","2"},""))))))))/10))*1+1&amp;""&amp;" to "&amp;""&amp;(SUMPRODUCT(MID(0&amp;(--TRIM(RIGHT(SUBSTITUTE(LEFT(A276,_xlfn.AGGREGATE(16,6,FIND({0,1,2,3,4,5,6,7,8,9},A276,ROW(INDIRECT("1:"&amp;LEN(A276)))),1)),"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",LEN(A276))),LEN(A276)))))))/10))*1+1</f>
        <v>105 to 705</v>
      </c>
      <c r="B277" s="94"/>
      <c r="C277" s="42" t="s">
        <v>165</v>
      </c>
      <c r="D277" s="42">
        <f>(32.12+6.935)*10.764</f>
        <v>420.38801999999998</v>
      </c>
      <c r="E277" s="42">
        <v>0</v>
      </c>
      <c r="F277" s="42">
        <v>625</v>
      </c>
      <c r="G277" s="93" t="str">
        <f>G276</f>
        <v>1st to 7th Floor for Residential</v>
      </c>
      <c r="H277" s="94"/>
      <c r="I277" s="36"/>
      <c r="J277" s="56">
        <f t="shared" si="15"/>
        <v>1.4867217196151308</v>
      </c>
    </row>
    <row r="278" spans="1:10" s="37" customFormat="1" x14ac:dyDescent="0.25">
      <c r="A278" s="93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10^ROW(INDIRECT("1:"&amp;LEN((LEFT(A277,SUM(LEN(A277)-LEN(SUBSTITUTE(A277,{"0","1","2"},""))))))))/10))*1+1&amp;""&amp;" to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",LEN(A277))),LEN(A277)))))))/10))*1+1</f>
        <v>106 to 706</v>
      </c>
      <c r="B278" s="94"/>
      <c r="C278" s="42" t="s">
        <v>165</v>
      </c>
      <c r="D278" s="42">
        <f>(32.12+6.718)*10.764</f>
        <v>418.05223199999989</v>
      </c>
      <c r="E278" s="42">
        <v>0</v>
      </c>
      <c r="F278" s="42">
        <v>625</v>
      </c>
      <c r="G278" s="93" t="str">
        <f>G277</f>
        <v>1st to 7th Floor for Residential</v>
      </c>
      <c r="H278" s="94"/>
      <c r="I278" s="36"/>
      <c r="J278" s="56">
        <f t="shared" si="15"/>
        <v>1.4950284968218999</v>
      </c>
    </row>
    <row r="279" spans="1:10" s="35" customFormat="1" x14ac:dyDescent="0.25">
      <c r="A279" s="139" t="s">
        <v>72</v>
      </c>
      <c r="B279" s="139"/>
      <c r="C279" s="139"/>
      <c r="D279" s="139"/>
      <c r="E279" s="139"/>
      <c r="F279" s="139"/>
      <c r="G279" s="139"/>
      <c r="H279" s="139"/>
    </row>
    <row r="280" spans="1:10" s="35" customFormat="1" ht="81.75" customHeight="1" x14ac:dyDescent="0.25">
      <c r="A280" s="45" t="s">
        <v>157</v>
      </c>
      <c r="B280" s="142" t="s">
        <v>232</v>
      </c>
      <c r="C280" s="143"/>
      <c r="D280" s="143"/>
      <c r="E280" s="143"/>
      <c r="F280" s="143"/>
      <c r="G280" s="143"/>
      <c r="H280" s="144"/>
    </row>
    <row r="281" spans="1:10" s="35" customFormat="1" x14ac:dyDescent="0.25">
      <c r="A281" s="45" t="s">
        <v>157</v>
      </c>
      <c r="B281" s="142" t="str">
        <f>(IF(F186="Saleable area Loading :","We have considered Saleable area of Flats as per our Calculation.","We considered Saleable area of Flat as per Builder area Sheet."))</f>
        <v>We considered Saleable area of Flat as per Builder area Sheet.</v>
      </c>
      <c r="C281" s="143"/>
      <c r="D281" s="143"/>
      <c r="E281" s="143"/>
      <c r="F281" s="143"/>
      <c r="G281" s="143"/>
      <c r="H281" s="144"/>
    </row>
    <row r="282" spans="1:10" s="35" customFormat="1" x14ac:dyDescent="0.25">
      <c r="A282" s="45" t="s">
        <v>157</v>
      </c>
      <c r="B282" s="100" t="s">
        <v>127</v>
      </c>
      <c r="C282" s="101"/>
      <c r="D282" s="101"/>
      <c r="E282" s="101"/>
      <c r="F282" s="101"/>
      <c r="G282" s="101"/>
      <c r="H282" s="102"/>
    </row>
    <row r="283" spans="1:10" s="35" customFormat="1" x14ac:dyDescent="0.25">
      <c r="A283" s="45" t="s">
        <v>157</v>
      </c>
      <c r="B283" s="100" t="s">
        <v>197</v>
      </c>
      <c r="C283" s="101"/>
      <c r="D283" s="101"/>
      <c r="E283" s="101"/>
      <c r="F283" s="101"/>
      <c r="G283" s="101"/>
      <c r="H283" s="102"/>
    </row>
    <row r="284" spans="1:10" s="35" customFormat="1" x14ac:dyDescent="0.25">
      <c r="A284" s="45" t="s">
        <v>157</v>
      </c>
      <c r="B284" s="100" t="s">
        <v>156</v>
      </c>
      <c r="C284" s="101"/>
      <c r="D284" s="101"/>
      <c r="E284" s="101"/>
      <c r="F284" s="101"/>
      <c r="G284" s="101"/>
      <c r="H284" s="102"/>
    </row>
    <row r="285" spans="1:10" s="35" customFormat="1" x14ac:dyDescent="0.25">
      <c r="A285" s="45" t="s">
        <v>157</v>
      </c>
      <c r="B285" s="100" t="s">
        <v>128</v>
      </c>
      <c r="C285" s="101"/>
      <c r="D285" s="101"/>
      <c r="E285" s="101"/>
      <c r="F285" s="101"/>
      <c r="G285" s="101"/>
      <c r="H285" s="102"/>
    </row>
    <row r="286" spans="1:10" s="35" customFormat="1" ht="34.5" customHeight="1" x14ac:dyDescent="0.25">
      <c r="A286" s="45" t="s">
        <v>157</v>
      </c>
      <c r="B286" s="100" t="s">
        <v>158</v>
      </c>
      <c r="C286" s="101"/>
      <c r="D286" s="101"/>
      <c r="E286" s="101"/>
      <c r="F286" s="101"/>
      <c r="G286" s="101"/>
      <c r="H286" s="102"/>
    </row>
    <row r="287" spans="1:10" s="35" customFormat="1" x14ac:dyDescent="0.25">
      <c r="A287" s="45" t="s">
        <v>157</v>
      </c>
      <c r="B287" s="100" t="s">
        <v>129</v>
      </c>
      <c r="C287" s="101"/>
      <c r="D287" s="101"/>
      <c r="E287" s="101"/>
      <c r="F287" s="101"/>
      <c r="G287" s="101"/>
      <c r="H287" s="102"/>
    </row>
    <row r="288" spans="1:10" s="35" customFormat="1" hidden="1" x14ac:dyDescent="0.25">
      <c r="A288" s="45" t="s">
        <v>157</v>
      </c>
      <c r="B288" s="142" t="s">
        <v>223</v>
      </c>
      <c r="C288" s="143"/>
      <c r="D288" s="143"/>
      <c r="E288" s="143"/>
      <c r="F288" s="143"/>
      <c r="G288" s="143"/>
      <c r="H288" s="144"/>
    </row>
    <row r="289" spans="1:8" s="35" customFormat="1" ht="30.95" hidden="1" customHeight="1" x14ac:dyDescent="0.25">
      <c r="A289" s="45" t="s">
        <v>157</v>
      </c>
      <c r="B289" s="142" t="s">
        <v>224</v>
      </c>
      <c r="C289" s="143"/>
      <c r="D289" s="143"/>
      <c r="E289" s="143"/>
      <c r="F289" s="143"/>
      <c r="G289" s="143"/>
      <c r="H289" s="144"/>
    </row>
    <row r="290" spans="1:8" s="35" customFormat="1" x14ac:dyDescent="0.25">
      <c r="A290" s="45" t="s">
        <v>157</v>
      </c>
      <c r="B290" s="142" t="s">
        <v>226</v>
      </c>
      <c r="C290" s="143"/>
      <c r="D290" s="143"/>
      <c r="E290" s="143"/>
      <c r="F290" s="143"/>
      <c r="G290" s="143"/>
      <c r="H290" s="144"/>
    </row>
    <row r="291" spans="1:8" x14ac:dyDescent="0.25">
      <c r="A291" s="140" t="s">
        <v>65</v>
      </c>
      <c r="B291" s="140"/>
      <c r="C291" s="140"/>
      <c r="D291" s="140"/>
      <c r="E291" s="140"/>
      <c r="F291" s="140"/>
      <c r="G291" s="140"/>
      <c r="H291" s="140"/>
    </row>
    <row r="292" spans="1:8" x14ac:dyDescent="0.25">
      <c r="A292" s="74" t="s">
        <v>66</v>
      </c>
      <c r="B292" s="74"/>
      <c r="C292" s="74"/>
      <c r="D292" s="74"/>
      <c r="E292" s="74"/>
      <c r="F292" s="74"/>
      <c r="G292" s="74"/>
      <c r="H292" s="74"/>
    </row>
    <row r="293" spans="1:8" ht="15.75" customHeight="1" x14ac:dyDescent="0.25">
      <c r="A293" s="162" t="s">
        <v>67</v>
      </c>
      <c r="B293" s="162"/>
      <c r="C293" s="162"/>
      <c r="D293" s="162"/>
      <c r="E293" s="162"/>
      <c r="F293" s="162"/>
      <c r="G293" s="162"/>
      <c r="H293" s="162"/>
    </row>
    <row r="294" spans="1:8" x14ac:dyDescent="0.25">
      <c r="A294" s="74" t="s">
        <v>68</v>
      </c>
      <c r="B294" s="74"/>
      <c r="C294" s="74"/>
      <c r="D294" s="74"/>
      <c r="E294" s="74"/>
      <c r="F294" s="74"/>
      <c r="G294" s="74"/>
      <c r="H294" s="74"/>
    </row>
    <row r="295" spans="1:8" x14ac:dyDescent="0.25">
      <c r="A295" s="74" t="s">
        <v>69</v>
      </c>
      <c r="B295" s="74"/>
      <c r="C295" s="74"/>
      <c r="D295" s="74"/>
      <c r="E295" s="74"/>
      <c r="F295" s="74"/>
      <c r="G295" s="74"/>
      <c r="H295" s="74"/>
    </row>
    <row r="296" spans="1:8" x14ac:dyDescent="0.25">
      <c r="A296" s="74" t="s">
        <v>130</v>
      </c>
      <c r="B296" s="74"/>
      <c r="C296" s="74"/>
      <c r="D296" s="74"/>
      <c r="E296" s="74"/>
      <c r="F296" s="74"/>
      <c r="G296" s="74"/>
      <c r="H296" s="74"/>
    </row>
    <row r="297" spans="1:8" ht="35.25" customHeight="1" x14ac:dyDescent="0.25">
      <c r="A297" s="75" t="s">
        <v>131</v>
      </c>
      <c r="B297" s="75"/>
      <c r="C297" s="75"/>
      <c r="D297" s="75"/>
      <c r="E297" s="75"/>
      <c r="F297" s="75"/>
      <c r="G297" s="75"/>
      <c r="H297" s="75"/>
    </row>
    <row r="298" spans="1:8" x14ac:dyDescent="0.25">
      <c r="A298" s="137" t="s">
        <v>81</v>
      </c>
      <c r="B298" s="137"/>
      <c r="C298" s="137" t="s">
        <v>231</v>
      </c>
      <c r="D298" s="137"/>
      <c r="E298" s="137" t="s">
        <v>110</v>
      </c>
      <c r="F298" s="137"/>
      <c r="G298" s="137" t="s">
        <v>230</v>
      </c>
      <c r="H298" s="137"/>
    </row>
    <row r="299" spans="1:8" x14ac:dyDescent="0.25">
      <c r="A299" s="136" t="s">
        <v>83</v>
      </c>
      <c r="B299" s="136"/>
      <c r="C299" s="136"/>
      <c r="D299" s="136"/>
      <c r="E299" s="136"/>
      <c r="F299" s="136"/>
      <c r="G299" s="136"/>
      <c r="H299" s="136"/>
    </row>
    <row r="300" spans="1:8" x14ac:dyDescent="0.25">
      <c r="A300" s="136"/>
      <c r="B300" s="136"/>
      <c r="C300" s="136"/>
      <c r="D300" s="136"/>
      <c r="E300" s="136"/>
      <c r="F300" s="136"/>
      <c r="G300" s="136"/>
      <c r="H300" s="136"/>
    </row>
    <row r="301" spans="1:8" x14ac:dyDescent="0.25">
      <c r="A301" s="136"/>
      <c r="B301" s="136"/>
      <c r="C301" s="136"/>
      <c r="D301" s="136"/>
      <c r="E301" s="136"/>
      <c r="F301" s="136"/>
      <c r="G301" s="136"/>
      <c r="H301" s="136"/>
    </row>
    <row r="302" spans="1:8" x14ac:dyDescent="0.25">
      <c r="A302" s="136"/>
      <c r="B302" s="136"/>
      <c r="C302" s="136"/>
      <c r="D302" s="136"/>
      <c r="E302" s="136"/>
      <c r="F302" s="136"/>
      <c r="G302" s="136"/>
      <c r="H302" s="136"/>
    </row>
    <row r="303" spans="1:8" x14ac:dyDescent="0.25">
      <c r="A303" s="38" t="s">
        <v>70</v>
      </c>
      <c r="B303" s="39"/>
      <c r="C303" s="39"/>
      <c r="D303" s="38" t="str">
        <f>E8</f>
        <v>Shikhar Greens</v>
      </c>
      <c r="F303" s="39"/>
      <c r="G303" s="39"/>
      <c r="H303" s="39"/>
    </row>
    <row r="304" spans="1:8" x14ac:dyDescent="0.25">
      <c r="A304" s="39"/>
      <c r="B304" s="39"/>
      <c r="C304" s="39"/>
      <c r="D304" s="39"/>
      <c r="E304" s="39"/>
      <c r="F304" s="39"/>
      <c r="G304" s="39"/>
      <c r="H304" s="39"/>
    </row>
    <row r="305" spans="1:8" x14ac:dyDescent="0.25">
      <c r="A305" s="39"/>
      <c r="B305" s="39"/>
      <c r="C305" s="39"/>
      <c r="D305" s="39"/>
      <c r="E305" s="39"/>
      <c r="F305" s="39"/>
      <c r="G305" s="39"/>
      <c r="H305" s="39"/>
    </row>
    <row r="306" spans="1:8" ht="15" customHeight="1" x14ac:dyDescent="0.25"/>
    <row r="346" spans="1:1" x14ac:dyDescent="0.25">
      <c r="A346" s="41" t="s">
        <v>71</v>
      </c>
    </row>
  </sheetData>
  <mergeCells count="531">
    <mergeCell ref="I10:L10"/>
    <mergeCell ref="A75:B75"/>
    <mergeCell ref="A76:B76"/>
    <mergeCell ref="A77:B77"/>
    <mergeCell ref="A78:B78"/>
    <mergeCell ref="A79:B79"/>
    <mergeCell ref="C79:H79"/>
    <mergeCell ref="A81:B81"/>
    <mergeCell ref="C81:H81"/>
    <mergeCell ref="A82:B82"/>
    <mergeCell ref="E82:F82"/>
    <mergeCell ref="G82:H82"/>
    <mergeCell ref="A86:B86"/>
    <mergeCell ref="A87:B87"/>
    <mergeCell ref="A88:B88"/>
    <mergeCell ref="A89:B89"/>
    <mergeCell ref="A90:B90"/>
    <mergeCell ref="A91:B91"/>
    <mergeCell ref="A92:B92"/>
    <mergeCell ref="B290:H290"/>
    <mergeCell ref="A134:B134"/>
    <mergeCell ref="B289:H289"/>
    <mergeCell ref="A121:B121"/>
    <mergeCell ref="C121:H121"/>
    <mergeCell ref="A123:B123"/>
    <mergeCell ref="C123:H123"/>
    <mergeCell ref="A124:B124"/>
    <mergeCell ref="E124:F124"/>
    <mergeCell ref="G124:H124"/>
    <mergeCell ref="A125:B125"/>
    <mergeCell ref="E125:F134"/>
    <mergeCell ref="G125:H134"/>
    <mergeCell ref="C174:D174"/>
    <mergeCell ref="G174:H174"/>
    <mergeCell ref="A155:B155"/>
    <mergeCell ref="A156:B156"/>
    <mergeCell ref="A157:B157"/>
    <mergeCell ref="A158:B158"/>
    <mergeCell ref="A159:B159"/>
    <mergeCell ref="A160:B160"/>
    <mergeCell ref="A126:B126"/>
    <mergeCell ref="A127:B127"/>
    <mergeCell ref="A128:B128"/>
    <mergeCell ref="A161:B161"/>
    <mergeCell ref="A162:B162"/>
    <mergeCell ref="A188:H188"/>
    <mergeCell ref="A196:H196"/>
    <mergeCell ref="A222:H222"/>
    <mergeCell ref="A224:H224"/>
    <mergeCell ref="A231:B231"/>
    <mergeCell ref="G231:H231"/>
    <mergeCell ref="A223:H223"/>
    <mergeCell ref="A218:B218"/>
    <mergeCell ref="A129:B129"/>
    <mergeCell ref="A130:B130"/>
    <mergeCell ref="A131:B131"/>
    <mergeCell ref="A132:B132"/>
    <mergeCell ref="A133:B133"/>
    <mergeCell ref="A181:B181"/>
    <mergeCell ref="C181:D181"/>
    <mergeCell ref="E181:F181"/>
    <mergeCell ref="G181:H181"/>
    <mergeCell ref="A166:E166"/>
    <mergeCell ref="F166:H166"/>
    <mergeCell ref="A167:E167"/>
    <mergeCell ref="A169:E169"/>
    <mergeCell ref="A168:E168"/>
    <mergeCell ref="C176:D176"/>
    <mergeCell ref="E176:F176"/>
    <mergeCell ref="A178:B178"/>
    <mergeCell ref="C178:D178"/>
    <mergeCell ref="E178:F178"/>
    <mergeCell ref="G178:H178"/>
    <mergeCell ref="A179:B179"/>
    <mergeCell ref="C179:D179"/>
    <mergeCell ref="E179:F179"/>
    <mergeCell ref="G179:H179"/>
    <mergeCell ref="A180:B180"/>
    <mergeCell ref="C180:D180"/>
    <mergeCell ref="E180:F180"/>
    <mergeCell ref="G180:H180"/>
    <mergeCell ref="L253:M253"/>
    <mergeCell ref="A254:B254"/>
    <mergeCell ref="G254:H254"/>
    <mergeCell ref="L254:M254"/>
    <mergeCell ref="A261:B261"/>
    <mergeCell ref="G261:H261"/>
    <mergeCell ref="A262:B262"/>
    <mergeCell ref="G262:H262"/>
    <mergeCell ref="A263:B263"/>
    <mergeCell ref="G263:H263"/>
    <mergeCell ref="A255:B255"/>
    <mergeCell ref="G255:H255"/>
    <mergeCell ref="L255:M255"/>
    <mergeCell ref="A256:B256"/>
    <mergeCell ref="G256:H256"/>
    <mergeCell ref="L256:M256"/>
    <mergeCell ref="A257:H257"/>
    <mergeCell ref="A258:B258"/>
    <mergeCell ref="G258:H258"/>
    <mergeCell ref="A259:B259"/>
    <mergeCell ref="G259:H259"/>
    <mergeCell ref="A260:B260"/>
    <mergeCell ref="G260:H260"/>
    <mergeCell ref="L237:M237"/>
    <mergeCell ref="A238:B238"/>
    <mergeCell ref="G238:H238"/>
    <mergeCell ref="L238:M238"/>
    <mergeCell ref="A239:B239"/>
    <mergeCell ref="G239:H239"/>
    <mergeCell ref="L239:M239"/>
    <mergeCell ref="A246:B246"/>
    <mergeCell ref="G246:H246"/>
    <mergeCell ref="A240:B240"/>
    <mergeCell ref="G240:H240"/>
    <mergeCell ref="L240:M240"/>
    <mergeCell ref="A241:H241"/>
    <mergeCell ref="A242:B242"/>
    <mergeCell ref="G242:H242"/>
    <mergeCell ref="A243:B243"/>
    <mergeCell ref="G243:H243"/>
    <mergeCell ref="A244:B244"/>
    <mergeCell ref="G244:H244"/>
    <mergeCell ref="A245:B245"/>
    <mergeCell ref="G245:H245"/>
    <mergeCell ref="A228:H228"/>
    <mergeCell ref="A229:B229"/>
    <mergeCell ref="G229:H229"/>
    <mergeCell ref="A225:B225"/>
    <mergeCell ref="G225:H225"/>
    <mergeCell ref="L212:M212"/>
    <mergeCell ref="A214:H214"/>
    <mergeCell ref="A215:B215"/>
    <mergeCell ref="G215:H215"/>
    <mergeCell ref="A216:B216"/>
    <mergeCell ref="G216:H216"/>
    <mergeCell ref="A217:B217"/>
    <mergeCell ref="G217:H217"/>
    <mergeCell ref="G218:H218"/>
    <mergeCell ref="A219:B219"/>
    <mergeCell ref="G219:H219"/>
    <mergeCell ref="L225:M225"/>
    <mergeCell ref="A226:B226"/>
    <mergeCell ref="G226:H226"/>
    <mergeCell ref="L226:M226"/>
    <mergeCell ref="A227:B227"/>
    <mergeCell ref="G227:H227"/>
    <mergeCell ref="L227:M227"/>
    <mergeCell ref="A230:B230"/>
    <mergeCell ref="G230:H230"/>
    <mergeCell ref="A276:B276"/>
    <mergeCell ref="G276:H276"/>
    <mergeCell ref="A201:H201"/>
    <mergeCell ref="A202:B202"/>
    <mergeCell ref="G202:H202"/>
    <mergeCell ref="A203:B203"/>
    <mergeCell ref="G203:H203"/>
    <mergeCell ref="A211:B211"/>
    <mergeCell ref="G211:H211"/>
    <mergeCell ref="A221:B221"/>
    <mergeCell ref="G221:H221"/>
    <mergeCell ref="A209:H209"/>
    <mergeCell ref="A267:H267"/>
    <mergeCell ref="A232:B232"/>
    <mergeCell ref="G232:H232"/>
    <mergeCell ref="A233:B233"/>
    <mergeCell ref="G233:H233"/>
    <mergeCell ref="A234:H234"/>
    <mergeCell ref="A235:H235"/>
    <mergeCell ref="A236:H236"/>
    <mergeCell ref="A237:B237"/>
    <mergeCell ref="G237:H237"/>
    <mergeCell ref="A247:B247"/>
    <mergeCell ref="G247:H247"/>
    <mergeCell ref="G193:H193"/>
    <mergeCell ref="A272:H272"/>
    <mergeCell ref="A273:B273"/>
    <mergeCell ref="G273:H273"/>
    <mergeCell ref="A274:B274"/>
    <mergeCell ref="G274:H274"/>
    <mergeCell ref="A275:B275"/>
    <mergeCell ref="G275:H275"/>
    <mergeCell ref="A248:B248"/>
    <mergeCell ref="G248:H248"/>
    <mergeCell ref="A249:B249"/>
    <mergeCell ref="G249:H249"/>
    <mergeCell ref="A250:H250"/>
    <mergeCell ref="A251:H251"/>
    <mergeCell ref="A252:H252"/>
    <mergeCell ref="A253:B253"/>
    <mergeCell ref="G253:H253"/>
    <mergeCell ref="A264:B264"/>
    <mergeCell ref="G264:H264"/>
    <mergeCell ref="A265:B265"/>
    <mergeCell ref="G265:H265"/>
    <mergeCell ref="A271:B271"/>
    <mergeCell ref="G271:H271"/>
    <mergeCell ref="A220:B220"/>
    <mergeCell ref="E40:H40"/>
    <mergeCell ref="A40:D40"/>
    <mergeCell ref="A296:H296"/>
    <mergeCell ref="A293:H293"/>
    <mergeCell ref="A174:B174"/>
    <mergeCell ref="G186:H186"/>
    <mergeCell ref="A115:B115"/>
    <mergeCell ref="A116:B116"/>
    <mergeCell ref="A117:B117"/>
    <mergeCell ref="A107:B107"/>
    <mergeCell ref="C107:H107"/>
    <mergeCell ref="A102:B102"/>
    <mergeCell ref="F164:H164"/>
    <mergeCell ref="G175:H175"/>
    <mergeCell ref="A47:B47"/>
    <mergeCell ref="C47:E47"/>
    <mergeCell ref="G47:H47"/>
    <mergeCell ref="G49:H49"/>
    <mergeCell ref="D53:H53"/>
    <mergeCell ref="C49:E49"/>
    <mergeCell ref="A56:C57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G48:H48"/>
    <mergeCell ref="A49:B50"/>
    <mergeCell ref="A183:H183"/>
    <mergeCell ref="F168:H168"/>
    <mergeCell ref="F169:H169"/>
    <mergeCell ref="A184:H184"/>
    <mergeCell ref="A170:E170"/>
    <mergeCell ref="B287:H287"/>
    <mergeCell ref="B288:H288"/>
    <mergeCell ref="A200:B200"/>
    <mergeCell ref="G200:H200"/>
    <mergeCell ref="A185:H185"/>
    <mergeCell ref="G269:H269"/>
    <mergeCell ref="B285:H285"/>
    <mergeCell ref="B280:H280"/>
    <mergeCell ref="B281:H281"/>
    <mergeCell ref="B282:H282"/>
    <mergeCell ref="B283:H283"/>
    <mergeCell ref="B286:H286"/>
    <mergeCell ref="A277:B277"/>
    <mergeCell ref="G277:H277"/>
    <mergeCell ref="A278:B278"/>
    <mergeCell ref="G278:H278"/>
    <mergeCell ref="A187:H187"/>
    <mergeCell ref="A189:H189"/>
    <mergeCell ref="A193:B193"/>
    <mergeCell ref="A299:H302"/>
    <mergeCell ref="A298:B298"/>
    <mergeCell ref="E298:F298"/>
    <mergeCell ref="C298:D298"/>
    <mergeCell ref="G298:H298"/>
    <mergeCell ref="A171:E171"/>
    <mergeCell ref="F171:H171"/>
    <mergeCell ref="A172:E172"/>
    <mergeCell ref="F172:H172"/>
    <mergeCell ref="A175:B175"/>
    <mergeCell ref="A294:H294"/>
    <mergeCell ref="A173:H173"/>
    <mergeCell ref="A297:H297"/>
    <mergeCell ref="A295:H295"/>
    <mergeCell ref="A279:H279"/>
    <mergeCell ref="A266:H266"/>
    <mergeCell ref="A194:B194"/>
    <mergeCell ref="G194:H194"/>
    <mergeCell ref="A195:B195"/>
    <mergeCell ref="G195:H195"/>
    <mergeCell ref="A197:H197"/>
    <mergeCell ref="A291:H291"/>
    <mergeCell ref="A292:H292"/>
    <mergeCell ref="E174:F174"/>
    <mergeCell ref="A63:C63"/>
    <mergeCell ref="D63:H63"/>
    <mergeCell ref="A97:B97"/>
    <mergeCell ref="G96:H96"/>
    <mergeCell ref="A65:B65"/>
    <mergeCell ref="C65:H65"/>
    <mergeCell ref="A67:B67"/>
    <mergeCell ref="C67:H67"/>
    <mergeCell ref="A68:B68"/>
    <mergeCell ref="E68:F68"/>
    <mergeCell ref="G68:H68"/>
    <mergeCell ref="A69:B69"/>
    <mergeCell ref="E69:F78"/>
    <mergeCell ref="G69:H78"/>
    <mergeCell ref="A70:B70"/>
    <mergeCell ref="A71:B71"/>
    <mergeCell ref="A72:B72"/>
    <mergeCell ref="A73:B73"/>
    <mergeCell ref="A74:B74"/>
    <mergeCell ref="A83:B83"/>
    <mergeCell ref="E83:F92"/>
    <mergeCell ref="G83:H92"/>
    <mergeCell ref="A84:B84"/>
    <mergeCell ref="A85:B8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F34:H34"/>
    <mergeCell ref="A36:B36"/>
    <mergeCell ref="D58:H58"/>
    <mergeCell ref="E97:F106"/>
    <mergeCell ref="G97:H106"/>
    <mergeCell ref="A105:B105"/>
    <mergeCell ref="A106:B106"/>
    <mergeCell ref="D59:H59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E96:F96"/>
    <mergeCell ref="A61:C61"/>
    <mergeCell ref="D61:H61"/>
    <mergeCell ref="A64:C64"/>
    <mergeCell ref="D64:H64"/>
    <mergeCell ref="A62:C62"/>
    <mergeCell ref="D62:H62"/>
    <mergeCell ref="L271:M271"/>
    <mergeCell ref="L199:M199"/>
    <mergeCell ref="L200:M200"/>
    <mergeCell ref="A268:H268"/>
    <mergeCell ref="A269:B269"/>
    <mergeCell ref="A58:C58"/>
    <mergeCell ref="A59:C59"/>
    <mergeCell ref="A104:B104"/>
    <mergeCell ref="C175:D175"/>
    <mergeCell ref="E175:F175"/>
    <mergeCell ref="F167:H167"/>
    <mergeCell ref="A164:E164"/>
    <mergeCell ref="A111:B111"/>
    <mergeCell ref="E111:F120"/>
    <mergeCell ref="A118:B118"/>
    <mergeCell ref="A119:B119"/>
    <mergeCell ref="A120:B120"/>
    <mergeCell ref="A109:B109"/>
    <mergeCell ref="C109:H109"/>
    <mergeCell ref="A110:B110"/>
    <mergeCell ref="E110:F110"/>
    <mergeCell ref="G110:H110"/>
    <mergeCell ref="E182:F182"/>
    <mergeCell ref="C182:D182"/>
    <mergeCell ref="L269:M269"/>
    <mergeCell ref="A270:B270"/>
    <mergeCell ref="G270:H270"/>
    <mergeCell ref="L270:M270"/>
    <mergeCell ref="A198:H198"/>
    <mergeCell ref="A199:B199"/>
    <mergeCell ref="G199:H199"/>
    <mergeCell ref="A204:B204"/>
    <mergeCell ref="G204:H204"/>
    <mergeCell ref="A205:B205"/>
    <mergeCell ref="G205:H205"/>
    <mergeCell ref="A206:B206"/>
    <mergeCell ref="G206:H206"/>
    <mergeCell ref="A207:B207"/>
    <mergeCell ref="G207:H207"/>
    <mergeCell ref="A208:H208"/>
    <mergeCell ref="A210:H210"/>
    <mergeCell ref="L211:M211"/>
    <mergeCell ref="G220:H220"/>
    <mergeCell ref="A213:B213"/>
    <mergeCell ref="G213:H213"/>
    <mergeCell ref="L213:M213"/>
    <mergeCell ref="A212:B212"/>
    <mergeCell ref="G212:H212"/>
    <mergeCell ref="A190:H190"/>
    <mergeCell ref="A191:B191"/>
    <mergeCell ref="G191:H191"/>
    <mergeCell ref="A192:B192"/>
    <mergeCell ref="G192:H192"/>
    <mergeCell ref="A46:B46"/>
    <mergeCell ref="C46:H46"/>
    <mergeCell ref="B284:H284"/>
    <mergeCell ref="G111:H120"/>
    <mergeCell ref="A112:B112"/>
    <mergeCell ref="A113:B113"/>
    <mergeCell ref="A114:B114"/>
    <mergeCell ref="A165:E165"/>
    <mergeCell ref="F170:H170"/>
    <mergeCell ref="A163:E163"/>
    <mergeCell ref="F163:H163"/>
    <mergeCell ref="F165:H165"/>
    <mergeCell ref="A176:B176"/>
    <mergeCell ref="G182:H182"/>
    <mergeCell ref="G176:H176"/>
    <mergeCell ref="A177:B177"/>
    <mergeCell ref="C177:D177"/>
    <mergeCell ref="E177:F177"/>
    <mergeCell ref="G177:H177"/>
    <mergeCell ref="A182:B182"/>
    <mergeCell ref="A135:B135"/>
    <mergeCell ref="C135:H135"/>
    <mergeCell ref="A137:B137"/>
    <mergeCell ref="C137:H137"/>
    <mergeCell ref="A138:B138"/>
    <mergeCell ref="E138:F138"/>
    <mergeCell ref="G138:H138"/>
    <mergeCell ref="A139:B139"/>
    <mergeCell ref="E139:F148"/>
    <mergeCell ref="G139:H148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53:B153"/>
    <mergeCell ref="E153:F162"/>
    <mergeCell ref="G153:H162"/>
    <mergeCell ref="A154:B154"/>
    <mergeCell ref="A37:B37"/>
    <mergeCell ref="C37:H37"/>
    <mergeCell ref="A149:B149"/>
    <mergeCell ref="C149:H149"/>
    <mergeCell ref="A151:B151"/>
    <mergeCell ref="C151:H151"/>
    <mergeCell ref="A152:B152"/>
    <mergeCell ref="E152:F152"/>
    <mergeCell ref="G152:H152"/>
    <mergeCell ref="A38:H38"/>
    <mergeCell ref="A103:B103"/>
    <mergeCell ref="A96:B96"/>
    <mergeCell ref="A99:B99"/>
    <mergeCell ref="A95:B95"/>
    <mergeCell ref="A93:B93"/>
    <mergeCell ref="C93:H93"/>
    <mergeCell ref="A101:B101"/>
    <mergeCell ref="A60:C60"/>
    <mergeCell ref="D60:H60"/>
    <mergeCell ref="C95:H95"/>
    <mergeCell ref="A98:B98"/>
    <mergeCell ref="A100:B100"/>
    <mergeCell ref="A39:D39"/>
    <mergeCell ref="E39:H39"/>
  </mergeCells>
  <hyperlinks>
    <hyperlink ref="C37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7" max="16383" man="1"/>
    <brk id="78" max="7" man="1"/>
    <brk id="148" max="16383" man="1"/>
    <brk id="302" max="16383" man="1"/>
    <brk id="3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5" t="s">
        <v>111</v>
      </c>
      <c r="C3" s="175"/>
      <c r="D3" s="175"/>
      <c r="E3" s="175"/>
      <c r="F3" s="175"/>
      <c r="G3" s="175"/>
      <c r="H3" s="175"/>
    </row>
    <row r="4" spans="1:9" x14ac:dyDescent="0.25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2025-09-12T07:21:52Z</cp:lastPrinted>
  <dcterms:created xsi:type="dcterms:W3CDTF">2019-07-16T09:29:46Z</dcterms:created>
  <dcterms:modified xsi:type="dcterms:W3CDTF">2025-09-12T07:24:43Z</dcterms:modified>
</cp:coreProperties>
</file>