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DB394A20-7194-4B2B-805A-852AA0C79D1A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Report!$A$1:$H$651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0" i="1" l="1"/>
  <c r="J109" i="1"/>
  <c r="J108" i="1"/>
  <c r="J107" i="1"/>
  <c r="J166" i="1"/>
  <c r="J165" i="1"/>
  <c r="J164" i="1"/>
  <c r="J163" i="1"/>
  <c r="H100" i="1"/>
  <c r="H156" i="1"/>
  <c r="J104" i="1" l="1"/>
  <c r="C103" i="1" s="1"/>
  <c r="D103" i="1" s="1"/>
  <c r="J102" i="1"/>
  <c r="D112" i="1"/>
  <c r="D108" i="1"/>
  <c r="D111" i="1"/>
  <c r="D107" i="1"/>
  <c r="J103" i="1"/>
  <c r="J105" i="1"/>
  <c r="J106" i="1" s="1"/>
  <c r="J111" i="1" s="1"/>
  <c r="J112" i="1" s="1"/>
  <c r="C104" i="1" s="1"/>
  <c r="D105" i="1"/>
  <c r="J99" i="1"/>
  <c r="J101" i="1" s="1"/>
  <c r="D110" i="1"/>
  <c r="D106" i="1"/>
  <c r="D109" i="1"/>
  <c r="J160" i="1"/>
  <c r="C159" i="1" s="1"/>
  <c r="D168" i="1"/>
  <c r="D166" i="1"/>
  <c r="D164" i="1"/>
  <c r="D162" i="1"/>
  <c r="J155" i="1"/>
  <c r="J157" i="1" s="1"/>
  <c r="D167" i="1"/>
  <c r="D165" i="1"/>
  <c r="D163" i="1"/>
  <c r="D161" i="1"/>
  <c r="J161" i="1"/>
  <c r="J162" i="1" s="1"/>
  <c r="J167" i="1" s="1"/>
  <c r="J159" i="1"/>
  <c r="J158" i="1"/>
  <c r="I385" i="1"/>
  <c r="D393" i="1"/>
  <c r="D386" i="1"/>
  <c r="D385" i="1"/>
  <c r="D391" i="1"/>
  <c r="D390" i="1"/>
  <c r="D389" i="1"/>
  <c r="D388" i="1"/>
  <c r="D384" i="1"/>
  <c r="D383" i="1"/>
  <c r="D382" i="1"/>
  <c r="D381" i="1"/>
  <c r="D374" i="1"/>
  <c r="D373" i="1"/>
  <c r="D372" i="1"/>
  <c r="D371" i="1"/>
  <c r="J364" i="1"/>
  <c r="D365" i="1"/>
  <c r="D364" i="1"/>
  <c r="E103" i="1" l="1"/>
  <c r="D104" i="1"/>
  <c r="I100" i="1" s="1"/>
  <c r="I101" i="1" s="1"/>
  <c r="G103" i="1"/>
  <c r="J100" i="1"/>
  <c r="J168" i="1"/>
  <c r="C160" i="1" s="1"/>
  <c r="G159" i="1" s="1"/>
  <c r="D159" i="1"/>
  <c r="G241" i="1"/>
  <c r="G248" i="1"/>
  <c r="G255" i="1"/>
  <c r="G262" i="1"/>
  <c r="G281" i="1"/>
  <c r="G288" i="1"/>
  <c r="G295" i="1"/>
  <c r="G302" i="1"/>
  <c r="G321" i="1"/>
  <c r="G328" i="1"/>
  <c r="G346" i="1"/>
  <c r="G353" i="1"/>
  <c r="G413" i="1"/>
  <c r="G420" i="1"/>
  <c r="G434" i="1"/>
  <c r="G441" i="1"/>
  <c r="G448" i="1"/>
  <c r="G455" i="1"/>
  <c r="G469" i="1"/>
  <c r="G476" i="1"/>
  <c r="G483" i="1"/>
  <c r="I99" i="1" l="1"/>
  <c r="C101" i="1" s="1"/>
  <c r="J156" i="1"/>
  <c r="E159" i="1"/>
  <c r="D160" i="1"/>
  <c r="I156" i="1" s="1"/>
  <c r="I157" i="1" s="1"/>
  <c r="J180" i="1"/>
  <c r="J179" i="1"/>
  <c r="J178" i="1"/>
  <c r="J177" i="1"/>
  <c r="J170" i="1"/>
  <c r="H170" i="1"/>
  <c r="I155" i="1" l="1"/>
  <c r="C157" i="1" s="1"/>
  <c r="J173" i="1"/>
  <c r="D181" i="1"/>
  <c r="D177" i="1"/>
  <c r="G173" i="1"/>
  <c r="E173" i="1"/>
  <c r="D180" i="1"/>
  <c r="D176" i="1"/>
  <c r="D173" i="1"/>
  <c r="J169" i="1"/>
  <c r="J171" i="1" s="1"/>
  <c r="J175" i="1"/>
  <c r="J176" i="1" s="1"/>
  <c r="J181" i="1" s="1"/>
  <c r="J182" i="1" s="1"/>
  <c r="J172" i="1"/>
  <c r="D179" i="1"/>
  <c r="D175" i="1"/>
  <c r="J174" i="1"/>
  <c r="D182" i="1"/>
  <c r="D178" i="1"/>
  <c r="D174" i="1"/>
  <c r="F393" i="1"/>
  <c r="F391" i="1"/>
  <c r="F390" i="1"/>
  <c r="F389" i="1"/>
  <c r="F388" i="1"/>
  <c r="D376" i="1"/>
  <c r="F376" i="1" s="1"/>
  <c r="D375" i="1"/>
  <c r="F375" i="1" s="1"/>
  <c r="F374" i="1"/>
  <c r="F373" i="1"/>
  <c r="F372" i="1"/>
  <c r="J371" i="1"/>
  <c r="I371" i="1"/>
  <c r="F371" i="1"/>
  <c r="F365" i="1"/>
  <c r="F364" i="1"/>
  <c r="I364" i="1"/>
  <c r="D369" i="1"/>
  <c r="F369" i="1" s="1"/>
  <c r="D368" i="1"/>
  <c r="F368" i="1" s="1"/>
  <c r="G57" i="1"/>
  <c r="C57" i="1"/>
  <c r="I170" i="1" l="1"/>
  <c r="I171" i="1" s="1"/>
  <c r="E214" i="1"/>
  <c r="C214" i="1"/>
  <c r="J124" i="1"/>
  <c r="J123" i="1"/>
  <c r="J122" i="1"/>
  <c r="J121" i="1"/>
  <c r="H114" i="1"/>
  <c r="I169" i="1" l="1"/>
  <c r="C171" i="1" s="1"/>
  <c r="J119" i="1"/>
  <c r="J117" i="1"/>
  <c r="J113" i="1"/>
  <c r="J115" i="1" s="1"/>
  <c r="D125" i="1"/>
  <c r="D123" i="1"/>
  <c r="D121" i="1"/>
  <c r="D119" i="1"/>
  <c r="J116" i="1"/>
  <c r="J118" i="1"/>
  <c r="C117" i="1" s="1"/>
  <c r="D126" i="1"/>
  <c r="D124" i="1"/>
  <c r="D122" i="1"/>
  <c r="D120" i="1"/>
  <c r="D79" i="1"/>
  <c r="J120" i="1" l="1"/>
  <c r="J125" i="1" s="1"/>
  <c r="J126" i="1" s="1"/>
  <c r="C118" i="1" s="1"/>
  <c r="G117" i="1" s="1"/>
  <c r="D117" i="1"/>
  <c r="G395" i="1"/>
  <c r="D118" i="1" l="1"/>
  <c r="I114" i="1" s="1"/>
  <c r="I115" i="1" s="1"/>
  <c r="E117" i="1"/>
  <c r="J114" i="1"/>
  <c r="D490" i="1"/>
  <c r="F490" i="1" s="1"/>
  <c r="D495" i="1"/>
  <c r="F495" i="1" s="1"/>
  <c r="D494" i="1"/>
  <c r="F494" i="1" s="1"/>
  <c r="D492" i="1"/>
  <c r="F492" i="1" s="1"/>
  <c r="D491" i="1"/>
  <c r="F491" i="1" s="1"/>
  <c r="A491" i="1"/>
  <c r="A492" i="1" s="1"/>
  <c r="A493" i="1" s="1"/>
  <c r="G490" i="1"/>
  <c r="D488" i="1"/>
  <c r="F488" i="1" s="1"/>
  <c r="D487" i="1"/>
  <c r="F487" i="1" s="1"/>
  <c r="D486" i="1"/>
  <c r="F486" i="1" s="1"/>
  <c r="D485" i="1"/>
  <c r="F485" i="1" s="1"/>
  <c r="D484" i="1"/>
  <c r="F484" i="1" s="1"/>
  <c r="A484" i="1"/>
  <c r="A485" i="1" s="1"/>
  <c r="A486" i="1" s="1"/>
  <c r="D483" i="1"/>
  <c r="F483" i="1" s="1"/>
  <c r="D481" i="1"/>
  <c r="F481" i="1" s="1"/>
  <c r="D480" i="1"/>
  <c r="F480" i="1" s="1"/>
  <c r="D478" i="1"/>
  <c r="F478" i="1" s="1"/>
  <c r="D477" i="1"/>
  <c r="F477" i="1" s="1"/>
  <c r="A477" i="1"/>
  <c r="A478" i="1" s="1"/>
  <c r="A479" i="1" s="1"/>
  <c r="D476" i="1"/>
  <c r="F476" i="1" s="1"/>
  <c r="D474" i="1"/>
  <c r="F474" i="1" s="1"/>
  <c r="D473" i="1"/>
  <c r="F473" i="1" s="1"/>
  <c r="D472" i="1"/>
  <c r="F472" i="1" s="1"/>
  <c r="D471" i="1"/>
  <c r="F471" i="1" s="1"/>
  <c r="D470" i="1"/>
  <c r="F470" i="1" s="1"/>
  <c r="A470" i="1"/>
  <c r="A471" i="1" s="1"/>
  <c r="A472" i="1" s="1"/>
  <c r="D469" i="1"/>
  <c r="F469" i="1" s="1"/>
  <c r="D467" i="1"/>
  <c r="F467" i="1" s="1"/>
  <c r="A467" i="1"/>
  <c r="K466" i="1"/>
  <c r="I466" i="1"/>
  <c r="G466" i="1"/>
  <c r="D466" i="1"/>
  <c r="F466" i="1" s="1"/>
  <c r="D460" i="1"/>
  <c r="F460" i="1" s="1"/>
  <c r="D459" i="1"/>
  <c r="F459" i="1" s="1"/>
  <c r="D458" i="1"/>
  <c r="F458" i="1" s="1"/>
  <c r="D457" i="1"/>
  <c r="F457" i="1" s="1"/>
  <c r="D456" i="1"/>
  <c r="F456" i="1" s="1"/>
  <c r="A456" i="1"/>
  <c r="A457" i="1" s="1"/>
  <c r="A458" i="1" s="1"/>
  <c r="D449" i="1"/>
  <c r="F449" i="1" s="1"/>
  <c r="D450" i="1"/>
  <c r="F450" i="1" s="1"/>
  <c r="D451" i="1"/>
  <c r="F451" i="1" s="1"/>
  <c r="D452" i="1"/>
  <c r="F452" i="1" s="1"/>
  <c r="D453" i="1"/>
  <c r="F453" i="1" s="1"/>
  <c r="D448" i="1"/>
  <c r="F448" i="1" s="1"/>
  <c r="A449" i="1"/>
  <c r="A450" i="1" s="1"/>
  <c r="A451" i="1" s="1"/>
  <c r="D446" i="1"/>
  <c r="F446" i="1" s="1"/>
  <c r="D445" i="1"/>
  <c r="F445" i="1" s="1"/>
  <c r="D444" i="1"/>
  <c r="F444" i="1" s="1"/>
  <c r="D443" i="1"/>
  <c r="F443" i="1" s="1"/>
  <c r="D442" i="1"/>
  <c r="F442" i="1" s="1"/>
  <c r="A442" i="1"/>
  <c r="A443" i="1" s="1"/>
  <c r="A444" i="1" s="1"/>
  <c r="D439" i="1"/>
  <c r="F439" i="1" s="1"/>
  <c r="D438" i="1"/>
  <c r="F438" i="1" s="1"/>
  <c r="D437" i="1"/>
  <c r="F437" i="1" s="1"/>
  <c r="D436" i="1"/>
  <c r="F436" i="1" s="1"/>
  <c r="D435" i="1"/>
  <c r="F435" i="1" s="1"/>
  <c r="A435" i="1"/>
  <c r="A436" i="1" s="1"/>
  <c r="A437" i="1" s="1"/>
  <c r="D434" i="1"/>
  <c r="F434" i="1" s="1"/>
  <c r="D432" i="1"/>
  <c r="F432" i="1" s="1"/>
  <c r="A432" i="1"/>
  <c r="K431" i="1"/>
  <c r="I431" i="1"/>
  <c r="G431" i="1"/>
  <c r="D431" i="1"/>
  <c r="F431" i="1" s="1"/>
  <c r="D425" i="1"/>
  <c r="F425" i="1" s="1"/>
  <c r="D424" i="1"/>
  <c r="F424" i="1" s="1"/>
  <c r="D423" i="1"/>
  <c r="F423" i="1" s="1"/>
  <c r="D421" i="1"/>
  <c r="F421" i="1" s="1"/>
  <c r="D420" i="1"/>
  <c r="F420" i="1" s="1"/>
  <c r="D418" i="1"/>
  <c r="F418" i="1" s="1"/>
  <c r="D417" i="1"/>
  <c r="F417" i="1" s="1"/>
  <c r="D416" i="1"/>
  <c r="F416" i="1" s="1"/>
  <c r="D415" i="1"/>
  <c r="F415" i="1" s="1"/>
  <c r="D414" i="1"/>
  <c r="F414" i="1" s="1"/>
  <c r="D413" i="1"/>
  <c r="F413" i="1" s="1"/>
  <c r="D411" i="1"/>
  <c r="F411" i="1" s="1"/>
  <c r="D410" i="1"/>
  <c r="F410" i="1" s="1"/>
  <c r="D409" i="1"/>
  <c r="F409" i="1" s="1"/>
  <c r="G408" i="1"/>
  <c r="D408" i="1"/>
  <c r="F408" i="1" s="1"/>
  <c r="D406" i="1"/>
  <c r="F406" i="1" s="1"/>
  <c r="I405" i="1"/>
  <c r="D405" i="1"/>
  <c r="F405" i="1" s="1"/>
  <c r="D400" i="1"/>
  <c r="F400" i="1" s="1"/>
  <c r="D398" i="1"/>
  <c r="F398" i="1" s="1"/>
  <c r="D397" i="1"/>
  <c r="F397" i="1" s="1"/>
  <c r="D396" i="1"/>
  <c r="F396" i="1" s="1"/>
  <c r="D395" i="1"/>
  <c r="F395" i="1" s="1"/>
  <c r="F384" i="1"/>
  <c r="F383" i="1"/>
  <c r="F386" i="1"/>
  <c r="F385" i="1"/>
  <c r="F382" i="1"/>
  <c r="F381" i="1"/>
  <c r="D379" i="1"/>
  <c r="F379" i="1" s="1"/>
  <c r="I378" i="1"/>
  <c r="D378" i="1"/>
  <c r="F378" i="1" s="1"/>
  <c r="D358" i="1"/>
  <c r="F358" i="1" s="1"/>
  <c r="D357" i="1"/>
  <c r="F357" i="1" s="1"/>
  <c r="D356" i="1"/>
  <c r="F356" i="1" s="1"/>
  <c r="D354" i="1"/>
  <c r="F354" i="1" s="1"/>
  <c r="D353" i="1"/>
  <c r="F353" i="1" s="1"/>
  <c r="D351" i="1"/>
  <c r="F351" i="1" s="1"/>
  <c r="D350" i="1"/>
  <c r="F350" i="1" s="1"/>
  <c r="D349" i="1"/>
  <c r="F349" i="1" s="1"/>
  <c r="D348" i="1"/>
  <c r="F348" i="1" s="1"/>
  <c r="D347" i="1"/>
  <c r="F347" i="1" s="1"/>
  <c r="D346" i="1"/>
  <c r="F346" i="1" s="1"/>
  <c r="D344" i="1"/>
  <c r="F344" i="1" s="1"/>
  <c r="D343" i="1"/>
  <c r="F343" i="1" s="1"/>
  <c r="D342" i="1"/>
  <c r="F342" i="1" s="1"/>
  <c r="G341" i="1"/>
  <c r="D341" i="1"/>
  <c r="F341" i="1" s="1"/>
  <c r="D339" i="1"/>
  <c r="F339" i="1" s="1"/>
  <c r="I338" i="1"/>
  <c r="D338" i="1"/>
  <c r="F338" i="1" s="1"/>
  <c r="D333" i="1"/>
  <c r="F333" i="1" s="1"/>
  <c r="D332" i="1"/>
  <c r="F332" i="1" s="1"/>
  <c r="D331" i="1"/>
  <c r="F331" i="1" s="1"/>
  <c r="D329" i="1"/>
  <c r="F329" i="1" s="1"/>
  <c r="D328" i="1"/>
  <c r="F328" i="1" s="1"/>
  <c r="D324" i="1"/>
  <c r="F324" i="1" s="1"/>
  <c r="D323" i="1"/>
  <c r="F323" i="1" s="1"/>
  <c r="D322" i="1"/>
  <c r="F322" i="1" s="1"/>
  <c r="D321" i="1"/>
  <c r="F321" i="1" s="1"/>
  <c r="D326" i="1"/>
  <c r="F326" i="1" s="1"/>
  <c r="D325" i="1"/>
  <c r="F325" i="1" s="1"/>
  <c r="D319" i="1"/>
  <c r="D318" i="1"/>
  <c r="D317" i="1"/>
  <c r="D316" i="1"/>
  <c r="D314" i="1"/>
  <c r="D313" i="1"/>
  <c r="I313" i="1"/>
  <c r="D307" i="1"/>
  <c r="F307" i="1" s="1"/>
  <c r="D306" i="1"/>
  <c r="F306" i="1" s="1"/>
  <c r="D305" i="1"/>
  <c r="F305" i="1" s="1"/>
  <c r="D303" i="1"/>
  <c r="F303" i="1" s="1"/>
  <c r="A303" i="1"/>
  <c r="A304" i="1" s="1"/>
  <c r="A305" i="1" s="1"/>
  <c r="D302" i="1"/>
  <c r="F302" i="1" s="1"/>
  <c r="D300" i="1"/>
  <c r="F300" i="1" s="1"/>
  <c r="D299" i="1"/>
  <c r="F299" i="1" s="1"/>
  <c r="D298" i="1"/>
  <c r="F298" i="1" s="1"/>
  <c r="D297" i="1"/>
  <c r="F297" i="1" s="1"/>
  <c r="D296" i="1"/>
  <c r="F296" i="1" s="1"/>
  <c r="A296" i="1"/>
  <c r="A297" i="1" s="1"/>
  <c r="A298" i="1" s="1"/>
  <c r="J295" i="1"/>
  <c r="I295" i="1"/>
  <c r="D295" i="1"/>
  <c r="F295" i="1" s="1"/>
  <c r="D293" i="1"/>
  <c r="F293" i="1" s="1"/>
  <c r="D292" i="1"/>
  <c r="F292" i="1" s="1"/>
  <c r="D291" i="1"/>
  <c r="F291" i="1" s="1"/>
  <c r="D289" i="1"/>
  <c r="F289" i="1" s="1"/>
  <c r="A289" i="1"/>
  <c r="A290" i="1" s="1"/>
  <c r="A291" i="1" s="1"/>
  <c r="D288" i="1"/>
  <c r="F288" i="1" s="1"/>
  <c r="D286" i="1"/>
  <c r="F286" i="1" s="1"/>
  <c r="D285" i="1"/>
  <c r="F285" i="1" s="1"/>
  <c r="D284" i="1"/>
  <c r="F284" i="1" s="1"/>
  <c r="D283" i="1"/>
  <c r="F283" i="1" s="1"/>
  <c r="D282" i="1"/>
  <c r="F282" i="1" s="1"/>
  <c r="A282" i="1"/>
  <c r="A283" i="1" s="1"/>
  <c r="A284" i="1" s="1"/>
  <c r="D281" i="1"/>
  <c r="F281" i="1" s="1"/>
  <c r="D279" i="1"/>
  <c r="D278" i="1"/>
  <c r="F278" i="1" s="1"/>
  <c r="D277" i="1"/>
  <c r="D276" i="1"/>
  <c r="I273" i="1"/>
  <c r="K273" i="1"/>
  <c r="D274" i="1"/>
  <c r="F274" i="1" s="1"/>
  <c r="A274" i="1"/>
  <c r="G273" i="1"/>
  <c r="D273" i="1"/>
  <c r="F273" i="1" s="1"/>
  <c r="D267" i="1"/>
  <c r="F267" i="1" s="1"/>
  <c r="D265" i="1"/>
  <c r="F265" i="1" s="1"/>
  <c r="D264" i="1"/>
  <c r="F264" i="1" s="1"/>
  <c r="D263" i="1"/>
  <c r="F263" i="1" s="1"/>
  <c r="A263" i="1"/>
  <c r="A264" i="1" s="1"/>
  <c r="A265" i="1" s="1"/>
  <c r="J262" i="1"/>
  <c r="I262" i="1"/>
  <c r="D262" i="1"/>
  <c r="F262" i="1" s="1"/>
  <c r="D256" i="1"/>
  <c r="F256" i="1" s="1"/>
  <c r="D257" i="1"/>
  <c r="F257" i="1" s="1"/>
  <c r="D258" i="1"/>
  <c r="F258" i="1" s="1"/>
  <c r="D259" i="1"/>
  <c r="F259" i="1" s="1"/>
  <c r="D260" i="1"/>
  <c r="F260" i="1" s="1"/>
  <c r="D255" i="1"/>
  <c r="F255" i="1" s="1"/>
  <c r="K255" i="1" s="1"/>
  <c r="J255" i="1"/>
  <c r="I255" i="1"/>
  <c r="I238" i="1"/>
  <c r="K238" i="1"/>
  <c r="A256" i="1"/>
  <c r="A257" i="1" s="1"/>
  <c r="A258" i="1" s="1"/>
  <c r="D245" i="1"/>
  <c r="F245" i="1" s="1"/>
  <c r="D253" i="1"/>
  <c r="F253" i="1" s="1"/>
  <c r="D251" i="1"/>
  <c r="F251" i="1" s="1"/>
  <c r="D250" i="1"/>
  <c r="F250" i="1" s="1"/>
  <c r="D249" i="1"/>
  <c r="F249" i="1" s="1"/>
  <c r="A249" i="1"/>
  <c r="A250" i="1" s="1"/>
  <c r="A251" i="1" s="1"/>
  <c r="D248" i="1"/>
  <c r="F248" i="1" s="1"/>
  <c r="D246" i="1"/>
  <c r="D244" i="1"/>
  <c r="D243" i="1"/>
  <c r="D242" i="1"/>
  <c r="D241" i="1"/>
  <c r="D239" i="1"/>
  <c r="D238" i="1"/>
  <c r="G214" i="1" l="1"/>
  <c r="C209" i="1"/>
  <c r="E204" i="1"/>
  <c r="I113" i="1"/>
  <c r="C115" i="1" s="1"/>
  <c r="G215" i="1"/>
  <c r="G217" i="1"/>
  <c r="G216" i="1"/>
  <c r="E217" i="1"/>
  <c r="C204" i="1"/>
  <c r="E209" i="1"/>
  <c r="C205" i="1"/>
  <c r="C210" i="1"/>
  <c r="C211" i="1" s="1"/>
  <c r="C215" i="1"/>
  <c r="C216" i="1"/>
  <c r="C217" i="1"/>
  <c r="E205" i="1"/>
  <c r="E210" i="1"/>
  <c r="E215" i="1"/>
  <c r="E216" i="1"/>
  <c r="G210" i="1"/>
  <c r="C13" i="1"/>
  <c r="E206" i="1" l="1"/>
  <c r="E211" i="1"/>
  <c r="C206" i="1"/>
  <c r="G218" i="1"/>
  <c r="C218" i="1"/>
  <c r="E218" i="1"/>
  <c r="E28" i="1"/>
  <c r="C219" i="1" l="1"/>
  <c r="E219" i="1"/>
  <c r="F239" i="1"/>
  <c r="F238" i="1"/>
  <c r="A239" i="1"/>
  <c r="G238" i="1"/>
  <c r="F196" i="1" l="1"/>
  <c r="F226" i="1" l="1"/>
  <c r="F227" i="1"/>
  <c r="F228" i="1"/>
  <c r="F225" i="1"/>
  <c r="B498" i="1" l="1"/>
  <c r="F319" i="1" l="1"/>
  <c r="F318" i="1"/>
  <c r="F317" i="1"/>
  <c r="F316" i="1"/>
  <c r="F314" i="1"/>
  <c r="F313" i="1"/>
  <c r="F279" i="1"/>
  <c r="F277" i="1"/>
  <c r="F276" i="1"/>
  <c r="F246" i="1"/>
  <c r="F244" i="1"/>
  <c r="F242" i="1"/>
  <c r="F241" i="1"/>
  <c r="F243" i="1"/>
  <c r="G209" i="1" l="1"/>
  <c r="G211" i="1" s="1"/>
  <c r="G204" i="1"/>
  <c r="I276" i="1"/>
  <c r="G205" i="1"/>
  <c r="B499" i="1"/>
  <c r="G206" i="1" l="1"/>
  <c r="G219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524" i="1"/>
  <c r="G316" i="1"/>
  <c r="A242" i="1"/>
  <c r="A243" i="1" s="1"/>
  <c r="A244" i="1" s="1"/>
  <c r="A226" i="1"/>
  <c r="A227" i="1" s="1"/>
  <c r="A228" i="1" s="1"/>
  <c r="G225" i="1"/>
  <c r="G226" i="1" s="1"/>
  <c r="G227" i="1" s="1"/>
  <c r="G228" i="1" s="1"/>
  <c r="J152" i="1"/>
  <c r="J151" i="1"/>
  <c r="J150" i="1"/>
  <c r="J149" i="1"/>
  <c r="J138" i="1"/>
  <c r="J137" i="1"/>
  <c r="J136" i="1"/>
  <c r="J135" i="1"/>
  <c r="J96" i="1"/>
  <c r="J95" i="1"/>
  <c r="J94" i="1"/>
  <c r="J93" i="1"/>
  <c r="D63" i="1"/>
  <c r="C48" i="1"/>
  <c r="E41" i="1"/>
  <c r="E42" i="1" s="1"/>
  <c r="E25" i="1"/>
  <c r="E23" i="1"/>
  <c r="E7" i="1"/>
  <c r="E3" i="1"/>
  <c r="H86" i="1"/>
  <c r="H128" i="1"/>
  <c r="H142" i="1"/>
  <c r="D138" i="1" l="1"/>
  <c r="D139" i="1"/>
  <c r="D140" i="1"/>
  <c r="D134" i="1"/>
  <c r="D135" i="1"/>
  <c r="D136" i="1"/>
  <c r="D137" i="1"/>
  <c r="J127" i="1"/>
  <c r="J129" i="1" s="1"/>
  <c r="D98" i="1"/>
  <c r="D96" i="1"/>
  <c r="D95" i="1"/>
  <c r="D94" i="1"/>
  <c r="D92" i="1"/>
  <c r="J85" i="1"/>
  <c r="D97" i="1"/>
  <c r="D93" i="1"/>
  <c r="J89" i="1"/>
  <c r="J90" i="1"/>
  <c r="C89" i="1" s="1"/>
  <c r="J88" i="1"/>
  <c r="J91" i="1"/>
  <c r="J92" i="1" s="1"/>
  <c r="J97" i="1" s="1"/>
  <c r="J141" i="1"/>
  <c r="J143" i="1" s="1"/>
  <c r="J145" i="1"/>
  <c r="D154" i="1"/>
  <c r="D152" i="1"/>
  <c r="D150" i="1"/>
  <c r="D148" i="1"/>
  <c r="J146" i="1"/>
  <c r="C145" i="1" s="1"/>
  <c r="J144" i="1"/>
  <c r="J147" i="1"/>
  <c r="J148" i="1" s="1"/>
  <c r="J153" i="1" s="1"/>
  <c r="D153" i="1"/>
  <c r="D151" i="1"/>
  <c r="D149" i="1"/>
  <c r="J133" i="1"/>
  <c r="J131" i="1"/>
  <c r="J132" i="1"/>
  <c r="C131" i="1" s="1"/>
  <c r="J130" i="1"/>
  <c r="J98" i="1" l="1"/>
  <c r="C90" i="1" s="1"/>
  <c r="E89" i="1" s="1"/>
  <c r="J154" i="1"/>
  <c r="C146" i="1" s="1"/>
  <c r="D146" i="1" s="1"/>
  <c r="J134" i="1"/>
  <c r="J139" i="1" s="1"/>
  <c r="D147" i="1"/>
  <c r="D145" i="1"/>
  <c r="D133" i="1"/>
  <c r="D91" i="1"/>
  <c r="J87" i="1"/>
  <c r="D89" i="1"/>
  <c r="D131" i="1"/>
  <c r="E145" i="1" l="1"/>
  <c r="G89" i="1"/>
  <c r="D83" i="1" s="1"/>
  <c r="D84" i="1" s="1"/>
  <c r="D90" i="1"/>
  <c r="I86" i="1" s="1"/>
  <c r="G145" i="1"/>
  <c r="J140" i="1"/>
  <c r="C132" i="1" s="1"/>
  <c r="E131" i="1" s="1"/>
  <c r="J86" i="1"/>
  <c r="I142" i="1"/>
  <c r="J142" i="1"/>
  <c r="F84" i="1" l="1"/>
  <c r="G131" i="1"/>
  <c r="D132" i="1"/>
  <c r="I128" i="1" s="1"/>
  <c r="I129" i="1" s="1"/>
  <c r="J128" i="1"/>
  <c r="I87" i="1"/>
  <c r="I85" i="1" s="1"/>
  <c r="C87" i="1" s="1"/>
  <c r="I143" i="1"/>
  <c r="I141" i="1" s="1"/>
  <c r="C143" i="1" s="1"/>
  <c r="I127" i="1" l="1"/>
  <c r="C129" i="1" s="1"/>
</calcChain>
</file>

<file path=xl/sharedStrings.xml><?xml version="1.0" encoding="utf-8"?>
<sst xmlns="http://schemas.openxmlformats.org/spreadsheetml/2006/main" count="836" uniqueCount="304">
  <si>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</si>
  <si>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</si>
  <si>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</si>
  <si>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</si>
  <si>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</si>
  <si>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</si>
  <si>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</si>
  <si>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</si>
  <si>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</si>
  <si>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</si>
  <si>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</si>
  <si>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</si>
  <si>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</si>
  <si>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</si>
  <si>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</si>
  <si>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</si>
  <si>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</si>
  <si>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</si>
  <si>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</si>
  <si>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</si>
  <si>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</si>
  <si>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</si>
  <si>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</si>
  <si>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</si>
  <si>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</si>
  <si>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</si>
  <si>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</si>
  <si>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</si>
  <si>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</si>
  <si>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</si>
  <si>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</si>
  <si>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</si>
  <si>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</si>
  <si>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</si>
  <si>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</si>
  <si>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</si>
  <si>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</si>
  <si>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</si>
  <si>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</si>
  <si>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</si>
  <si>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</si>
  <si>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</si>
  <si>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</si>
  <si>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</si>
  <si>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</si>
  <si>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</si>
  <si>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</si>
  <si>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</si>
  <si>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</si>
  <si>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</si>
  <si>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</si>
  <si>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</si>
  <si>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</si>
  <si>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</si>
  <si>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</si>
  <si>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</si>
  <si>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</si>
  <si>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</si>
  <si>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</si>
  <si>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</si>
  <si>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</si>
  <si>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</si>
  <si>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</si>
  <si>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</si>
  <si>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</si>
  <si>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</si>
  <si>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</si>
  <si>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</si>
  <si>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</si>
  <si>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</si>
  <si>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</si>
  <si>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</si>
  <si>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</si>
  <si>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</si>
  <si>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</si>
  <si>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</si>
  <si>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</si>
  <si>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</si>
  <si>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</si>
  <si>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</si>
  <si>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</si>
  <si>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</si>
  <si>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</si>
  <si>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</si>
  <si>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</si>
  <si>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</si>
  <si>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</si>
  <si>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</si>
  <si>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</si>
  <si>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</si>
  <si>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</si>
  <si>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</si>
  <si>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</si>
  <si>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</si>
  <si>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</si>
  <si>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</si>
  <si>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</si>
  <si>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</si>
  <si>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</si>
  <si>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</si>
  <si>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</si>
  <si>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</si>
  <si>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</si>
  <si>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</si>
  <si>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</si>
  <si>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</si>
  <si>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</si>
  <si>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</si>
  <si>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</si>
  <si>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</si>
  <si>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</si>
  <si>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</si>
  <si>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</si>
  <si>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</si>
  <si>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</si>
  <si>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</si>
  <si>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</si>
  <si>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</si>
  <si>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</si>
  <si>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</si>
  <si>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</si>
  <si>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</si>
  <si>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</si>
  <si>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</si>
  <si>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</si>
  <si>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</si>
  <si>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</si>
  <si>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</si>
  <si>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</si>
  <si>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</si>
  <si>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</si>
  <si>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</si>
  <si>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</si>
  <si>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</si>
  <si>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</si>
  <si>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</si>
  <si>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</si>
  <si>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</si>
  <si>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</si>
  <si>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</si>
  <si>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</si>
  <si>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</si>
  <si>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</si>
  <si>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</si>
  <si>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</si>
  <si>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</si>
  <si>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</si>
  <si>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</si>
  <si>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</si>
  <si>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</si>
  <si>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</si>
  <si>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</si>
  <si>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</si>
  <si>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 Wing = G + 1st to 20th Floor</t>
  </si>
  <si>
    <t>B Wing = G + 1st to 20th Floor</t>
  </si>
  <si>
    <t>C Wing = G + 1st to 20th Floor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</si>
  <si>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</si>
  <si>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</si>
  <si>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</si>
  <si>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</si>
  <si>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</si>
  <si>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</si>
  <si>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</si>
  <si>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</si>
  <si>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</si>
  <si>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</si>
  <si>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</si>
  <si>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</si>
  <si>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</si>
  <si>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</si>
  <si>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</si>
  <si>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</si>
  <si>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</si>
  <si>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</si>
  <si>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Axis Goregaon</t>
  </si>
  <si>
    <t>M/s. Sunteck Real Estates Private Limited</t>
  </si>
  <si>
    <t>Sunteck Beach Residences</t>
  </si>
  <si>
    <t>Survey No</t>
  </si>
  <si>
    <t>Dhovali</t>
  </si>
  <si>
    <t>Vasai</t>
  </si>
  <si>
    <t>Palghar</t>
  </si>
  <si>
    <t>Naigaon West</t>
  </si>
  <si>
    <t>Suruchi Beach Road</t>
  </si>
  <si>
    <t>Vasai West</t>
  </si>
  <si>
    <t>6.8KM from Naigaon Railway Station</t>
  </si>
  <si>
    <t>Open Plot</t>
  </si>
  <si>
    <t>Ventura Residency Complex</t>
  </si>
  <si>
    <t>Suruchi Beach Road/ Farm</t>
  </si>
  <si>
    <t>https://goo.gl/maps/4fPhapWku4tg8Ubw8</t>
  </si>
  <si>
    <t>08 Buildings</t>
  </si>
  <si>
    <t xml:space="preserve">Vasai-Virar City Municipal Corporation
</t>
  </si>
  <si>
    <t>VVCMC/TP/CC/VP/6241/22/2022-23</t>
  </si>
  <si>
    <t xml:space="preserve">As per RERA - 
Sunteck Beach Residences 1 = 31/12/2027
Sunteck Beach Residences 2 = 31/12/2027
Sunteck Beach Residences 4 = 31/12/2028
</t>
  </si>
  <si>
    <t>VVCMC/TP/CC/VP-6241/22/2022-23</t>
  </si>
  <si>
    <t>Sunteck Beach Residences 2 : Building (A &amp; B) = Basement + Stilt + 22 Floors</t>
  </si>
  <si>
    <t>Sunteck Beach Residences 1 : Building No. (1 &amp; 2) = Basement + Stilt + 22 Floors
B Wing = G + 1st to 20th Floor
C Wing = G + 1st to 20th Floor</t>
  </si>
  <si>
    <t>Building No.
As per Sale Plan</t>
  </si>
  <si>
    <t>Building No. As per Approved Plan</t>
  </si>
  <si>
    <t>Approved Floor</t>
  </si>
  <si>
    <t>As per RERA</t>
  </si>
  <si>
    <t>Building No.1</t>
  </si>
  <si>
    <t>RERA 1</t>
  </si>
  <si>
    <t>Building No.2</t>
  </si>
  <si>
    <t>Building No.3</t>
  </si>
  <si>
    <t>RERA 2</t>
  </si>
  <si>
    <t>Building No.4</t>
  </si>
  <si>
    <t>Basement + Stilt + 22 Floors</t>
  </si>
  <si>
    <t>Sunteck Beach Residences 1</t>
  </si>
  <si>
    <t>Sunteck Beach Residences 2</t>
  </si>
  <si>
    <t>Building No.A</t>
  </si>
  <si>
    <t>Building No.B</t>
  </si>
  <si>
    <t>Sunteck Beach Residences 4</t>
  </si>
  <si>
    <t>Building No.C</t>
  </si>
  <si>
    <t>Building No.D</t>
  </si>
  <si>
    <t>RERA 4</t>
  </si>
  <si>
    <t>Ground Floor For Society Office &amp; Parking</t>
  </si>
  <si>
    <t>1St Floor For Parking</t>
  </si>
  <si>
    <t>2nd &amp; 3rd Floor For Parking &amp; Residential</t>
  </si>
  <si>
    <t>2BHK</t>
  </si>
  <si>
    <t>4th to 7th, 9th to 12th &amp; 14th Floor For Residential</t>
  </si>
  <si>
    <t>8th &amp; 13 th Floor (Part Refuge Area)</t>
  </si>
  <si>
    <t>Refuge Area</t>
  </si>
  <si>
    <t>15th to 17th, 19th to 22nd Floor</t>
  </si>
  <si>
    <t>18th Floor (Part Refuge Area)</t>
  </si>
  <si>
    <t>4th Floor For Parking &amp; Residential</t>
  </si>
  <si>
    <t>Building No. B1</t>
  </si>
  <si>
    <t>Building No. B2</t>
  </si>
  <si>
    <t>Building No. A3</t>
  </si>
  <si>
    <t>Building No. A4</t>
  </si>
  <si>
    <t>Building No. B3</t>
  </si>
  <si>
    <t>Building No. B4</t>
  </si>
  <si>
    <t>Building No. A1</t>
  </si>
  <si>
    <t>Building No. A2</t>
  </si>
  <si>
    <t>1St Floor For Parking &amp; Residential</t>
  </si>
  <si>
    <t>3BHK</t>
  </si>
  <si>
    <t>4th to 7th, 9th to 12th &amp; 14th to 17th &amp; 19th to 22nd Floor For Residential</t>
  </si>
  <si>
    <t>8th, 13th &amp; 18th Floor (Part Refuge Area)</t>
  </si>
  <si>
    <t xml:space="preserve">2nd &amp; 3rd Floor For Parking </t>
  </si>
  <si>
    <t>2nd, 3rd &amp; 4th Floor For Parking &amp; Residential</t>
  </si>
  <si>
    <t>5th to 7th, 9th to 12th &amp; 14th Floor For Residential</t>
  </si>
  <si>
    <t>Residential Area Details : Sunteck Beach Residences 1</t>
  </si>
  <si>
    <t>Residential Area Details : Sunteck Beach Residences 2</t>
  </si>
  <si>
    <t>Residential Area Details : Sunteck Beach Residences 4</t>
  </si>
  <si>
    <t>Approved Plans, CC, Cost Sheet</t>
  </si>
  <si>
    <t>Layout :</t>
  </si>
  <si>
    <t xml:space="preserve">Sunteck Beach Residences 1 = P99000045490
Sunteck Beach Residences 2 = P99000045499
Sunteck Beach Residences 4 = P99000045599
</t>
  </si>
  <si>
    <t>110A, 110B, 111, 112/2, 113, 114A, 114/B, 115/A, 115/2</t>
  </si>
  <si>
    <t>We considered Gross carpet area = Net carpet + Balcony + F.B Area.</t>
  </si>
  <si>
    <t>As Per Builder, Building No. B1</t>
  </si>
  <si>
    <t>As Per Builder, Building No. B2</t>
  </si>
  <si>
    <t>As Per Builder, Building No. A1</t>
  </si>
  <si>
    <t>As Per Builder, Building No. A2</t>
  </si>
  <si>
    <t>As Per Builder, Building No. A3</t>
  </si>
  <si>
    <t>As Per Builder, Building No. A4</t>
  </si>
  <si>
    <t>As Per Builder, Building No. B3</t>
  </si>
  <si>
    <t>As Per Builder, Building No. B4</t>
  </si>
  <si>
    <t>Sunteck Beach Residences 1 = Building No. 1 &amp; 2
Sunteck Beach Residences 2 = Building A &amp; B
Sunteck Beach Residences 4 = Building C, D, 3 &amp; 4</t>
  </si>
  <si>
    <t>Infinity Pool, Gym, Amphitheatre, Tennis Court, Jogging Track, Viewing Deck, Basketball Court, Golf Court.</t>
  </si>
  <si>
    <t>The distance between Mangroves and Building A is more than 50 meters.</t>
  </si>
  <si>
    <t xml:space="preserve">E.C Certificate No.:
Approved Upto:
</t>
  </si>
  <si>
    <t xml:space="preserve">Building No.A = 1Basement + Stilt + 2 Podium + Upper 28th Floors
Building No.B = 1Basement + Stilt + 2 Podium + Upper 28th Floors
Building No.C = 1Basement + Stilt + 2 Podium + Upper 28th Floors
Building No.D = 1Basement + Stilt + 2 Podium + Upper 28th Floors
Building No.1 = 1Basement + Stilt + 3 Podium + Upper 27th Floors
Building No.2 = 1Basement + Stilt + 3 Podium + Upper 27th Floors
Building No.3 = 1Basement + Stilt + 3 Podium + Upper 27th Floors
Building No.4 = 1Basement + Stilt + 3 Podium + Upper 27th Floors
</t>
  </si>
  <si>
    <t xml:space="preserve">SIA/MH/MIS/277219/2022
</t>
  </si>
  <si>
    <t>On Site, we meet Mr. Mohit (8657408473/9769338671).</t>
  </si>
  <si>
    <t>Latitude, Longitude</t>
  </si>
  <si>
    <t>19.341791, 72.7985465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</si>
  <si>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 </t>
  </si>
  <si>
    <t>Society Formation &amp; Other charges</t>
  </si>
  <si>
    <t>Sunteck Beach Residences 2 : Building (A2) = Basement + Stilt + 4 Podium + 1st to 30 Floors</t>
  </si>
  <si>
    <t>1st Floor For Parking &amp; Residential</t>
  </si>
  <si>
    <t>Ground Floor For Society Office, Drivers Room, Meter Roomc, Panel Room &amp; Parking</t>
  </si>
  <si>
    <t>For Building No.C (Type 4)</t>
  </si>
  <si>
    <t>VVCMC/TP/AMEND/VP/6241/375/2022-23</t>
  </si>
  <si>
    <t>Building No.C (Type 4) = 1B + Gr/Stilt + 1st to 22nd Floor (No. of Flats = 121 Nos)</t>
  </si>
  <si>
    <t>1st Floor for Residential &amp; Parking</t>
  </si>
  <si>
    <t>Double Height Entrance Lobby</t>
  </si>
  <si>
    <t>Stilt Area</t>
  </si>
  <si>
    <t>2nd &amp; 3rd Floor for Residential</t>
  </si>
  <si>
    <t>4th to 7th, 9th to 12th &amp; 14th to 17th &amp; 19th to 22nd Floor</t>
  </si>
  <si>
    <t>Grand Total</t>
  </si>
  <si>
    <t>Flats - 934</t>
  </si>
  <si>
    <t>We have updated latest approved floor plans &amp; CC of Bldg No. C (Type 4) (On 08/06/2024).</t>
  </si>
  <si>
    <t>Please provide latest layout plan.</t>
  </si>
  <si>
    <t>Sunteck Beach Residences 4 : Building No. (A3) = Basement + Stilt + 4 Podium + 1st to 30 Floors</t>
  </si>
  <si>
    <t>Sunteck Beach Residences 1 : Building No. (1 &amp; 2) = Basement + Stilt + 22 Floor</t>
  </si>
  <si>
    <t xml:space="preserve">Commencement-CC No
Valid Up to: </t>
  </si>
  <si>
    <t>Sunteck Beach Residences 4 : Building No. (D, 3 &amp; 4) = Basement + Stilt + 22 Floors</t>
  </si>
  <si>
    <t>As Per Approved Plan, Building No. 1 (Type 1)</t>
  </si>
  <si>
    <t>As per Approved Plan, Building No. 2 (Type 1)</t>
  </si>
  <si>
    <t>As per Approved Plan, Building No. A (Type 2)</t>
  </si>
  <si>
    <t>As per Approved Plan, Building No. B (Type 2)</t>
  </si>
  <si>
    <t>As per Approved Plan, Building No. C (Type 4)</t>
  </si>
  <si>
    <t>As per Approved Plan, Building No. D (Type 2)</t>
  </si>
  <si>
    <t>As per Approved Plan, Building No. 3 (Type 1)</t>
  </si>
  <si>
    <t>As per Approved Plan, Building No. 4 (Type 1)</t>
  </si>
  <si>
    <t>As per amended plans (dtd.17/05/2022), Building No. C was Type 3 &amp; 
As per amended plans &amp; CC (dtd.17/10/2022) is type 4.</t>
  </si>
  <si>
    <t>Sunteck Beach Residences 4 : Building No. (B3) = Basement + Stilt + 4 Podium + 1st to 30 Floors</t>
  </si>
  <si>
    <t>Sunteck Beach Residences 4 : Building No. (A4 &amp; B4) = Basement + Stilt + 4 Podium + 1st to 30 Floors</t>
  </si>
  <si>
    <t>Navnath Bhatkar</t>
  </si>
  <si>
    <t>Sunteck Beach Residences 1 : Building No. (B1) = Basement + Stilt + 4 Podium + 1st to 30 Floors</t>
  </si>
  <si>
    <t>Sunteck Beach Residences 1 : Building No. (B2) = Basement + Stilt + 4 Podium + 1st to 30 Floors</t>
  </si>
  <si>
    <t>Sunteck Beach Residences 2 : Building (A1) = Basement + Stilt + 4 Podium + 1st to 30 Floors</t>
  </si>
  <si>
    <t>Since the project has received first CC on 17/05/2022, But construction work of Building No. A4 &amp; B4 is not yet started. Please provide revised approved CC for Building No. A4 &amp; B4.</t>
  </si>
  <si>
    <t>Building No. A1, A2, B1, B2, &amp; B3 = Construction work is in process at the time of visit. ( Slow speed).
B3 = Construction work is same as last visit dtd. 05/06/2025 but work is in process at the time of visit. ( Slow speed).
Building No. A3 = Construction work same as last visit dtd 10/03/2025 But work is in process (Very Slow Speed).
Building No. A4 &amp; B4  = Construction work not yet started.
(Internal photographs not allowed)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</si>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</sst>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15" fillId="0" borderId="0" xfId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" fontId="15" fillId="0" borderId="1" xfId="1" applyNumberFormat="1" applyFont="1" applyBorder="1" applyAlignment="1" applyProtection="1">
      <alignment horizontal="center" vertical="center" wrapText="1"/>
      <protection locked="0"/>
    </xf>
    <xf numFmtId="1" fontId="15" fillId="0" borderId="1" xfId="1" applyNumberFormat="1" applyFont="1" applyBorder="1" applyAlignment="1">
      <alignment horizontal="center" vertical="center"/>
    </xf>
    <xf numFmtId="0" fontId="10" fillId="0" borderId="22" xfId="1" applyFont="1" applyBorder="1" applyAlignment="1" applyProtection="1">
      <alignment horizontal="left" vertical="top" wrapText="1"/>
      <protection locked="0"/>
    </xf>
    <xf numFmtId="0" fontId="10" fillId="0" borderId="15" xfId="1" applyFont="1" applyBorder="1" applyAlignment="1" applyProtection="1">
      <alignment horizontal="left" vertical="top" wrapText="1"/>
      <protection locked="0"/>
    </xf>
    <xf numFmtId="0" fontId="10" fillId="0" borderId="13" xfId="1" applyFont="1" applyBorder="1" applyAlignment="1" applyProtection="1">
      <alignment horizontal="left" vertical="top" wrapText="1"/>
      <protection locked="0"/>
    </xf>
    <xf numFmtId="0" fontId="10" fillId="0" borderId="14" xfId="1" applyFont="1" applyBorder="1" applyAlignment="1" applyProtection="1">
      <alignment horizontal="left" vertical="top" wrapText="1"/>
      <protection locked="0"/>
    </xf>
    <xf numFmtId="0" fontId="10" fillId="0" borderId="23" xfId="1" applyFont="1" applyBorder="1" applyAlignment="1" applyProtection="1">
      <alignment horizontal="left" vertical="top" wrapText="1"/>
      <protection locked="0"/>
    </xf>
    <xf numFmtId="0" fontId="10" fillId="0" borderId="4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5" fillId="0" borderId="3" xfId="1" applyFont="1" applyBorder="1" applyAlignment="1" applyProtection="1">
      <alignment horizontal="left" vertical="top" wrapText="1"/>
      <protection locked="0"/>
    </xf>
    <xf numFmtId="0" fontId="15" fillId="0" borderId="3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>
      <alignment horizontal="center" vertical="top" wrapText="1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7" fillId="0" borderId="21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 wrapText="1"/>
      <protection locked="0"/>
    </xf>
    <xf numFmtId="0" fontId="10" fillId="0" borderId="21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15" fillId="0" borderId="17" xfId="1" applyFont="1" applyBorder="1" applyAlignment="1" applyProtection="1">
      <alignment horizontal="left" vertical="top"/>
      <protection locked="0"/>
    </xf>
    <xf numFmtId="0" fontId="15" fillId="0" borderId="24" xfId="1" applyFont="1" applyBorder="1" applyAlignment="1" applyProtection="1">
      <alignment horizontal="left" vertical="top"/>
      <protection locked="0"/>
    </xf>
    <xf numFmtId="0" fontId="15" fillId="0" borderId="18" xfId="1" applyFont="1" applyBorder="1" applyAlignment="1" applyProtection="1">
      <alignment horizontal="left" vertical="top"/>
      <protection locked="0"/>
    </xf>
    <xf numFmtId="0" fontId="15" fillId="0" borderId="25" xfId="1" applyFont="1" applyBorder="1" applyAlignment="1" applyProtection="1">
      <alignment horizontal="left" vertical="top"/>
      <protection locked="0"/>
    </xf>
    <xf numFmtId="0" fontId="15" fillId="0" borderId="0" xfId="1" applyFont="1" applyAlignment="1" applyProtection="1">
      <alignment horizontal="left" vertical="top"/>
      <protection locked="0"/>
    </xf>
    <xf numFmtId="0" fontId="15" fillId="0" borderId="26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5" fillId="0" borderId="19" xfId="1" applyFont="1" applyBorder="1" applyAlignment="1" applyProtection="1">
      <alignment horizontal="left" vertical="top"/>
      <protection locked="0"/>
    </xf>
    <xf numFmtId="0" fontId="15" fillId="0" borderId="2" xfId="1" applyFont="1" applyBorder="1" applyAlignment="1" applyProtection="1">
      <alignment horizontal="left" vertical="top"/>
      <protection locked="0"/>
    </xf>
    <xf numFmtId="0" fontId="15" fillId="0" borderId="20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0" fillId="0" borderId="21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4" fontId="6" fillId="0" borderId="8" xfId="1" applyNumberFormat="1" applyFont="1" applyBorder="1" applyAlignment="1" applyProtection="1">
      <alignment horizontal="left" vertical="top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27" fillId="0" borderId="8" xfId="1" applyNumberFormat="1" applyFont="1" applyBorder="1" applyAlignment="1" applyProtection="1">
      <alignment horizontal="center" vertical="center" wrapText="1"/>
      <protection locked="0"/>
    </xf>
    <xf numFmtId="1" fontId="27" fillId="0" borderId="21" xfId="1" applyNumberFormat="1" applyFont="1" applyBorder="1" applyAlignment="1" applyProtection="1">
      <alignment horizontal="center" vertical="center" wrapText="1"/>
      <protection locked="0"/>
    </xf>
    <xf numFmtId="1" fontId="27" fillId="0" borderId="9" xfId="1" applyNumberFormat="1" applyFont="1" applyBorder="1" applyAlignment="1" applyProtection="1">
      <alignment horizontal="center" vertical="center" wrapText="1"/>
      <protection locked="0"/>
    </xf>
    <xf numFmtId="1" fontId="15" fillId="0" borderId="8" xfId="1" applyNumberFormat="1" applyFont="1" applyBorder="1" applyAlignment="1" applyProtection="1">
      <alignment horizontal="center" vertical="center" wrapText="1"/>
      <protection locked="0"/>
    </xf>
    <xf numFmtId="1" fontId="15" fillId="0" borderId="9" xfId="1" applyNumberFormat="1" applyFont="1" applyBorder="1" applyAlignment="1" applyProtection="1">
      <alignment horizontal="center" vertical="center" wrapText="1"/>
      <protection locked="0"/>
    </xf>
    <xf numFmtId="1" fontId="15" fillId="0" borderId="17" xfId="1" applyNumberFormat="1" applyFont="1" applyBorder="1" applyAlignment="1" applyProtection="1">
      <alignment horizontal="center" vertical="center" wrapText="1"/>
      <protection locked="0"/>
    </xf>
    <xf numFmtId="1" fontId="15" fillId="0" borderId="18" xfId="1" applyNumberFormat="1" applyFont="1" applyBorder="1" applyAlignment="1" applyProtection="1">
      <alignment horizontal="center" vertical="center" wrapText="1"/>
      <protection locked="0"/>
    </xf>
    <xf numFmtId="1" fontId="15" fillId="0" borderId="19" xfId="1" applyNumberFormat="1" applyFont="1" applyBorder="1" applyAlignment="1" applyProtection="1">
      <alignment horizontal="center" vertical="center" wrapText="1"/>
      <protection locked="0"/>
    </xf>
    <xf numFmtId="1" fontId="15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15" fillId="0" borderId="25" xfId="1" applyNumberFormat="1" applyFont="1" applyBorder="1" applyAlignment="1" applyProtection="1">
      <alignment horizontal="center" vertical="center" wrapText="1"/>
      <protection locked="0"/>
    </xf>
    <xf numFmtId="1" fontId="15" fillId="0" borderId="26" xfId="1" applyNumberFormat="1" applyFont="1" applyBorder="1" applyAlignment="1" applyProtection="1">
      <alignment horizontal="center" vertical="center" wrapText="1"/>
      <protection locked="0"/>
    </xf>
    <xf numFmtId="1" fontId="15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567</xdr:row>
      <xdr:rowOff>0</xdr:rowOff>
    </xdr:from>
    <xdr:to>
      <xdr:col>7</xdr:col>
      <xdr:colOff>231223</xdr:colOff>
      <xdr:row>583</xdr:row>
      <xdr:rowOff>39599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6275" y="96554925"/>
          <a:ext cx="5669998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676275</xdr:colOff>
      <xdr:row>583</xdr:row>
      <xdr:rowOff>198406</xdr:rowOff>
    </xdr:from>
    <xdr:to>
      <xdr:col>7</xdr:col>
      <xdr:colOff>231223</xdr:colOff>
      <xdr:row>600</xdr:row>
      <xdr:rowOff>37982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6275" y="99953731"/>
          <a:ext cx="5669998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390525</xdr:colOff>
      <xdr:row>610</xdr:row>
      <xdr:rowOff>0</xdr:rowOff>
    </xdr:from>
    <xdr:to>
      <xdr:col>6</xdr:col>
      <xdr:colOff>346054</xdr:colOff>
      <xdr:row>637</xdr:row>
      <xdr:rowOff>191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675" y="104241600"/>
          <a:ext cx="4413229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676275</xdr:colOff>
      <xdr:row>619</xdr:row>
      <xdr:rowOff>133350</xdr:rowOff>
    </xdr:from>
    <xdr:to>
      <xdr:col>1</xdr:col>
      <xdr:colOff>685800</xdr:colOff>
      <xdr:row>622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 flipV="1">
          <a:off x="1495425" y="106175175"/>
          <a:ext cx="9525" cy="561975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504825</xdr:colOff>
      <xdr:row>617</xdr:row>
      <xdr:rowOff>152400</xdr:rowOff>
    </xdr:from>
    <xdr:to>
      <xdr:col>2</xdr:col>
      <xdr:colOff>66675</xdr:colOff>
      <xdr:row>619</xdr:row>
      <xdr:rowOff>161925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323975" y="105794175"/>
          <a:ext cx="4191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2000" b="1">
              <a:ln>
                <a:noFill/>
              </a:ln>
            </a:rPr>
            <a:t>N</a:t>
          </a:r>
        </a:p>
      </xdr:txBody>
    </xdr:sp>
    <xdr:clientData/>
  </xdr:twoCellAnchor>
  <xdr:twoCellAnchor editAs="oneCell">
    <xdr:from>
      <xdr:col>1</xdr:col>
      <xdr:colOff>619125</xdr:colOff>
      <xdr:row>637</xdr:row>
      <xdr:rowOff>66675</xdr:rowOff>
    </xdr:from>
    <xdr:to>
      <xdr:col>5</xdr:col>
      <xdr:colOff>778919</xdr:colOff>
      <xdr:row>650</xdr:row>
      <xdr:rowOff>53340</xdr:rowOff>
    </xdr:to>
    <xdr:pic>
      <xdr:nvPicPr>
        <xdr:cNvPr id="15" name="Picture 14" descr="insp-120066-862.jpg (1079×810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3985" y="127267335"/>
          <a:ext cx="3619274" cy="256222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533400</xdr:colOff>
      <xdr:row>637</xdr:row>
      <xdr:rowOff>104775</xdr:rowOff>
    </xdr:from>
    <xdr:to>
      <xdr:col>3</xdr:col>
      <xdr:colOff>914400</xdr:colOff>
      <xdr:row>642</xdr:row>
      <xdr:rowOff>57150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352550" y="109747050"/>
          <a:ext cx="2152650" cy="952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FFFF00"/>
              </a:solidFill>
            </a:rPr>
            <a:t>Mangroves is</a:t>
          </a:r>
          <a:r>
            <a:rPr lang="en-IN" sz="1800" b="1" baseline="0">
              <a:ln>
                <a:noFill/>
              </a:ln>
              <a:solidFill>
                <a:srgbClr val="FFFF00"/>
              </a:solidFill>
            </a:rPr>
            <a:t> &lt; 50M</a:t>
          </a:r>
          <a:endParaRPr lang="en-IN" sz="1800" b="1">
            <a:ln>
              <a:noFill/>
            </a:ln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0</xdr:colOff>
      <xdr:row>523</xdr:row>
      <xdr:rowOff>0</xdr:rowOff>
    </xdr:from>
    <xdr:to>
      <xdr:col>10</xdr:col>
      <xdr:colOff>226329</xdr:colOff>
      <xdr:row>524</xdr:row>
      <xdr:rowOff>166132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064500" y="97847150"/>
          <a:ext cx="1026429" cy="36298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A2 Wing </a:t>
          </a:r>
        </a:p>
      </xdr:txBody>
    </xdr:sp>
    <xdr:clientData/>
  </xdr:twoCellAnchor>
  <xdr:twoCellAnchor>
    <xdr:from>
      <xdr:col>8</xdr:col>
      <xdr:colOff>453389</xdr:colOff>
      <xdr:row>523</xdr:row>
      <xdr:rowOff>76200</xdr:rowOff>
    </xdr:from>
    <xdr:to>
      <xdr:col>16</xdr:col>
      <xdr:colOff>419100</xdr:colOff>
      <xdr:row>564</xdr:row>
      <xdr:rowOff>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6978014" y="107032425"/>
          <a:ext cx="6366511" cy="8115300"/>
          <a:chOff x="95249" y="101451335"/>
          <a:chExt cx="6408645" cy="8399436"/>
        </a:xfrm>
      </xdr:grpSpPr>
      <xdr:pic>
        <xdr:nvPicPr>
          <xdr:cNvPr id="17" name="Picture 16" descr="https://vsjcllp.vsjadon.com/upload/insp-220672-1525.jpg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17234" y="107673962"/>
            <a:ext cx="1625036" cy="217680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20672-847.jpg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9550" y="104622880"/>
            <a:ext cx="3905737" cy="295891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20672-849.jpg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01646" y="104618118"/>
            <a:ext cx="2204707" cy="295891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20672-871.jp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81443" y="107673962"/>
            <a:ext cx="1622235" cy="217680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95249" y="101456097"/>
            <a:ext cx="3976502" cy="3074709"/>
            <a:chOff x="133349" y="100731637"/>
            <a:chExt cx="3978743" cy="3051176"/>
          </a:xfrm>
        </xdr:grpSpPr>
        <xdr:pic>
          <xdr:nvPicPr>
            <xdr:cNvPr id="29" name="Picture 28" descr="https://vsjcllp.vsjadon.com/upload/insp-220672-860.jpg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349" y="100731637"/>
              <a:ext cx="3978743" cy="305117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1143000" y="101565075"/>
              <a:ext cx="581025" cy="4286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2000" b="1"/>
                <a:t>A1</a:t>
              </a:r>
            </a:p>
          </xdr:txBody>
        </xdr:sp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 txBox="1"/>
          </xdr:nvSpPr>
          <xdr:spPr>
            <a:xfrm>
              <a:off x="3228975" y="101788912"/>
              <a:ext cx="581025" cy="4286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2000" b="1"/>
                <a:t>A3</a:t>
              </a:r>
            </a:p>
          </xdr:txBody>
        </xdr:sp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 txBox="1"/>
          </xdr:nvSpPr>
          <xdr:spPr>
            <a:xfrm>
              <a:off x="2428875" y="101646037"/>
              <a:ext cx="581025" cy="4286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2000" b="1"/>
                <a:t>A2</a:t>
              </a:r>
            </a:p>
          </xdr:txBody>
        </xdr:sp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GrpSpPr/>
        </xdr:nvGrpSpPr>
        <xdr:grpSpPr>
          <a:xfrm>
            <a:off x="4154021" y="101451335"/>
            <a:ext cx="2349873" cy="3074709"/>
            <a:chOff x="4143375" y="100726875"/>
            <a:chExt cx="2343150" cy="3051176"/>
          </a:xfrm>
        </xdr:grpSpPr>
        <xdr:pic>
          <xdr:nvPicPr>
            <xdr:cNvPr id="27" name="Picture 26" descr="https://vsjcllp.vsjadon.com/upload/insp-220672-862.jpg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143375" y="100726875"/>
              <a:ext cx="2285999" cy="305117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 txBox="1"/>
          </xdr:nvSpPr>
          <xdr:spPr>
            <a:xfrm>
              <a:off x="4695825" y="101793675"/>
              <a:ext cx="581025" cy="4286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2000" b="1"/>
                <a:t>B1</a:t>
              </a:r>
            </a:p>
          </xdr:txBody>
        </xdr:sp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 txBox="1"/>
          </xdr:nvSpPr>
          <xdr:spPr>
            <a:xfrm>
              <a:off x="5362575" y="101850825"/>
              <a:ext cx="581025" cy="4286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2000" b="1"/>
                <a:t>B2</a:t>
              </a:r>
            </a:p>
          </xdr:txBody>
        </xdr:sp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 txBox="1"/>
          </xdr:nvSpPr>
          <xdr:spPr>
            <a:xfrm>
              <a:off x="5905500" y="102031800"/>
              <a:ext cx="581025" cy="4286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2000" b="1"/>
                <a:t>B3</a:t>
              </a:r>
            </a:p>
          </xdr:txBody>
        </xdr:sp>
      </xdr:grpSp>
    </xdr:grpSp>
    <xdr:clientData/>
  </xdr:twoCellAnchor>
  <xdr:twoCellAnchor>
    <xdr:from>
      <xdr:col>8</xdr:col>
      <xdr:colOff>571501</xdr:colOff>
      <xdr:row>523</xdr:row>
      <xdr:rowOff>180975</xdr:rowOff>
    </xdr:from>
    <xdr:to>
      <xdr:col>15</xdr:col>
      <xdr:colOff>670561</xdr:colOff>
      <xdr:row>562</xdr:row>
      <xdr:rowOff>127634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FDE0220-B1CA-117E-1DD4-8C702CFD11A2}"/>
            </a:ext>
          </a:extLst>
        </xdr:cNvPr>
        <xdr:cNvGrpSpPr/>
      </xdr:nvGrpSpPr>
      <xdr:grpSpPr>
        <a:xfrm>
          <a:off x="7096126" y="107137200"/>
          <a:ext cx="5718810" cy="7738109"/>
          <a:chOff x="154043" y="148831"/>
          <a:chExt cx="5907885" cy="8198401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411221F3-FE76-F84F-AAA4-E76FB24B58F8}"/>
              </a:ext>
            </a:extLst>
          </xdr:cNvPr>
          <xdr:cNvGrpSpPr/>
        </xdr:nvGrpSpPr>
        <xdr:grpSpPr>
          <a:xfrm>
            <a:off x="934542" y="6547232"/>
            <a:ext cx="4346886" cy="1800000"/>
            <a:chOff x="1164588" y="6547232"/>
            <a:chExt cx="4346886" cy="1800000"/>
          </a:xfrm>
        </xdr:grpSpPr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F229E16E-D28B-BB55-136F-D307BB5E612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63734" y="6547232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9D2C2A5E-D846-9DA8-2ED8-469926FCD38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164588" y="6547232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BC9060FA-7715-2113-E10C-31345DFEA27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62880" y="6547232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C38E78CA-0240-411C-4286-8DC959CA7317}"/>
              </a:ext>
            </a:extLst>
          </xdr:cNvPr>
          <xdr:cNvGrpSpPr/>
        </xdr:nvGrpSpPr>
        <xdr:grpSpPr>
          <a:xfrm>
            <a:off x="154043" y="148831"/>
            <a:ext cx="5907885" cy="3844005"/>
            <a:chOff x="154043" y="148831"/>
            <a:chExt cx="5907885" cy="3844005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8A3ACE13-5127-0885-4922-073AECC355C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4043" y="148831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C387EB7F-1CE3-D114-9429-8A37D913322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181928" y="148831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9779FC71-19A6-F929-4227-021126364027}"/>
              </a:ext>
            </a:extLst>
          </xdr:cNvPr>
          <xdr:cNvGrpSpPr/>
        </xdr:nvGrpSpPr>
        <xdr:grpSpPr>
          <a:xfrm>
            <a:off x="784887" y="4190034"/>
            <a:ext cx="4646197" cy="2160000"/>
            <a:chOff x="894870" y="4190034"/>
            <a:chExt cx="4646197" cy="2160000"/>
          </a:xfrm>
        </xdr:grpSpPr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758512BB-9831-3C74-9839-4987594E12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94870" y="4190034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FD42A28F-8A87-2C73-57D3-9E381151ED2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663734" y="4190034"/>
              <a:ext cx="287733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85725</xdr:colOff>
      <xdr:row>524</xdr:row>
      <xdr:rowOff>114300</xdr:rowOff>
    </xdr:from>
    <xdr:to>
      <xdr:col>7</xdr:col>
      <xdr:colOff>764436</xdr:colOff>
      <xdr:row>560</xdr:row>
      <xdr:rowOff>46425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116434CF-DFAE-484D-9C1D-DEB2E08DFC04}"/>
            </a:ext>
          </a:extLst>
        </xdr:cNvPr>
        <xdr:cNvGrpSpPr/>
      </xdr:nvGrpSpPr>
      <xdr:grpSpPr>
        <a:xfrm>
          <a:off x="85725" y="107270550"/>
          <a:ext cx="6374661" cy="7123500"/>
          <a:chOff x="171450" y="397666"/>
          <a:chExt cx="6374661" cy="7123500"/>
        </a:xfrm>
      </xdr:grpSpPr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8F5E9775-5748-44E3-BE75-A1ECD6E7C4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450" y="397666"/>
            <a:ext cx="3117111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676B5A04-CC72-41ED-B6AB-539C8E3B16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397666"/>
            <a:ext cx="3117111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F52A4248-FF16-44C7-81B5-8B8FDB50CE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20876" y="2969416"/>
            <a:ext cx="3117111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79EEECAF-7420-4468-81B1-49B08A9D9E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4704" y="2969416"/>
            <a:ext cx="1753171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5C88E57F-2CB3-40A0-8ECB-A3F8C2C4A7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6588" y="5541166"/>
            <a:ext cx="2637555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3AE25F4D-C139-4101-B746-5EE58FE45A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18334" y="5541166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27573EC6-8C29-4ADF-A80F-E080FC2544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95978" y="5541166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9" name="TextBox 183">
            <a:extLst>
              <a:ext uri="{FF2B5EF4-FFF2-40B4-BE49-F238E27FC236}">
                <a16:creationId xmlns:a16="http://schemas.microsoft.com/office/drawing/2014/main" id="{72C38721-CAE2-4B88-A84E-B71B30E26B29}"/>
              </a:ext>
            </a:extLst>
          </xdr:cNvPr>
          <xdr:cNvSpPr txBox="1"/>
        </xdr:nvSpPr>
        <xdr:spPr>
          <a:xfrm>
            <a:off x="838200" y="1198334"/>
            <a:ext cx="4315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B1</a:t>
            </a:r>
            <a:endParaRPr lang="en-IN" b="1"/>
          </a:p>
        </xdr:txBody>
      </xdr:sp>
      <xdr:sp macro="" textlink="">
        <xdr:nvSpPr>
          <xdr:cNvPr id="50" name="TextBox 184">
            <a:extLst>
              <a:ext uri="{FF2B5EF4-FFF2-40B4-BE49-F238E27FC236}">
                <a16:creationId xmlns:a16="http://schemas.microsoft.com/office/drawing/2014/main" id="{1C86F4A7-EC78-41B7-9C6A-4E4D75DA0004}"/>
              </a:ext>
            </a:extLst>
          </xdr:cNvPr>
          <xdr:cNvSpPr txBox="1"/>
        </xdr:nvSpPr>
        <xdr:spPr>
          <a:xfrm>
            <a:off x="1631852" y="1192800"/>
            <a:ext cx="4315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B2</a:t>
            </a:r>
            <a:endParaRPr lang="en-IN" b="1"/>
          </a:p>
        </xdr:txBody>
      </xdr:sp>
      <xdr:sp macro="" textlink="">
        <xdr:nvSpPr>
          <xdr:cNvPr id="51" name="TextBox 185">
            <a:extLst>
              <a:ext uri="{FF2B5EF4-FFF2-40B4-BE49-F238E27FC236}">
                <a16:creationId xmlns:a16="http://schemas.microsoft.com/office/drawing/2014/main" id="{9BA2C6D3-7E6E-4465-96FC-B32F8D7CF9AA}"/>
              </a:ext>
            </a:extLst>
          </xdr:cNvPr>
          <xdr:cNvSpPr txBox="1"/>
        </xdr:nvSpPr>
        <xdr:spPr>
          <a:xfrm>
            <a:off x="2362200" y="1622834"/>
            <a:ext cx="4315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B3</a:t>
            </a:r>
            <a:endParaRPr lang="en-IN" b="1"/>
          </a:p>
        </xdr:txBody>
      </xdr:sp>
      <xdr:sp macro="" textlink="">
        <xdr:nvSpPr>
          <xdr:cNvPr id="52" name="TextBox 186">
            <a:extLst>
              <a:ext uri="{FF2B5EF4-FFF2-40B4-BE49-F238E27FC236}">
                <a16:creationId xmlns:a16="http://schemas.microsoft.com/office/drawing/2014/main" id="{81C75445-EAE6-4369-A9F2-C4DBAB2D5065}"/>
              </a:ext>
            </a:extLst>
          </xdr:cNvPr>
          <xdr:cNvSpPr txBox="1"/>
        </xdr:nvSpPr>
        <xdr:spPr>
          <a:xfrm>
            <a:off x="4082213" y="1008134"/>
            <a:ext cx="44114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A1</a:t>
            </a:r>
            <a:endParaRPr lang="en-IN" b="1"/>
          </a:p>
        </xdr:txBody>
      </xdr:sp>
      <xdr:sp macro="" textlink="">
        <xdr:nvSpPr>
          <xdr:cNvPr id="53" name="TextBox 188">
            <a:extLst>
              <a:ext uri="{FF2B5EF4-FFF2-40B4-BE49-F238E27FC236}">
                <a16:creationId xmlns:a16="http://schemas.microsoft.com/office/drawing/2014/main" id="{E42D123D-0E7D-4BED-A5C7-07EF04A60F95}"/>
              </a:ext>
            </a:extLst>
          </xdr:cNvPr>
          <xdr:cNvSpPr txBox="1"/>
        </xdr:nvSpPr>
        <xdr:spPr>
          <a:xfrm>
            <a:off x="4919625" y="1192800"/>
            <a:ext cx="44114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A2</a:t>
            </a:r>
            <a:endParaRPr lang="en-IN" b="1"/>
          </a:p>
        </xdr:txBody>
      </xdr:sp>
      <xdr:sp macro="" textlink="">
        <xdr:nvSpPr>
          <xdr:cNvPr id="54" name="TextBox 189">
            <a:extLst>
              <a:ext uri="{FF2B5EF4-FFF2-40B4-BE49-F238E27FC236}">
                <a16:creationId xmlns:a16="http://schemas.microsoft.com/office/drawing/2014/main" id="{1B74CD70-06B9-41CD-85F7-EE5079D975B9}"/>
              </a:ext>
            </a:extLst>
          </xdr:cNvPr>
          <xdr:cNvSpPr txBox="1"/>
        </xdr:nvSpPr>
        <xdr:spPr>
          <a:xfrm>
            <a:off x="5776087" y="1377466"/>
            <a:ext cx="44114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A3</a:t>
            </a:r>
            <a:endParaRPr lang="en-IN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4fPhapWku4tg8Ubw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10"/>
  <sheetViews>
    <sheetView tabSelected="1" view="pageBreakPreview" zoomScaleNormal="100" zoomScaleSheetLayoutView="100" workbookViewId="0">
      <selection activeCell="J8" sqref="J8"/>
    </sheetView>
  </sheetViews>
  <sheetFormatPr defaultColWidth="9.140625" defaultRowHeight="15.75" x14ac:dyDescent="0.25"/>
  <cols>
    <col min="1" max="1" width="11.42578125" style="37" customWidth="1"/>
    <col min="2" max="2" width="12" style="37" customWidth="1"/>
    <col min="3" max="3" width="12.7109375" style="37" customWidth="1"/>
    <col min="4" max="4" width="14.140625" style="37" customWidth="1"/>
    <col min="5" max="7" width="11.7109375" style="37" customWidth="1"/>
    <col min="8" max="8" width="12.42578125" style="37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8" ht="46.5" customHeight="1" x14ac:dyDescent="0.25">
      <c r="A1" s="180" t="s">
        <v>265</v>
      </c>
      <c r="B1" s="180"/>
      <c r="C1" s="180"/>
      <c r="D1" s="180"/>
      <c r="E1" s="180"/>
      <c r="F1" s="180"/>
      <c r="G1" s="180"/>
      <c r="H1" s="180"/>
    </row>
    <row r="2" spans="1:8" ht="16.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</row>
    <row r="3" spans="1:8" x14ac:dyDescent="0.25">
      <c r="A3" s="85" t="s">
        <v>1</v>
      </c>
      <c r="B3" s="85"/>
      <c r="C3" s="85"/>
      <c r="D3" s="85"/>
      <c r="E3" s="85" t="str">
        <f ca="1">TEXT(TODAY(),"DD/MM/YYYY")</f>
        <v>19/09/2025</v>
      </c>
      <c r="F3" s="85"/>
      <c r="G3" s="85"/>
      <c r="H3" s="85"/>
    </row>
    <row r="4" spans="1:8" ht="15" customHeight="1" x14ac:dyDescent="0.25">
      <c r="A4" s="85" t="s">
        <v>2</v>
      </c>
      <c r="B4" s="85"/>
      <c r="C4" s="85"/>
      <c r="D4" s="85"/>
      <c r="E4" s="85" t="s">
        <v>174</v>
      </c>
      <c r="F4" s="85"/>
      <c r="G4" s="85"/>
      <c r="H4" s="85"/>
    </row>
    <row r="5" spans="1:8" x14ac:dyDescent="0.25">
      <c r="A5" s="85" t="s">
        <v>3</v>
      </c>
      <c r="B5" s="85"/>
      <c r="C5" s="85"/>
      <c r="D5" s="85"/>
      <c r="E5" s="179">
        <v>45916</v>
      </c>
      <c r="F5" s="85"/>
      <c r="G5" s="85"/>
      <c r="H5" s="85"/>
    </row>
    <row r="6" spans="1:8" ht="16.5" customHeight="1" x14ac:dyDescent="0.25">
      <c r="A6" s="85" t="s">
        <v>4</v>
      </c>
      <c r="B6" s="85"/>
      <c r="C6" s="85"/>
      <c r="D6" s="85"/>
      <c r="E6" s="85" t="s">
        <v>175</v>
      </c>
      <c r="F6" s="85"/>
      <c r="G6" s="85"/>
      <c r="H6" s="85"/>
    </row>
    <row r="7" spans="1:8" ht="15" customHeight="1" x14ac:dyDescent="0.25">
      <c r="A7" s="85" t="s">
        <v>5</v>
      </c>
      <c r="B7" s="85"/>
      <c r="C7" s="85"/>
      <c r="D7" s="85"/>
      <c r="E7" s="85" t="str">
        <f>E6</f>
        <v>M/s. Sunteck Real Estates Private Limited</v>
      </c>
      <c r="F7" s="85"/>
      <c r="G7" s="85"/>
      <c r="H7" s="85"/>
    </row>
    <row r="8" spans="1:8" x14ac:dyDescent="0.25">
      <c r="A8" s="85" t="s">
        <v>6</v>
      </c>
      <c r="B8" s="85"/>
      <c r="C8" s="85"/>
      <c r="D8" s="85"/>
      <c r="E8" s="181" t="s">
        <v>176</v>
      </c>
      <c r="F8" s="181"/>
      <c r="G8" s="181"/>
      <c r="H8" s="181"/>
    </row>
    <row r="9" spans="1:8" x14ac:dyDescent="0.25">
      <c r="A9" s="85" t="s">
        <v>126</v>
      </c>
      <c r="B9" s="85"/>
      <c r="C9" s="85"/>
      <c r="D9" s="85"/>
      <c r="E9" s="85">
        <v>9819812343</v>
      </c>
      <c r="F9" s="85"/>
      <c r="G9" s="85"/>
      <c r="H9" s="85"/>
    </row>
    <row r="10" spans="1:8" ht="51" customHeight="1" x14ac:dyDescent="0.25">
      <c r="A10" s="85" t="s">
        <v>7</v>
      </c>
      <c r="B10" s="85"/>
      <c r="C10" s="85"/>
      <c r="D10" s="85"/>
      <c r="E10" s="91" t="s">
        <v>256</v>
      </c>
      <c r="F10" s="85"/>
      <c r="G10" s="85"/>
      <c r="H10" s="85"/>
    </row>
    <row r="11" spans="1:8" x14ac:dyDescent="0.25">
      <c r="A11" s="84" t="s">
        <v>8</v>
      </c>
      <c r="B11" s="84"/>
      <c r="C11" s="84"/>
      <c r="D11" s="84"/>
      <c r="E11" s="177" t="s">
        <v>243</v>
      </c>
      <c r="F11" s="177"/>
      <c r="G11" s="177"/>
      <c r="H11" s="177"/>
    </row>
    <row r="12" spans="1:8" ht="48" customHeight="1" x14ac:dyDescent="0.25">
      <c r="A12" s="84" t="s">
        <v>9</v>
      </c>
      <c r="B12" s="84"/>
      <c r="C12" s="84"/>
      <c r="D12" s="84"/>
      <c r="E12" s="177" t="s">
        <v>245</v>
      </c>
      <c r="F12" s="126"/>
      <c r="G12" s="126"/>
      <c r="H12" s="126"/>
    </row>
    <row r="13" spans="1:8" ht="48.75" customHeight="1" x14ac:dyDescent="0.25">
      <c r="A13" s="177" t="s">
        <v>10</v>
      </c>
      <c r="B13" s="177"/>
      <c r="C13" s="177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Sunteck Beach Residences, Survey No.110A, 110B, 111, 112/2, 113, 114A, 114/B, 115/A, 115/2, near Ventura Residency Complex, Suruchi Beach Road, Naigaon West, Dhovali, Vasai West, Vasai, Palghar - 401201.</v>
      </c>
      <c r="D13" s="177"/>
      <c r="E13" s="177"/>
      <c r="F13" s="177"/>
      <c r="G13" s="177"/>
      <c r="H13" s="177"/>
    </row>
    <row r="14" spans="1:8" x14ac:dyDescent="0.25">
      <c r="A14" s="177" t="s">
        <v>177</v>
      </c>
      <c r="B14" s="177"/>
      <c r="C14" s="177" t="s">
        <v>246</v>
      </c>
      <c r="D14" s="177"/>
      <c r="E14" s="177"/>
      <c r="F14" s="177"/>
      <c r="G14" s="177"/>
      <c r="H14" s="177"/>
    </row>
    <row r="15" spans="1:8" ht="15.75" customHeight="1" x14ac:dyDescent="0.25">
      <c r="A15" s="177" t="s">
        <v>173</v>
      </c>
      <c r="B15" s="177"/>
      <c r="C15" s="177" t="s">
        <v>181</v>
      </c>
      <c r="D15" s="177"/>
      <c r="E15" s="177"/>
      <c r="F15" s="177"/>
      <c r="G15" s="177"/>
      <c r="H15" s="177"/>
    </row>
    <row r="16" spans="1:8" ht="15.75" customHeight="1" x14ac:dyDescent="0.25">
      <c r="A16" s="92" t="s">
        <v>11</v>
      </c>
      <c r="B16" s="92"/>
      <c r="C16" s="85" t="s">
        <v>182</v>
      </c>
      <c r="D16" s="85"/>
      <c r="E16" s="92" t="s">
        <v>74</v>
      </c>
      <c r="F16" s="92"/>
      <c r="G16" s="91" t="s">
        <v>178</v>
      </c>
      <c r="H16" s="91"/>
    </row>
    <row r="17" spans="1:8" x14ac:dyDescent="0.25">
      <c r="A17" s="84" t="s">
        <v>13</v>
      </c>
      <c r="B17" s="84"/>
      <c r="C17" s="91" t="s">
        <v>183</v>
      </c>
      <c r="D17" s="91"/>
      <c r="E17" s="92" t="s">
        <v>12</v>
      </c>
      <c r="F17" s="92"/>
      <c r="G17" s="178" t="s">
        <v>180</v>
      </c>
      <c r="H17" s="178"/>
    </row>
    <row r="18" spans="1:8" x14ac:dyDescent="0.25">
      <c r="A18" s="84" t="s">
        <v>75</v>
      </c>
      <c r="B18" s="84"/>
      <c r="C18" s="91" t="s">
        <v>179</v>
      </c>
      <c r="D18" s="91"/>
      <c r="E18" s="92" t="s">
        <v>14</v>
      </c>
      <c r="F18" s="92"/>
      <c r="G18" s="91">
        <v>401201</v>
      </c>
      <c r="H18" s="91"/>
    </row>
    <row r="19" spans="1:8" ht="32.25" customHeight="1" x14ac:dyDescent="0.25">
      <c r="A19" s="84" t="s">
        <v>127</v>
      </c>
      <c r="B19" s="84"/>
      <c r="C19" s="91" t="s">
        <v>186</v>
      </c>
      <c r="D19" s="91"/>
      <c r="E19" s="92" t="s">
        <v>15</v>
      </c>
      <c r="F19" s="92"/>
      <c r="G19" s="177" t="s">
        <v>184</v>
      </c>
      <c r="H19" s="177"/>
    </row>
    <row r="20" spans="1:8" ht="15" customHeight="1" x14ac:dyDescent="0.25">
      <c r="A20" s="92" t="s">
        <v>78</v>
      </c>
      <c r="B20" s="92"/>
      <c r="C20" s="92"/>
      <c r="D20" s="92"/>
      <c r="E20" s="85" t="s">
        <v>16</v>
      </c>
      <c r="F20" s="85"/>
      <c r="G20" s="85"/>
      <c r="H20" s="85"/>
    </row>
    <row r="21" spans="1:8" ht="18.75" customHeight="1" x14ac:dyDescent="0.25">
      <c r="A21" s="92"/>
      <c r="B21" s="92"/>
      <c r="C21" s="92"/>
      <c r="D21" s="92"/>
      <c r="E21" s="85"/>
      <c r="F21" s="85"/>
      <c r="G21" s="85"/>
      <c r="H21" s="85"/>
    </row>
    <row r="22" spans="1:8" ht="15" customHeight="1" x14ac:dyDescent="0.25">
      <c r="A22" s="92" t="s">
        <v>17</v>
      </c>
      <c r="B22" s="92"/>
      <c r="C22" s="92"/>
      <c r="D22" s="92"/>
      <c r="E22" s="91" t="s">
        <v>18</v>
      </c>
      <c r="F22" s="91"/>
      <c r="G22" s="91"/>
      <c r="H22" s="91"/>
    </row>
    <row r="23" spans="1:8" ht="15" customHeight="1" x14ac:dyDescent="0.25">
      <c r="A23" s="84" t="s">
        <v>19</v>
      </c>
      <c r="B23" s="84"/>
      <c r="C23" s="84"/>
      <c r="D23" s="84"/>
      <c r="E23" s="91" t="str">
        <f>IF(AND(G17="Mumbai"),"Upper Class","Middle Class")</f>
        <v>Middle Class</v>
      </c>
      <c r="F23" s="91"/>
      <c r="G23" s="91"/>
      <c r="H23" s="91"/>
    </row>
    <row r="24" spans="1:8" x14ac:dyDescent="0.25">
      <c r="A24" s="84" t="s">
        <v>20</v>
      </c>
      <c r="B24" s="84"/>
      <c r="C24" s="84"/>
      <c r="D24" s="84"/>
      <c r="E24" s="91" t="s">
        <v>21</v>
      </c>
      <c r="F24" s="91"/>
      <c r="G24" s="91"/>
      <c r="H24" s="91"/>
    </row>
    <row r="25" spans="1:8" ht="15.75" customHeight="1" x14ac:dyDescent="0.25">
      <c r="A25" s="84" t="s">
        <v>22</v>
      </c>
      <c r="B25" s="84"/>
      <c r="C25" s="84"/>
      <c r="D25" s="84"/>
      <c r="E25" s="91" t="str">
        <f>IF(AND(G17="Mumbai"),"Developed","Developing")</f>
        <v>Developing</v>
      </c>
      <c r="F25" s="91"/>
      <c r="G25" s="91"/>
      <c r="H25" s="91"/>
    </row>
    <row r="26" spans="1:8" x14ac:dyDescent="0.25">
      <c r="A26" s="84" t="s">
        <v>23</v>
      </c>
      <c r="B26" s="84"/>
      <c r="C26" s="84"/>
      <c r="D26" s="84"/>
      <c r="E26" s="91" t="s">
        <v>24</v>
      </c>
      <c r="F26" s="91"/>
      <c r="G26" s="91"/>
      <c r="H26" s="91"/>
    </row>
    <row r="27" spans="1:8" ht="15.75" customHeight="1" x14ac:dyDescent="0.25">
      <c r="A27" s="84" t="s">
        <v>83</v>
      </c>
      <c r="B27" s="84"/>
      <c r="C27" s="84"/>
      <c r="D27" s="84"/>
      <c r="E27" s="91" t="s">
        <v>84</v>
      </c>
      <c r="F27" s="91"/>
      <c r="G27" s="91"/>
      <c r="H27" s="91"/>
    </row>
    <row r="28" spans="1:8" ht="15" customHeight="1" x14ac:dyDescent="0.25">
      <c r="A28" s="84" t="s">
        <v>33</v>
      </c>
      <c r="B28" s="84"/>
      <c r="C28" s="84"/>
      <c r="D28" s="84"/>
      <c r="E28" s="91" t="str">
        <f>IF(AND(ISNUMBER(SEARCH("Flat",D64)),ISNUMBER(SEARCH("Shop",D64)),ISNUMBER(SEARCH("Office",D64))),"Residential + Commercial",IF(AND(ISNUMBER(SEARCH("Flat",D64)),ISNUMBER(SEARCH("Shop",D64))),"Residential + Commercial",IF(AND(ISNUMBER(SEARCH("Flat",D64)),ISNUMBER(SEARCH("Office",D64))),"Residential + Commercial",IF(AND(ISNUMBER(SEARCH("Shop",D64)),ISNUMBER(SEARCH("Office",D64))),"Commercial",IF(ISNUMBER(SEARCH("Shop",D64)),"Commercial",IF(ISNUMBER(SEARCH("Office",D64)),"Commercial",IF(ISNUMBER(SEARCH("Flat",D64)),"Residential")))))))</f>
        <v>Residential</v>
      </c>
      <c r="F28" s="91"/>
      <c r="G28" s="91"/>
      <c r="H28" s="91"/>
    </row>
    <row r="29" spans="1:8" ht="15.75" customHeight="1" x14ac:dyDescent="0.25">
      <c r="A29" s="84" t="s">
        <v>95</v>
      </c>
      <c r="B29" s="84"/>
      <c r="C29" s="84"/>
      <c r="D29" s="84"/>
      <c r="E29" s="91" t="s">
        <v>34</v>
      </c>
      <c r="F29" s="91"/>
      <c r="G29" s="91"/>
      <c r="H29" s="91"/>
    </row>
    <row r="30" spans="1:8" s="20" customFormat="1" x14ac:dyDescent="0.25">
      <c r="A30" s="176" t="s">
        <v>96</v>
      </c>
      <c r="B30" s="176"/>
      <c r="C30" s="175" t="s">
        <v>29</v>
      </c>
      <c r="D30" s="175"/>
      <c r="E30" s="175"/>
      <c r="F30" s="175" t="s">
        <v>31</v>
      </c>
      <c r="G30" s="175"/>
      <c r="H30" s="175"/>
    </row>
    <row r="31" spans="1:8" s="20" customFormat="1" x14ac:dyDescent="0.25">
      <c r="A31" s="163" t="s">
        <v>25</v>
      </c>
      <c r="B31" s="163" t="s">
        <v>30</v>
      </c>
      <c r="C31" s="164" t="s">
        <v>30</v>
      </c>
      <c r="D31" s="164"/>
      <c r="E31" s="164"/>
      <c r="F31" s="164" t="s">
        <v>186</v>
      </c>
      <c r="G31" s="164"/>
      <c r="H31" s="164"/>
    </row>
    <row r="32" spans="1:8" x14ac:dyDescent="0.25">
      <c r="A32" s="163" t="s">
        <v>26</v>
      </c>
      <c r="B32" s="163" t="s">
        <v>30</v>
      </c>
      <c r="C32" s="164" t="s">
        <v>30</v>
      </c>
      <c r="D32" s="164"/>
      <c r="E32" s="164"/>
      <c r="F32" s="164" t="s">
        <v>185</v>
      </c>
      <c r="G32" s="164"/>
      <c r="H32" s="164"/>
    </row>
    <row r="33" spans="1:8" s="20" customFormat="1" x14ac:dyDescent="0.25">
      <c r="A33" s="163" t="s">
        <v>28</v>
      </c>
      <c r="B33" s="163" t="s">
        <v>30</v>
      </c>
      <c r="C33" s="164" t="s">
        <v>30</v>
      </c>
      <c r="D33" s="164"/>
      <c r="E33" s="164"/>
      <c r="F33" s="164" t="s">
        <v>185</v>
      </c>
      <c r="G33" s="164"/>
      <c r="H33" s="164"/>
    </row>
    <row r="34" spans="1:8" x14ac:dyDescent="0.25">
      <c r="A34" s="163" t="s">
        <v>27</v>
      </c>
      <c r="B34" s="163" t="s">
        <v>30</v>
      </c>
      <c r="C34" s="164" t="s">
        <v>30</v>
      </c>
      <c r="D34" s="164"/>
      <c r="E34" s="164"/>
      <c r="F34" s="164" t="s">
        <v>187</v>
      </c>
      <c r="G34" s="164"/>
      <c r="H34" s="164"/>
    </row>
    <row r="35" spans="1:8" x14ac:dyDescent="0.25">
      <c r="A35" s="84" t="s">
        <v>32</v>
      </c>
      <c r="B35" s="84"/>
      <c r="C35" s="84"/>
      <c r="D35" s="84"/>
      <c r="E35" s="84"/>
      <c r="F35" s="84"/>
      <c r="G35" s="84"/>
      <c r="H35" s="84"/>
    </row>
    <row r="36" spans="1:8" ht="15.75" customHeight="1" x14ac:dyDescent="0.25">
      <c r="A36" s="117" t="s">
        <v>263</v>
      </c>
      <c r="B36" s="117"/>
      <c r="C36" s="104" t="s">
        <v>264</v>
      </c>
      <c r="D36" s="105"/>
      <c r="E36" s="105"/>
      <c r="F36" s="105"/>
      <c r="G36" s="105"/>
      <c r="H36" s="106"/>
    </row>
    <row r="37" spans="1:8" x14ac:dyDescent="0.25">
      <c r="A37" s="117" t="s">
        <v>172</v>
      </c>
      <c r="B37" s="117"/>
      <c r="C37" s="118" t="s">
        <v>188</v>
      </c>
      <c r="D37" s="91"/>
      <c r="E37" s="91"/>
      <c r="F37" s="91"/>
      <c r="G37" s="91"/>
      <c r="H37" s="91"/>
    </row>
    <row r="38" spans="1:8" x14ac:dyDescent="0.25">
      <c r="A38" s="174" t="s">
        <v>35</v>
      </c>
      <c r="B38" s="174"/>
      <c r="C38" s="174"/>
      <c r="D38" s="174"/>
      <c r="E38" s="174"/>
      <c r="F38" s="174"/>
      <c r="G38" s="174"/>
      <c r="H38" s="174"/>
    </row>
    <row r="39" spans="1:8" x14ac:dyDescent="0.25">
      <c r="A39" s="84" t="s">
        <v>36</v>
      </c>
      <c r="B39" s="84"/>
      <c r="C39" s="84"/>
      <c r="D39" s="84"/>
      <c r="E39" s="173">
        <v>71733.429999999993</v>
      </c>
      <c r="F39" s="173"/>
      <c r="G39" s="173"/>
      <c r="H39" s="173"/>
    </row>
    <row r="40" spans="1:8" x14ac:dyDescent="0.25">
      <c r="A40" s="84" t="s">
        <v>37</v>
      </c>
      <c r="B40" s="84"/>
      <c r="C40" s="84"/>
      <c r="D40" s="84"/>
      <c r="E40" s="125">
        <v>1.1000000000000001</v>
      </c>
      <c r="F40" s="125"/>
      <c r="G40" s="125"/>
      <c r="H40" s="125"/>
    </row>
    <row r="41" spans="1:8" x14ac:dyDescent="0.25">
      <c r="A41" s="84" t="s">
        <v>38</v>
      </c>
      <c r="B41" s="84"/>
      <c r="C41" s="84"/>
      <c r="D41" s="84"/>
      <c r="E41" s="125">
        <f>E43/E39-E40</f>
        <v>0.58162473201128129</v>
      </c>
      <c r="F41" s="125"/>
      <c r="G41" s="125"/>
      <c r="H41" s="125"/>
    </row>
    <row r="42" spans="1:8" x14ac:dyDescent="0.25">
      <c r="A42" s="84" t="s">
        <v>39</v>
      </c>
      <c r="B42" s="84"/>
      <c r="C42" s="84"/>
      <c r="D42" s="84"/>
      <c r="E42" s="125">
        <f>E40+E41</f>
        <v>1.6816247320112814</v>
      </c>
      <c r="F42" s="125"/>
      <c r="G42" s="125"/>
      <c r="H42" s="125"/>
    </row>
    <row r="43" spans="1:8" x14ac:dyDescent="0.25">
      <c r="A43" s="84" t="s">
        <v>94</v>
      </c>
      <c r="B43" s="84"/>
      <c r="C43" s="84"/>
      <c r="D43" s="84"/>
      <c r="E43" s="170">
        <v>120628.71</v>
      </c>
      <c r="F43" s="170"/>
      <c r="G43" s="170"/>
      <c r="H43" s="170"/>
    </row>
    <row r="44" spans="1:8" x14ac:dyDescent="0.25">
      <c r="A44" s="85" t="s">
        <v>40</v>
      </c>
      <c r="B44" s="85"/>
      <c r="C44" s="85"/>
      <c r="D44" s="85"/>
      <c r="E44" s="126" t="s">
        <v>189</v>
      </c>
      <c r="F44" s="126"/>
      <c r="G44" s="126"/>
      <c r="H44" s="126"/>
    </row>
    <row r="45" spans="1:8" x14ac:dyDescent="0.25">
      <c r="A45" s="67" t="s">
        <v>41</v>
      </c>
      <c r="B45" s="67"/>
      <c r="C45" s="67"/>
      <c r="D45" s="67"/>
      <c r="E45" s="67"/>
      <c r="F45" s="67"/>
      <c r="G45" s="67"/>
      <c r="H45" s="67"/>
    </row>
    <row r="46" spans="1:8" ht="33.75" customHeight="1" x14ac:dyDescent="0.25">
      <c r="A46" s="119" t="s">
        <v>159</v>
      </c>
      <c r="B46" s="120"/>
      <c r="C46" s="121" t="s">
        <v>190</v>
      </c>
      <c r="D46" s="122"/>
      <c r="E46" s="122"/>
      <c r="F46" s="122"/>
      <c r="G46" s="122"/>
      <c r="H46" s="123"/>
    </row>
    <row r="47" spans="1:8" ht="15.75" customHeight="1" x14ac:dyDescent="0.25">
      <c r="A47" s="119" t="s">
        <v>42</v>
      </c>
      <c r="B47" s="120"/>
      <c r="C47" s="119" t="s">
        <v>191</v>
      </c>
      <c r="D47" s="169"/>
      <c r="E47" s="120"/>
      <c r="F47" s="50" t="s">
        <v>43</v>
      </c>
      <c r="G47" s="172">
        <v>44698</v>
      </c>
      <c r="H47" s="120"/>
    </row>
    <row r="48" spans="1:8" x14ac:dyDescent="0.25">
      <c r="A48" s="119" t="s">
        <v>44</v>
      </c>
      <c r="B48" s="120"/>
      <c r="C48" s="119" t="str">
        <f>C47</f>
        <v>VVCMC/TP/CC/VP/6241/22/2022-23</v>
      </c>
      <c r="D48" s="169"/>
      <c r="E48" s="120"/>
      <c r="F48" s="50" t="s">
        <v>43</v>
      </c>
      <c r="G48" s="172">
        <v>44698</v>
      </c>
      <c r="H48" s="120"/>
    </row>
    <row r="49" spans="1:9" s="21" customFormat="1" ht="15.75" customHeight="1" x14ac:dyDescent="0.25">
      <c r="A49" s="112" t="s">
        <v>163</v>
      </c>
      <c r="B49" s="113"/>
      <c r="C49" s="88" t="s">
        <v>193</v>
      </c>
      <c r="D49" s="89"/>
      <c r="E49" s="90"/>
      <c r="F49" s="16" t="s">
        <v>43</v>
      </c>
      <c r="G49" s="96">
        <v>44698</v>
      </c>
      <c r="H49" s="90"/>
    </row>
    <row r="50" spans="1:9" s="21" customFormat="1" ht="17.25" customHeight="1" x14ac:dyDescent="0.25">
      <c r="A50" s="114"/>
      <c r="B50" s="115"/>
      <c r="C50" s="88" t="s">
        <v>283</v>
      </c>
      <c r="D50" s="89"/>
      <c r="E50" s="89"/>
      <c r="F50" s="89"/>
      <c r="G50" s="89"/>
      <c r="H50" s="90"/>
    </row>
    <row r="51" spans="1:9" s="21" customFormat="1" ht="15.75" customHeight="1" x14ac:dyDescent="0.25">
      <c r="A51" s="112" t="s">
        <v>163</v>
      </c>
      <c r="B51" s="113"/>
      <c r="C51" s="88" t="s">
        <v>193</v>
      </c>
      <c r="D51" s="89"/>
      <c r="E51" s="90"/>
      <c r="F51" s="16" t="s">
        <v>43</v>
      </c>
      <c r="G51" s="96">
        <v>44698</v>
      </c>
      <c r="H51" s="90"/>
    </row>
    <row r="52" spans="1:9" s="21" customFormat="1" x14ac:dyDescent="0.25">
      <c r="A52" s="114"/>
      <c r="B52" s="115"/>
      <c r="C52" s="88" t="s">
        <v>194</v>
      </c>
      <c r="D52" s="89"/>
      <c r="E52" s="89"/>
      <c r="F52" s="89"/>
      <c r="G52" s="89"/>
      <c r="H52" s="90"/>
    </row>
    <row r="53" spans="1:9" s="21" customFormat="1" ht="15.75" customHeight="1" x14ac:dyDescent="0.25">
      <c r="A53" s="112" t="s">
        <v>163</v>
      </c>
      <c r="B53" s="113"/>
      <c r="C53" s="88" t="s">
        <v>193</v>
      </c>
      <c r="D53" s="89"/>
      <c r="E53" s="90"/>
      <c r="F53" s="16" t="s">
        <v>43</v>
      </c>
      <c r="G53" s="96">
        <v>44698</v>
      </c>
      <c r="H53" s="90"/>
    </row>
    <row r="54" spans="1:9" s="21" customFormat="1" ht="30.95" customHeight="1" x14ac:dyDescent="0.25">
      <c r="A54" s="114"/>
      <c r="B54" s="115"/>
      <c r="C54" s="88" t="s">
        <v>285</v>
      </c>
      <c r="D54" s="89"/>
      <c r="E54" s="89"/>
      <c r="F54" s="89"/>
      <c r="G54" s="89"/>
      <c r="H54" s="90"/>
    </row>
    <row r="55" spans="1:9" x14ac:dyDescent="0.25">
      <c r="A55" s="67" t="s">
        <v>270</v>
      </c>
      <c r="B55" s="67"/>
      <c r="C55" s="67"/>
      <c r="D55" s="67"/>
      <c r="E55" s="67"/>
      <c r="F55" s="67"/>
      <c r="G55" s="67"/>
      <c r="H55" s="67"/>
    </row>
    <row r="56" spans="1:9" ht="36" customHeight="1" x14ac:dyDescent="0.25">
      <c r="A56" s="119" t="s">
        <v>44</v>
      </c>
      <c r="B56" s="120"/>
      <c r="C56" s="119" t="s">
        <v>271</v>
      </c>
      <c r="D56" s="169"/>
      <c r="E56" s="120"/>
      <c r="F56" s="50" t="s">
        <v>43</v>
      </c>
      <c r="G56" s="172">
        <v>44851</v>
      </c>
      <c r="H56" s="120"/>
    </row>
    <row r="57" spans="1:9" s="21" customFormat="1" ht="33" customHeight="1" x14ac:dyDescent="0.25">
      <c r="A57" s="112" t="s">
        <v>284</v>
      </c>
      <c r="B57" s="113"/>
      <c r="C57" s="88" t="str">
        <f>C56</f>
        <v>VVCMC/TP/AMEND/VP/6241/375/2022-23</v>
      </c>
      <c r="D57" s="89"/>
      <c r="E57" s="90"/>
      <c r="F57" s="16" t="s">
        <v>43</v>
      </c>
      <c r="G57" s="96">
        <f>G56</f>
        <v>44851</v>
      </c>
      <c r="H57" s="90"/>
    </row>
    <row r="58" spans="1:9" s="21" customFormat="1" ht="30.75" customHeight="1" x14ac:dyDescent="0.25">
      <c r="A58" s="114"/>
      <c r="B58" s="115"/>
      <c r="C58" s="88" t="s">
        <v>272</v>
      </c>
      <c r="D58" s="89"/>
      <c r="E58" s="89"/>
      <c r="F58" s="89"/>
      <c r="G58" s="89"/>
      <c r="H58" s="90"/>
    </row>
    <row r="59" spans="1:9" x14ac:dyDescent="0.25">
      <c r="A59" s="107" t="s">
        <v>45</v>
      </c>
      <c r="B59" s="108"/>
      <c r="C59" s="107" t="s">
        <v>107</v>
      </c>
      <c r="D59" s="109"/>
      <c r="E59" s="108"/>
      <c r="F59" s="54" t="s">
        <v>43</v>
      </c>
      <c r="G59" s="110" t="s">
        <v>30</v>
      </c>
      <c r="H59" s="111"/>
    </row>
    <row r="60" spans="1:9" ht="15.75" customHeight="1" x14ac:dyDescent="0.25">
      <c r="A60" s="112" t="s">
        <v>259</v>
      </c>
      <c r="B60" s="113"/>
      <c r="C60" s="88" t="s">
        <v>261</v>
      </c>
      <c r="D60" s="89"/>
      <c r="E60" s="90"/>
      <c r="F60" s="54" t="s">
        <v>43</v>
      </c>
      <c r="G60" s="195">
        <v>44761</v>
      </c>
      <c r="H60" s="196"/>
    </row>
    <row r="61" spans="1:9" ht="130.5" customHeight="1" x14ac:dyDescent="0.25">
      <c r="A61" s="114"/>
      <c r="B61" s="115"/>
      <c r="C61" s="88" t="s">
        <v>260</v>
      </c>
      <c r="D61" s="89"/>
      <c r="E61" s="89"/>
      <c r="F61" s="89"/>
      <c r="G61" s="89"/>
      <c r="H61" s="90"/>
    </row>
    <row r="62" spans="1:9" x14ac:dyDescent="0.25">
      <c r="A62" s="168" t="s">
        <v>47</v>
      </c>
      <c r="B62" s="168"/>
      <c r="C62" s="168"/>
      <c r="D62" s="168"/>
      <c r="E62" s="168"/>
      <c r="F62" s="168"/>
      <c r="G62" s="168"/>
      <c r="H62" s="168"/>
    </row>
    <row r="63" spans="1:9" x14ac:dyDescent="0.25">
      <c r="A63" s="92" t="s">
        <v>93</v>
      </c>
      <c r="B63" s="92"/>
      <c r="C63" s="92"/>
      <c r="D63" s="84">
        <f>E43</f>
        <v>120628.71</v>
      </c>
      <c r="E63" s="84"/>
      <c r="F63" s="84"/>
      <c r="G63" s="84"/>
      <c r="H63" s="84"/>
    </row>
    <row r="64" spans="1:9" x14ac:dyDescent="0.25">
      <c r="A64" s="91" t="s">
        <v>48</v>
      </c>
      <c r="B64" s="85"/>
      <c r="C64" s="85"/>
      <c r="D64" s="85" t="s">
        <v>279</v>
      </c>
      <c r="E64" s="85"/>
      <c r="F64" s="85"/>
      <c r="G64" s="85"/>
      <c r="H64" s="85"/>
      <c r="I64" s="22"/>
    </row>
    <row r="65" spans="1:14" ht="33.75" customHeight="1" x14ac:dyDescent="0.25">
      <c r="A65" s="97" t="s">
        <v>196</v>
      </c>
      <c r="B65" s="97"/>
      <c r="C65" s="97" t="s">
        <v>197</v>
      </c>
      <c r="D65" s="97"/>
      <c r="E65" s="97" t="s">
        <v>198</v>
      </c>
      <c r="F65" s="97"/>
      <c r="G65" s="97" t="s">
        <v>199</v>
      </c>
      <c r="H65" s="97"/>
      <c r="I65" s="22"/>
      <c r="J65" s="22"/>
    </row>
    <row r="66" spans="1:14" ht="15.75" customHeight="1" x14ac:dyDescent="0.25">
      <c r="A66" s="116" t="s">
        <v>225</v>
      </c>
      <c r="B66" s="116"/>
      <c r="C66" s="116" t="s">
        <v>200</v>
      </c>
      <c r="D66" s="116"/>
      <c r="E66" s="116" t="s">
        <v>206</v>
      </c>
      <c r="F66" s="116"/>
      <c r="G66" s="116" t="s">
        <v>201</v>
      </c>
      <c r="H66" s="116"/>
      <c r="I66" s="22"/>
      <c r="J66" s="22"/>
    </row>
    <row r="67" spans="1:14" ht="15.75" customHeight="1" x14ac:dyDescent="0.25">
      <c r="A67" s="116" t="s">
        <v>226</v>
      </c>
      <c r="B67" s="116"/>
      <c r="C67" s="116" t="s">
        <v>202</v>
      </c>
      <c r="D67" s="116"/>
      <c r="E67" s="116" t="s">
        <v>206</v>
      </c>
      <c r="F67" s="116"/>
      <c r="G67" s="116"/>
      <c r="H67" s="116"/>
      <c r="I67" s="22"/>
      <c r="J67" s="22"/>
    </row>
    <row r="68" spans="1:14" ht="15.75" customHeight="1" x14ac:dyDescent="0.25">
      <c r="A68" s="116" t="s">
        <v>231</v>
      </c>
      <c r="B68" s="116"/>
      <c r="C68" s="116" t="s">
        <v>209</v>
      </c>
      <c r="D68" s="116"/>
      <c r="E68" s="116" t="s">
        <v>206</v>
      </c>
      <c r="F68" s="116"/>
      <c r="G68" s="116" t="s">
        <v>204</v>
      </c>
      <c r="H68" s="116"/>
      <c r="I68" s="22"/>
      <c r="J68" s="22"/>
    </row>
    <row r="69" spans="1:14" ht="15.75" customHeight="1" x14ac:dyDescent="0.25">
      <c r="A69" s="116" t="s">
        <v>232</v>
      </c>
      <c r="B69" s="116"/>
      <c r="C69" s="116" t="s">
        <v>210</v>
      </c>
      <c r="D69" s="116"/>
      <c r="E69" s="116" t="s">
        <v>206</v>
      </c>
      <c r="F69" s="116"/>
      <c r="G69" s="116"/>
      <c r="H69" s="116"/>
      <c r="I69" s="22"/>
      <c r="J69" s="22"/>
    </row>
    <row r="70" spans="1:14" ht="15.75" customHeight="1" x14ac:dyDescent="0.25">
      <c r="A70" s="116" t="s">
        <v>227</v>
      </c>
      <c r="B70" s="116"/>
      <c r="C70" s="116" t="s">
        <v>212</v>
      </c>
      <c r="D70" s="116"/>
      <c r="E70" s="116" t="s">
        <v>206</v>
      </c>
      <c r="F70" s="116"/>
      <c r="G70" s="116" t="s">
        <v>214</v>
      </c>
      <c r="H70" s="116"/>
      <c r="I70" s="22"/>
      <c r="J70" s="22"/>
    </row>
    <row r="71" spans="1:14" ht="15.75" customHeight="1" x14ac:dyDescent="0.25">
      <c r="A71" s="116" t="s">
        <v>228</v>
      </c>
      <c r="B71" s="116"/>
      <c r="C71" s="116" t="s">
        <v>213</v>
      </c>
      <c r="D71" s="116"/>
      <c r="E71" s="116" t="s">
        <v>206</v>
      </c>
      <c r="F71" s="116"/>
      <c r="G71" s="116"/>
      <c r="H71" s="116"/>
      <c r="I71" s="22"/>
      <c r="J71" s="22"/>
    </row>
    <row r="72" spans="1:14" ht="15.75" customHeight="1" x14ac:dyDescent="0.25">
      <c r="A72" s="116" t="s">
        <v>229</v>
      </c>
      <c r="B72" s="116"/>
      <c r="C72" s="116" t="s">
        <v>203</v>
      </c>
      <c r="D72" s="116"/>
      <c r="E72" s="116" t="s">
        <v>206</v>
      </c>
      <c r="F72" s="116"/>
      <c r="G72" s="116"/>
      <c r="H72" s="116"/>
      <c r="I72" s="22"/>
      <c r="J72" s="22"/>
    </row>
    <row r="73" spans="1:14" ht="15.75" customHeight="1" x14ac:dyDescent="0.25">
      <c r="A73" s="116" t="s">
        <v>230</v>
      </c>
      <c r="B73" s="116"/>
      <c r="C73" s="116" t="s">
        <v>205</v>
      </c>
      <c r="D73" s="116"/>
      <c r="E73" s="116" t="s">
        <v>206</v>
      </c>
      <c r="F73" s="116"/>
      <c r="G73" s="116"/>
      <c r="H73" s="116"/>
      <c r="I73" s="22"/>
      <c r="J73" s="22"/>
    </row>
    <row r="74" spans="1:14" ht="66" hidden="1" customHeight="1" x14ac:dyDescent="0.25">
      <c r="A74" s="98" t="s">
        <v>49</v>
      </c>
      <c r="B74" s="99"/>
      <c r="C74" s="171"/>
      <c r="D74" s="86" t="s">
        <v>195</v>
      </c>
      <c r="E74" s="87"/>
      <c r="F74" s="87"/>
      <c r="G74" s="87"/>
      <c r="H74" s="87"/>
      <c r="I74" s="22"/>
      <c r="J74" s="22"/>
    </row>
    <row r="75" spans="1:14" ht="15.75" hidden="1" customHeight="1" x14ac:dyDescent="0.25">
      <c r="A75" s="98" t="s">
        <v>91</v>
      </c>
      <c r="B75" s="99"/>
      <c r="C75" s="99"/>
      <c r="D75" s="153" t="s">
        <v>153</v>
      </c>
      <c r="E75" s="154"/>
      <c r="F75" s="154"/>
      <c r="G75" s="154"/>
      <c r="H75" s="155"/>
      <c r="I75" s="22"/>
      <c r="J75" s="22"/>
    </row>
    <row r="76" spans="1:14" ht="15.75" hidden="1" customHeight="1" x14ac:dyDescent="0.25">
      <c r="A76" s="100"/>
      <c r="B76" s="101"/>
      <c r="C76" s="101"/>
      <c r="D76" s="156" t="s">
        <v>154</v>
      </c>
      <c r="E76" s="157"/>
      <c r="F76" s="157"/>
      <c r="G76" s="157"/>
      <c r="H76" s="158"/>
      <c r="I76" s="22"/>
      <c r="J76" s="22"/>
    </row>
    <row r="77" spans="1:14" ht="15.75" hidden="1" customHeight="1" x14ac:dyDescent="0.25">
      <c r="A77" s="102"/>
      <c r="B77" s="103"/>
      <c r="C77" s="103"/>
      <c r="D77" s="165" t="s">
        <v>155</v>
      </c>
      <c r="E77" s="166"/>
      <c r="F77" s="166"/>
      <c r="G77" s="166"/>
      <c r="H77" s="167"/>
      <c r="I77" s="22"/>
      <c r="J77" s="22"/>
    </row>
    <row r="78" spans="1:14" ht="64.5" customHeight="1" x14ac:dyDescent="0.25">
      <c r="A78" s="84" t="s">
        <v>46</v>
      </c>
      <c r="B78" s="84"/>
      <c r="C78" s="84"/>
      <c r="D78" s="92" t="s">
        <v>192</v>
      </c>
      <c r="E78" s="92"/>
      <c r="F78" s="92"/>
      <c r="G78" s="92"/>
      <c r="H78" s="92"/>
      <c r="I78" s="22"/>
      <c r="J78" s="22"/>
      <c r="K78" s="22"/>
      <c r="N78" s="22"/>
    </row>
    <row r="79" spans="1:14" ht="15.75" customHeight="1" x14ac:dyDescent="0.25">
      <c r="A79" s="84" t="s">
        <v>89</v>
      </c>
      <c r="B79" s="84"/>
      <c r="C79" s="84"/>
      <c r="D79" s="124" t="str">
        <f>(IF(G59="NA","60 Years After Completion",IF(G59&lt;&gt;"NA",""&amp;60-ROUNDDOWN((E3-G59)/360,0)&amp;" Years"," ")))</f>
        <v>60 Years After Completion</v>
      </c>
      <c r="E79" s="124"/>
      <c r="F79" s="124"/>
      <c r="G79" s="124"/>
      <c r="H79" s="124"/>
      <c r="N79" s="22"/>
    </row>
    <row r="80" spans="1:14" ht="15.75" customHeight="1" x14ac:dyDescent="0.25">
      <c r="A80" s="84" t="s">
        <v>90</v>
      </c>
      <c r="B80" s="84"/>
      <c r="C80" s="84"/>
      <c r="D80" s="92" t="s">
        <v>24</v>
      </c>
      <c r="E80" s="92"/>
      <c r="F80" s="92"/>
      <c r="G80" s="92"/>
      <c r="H80" s="92"/>
      <c r="J80" s="23"/>
      <c r="K80" s="23"/>
    </row>
    <row r="81" spans="1:14" ht="30.75" customHeight="1" x14ac:dyDescent="0.25">
      <c r="A81" s="84" t="s">
        <v>76</v>
      </c>
      <c r="B81" s="84"/>
      <c r="C81" s="84"/>
      <c r="D81" s="91" t="s">
        <v>257</v>
      </c>
      <c r="E81" s="92"/>
      <c r="F81" s="92"/>
      <c r="G81" s="92"/>
      <c r="H81" s="92"/>
    </row>
    <row r="82" spans="1:14" x14ac:dyDescent="0.25">
      <c r="A82" s="92" t="s">
        <v>156</v>
      </c>
      <c r="B82" s="92"/>
      <c r="C82" s="92"/>
      <c r="D82" s="92" t="s">
        <v>30</v>
      </c>
      <c r="E82" s="92"/>
      <c r="F82" s="92"/>
      <c r="G82" s="92"/>
      <c r="H82" s="92"/>
      <c r="I82" s="24"/>
      <c r="J82" s="24"/>
      <c r="K82" s="24"/>
      <c r="L82" s="24"/>
      <c r="M82" s="24"/>
      <c r="N82" s="24"/>
    </row>
    <row r="83" spans="1:14" ht="15.75" customHeight="1" x14ac:dyDescent="0.25">
      <c r="A83" s="95" t="s">
        <v>88</v>
      </c>
      <c r="B83" s="95"/>
      <c r="C83" s="95"/>
      <c r="D83" s="94" t="str">
        <f ca="1">(IF(G89&gt;95%,"Nothing",IF(G89&gt;0%,"Cement, Aggregate, Steel, etc",IF(G89=0%,"Work not yet Started"))))</f>
        <v>Cement, Aggregate, Steel, etc</v>
      </c>
      <c r="E83" s="94"/>
      <c r="F83" s="94"/>
      <c r="G83" s="94"/>
      <c r="H83" s="94"/>
      <c r="J83" s="23"/>
    </row>
    <row r="84" spans="1:14" ht="33.75" customHeight="1" thickBot="1" x14ac:dyDescent="0.3">
      <c r="A84" s="93" t="s">
        <v>120</v>
      </c>
      <c r="B84" s="93"/>
      <c r="C84" s="93"/>
      <c r="D84" s="94" t="str">
        <f ca="1">(IF(D83="Nothing","Yes",IF(D83="Cement, Aggregate, Steel, etc","Under Construction",IF(D83="Work not yet Started","Work not yet Started"))))</f>
        <v>Under Construction</v>
      </c>
      <c r="E84" s="94"/>
      <c r="F84" s="94" t="str">
        <f ca="1">(IF(D83="Nothing","Yes",IF(D83="Cement, Aggregate, Steel, etc","Under Construction",IF(D83="Work not yet Started","Work not yet Started"))))</f>
        <v>Under Construction</v>
      </c>
      <c r="G84" s="94"/>
      <c r="H84" s="94"/>
    </row>
    <row r="85" spans="1:14" ht="33" customHeight="1" x14ac:dyDescent="0.25">
      <c r="A85" s="61" t="s">
        <v>145</v>
      </c>
      <c r="B85" s="62"/>
      <c r="C85" s="63" t="s">
        <v>298</v>
      </c>
      <c r="D85" s="64"/>
      <c r="E85" s="64"/>
      <c r="F85" s="64"/>
      <c r="G85" s="64"/>
      <c r="H85" s="65"/>
      <c r="I85" s="42" t="str">
        <f ca="1">IF(D98=100%,"All work Completed. Possession granted to the Building.",IF(D97=100%,"All work Completed, Waiting for OC",I86&amp;""&amp;I87&amp;""&amp;J86&amp;""&amp;J85&amp;" "&amp;J87))</f>
        <v>Excavation, Plinth Completed, RCC upto 4 Slab Completed</v>
      </c>
      <c r="J85" s="43" t="str">
        <f ca="1">(IF(C91=(D86+F86+H86),"",IF(C91&gt;0,", RCC upto "&amp;C91&amp;" Slab","")))&amp;(IF(C92=H86,"",IF(C92&gt;0,", Brickwork upto "&amp;C92&amp;" Floor","")))&amp;(IF(C93=H86,"",IF(C93&gt;0,", Internal Plaster upto "&amp;C93&amp;" Floor","")))&amp;(IF(C94=H86,"",IF(C94&gt;0,", External Plaster upto "&amp;C94&amp;" Floor","")))&amp;(IF(C95=H86,"",IF(C95&gt;0,", Flooring upto "&amp;C95&amp;" Floor","")))&amp;(IF(C96=H86,"",IF(C96&gt;0,", Painting upto "&amp;C96&amp;" Floor","")))&amp;(IF(C97=H86,"",IF(C97&gt;0,", Finishing upto "&amp;C97&amp;" Floor","")))&amp;(IF(C98=H86,"",IF(C98&gt;0,", Possession upto "&amp;C98&amp;" Floor","")))</f>
        <v>, RCC upto 4 Slab</v>
      </c>
    </row>
    <row r="86" spans="1:14" x14ac:dyDescent="0.25">
      <c r="A86" s="51" t="s">
        <v>147</v>
      </c>
      <c r="B86" s="52">
        <v>1</v>
      </c>
      <c r="C86" s="52" t="s">
        <v>73</v>
      </c>
      <c r="D86" s="52">
        <v>1</v>
      </c>
      <c r="E86" s="52" t="s">
        <v>72</v>
      </c>
      <c r="F86" s="52">
        <v>4</v>
      </c>
      <c r="G86" s="52" t="s">
        <v>82</v>
      </c>
      <c r="H86" s="53">
        <f ca="1">--TRIM(RIGHT(SUBSTITUTE(LEFT(C85,_xlfn.AGGREGATE(16,6,FIND({0,1,2,3,4,5,6,7,8,9},C85,ROW(INDIRECT("1:"&amp;LEN(C85)))),1))," ",REPT(" ",LEN(C85))),LEN(C85)))</f>
        <v>30</v>
      </c>
      <c r="I86" s="44" t="str">
        <f ca="1">IF(D89=100%,"Excavation","")&amp;IF(D90=100%,", Plinth","")&amp;IF(D91=100%,", RCC Slab","")&amp;IF(D92=100%,", Brickwork","")&amp;IF(D93=100%,", Internal Plaster","")&amp;IF(D94=100%,", External Plaster","")&amp;IF(D95=100%,", Flooring","")&amp;IF(D96=100%,", Painting","")&amp;IF(D97=100%,", Building common Amenities","")</f>
        <v>Excavation, Plinth</v>
      </c>
      <c r="J86" s="45" t="str">
        <f ca="1">(IF(C89=0,"Work not yet Started.",IF(D89=25%,"Piling work in process",IF(D89=50%,"Excavation work in process",IF(D89=100%,"","0")))))&amp;(IF(C90=0%,"",IF(C90=J91,", Footing work is process",IF(C90=J92,", Footing work Completed",IF(C90=J93,", 1st Basement Completed",IF(C90=J94,", 1st &amp; 2nd Basement Completed",IF(C90=J95,", 1st to 3rd Basement Completed",IF(C90=J96,", 1st to 4th Basement Completed",IF(C90=J97,", Plinth work is process",IF(C90=J98,"","0"))))))))))</f>
        <v/>
      </c>
    </row>
    <row r="87" spans="1:14" x14ac:dyDescent="0.25">
      <c r="A87" s="66" t="s">
        <v>92</v>
      </c>
      <c r="B87" s="67"/>
      <c r="C87" s="68" t="str">
        <f ca="1">(IF($G$59="NA",I85,"All work Completed. OC Received."))</f>
        <v>Excavation, Plinth Completed, RCC upto 4 Slab Completed</v>
      </c>
      <c r="D87" s="68"/>
      <c r="E87" s="68"/>
      <c r="F87" s="68"/>
      <c r="G87" s="68"/>
      <c r="H87" s="69"/>
      <c r="I87" s="44" t="str">
        <f ca="1">IF(I86&lt;&gt;""," Completed","")</f>
        <v xml:space="preserve"> Completed</v>
      </c>
      <c r="J87" s="45" t="str">
        <f ca="1">IF(J85&lt;&gt;"","Completed","")</f>
        <v>Completed</v>
      </c>
    </row>
    <row r="88" spans="1:14" ht="15.75" customHeight="1" x14ac:dyDescent="0.25">
      <c r="A88" s="70" t="s">
        <v>50</v>
      </c>
      <c r="B88" s="71"/>
      <c r="C88" s="48" t="s">
        <v>144</v>
      </c>
      <c r="D88" s="48" t="s">
        <v>85</v>
      </c>
      <c r="E88" s="71" t="s">
        <v>87</v>
      </c>
      <c r="F88" s="71"/>
      <c r="G88" s="71" t="s">
        <v>86</v>
      </c>
      <c r="H88" s="72"/>
      <c r="I88" s="14" t="s">
        <v>146</v>
      </c>
      <c r="J88" s="25">
        <f ca="1">H86*25%</f>
        <v>7.5</v>
      </c>
    </row>
    <row r="89" spans="1:14" x14ac:dyDescent="0.25">
      <c r="A89" s="70" t="s">
        <v>133</v>
      </c>
      <c r="B89" s="71"/>
      <c r="C89" s="48">
        <f ca="1">J90</f>
        <v>30</v>
      </c>
      <c r="D89" s="17">
        <f ca="1">((100/H86)*C89)/100</f>
        <v>1</v>
      </c>
      <c r="E89" s="73">
        <f ca="1">(((C90/H86*10)+(40/(D86+F86+H86)*C91)+(7.5/(H86)*C92)+(7.5/(H86)*C93)+(10/H86*C94)+(10/H86*C95)+(5/H86*C96)+(5/H86*C97)+(5/H86*C98))/100)</f>
        <v>0.14571428571428571</v>
      </c>
      <c r="F89" s="74"/>
      <c r="G89" s="73">
        <f ca="1">((((C89/H86)*20)+((C90/H86)*25)+(30/(H86+F86+D86)*C91)+(5/H86*C92)+(5/H86*C93)+(5/H86*C94)+(5/H86*C95)+(0/H86*C96)+(0/H86*C97)+(5/H86*C98))/100)</f>
        <v>0.48428571428571432</v>
      </c>
      <c r="H89" s="79"/>
      <c r="I89" s="14" t="s">
        <v>102</v>
      </c>
      <c r="J89" s="26">
        <f ca="1">H86*50%</f>
        <v>15</v>
      </c>
    </row>
    <row r="90" spans="1:14" x14ac:dyDescent="0.25">
      <c r="A90" s="70" t="s">
        <v>51</v>
      </c>
      <c r="B90" s="71"/>
      <c r="C90" s="56">
        <f ca="1">J98</f>
        <v>30</v>
      </c>
      <c r="D90" s="17">
        <f ca="1">((100/H86)*C90)/100</f>
        <v>1</v>
      </c>
      <c r="E90" s="75"/>
      <c r="F90" s="76"/>
      <c r="G90" s="75"/>
      <c r="H90" s="80"/>
      <c r="I90" s="14" t="s">
        <v>103</v>
      </c>
      <c r="J90" s="26">
        <f ca="1">H86</f>
        <v>30</v>
      </c>
    </row>
    <row r="91" spans="1:14" ht="15.75" customHeight="1" x14ac:dyDescent="0.25">
      <c r="A91" s="70" t="s">
        <v>134</v>
      </c>
      <c r="B91" s="71"/>
      <c r="C91" s="48">
        <v>4</v>
      </c>
      <c r="D91" s="17">
        <f ca="1">((100/(D86+F86+H86))*C91)/100</f>
        <v>0.11428571428571428</v>
      </c>
      <c r="E91" s="75"/>
      <c r="F91" s="76"/>
      <c r="G91" s="75"/>
      <c r="H91" s="80"/>
      <c r="I91" s="14" t="s">
        <v>104</v>
      </c>
      <c r="J91" s="27">
        <f ca="1">(IF(B86&gt;1,(H86/(B86+2)),H86/4))</f>
        <v>7.5</v>
      </c>
    </row>
    <row r="92" spans="1:14" ht="15.75" customHeight="1" x14ac:dyDescent="0.25">
      <c r="A92" s="70" t="s">
        <v>141</v>
      </c>
      <c r="B92" s="71" t="s">
        <v>135</v>
      </c>
      <c r="C92" s="48">
        <v>0</v>
      </c>
      <c r="D92" s="17">
        <f ca="1">((100/H86)*C92)/100</f>
        <v>0</v>
      </c>
      <c r="E92" s="75"/>
      <c r="F92" s="76"/>
      <c r="G92" s="75"/>
      <c r="H92" s="80"/>
      <c r="I92" s="14" t="s">
        <v>105</v>
      </c>
      <c r="J92" s="27">
        <f ca="1">(IF(B86&gt;1,(H86/(B86+2)+J91),H86/4+J91))</f>
        <v>15</v>
      </c>
    </row>
    <row r="93" spans="1:14" ht="15.75" customHeight="1" x14ac:dyDescent="0.25">
      <c r="A93" s="70" t="s">
        <v>142</v>
      </c>
      <c r="B93" s="71" t="s">
        <v>135</v>
      </c>
      <c r="C93" s="48">
        <v>0</v>
      </c>
      <c r="D93" s="17">
        <f ca="1">((100/H86)*C93)/100</f>
        <v>0</v>
      </c>
      <c r="E93" s="75"/>
      <c r="F93" s="76"/>
      <c r="G93" s="75"/>
      <c r="H93" s="80"/>
      <c r="I93" s="14" t="s">
        <v>151</v>
      </c>
      <c r="J93" s="27">
        <f>(IF(B86&gt;1,(H86/(B86+2)+J92),0))</f>
        <v>0</v>
      </c>
    </row>
    <row r="94" spans="1:14" ht="15" customHeight="1" x14ac:dyDescent="0.25">
      <c r="A94" s="70" t="s">
        <v>140</v>
      </c>
      <c r="B94" s="71" t="s">
        <v>137</v>
      </c>
      <c r="C94" s="48">
        <v>0</v>
      </c>
      <c r="D94" s="17">
        <f ca="1">((100/(H86))*C94)/100</f>
        <v>0</v>
      </c>
      <c r="E94" s="75"/>
      <c r="F94" s="76"/>
      <c r="G94" s="75"/>
      <c r="H94" s="80"/>
      <c r="I94" s="14" t="s">
        <v>148</v>
      </c>
      <c r="J94" s="27">
        <f>(IF(B86&gt;2,(H86/(B86+2)+J93),0))</f>
        <v>0</v>
      </c>
    </row>
    <row r="95" spans="1:14" ht="15.75" customHeight="1" x14ac:dyDescent="0.25">
      <c r="A95" s="70" t="s">
        <v>136</v>
      </c>
      <c r="B95" s="71" t="s">
        <v>136</v>
      </c>
      <c r="C95" s="48">
        <v>0</v>
      </c>
      <c r="D95" s="17">
        <f ca="1">((100/H86)*C95)/100</f>
        <v>0</v>
      </c>
      <c r="E95" s="75"/>
      <c r="F95" s="76"/>
      <c r="G95" s="75"/>
      <c r="H95" s="80"/>
      <c r="I95" s="14" t="s">
        <v>149</v>
      </c>
      <c r="J95" s="28">
        <f>(IF(B86&gt;3,(H86/(B86+2)+J94),0))</f>
        <v>0</v>
      </c>
    </row>
    <row r="96" spans="1:14" ht="15.75" customHeight="1" x14ac:dyDescent="0.25">
      <c r="A96" s="70" t="s">
        <v>143</v>
      </c>
      <c r="B96" s="71"/>
      <c r="C96" s="48">
        <v>0</v>
      </c>
      <c r="D96" s="17">
        <f ca="1">((100/H86)*C96)/100</f>
        <v>0</v>
      </c>
      <c r="E96" s="75"/>
      <c r="F96" s="76"/>
      <c r="G96" s="75"/>
      <c r="H96" s="80"/>
      <c r="I96" s="14" t="s">
        <v>150</v>
      </c>
      <c r="J96" s="27">
        <f>(IF(B86&gt;4,(H86/(B86+2)+J95),0))</f>
        <v>0</v>
      </c>
    </row>
    <row r="97" spans="1:10" ht="15.75" customHeight="1" x14ac:dyDescent="0.25">
      <c r="A97" s="70" t="s">
        <v>138</v>
      </c>
      <c r="B97" s="71" t="s">
        <v>138</v>
      </c>
      <c r="C97" s="48">
        <v>0</v>
      </c>
      <c r="D97" s="17">
        <f ca="1">((100/(H86))*C97)/100</f>
        <v>0</v>
      </c>
      <c r="E97" s="75"/>
      <c r="F97" s="76"/>
      <c r="G97" s="75"/>
      <c r="H97" s="80"/>
      <c r="I97" s="14" t="s">
        <v>152</v>
      </c>
      <c r="J97" s="27">
        <f ca="1">(IF(B86=1,(H86/(B86+3)+J92),IF(B86=0,(H86/4+J92),IF(B86&gt;1,0))))</f>
        <v>22.5</v>
      </c>
    </row>
    <row r="98" spans="1:10" ht="16.5" thickBot="1" x14ac:dyDescent="0.3">
      <c r="A98" s="82" t="s">
        <v>139</v>
      </c>
      <c r="B98" s="83"/>
      <c r="C98" s="49">
        <v>0</v>
      </c>
      <c r="D98" s="18">
        <f ca="1">((100/(H86))*C98)/100</f>
        <v>0</v>
      </c>
      <c r="E98" s="77"/>
      <c r="F98" s="78"/>
      <c r="G98" s="77"/>
      <c r="H98" s="81"/>
      <c r="I98" s="15" t="s">
        <v>106</v>
      </c>
      <c r="J98" s="29">
        <f ca="1">(IF(B86&gt;1.5,(H86/(B86+2)+J92+MAX(0,J93-J92)+MAX(0,J94-J93)+MAX(0,J95-J94)+MAX(0,J96-J95)+MAX(0,J97-J96)),IF(B86=1,(H86/(B86+3)+J97),IF(B86=0,H86/4+J97))))</f>
        <v>30</v>
      </c>
    </row>
    <row r="99" spans="1:10" ht="33" customHeight="1" x14ac:dyDescent="0.25">
      <c r="A99" s="61" t="s">
        <v>145</v>
      </c>
      <c r="B99" s="62"/>
      <c r="C99" s="63" t="s">
        <v>299</v>
      </c>
      <c r="D99" s="64"/>
      <c r="E99" s="64"/>
      <c r="F99" s="64"/>
      <c r="G99" s="64"/>
      <c r="H99" s="65"/>
      <c r="I99" s="42" t="str">
        <f ca="1">IF(D112=100%,"All work Completed. Possession granted to the Building.",IF(D111=100%,"All work Completed, Waiting for OC",I100&amp;""&amp;I101&amp;""&amp;J100&amp;""&amp;J99&amp;" "&amp;J101))</f>
        <v>Excavation, Plinth Completed, RCC upto 4 Slab Completed</v>
      </c>
      <c r="J99" s="43" t="str">
        <f ca="1">(IF(C105=(D100+F100+H100),"",IF(C105&gt;0,", RCC upto "&amp;C105&amp;" Slab","")))&amp;(IF(C106=H100,"",IF(C106&gt;0,", Brickwork upto "&amp;C106&amp;" Floor","")))&amp;(IF(C107=H100,"",IF(C107&gt;0,", Internal Plaster upto "&amp;C107&amp;" Floor","")))&amp;(IF(C108=H100,"",IF(C108&gt;0,", External Plaster upto "&amp;C108&amp;" Floor","")))&amp;(IF(C109=H100,"",IF(C109&gt;0,", Flooring upto "&amp;C109&amp;" Floor","")))&amp;(IF(C110=H100,"",IF(C110&gt;0,", Painting upto "&amp;C110&amp;" Floor","")))&amp;(IF(C111=H100,"",IF(C111&gt;0,", Finishing upto "&amp;C111&amp;" Floor","")))&amp;(IF(C112=H100,"",IF(C112&gt;0,", Possession upto "&amp;C112&amp;" Floor","")))</f>
        <v>, RCC upto 4 Slab</v>
      </c>
    </row>
    <row r="100" spans="1:10" x14ac:dyDescent="0.25">
      <c r="A100" s="51" t="s">
        <v>147</v>
      </c>
      <c r="B100" s="52">
        <v>1</v>
      </c>
      <c r="C100" s="52" t="s">
        <v>73</v>
      </c>
      <c r="D100" s="52">
        <v>1</v>
      </c>
      <c r="E100" s="52" t="s">
        <v>72</v>
      </c>
      <c r="F100" s="52">
        <v>4</v>
      </c>
      <c r="G100" s="52" t="s">
        <v>82</v>
      </c>
      <c r="H100" s="53">
        <f ca="1">--TRIM(RIGHT(SUBSTITUTE(LEFT(C99,_xlfn.AGGREGATE(16,6,FIND({0,1,2,3,4,5,6,7,8,9},C99,ROW(INDIRECT("1:"&amp;LEN(C99)))),1))," ",REPT(" ",LEN(C99))),LEN(C99)))</f>
        <v>30</v>
      </c>
      <c r="I100" s="44" t="str">
        <f ca="1">IF(D103=100%,"Excavation","")&amp;IF(D104=100%,", Plinth","")&amp;IF(D105=100%,", RCC Slab","")&amp;IF(D106=100%,", Brickwork","")&amp;IF(D107=100%,", Internal Plaster","")&amp;IF(D108=100%,", External Plaster","")&amp;IF(D109=100%,", Flooring","")&amp;IF(D110=100%,", Painting","")&amp;IF(D111=100%,", Building common Amenities","")</f>
        <v>Excavation, Plinth</v>
      </c>
      <c r="J100" s="45" t="str">
        <f ca="1">(IF(C103=0,"Work not yet Started.",IF(D103=25%,"Piling work in process",IF(D103=50%,"Excavation work in process",IF(D103=100%,"","0")))))&amp;(IF(C104=0%,"",IF(C104=J105,", Footing work is process",IF(C104=J106,", Footing work Completed",IF(C104=J107,", 1st Basement Completed",IF(C104=J108,", 1st &amp; 2nd Basement Completed",IF(C104=J109,", 1st to 3rd Basement Completed",IF(C104=J110,", 1st to 4th Basement Completed",IF(C104=J111,", Plinth work is process",IF(C104=J112,"","0"))))))))))</f>
        <v/>
      </c>
    </row>
    <row r="101" spans="1:10" x14ac:dyDescent="0.25">
      <c r="A101" s="66" t="s">
        <v>92</v>
      </c>
      <c r="B101" s="67"/>
      <c r="C101" s="68" t="str">
        <f ca="1">(IF($G$59="NA",I99,"All work Completed. OC Received."))</f>
        <v>Excavation, Plinth Completed, RCC upto 4 Slab Completed</v>
      </c>
      <c r="D101" s="68"/>
      <c r="E101" s="68"/>
      <c r="F101" s="68"/>
      <c r="G101" s="68"/>
      <c r="H101" s="69"/>
      <c r="I101" s="44" t="str">
        <f ca="1">IF(I100&lt;&gt;""," Completed","")</f>
        <v xml:space="preserve"> Completed</v>
      </c>
      <c r="J101" s="45" t="str">
        <f ca="1">IF(J99&lt;&gt;"","Completed","")</f>
        <v>Completed</v>
      </c>
    </row>
    <row r="102" spans="1:10" ht="15.75" customHeight="1" x14ac:dyDescent="0.25">
      <c r="A102" s="70" t="s">
        <v>50</v>
      </c>
      <c r="B102" s="71"/>
      <c r="C102" s="48" t="s">
        <v>144</v>
      </c>
      <c r="D102" s="48" t="s">
        <v>85</v>
      </c>
      <c r="E102" s="71" t="s">
        <v>87</v>
      </c>
      <c r="F102" s="71"/>
      <c r="G102" s="71" t="s">
        <v>86</v>
      </c>
      <c r="H102" s="72"/>
      <c r="I102" s="14" t="s">
        <v>146</v>
      </c>
      <c r="J102" s="25">
        <f ca="1">H100*25%</f>
        <v>7.5</v>
      </c>
    </row>
    <row r="103" spans="1:10" x14ac:dyDescent="0.25">
      <c r="A103" s="70" t="s">
        <v>133</v>
      </c>
      <c r="B103" s="71"/>
      <c r="C103" s="48">
        <f ca="1">J104</f>
        <v>30</v>
      </c>
      <c r="D103" s="17">
        <f ca="1">((100/H100)*C103)/100</f>
        <v>1</v>
      </c>
      <c r="E103" s="73">
        <f ca="1">(((C104/H100*10)+(40/(D100+F100+H100)*C105)+(7.5/(H100)*C106)+(7.5/(H100)*C107)+(10/H100*C108)+(10/H100*C109)+(5/H100*C110)+(5/H100*C111)+(5/H100*C112))/100)</f>
        <v>0.14571428571428571</v>
      </c>
      <c r="F103" s="74"/>
      <c r="G103" s="73">
        <f ca="1">((((C103/H100)*20)+((C104/H100)*25)+(30/(H100+F100+D100)*C105)+(5/H100*C106)+(5/H100*C107)+(5/H100*C108)+(5/H100*C109)+(0/H100*C110)+(0/H100*C111)+(5/H100*C112))/100)</f>
        <v>0.48428571428571432</v>
      </c>
      <c r="H103" s="79"/>
      <c r="I103" s="14" t="s">
        <v>102</v>
      </c>
      <c r="J103" s="26">
        <f ca="1">H100*50%</f>
        <v>15</v>
      </c>
    </row>
    <row r="104" spans="1:10" x14ac:dyDescent="0.25">
      <c r="A104" s="70" t="s">
        <v>51</v>
      </c>
      <c r="B104" s="71"/>
      <c r="C104" s="56">
        <f ca="1">J112</f>
        <v>30</v>
      </c>
      <c r="D104" s="17">
        <f ca="1">((100/H100)*C104)/100</f>
        <v>1</v>
      </c>
      <c r="E104" s="75"/>
      <c r="F104" s="76"/>
      <c r="G104" s="75"/>
      <c r="H104" s="80"/>
      <c r="I104" s="14" t="s">
        <v>103</v>
      </c>
      <c r="J104" s="26">
        <f ca="1">H100</f>
        <v>30</v>
      </c>
    </row>
    <row r="105" spans="1:10" ht="15.75" customHeight="1" x14ac:dyDescent="0.25">
      <c r="A105" s="70" t="s">
        <v>134</v>
      </c>
      <c r="B105" s="71"/>
      <c r="C105" s="48">
        <v>4</v>
      </c>
      <c r="D105" s="17">
        <f ca="1">((100/(D100+F100+H100))*C105)/100</f>
        <v>0.11428571428571428</v>
      </c>
      <c r="E105" s="75"/>
      <c r="F105" s="76"/>
      <c r="G105" s="75"/>
      <c r="H105" s="80"/>
      <c r="I105" s="14" t="s">
        <v>104</v>
      </c>
      <c r="J105" s="27">
        <f ca="1">(IF(B100&gt;1,(H100/(B100+2)),H100/4))</f>
        <v>7.5</v>
      </c>
    </row>
    <row r="106" spans="1:10" ht="15.75" customHeight="1" x14ac:dyDescent="0.25">
      <c r="A106" s="70" t="s">
        <v>141</v>
      </c>
      <c r="B106" s="71" t="s">
        <v>135</v>
      </c>
      <c r="C106" s="48">
        <v>0</v>
      </c>
      <c r="D106" s="17">
        <f ca="1">((100/H100)*C106)/100</f>
        <v>0</v>
      </c>
      <c r="E106" s="75"/>
      <c r="F106" s="76"/>
      <c r="G106" s="75"/>
      <c r="H106" s="80"/>
      <c r="I106" s="14" t="s">
        <v>105</v>
      </c>
      <c r="J106" s="27">
        <f ca="1">(IF(B100&gt;1,(H100/(B100+2)+J105),H100/4+J105))</f>
        <v>15</v>
      </c>
    </row>
    <row r="107" spans="1:10" ht="15.75" customHeight="1" x14ac:dyDescent="0.25">
      <c r="A107" s="70" t="s">
        <v>142</v>
      </c>
      <c r="B107" s="71" t="s">
        <v>135</v>
      </c>
      <c r="C107" s="48">
        <v>0</v>
      </c>
      <c r="D107" s="17">
        <f ca="1">((100/H100)*C107)/100</f>
        <v>0</v>
      </c>
      <c r="E107" s="75"/>
      <c r="F107" s="76"/>
      <c r="G107" s="75"/>
      <c r="H107" s="80"/>
      <c r="I107" s="14" t="s">
        <v>151</v>
      </c>
      <c r="J107" s="27">
        <f>(IF(B100&gt;1,(H100/(B100+2)+J106),0))</f>
        <v>0</v>
      </c>
    </row>
    <row r="108" spans="1:10" ht="15" customHeight="1" x14ac:dyDescent="0.25">
      <c r="A108" s="70" t="s">
        <v>140</v>
      </c>
      <c r="B108" s="71" t="s">
        <v>137</v>
      </c>
      <c r="C108" s="48">
        <v>0</v>
      </c>
      <c r="D108" s="17">
        <f ca="1">((100/(H100))*C108)/100</f>
        <v>0</v>
      </c>
      <c r="E108" s="75"/>
      <c r="F108" s="76"/>
      <c r="G108" s="75"/>
      <c r="H108" s="80"/>
      <c r="I108" s="14" t="s">
        <v>148</v>
      </c>
      <c r="J108" s="27">
        <f>(IF(B100&gt;2,(H100/(B100+2)+J107),0))</f>
        <v>0</v>
      </c>
    </row>
    <row r="109" spans="1:10" ht="15.75" customHeight="1" x14ac:dyDescent="0.25">
      <c r="A109" s="70" t="s">
        <v>136</v>
      </c>
      <c r="B109" s="71" t="s">
        <v>136</v>
      </c>
      <c r="C109" s="48">
        <v>0</v>
      </c>
      <c r="D109" s="17">
        <f ca="1">((100/H100)*C109)/100</f>
        <v>0</v>
      </c>
      <c r="E109" s="75"/>
      <c r="F109" s="76"/>
      <c r="G109" s="75"/>
      <c r="H109" s="80"/>
      <c r="I109" s="14" t="s">
        <v>149</v>
      </c>
      <c r="J109" s="28">
        <f>(IF(B100&gt;3,(H100/(B100+2)+J108),0))</f>
        <v>0</v>
      </c>
    </row>
    <row r="110" spans="1:10" ht="15.75" customHeight="1" x14ac:dyDescent="0.25">
      <c r="A110" s="70" t="s">
        <v>143</v>
      </c>
      <c r="B110" s="71"/>
      <c r="C110" s="48">
        <v>0</v>
      </c>
      <c r="D110" s="17">
        <f ca="1">((100/H100)*C110)/100</f>
        <v>0</v>
      </c>
      <c r="E110" s="75"/>
      <c r="F110" s="76"/>
      <c r="G110" s="75"/>
      <c r="H110" s="80"/>
      <c r="I110" s="14" t="s">
        <v>150</v>
      </c>
      <c r="J110" s="27">
        <f>(IF(B100&gt;4,(H100/(B100+2)+J109),0))</f>
        <v>0</v>
      </c>
    </row>
    <row r="111" spans="1:10" ht="15.75" customHeight="1" x14ac:dyDescent="0.25">
      <c r="A111" s="70" t="s">
        <v>138</v>
      </c>
      <c r="B111" s="71" t="s">
        <v>138</v>
      </c>
      <c r="C111" s="48">
        <v>0</v>
      </c>
      <c r="D111" s="17">
        <f ca="1">((100/(H100))*C111)/100</f>
        <v>0</v>
      </c>
      <c r="E111" s="75"/>
      <c r="F111" s="76"/>
      <c r="G111" s="75"/>
      <c r="H111" s="80"/>
      <c r="I111" s="14" t="s">
        <v>152</v>
      </c>
      <c r="J111" s="27">
        <f ca="1">(IF(B100=1,(H100/(B100+3)+J106),IF(B100=0,(H100/4+J106),IF(B100&gt;1,0))))</f>
        <v>22.5</v>
      </c>
    </row>
    <row r="112" spans="1:10" ht="16.5" thickBot="1" x14ac:dyDescent="0.3">
      <c r="A112" s="82" t="s">
        <v>139</v>
      </c>
      <c r="B112" s="83"/>
      <c r="C112" s="49">
        <v>0</v>
      </c>
      <c r="D112" s="18">
        <f ca="1">((100/(H100))*C112)/100</f>
        <v>0</v>
      </c>
      <c r="E112" s="77"/>
      <c r="F112" s="78"/>
      <c r="G112" s="77"/>
      <c r="H112" s="81"/>
      <c r="I112" s="15" t="s">
        <v>106</v>
      </c>
      <c r="J112" s="29">
        <f ca="1">(IF(B100&gt;1.5,(H100/(B100+2)+J106+MAX(0,J107-J106)+MAX(0,J108-J107)+MAX(0,J109-J108)+MAX(0,J110-J109)+MAX(0,J111-J110)),IF(B100=1,(H100/(B100+3)+J111),IF(B100=0,H100/4+J111))))</f>
        <v>30</v>
      </c>
    </row>
    <row r="113" spans="1:10" ht="35.25" customHeight="1" x14ac:dyDescent="0.25">
      <c r="A113" s="61" t="s">
        <v>145</v>
      </c>
      <c r="B113" s="62"/>
      <c r="C113" s="63" t="s">
        <v>300</v>
      </c>
      <c r="D113" s="64"/>
      <c r="E113" s="64"/>
      <c r="F113" s="64"/>
      <c r="G113" s="64"/>
      <c r="H113" s="65"/>
      <c r="I113" s="42" t="str">
        <f ca="1">IF(D126=100%,"All work Completed. Possession granted to the Building.",IF(D125=100%,"All work Completed, Waiting for OC",I114&amp;""&amp;I115&amp;""&amp;J114&amp;""&amp;J113&amp;" "&amp;J115))</f>
        <v>Excavation, Plinth Completed, RCC upto 4 Slab Completed</v>
      </c>
      <c r="J113" s="43" t="str">
        <f ca="1">(IF(C119=(D114+F114+H114),"",IF(C119&gt;0,", RCC upto "&amp;C119&amp;" Slab","")))&amp;(IF(C120=H114,"",IF(C120&gt;0,", Brickwork upto "&amp;C120&amp;" Floor","")))&amp;(IF(C121=H114,"",IF(C121&gt;0,", Internal Plaster upto "&amp;C121&amp;" Floor","")))&amp;(IF(C122=H114,"",IF(C122&gt;0,", External Plaster upto "&amp;C122&amp;" Floor","")))&amp;(IF(C123=H114,"",IF(C123&gt;0,", Flooring upto "&amp;C123&amp;" Floor","")))&amp;(IF(C124=H114,"",IF(C124&gt;0,", Painting upto "&amp;C124&amp;" Floor","")))&amp;(IF(C125=H114,"",IF(C125&gt;0,", Finishing upto "&amp;C125&amp;" Floor","")))&amp;(IF(C126=H114,"",IF(C126&gt;0,", Possession upto "&amp;C126&amp;" Floor","")))</f>
        <v>, RCC upto 4 Slab</v>
      </c>
    </row>
    <row r="114" spans="1:10" x14ac:dyDescent="0.25">
      <c r="A114" s="51" t="s">
        <v>147</v>
      </c>
      <c r="B114" s="52">
        <v>0</v>
      </c>
      <c r="C114" s="52" t="s">
        <v>73</v>
      </c>
      <c r="D114" s="52">
        <v>1</v>
      </c>
      <c r="E114" s="52" t="s">
        <v>72</v>
      </c>
      <c r="F114" s="52">
        <v>0</v>
      </c>
      <c r="G114" s="52" t="s">
        <v>82</v>
      </c>
      <c r="H114" s="53">
        <f ca="1">--TRIM(RIGHT(SUBSTITUTE(LEFT(C113,_xlfn.AGGREGATE(16,6,FIND({0,1,2,3,4,5,6,7,8,9},C113,ROW(INDIRECT("1:"&amp;LEN(C113)))),1))," ",REPT(" ",LEN(C113))),LEN(C113)))</f>
        <v>30</v>
      </c>
      <c r="I114" s="44" t="str">
        <f ca="1">IF(D117=100%,"Excavation","")&amp;IF(D118=100%,", Plinth","")&amp;IF(D119=100%,", RCC Slab","")&amp;IF(D120=100%,", Brickwork","")&amp;IF(D121=100%,", Internal Plaster","")&amp;IF(D122=100%,", External Plaster","")&amp;IF(D123=100%,", Flooring","")&amp;IF(D124=100%,", Painting","")&amp;IF(D125=100%,", Building common Amenities","")</f>
        <v>Excavation, Plinth</v>
      </c>
      <c r="J114" s="45" t="str">
        <f ca="1">(IF(C117=0,"Work not yet Started.",IF(D117=25%,"Piling work in process",IF(D117=50%,"Excavation work in process",IF(D117=100%,"","0")))))&amp;(IF(C118=0%,"",IF(C118=J119,", Footing work is process",IF(C118=J120,", Footing work Completed",IF(C118=J121,", 1st Basement Completed",IF(C118=J122,", 1st &amp; 2nd Basement Completed",IF(C118=J123,", 1st to 3rd Basement Completed",IF(C118=J124,", 1st to 4th Basement Completed",IF(C118=J125,", Plinth work is process",IF(C118=J126,"","0"))))))))))</f>
        <v/>
      </c>
    </row>
    <row r="115" spans="1:10" x14ac:dyDescent="0.25">
      <c r="A115" s="66" t="s">
        <v>92</v>
      </c>
      <c r="B115" s="67"/>
      <c r="C115" s="68" t="str">
        <f ca="1">(IF($G$59="NA",I113,"All work Completed. OC Received."))</f>
        <v>Excavation, Plinth Completed, RCC upto 4 Slab Completed</v>
      </c>
      <c r="D115" s="68"/>
      <c r="E115" s="68"/>
      <c r="F115" s="68"/>
      <c r="G115" s="68"/>
      <c r="H115" s="69"/>
      <c r="I115" s="44" t="str">
        <f ca="1">IF(I114&lt;&gt;""," Completed","")</f>
        <v xml:space="preserve"> Completed</v>
      </c>
      <c r="J115" s="45" t="str">
        <f ca="1">IF(J113&lt;&gt;"","Completed","")</f>
        <v>Completed</v>
      </c>
    </row>
    <row r="116" spans="1:10" ht="15.75" customHeight="1" x14ac:dyDescent="0.25">
      <c r="A116" s="70" t="s">
        <v>50</v>
      </c>
      <c r="B116" s="71"/>
      <c r="C116" s="48" t="s">
        <v>144</v>
      </c>
      <c r="D116" s="48" t="s">
        <v>85</v>
      </c>
      <c r="E116" s="71" t="s">
        <v>87</v>
      </c>
      <c r="F116" s="71"/>
      <c r="G116" s="71" t="s">
        <v>86</v>
      </c>
      <c r="H116" s="72"/>
      <c r="I116" s="14" t="s">
        <v>146</v>
      </c>
      <c r="J116" s="25">
        <f ca="1">H114*25%</f>
        <v>7.5</v>
      </c>
    </row>
    <row r="117" spans="1:10" x14ac:dyDescent="0.25">
      <c r="A117" s="70" t="s">
        <v>133</v>
      </c>
      <c r="B117" s="71"/>
      <c r="C117" s="48">
        <f ca="1">J118</f>
        <v>30</v>
      </c>
      <c r="D117" s="17">
        <f ca="1">((100/H114)*C117)/100</f>
        <v>1</v>
      </c>
      <c r="E117" s="73">
        <f ca="1">(((C118/H114*10)+(40/(D114+F114+H114)*C119)+(7.5/(H114)*C120)+(7.5/(H114)*C121)+(10/H114*C122)+(10/H114*C123)+(5/H114*C124)+(5/H114*C125)+(5/H114*C126))/100)</f>
        <v>0.15161290322580645</v>
      </c>
      <c r="F117" s="74"/>
      <c r="G117" s="73">
        <f ca="1">((((C117/H114)*20)+((C118/H114)*25)+(30/(H114+F114+D114)*C119)+(5/H114*C120)+(5/H114*C121)+(5/H114*C122)+(5/H114*C123)+(0/H114*C124)+(0/H114*C125)+(5/H114*C126))/100)</f>
        <v>0.48870967741935489</v>
      </c>
      <c r="H117" s="79"/>
      <c r="I117" s="14" t="s">
        <v>102</v>
      </c>
      <c r="J117" s="26">
        <f ca="1">H114*50%</f>
        <v>15</v>
      </c>
    </row>
    <row r="118" spans="1:10" x14ac:dyDescent="0.25">
      <c r="A118" s="70" t="s">
        <v>51</v>
      </c>
      <c r="B118" s="71"/>
      <c r="C118" s="56">
        <f ca="1">J126</f>
        <v>30</v>
      </c>
      <c r="D118" s="17">
        <f ca="1">((100/H114)*C118)/100</f>
        <v>1</v>
      </c>
      <c r="E118" s="75"/>
      <c r="F118" s="76"/>
      <c r="G118" s="75"/>
      <c r="H118" s="80"/>
      <c r="I118" s="14" t="s">
        <v>103</v>
      </c>
      <c r="J118" s="26">
        <f ca="1">H114</f>
        <v>30</v>
      </c>
    </row>
    <row r="119" spans="1:10" ht="15.75" customHeight="1" x14ac:dyDescent="0.25">
      <c r="A119" s="70" t="s">
        <v>134</v>
      </c>
      <c r="B119" s="71"/>
      <c r="C119" s="48">
        <v>4</v>
      </c>
      <c r="D119" s="17">
        <f ca="1">((100/(D114+F114+H114))*C119)/100</f>
        <v>0.12903225806451613</v>
      </c>
      <c r="E119" s="75"/>
      <c r="F119" s="76"/>
      <c r="G119" s="75"/>
      <c r="H119" s="80"/>
      <c r="I119" s="14" t="s">
        <v>104</v>
      </c>
      <c r="J119" s="27">
        <f ca="1">(IF(B114&gt;1,(H114/(B114+2)),H114/4))</f>
        <v>7.5</v>
      </c>
    </row>
    <row r="120" spans="1:10" ht="15.75" customHeight="1" x14ac:dyDescent="0.25">
      <c r="A120" s="70" t="s">
        <v>141</v>
      </c>
      <c r="B120" s="71" t="s">
        <v>135</v>
      </c>
      <c r="C120" s="48">
        <v>0</v>
      </c>
      <c r="D120" s="17">
        <f ca="1">((100/H114)*C120)/100</f>
        <v>0</v>
      </c>
      <c r="E120" s="75"/>
      <c r="F120" s="76"/>
      <c r="G120" s="75"/>
      <c r="H120" s="80"/>
      <c r="I120" s="14" t="s">
        <v>105</v>
      </c>
      <c r="J120" s="27">
        <f ca="1">(IF(B114&gt;1,(H114/(B114+2)+J119),H114/4+J119))</f>
        <v>15</v>
      </c>
    </row>
    <row r="121" spans="1:10" ht="15.75" customHeight="1" x14ac:dyDescent="0.25">
      <c r="A121" s="70" t="s">
        <v>142</v>
      </c>
      <c r="B121" s="71" t="s">
        <v>135</v>
      </c>
      <c r="C121" s="48">
        <v>0</v>
      </c>
      <c r="D121" s="17">
        <f ca="1">((100/H114)*C121)/100</f>
        <v>0</v>
      </c>
      <c r="E121" s="75"/>
      <c r="F121" s="76"/>
      <c r="G121" s="75"/>
      <c r="H121" s="80"/>
      <c r="I121" s="14" t="s">
        <v>151</v>
      </c>
      <c r="J121" s="27">
        <f>(IF(B114&gt;1,(H114/(B114+2)+J120),0))</f>
        <v>0</v>
      </c>
    </row>
    <row r="122" spans="1:10" ht="15" customHeight="1" x14ac:dyDescent="0.25">
      <c r="A122" s="70" t="s">
        <v>140</v>
      </c>
      <c r="B122" s="71" t="s">
        <v>137</v>
      </c>
      <c r="C122" s="48">
        <v>0</v>
      </c>
      <c r="D122" s="17">
        <f ca="1">((100/(H114))*C122)/100</f>
        <v>0</v>
      </c>
      <c r="E122" s="75"/>
      <c r="F122" s="76"/>
      <c r="G122" s="75"/>
      <c r="H122" s="80"/>
      <c r="I122" s="14" t="s">
        <v>148</v>
      </c>
      <c r="J122" s="27">
        <f>(IF(B114&gt;2,(H114/(B114+2)+J121),0))</f>
        <v>0</v>
      </c>
    </row>
    <row r="123" spans="1:10" ht="15.75" customHeight="1" x14ac:dyDescent="0.25">
      <c r="A123" s="70" t="s">
        <v>136</v>
      </c>
      <c r="B123" s="71" t="s">
        <v>136</v>
      </c>
      <c r="C123" s="48">
        <v>0</v>
      </c>
      <c r="D123" s="17">
        <f ca="1">((100/H114)*C123)/100</f>
        <v>0</v>
      </c>
      <c r="E123" s="75"/>
      <c r="F123" s="76"/>
      <c r="G123" s="75"/>
      <c r="H123" s="80"/>
      <c r="I123" s="14" t="s">
        <v>149</v>
      </c>
      <c r="J123" s="28">
        <f>(IF(B114&gt;3,(H114/(B114+2)+J122),0))</f>
        <v>0</v>
      </c>
    </row>
    <row r="124" spans="1:10" ht="15.75" customHeight="1" x14ac:dyDescent="0.25">
      <c r="A124" s="70" t="s">
        <v>143</v>
      </c>
      <c r="B124" s="71"/>
      <c r="C124" s="48">
        <v>0</v>
      </c>
      <c r="D124" s="17">
        <f ca="1">((100/H114)*C124)/100</f>
        <v>0</v>
      </c>
      <c r="E124" s="75"/>
      <c r="F124" s="76"/>
      <c r="G124" s="75"/>
      <c r="H124" s="80"/>
      <c r="I124" s="14" t="s">
        <v>150</v>
      </c>
      <c r="J124" s="27">
        <f>(IF(B114&gt;4,(H114/(B114+2)+J123),0))</f>
        <v>0</v>
      </c>
    </row>
    <row r="125" spans="1:10" ht="15.75" customHeight="1" x14ac:dyDescent="0.25">
      <c r="A125" s="70" t="s">
        <v>138</v>
      </c>
      <c r="B125" s="71" t="s">
        <v>138</v>
      </c>
      <c r="C125" s="48">
        <v>0</v>
      </c>
      <c r="D125" s="17">
        <f ca="1">((100/(H114))*C125)/100</f>
        <v>0</v>
      </c>
      <c r="E125" s="75"/>
      <c r="F125" s="76"/>
      <c r="G125" s="75"/>
      <c r="H125" s="80"/>
      <c r="I125" s="14" t="s">
        <v>152</v>
      </c>
      <c r="J125" s="27">
        <f ca="1">(IF(B114=1,(H114/(B114+3)+J120),IF(B114=0,(H114/4+J120),IF(B114&gt;1,0))))</f>
        <v>22.5</v>
      </c>
    </row>
    <row r="126" spans="1:10" ht="16.5" thickBot="1" x14ac:dyDescent="0.3">
      <c r="A126" s="82" t="s">
        <v>139</v>
      </c>
      <c r="B126" s="83"/>
      <c r="C126" s="49">
        <v>0</v>
      </c>
      <c r="D126" s="18">
        <f ca="1">((100/(H114))*C126)/100</f>
        <v>0</v>
      </c>
      <c r="E126" s="77"/>
      <c r="F126" s="78"/>
      <c r="G126" s="77"/>
      <c r="H126" s="81"/>
      <c r="I126" s="15" t="s">
        <v>106</v>
      </c>
      <c r="J126" s="29">
        <f ca="1">(IF(B114&gt;1.5,(H114/(B114+2)+J120+MAX(0,J121-J120)+MAX(0,J122-J121)+MAX(0,J123-J122)+MAX(0,J124-J123)+MAX(0,J125-J124)),IF(B114=1,(H114/(B114+3)+J125),IF(B114=0,H114/4+J125))))</f>
        <v>30</v>
      </c>
    </row>
    <row r="127" spans="1:10" ht="35.25" customHeight="1" x14ac:dyDescent="0.25">
      <c r="A127" s="61" t="s">
        <v>145</v>
      </c>
      <c r="B127" s="62"/>
      <c r="C127" s="63" t="s">
        <v>267</v>
      </c>
      <c r="D127" s="64"/>
      <c r="E127" s="64"/>
      <c r="F127" s="64"/>
      <c r="G127" s="64"/>
      <c r="H127" s="65"/>
      <c r="I127" s="42" t="str">
        <f ca="1">IF(D140=100%,"All work Completed. Possession granted to the Building.",IF(D139=100%,"All work Completed, Waiting for OC",I128&amp;""&amp;I129&amp;""&amp;J128&amp;""&amp;J127&amp;" "&amp;J129))</f>
        <v>Excavation, Plinth Completed, RCC upto 3 Slab Completed</v>
      </c>
      <c r="J127" s="43" t="str">
        <f ca="1">(IF(C133=(D128+F128+H128),"",IF(C133&gt;0,", RCC upto "&amp;C133&amp;" Slab","")))&amp;(IF(C134=H128,"",IF(C134&gt;0,", Brickwork upto "&amp;C134&amp;" Floor","")))&amp;(IF(C135=H128,"",IF(C135&gt;0,", Internal Plaster upto "&amp;C135&amp;" Floor","")))&amp;(IF(C136=H128,"",IF(C136&gt;0,", External Plaster upto "&amp;C136&amp;" Floor","")))&amp;(IF(C137=H128,"",IF(C137&gt;0,", Flooring upto "&amp;C137&amp;" Floor","")))&amp;(IF(C138=H128,"",IF(C138&gt;0,", Painting upto "&amp;C138&amp;" Floor","")))&amp;(IF(C139=H128,"",IF(C139&gt;0,", Finishing upto "&amp;C139&amp;" Floor","")))&amp;(IF(C140=H128,"",IF(C140&gt;0,", Possession upto "&amp;C140&amp;" Floor","")))</f>
        <v>, RCC upto 3 Slab</v>
      </c>
    </row>
    <row r="128" spans="1:10" x14ac:dyDescent="0.25">
      <c r="A128" s="51" t="s">
        <v>147</v>
      </c>
      <c r="B128" s="52">
        <v>0</v>
      </c>
      <c r="C128" s="52" t="s">
        <v>73</v>
      </c>
      <c r="D128" s="52">
        <v>1</v>
      </c>
      <c r="E128" s="52" t="s">
        <v>72</v>
      </c>
      <c r="F128" s="52">
        <v>0</v>
      </c>
      <c r="G128" s="52" t="s">
        <v>82</v>
      </c>
      <c r="H128" s="53">
        <f ca="1">--TRIM(RIGHT(SUBSTITUTE(LEFT(C127,_xlfn.AGGREGATE(16,6,FIND({0,1,2,3,4,5,6,7,8,9},C127,ROW(INDIRECT("1:"&amp;LEN(C127)))),1))," ",REPT(" ",LEN(C127))),LEN(C127)))</f>
        <v>30</v>
      </c>
      <c r="I128" s="44" t="str">
        <f ca="1">IF(D131=100%,"Excavation","")&amp;IF(D132=100%,", Plinth","")&amp;IF(D133=100%,", RCC Slab","")&amp;IF(D134=100%,", Brickwork","")&amp;IF(D135=100%,", Internal Plaster","")&amp;IF(D136=100%,", External Plaster","")&amp;IF(D137=100%,", Flooring","")&amp;IF(D138=100%,", Painting","")&amp;IF(D139=100%,", Building common Amenities","")</f>
        <v>Excavation, Plinth</v>
      </c>
      <c r="J128" s="45" t="str">
        <f ca="1">(IF(C131=0,"Work not yet Started.",IF(D131=25%,"Piling work in process",IF(D131=50%,"Excavation work in process",IF(D131=100%,"","0")))))&amp;(IF(C132=0%,"",IF(C132=J133,", Footing work is process",IF(C132=J134,", Footing work Completed",IF(C132=J135,", 1st Basement Completed",IF(C132=J136,", 1st &amp; 2nd Basement Completed",IF(C132=J137,", 1st to 3rd Basement Completed",IF(C132=J138,", 1st to 4th Basement Completed",IF(C132=J139,", Plinth work is process",IF(C132=J140,"","0"))))))))))</f>
        <v/>
      </c>
    </row>
    <row r="129" spans="1:10" x14ac:dyDescent="0.25">
      <c r="A129" s="66" t="s">
        <v>92</v>
      </c>
      <c r="B129" s="67"/>
      <c r="C129" s="68" t="str">
        <f ca="1">(IF($G$59="NA",I127,"All work Completed. OC Received."))</f>
        <v>Excavation, Plinth Completed, RCC upto 3 Slab Completed</v>
      </c>
      <c r="D129" s="68"/>
      <c r="E129" s="68"/>
      <c r="F129" s="68"/>
      <c r="G129" s="68"/>
      <c r="H129" s="69"/>
      <c r="I129" s="44" t="str">
        <f ca="1">IF(I128&lt;&gt;""," Completed","")</f>
        <v xml:space="preserve"> Completed</v>
      </c>
      <c r="J129" s="45" t="str">
        <f ca="1">IF(J127&lt;&gt;"","Completed","")</f>
        <v>Completed</v>
      </c>
    </row>
    <row r="130" spans="1:10" ht="15.75" customHeight="1" x14ac:dyDescent="0.25">
      <c r="A130" s="70" t="s">
        <v>50</v>
      </c>
      <c r="B130" s="71"/>
      <c r="C130" s="48" t="s">
        <v>144</v>
      </c>
      <c r="D130" s="48" t="s">
        <v>85</v>
      </c>
      <c r="E130" s="71" t="s">
        <v>87</v>
      </c>
      <c r="F130" s="71"/>
      <c r="G130" s="71" t="s">
        <v>86</v>
      </c>
      <c r="H130" s="72"/>
      <c r="I130" s="14" t="s">
        <v>146</v>
      </c>
      <c r="J130" s="25">
        <f ca="1">H128*25%</f>
        <v>7.5</v>
      </c>
    </row>
    <row r="131" spans="1:10" x14ac:dyDescent="0.25">
      <c r="A131" s="70" t="s">
        <v>133</v>
      </c>
      <c r="B131" s="71"/>
      <c r="C131" s="48">
        <f ca="1">J132</f>
        <v>30</v>
      </c>
      <c r="D131" s="17">
        <f ca="1">((100/H128)*C131)/100</f>
        <v>1</v>
      </c>
      <c r="E131" s="73">
        <f ca="1">(((C132/H128*10)+(40/(D128+F128+H128)*C133)+(7.5/(H128)*C134)+(7.5/(H128)*C135)+(10/H128*C136)+(10/H128*C137)+(5/H128*C138)+(5/H128*C139)+(5/H128*C140))/100)</f>
        <v>0.13870967741935483</v>
      </c>
      <c r="F131" s="74"/>
      <c r="G131" s="73">
        <f ca="1">((((C131/H128)*20)+((C132/H128)*25)+(30/(H128+F128+D128)*C133)+(5/H128*C134)+(5/H128*C135)+(5/H128*C136)+(5/H128*C137)+(0/H128*C138)+(0/H128*C139)+(5/H128*C140))/100)</f>
        <v>0.47903225806451616</v>
      </c>
      <c r="H131" s="79"/>
      <c r="I131" s="14" t="s">
        <v>102</v>
      </c>
      <c r="J131" s="26">
        <f ca="1">H128*50%</f>
        <v>15</v>
      </c>
    </row>
    <row r="132" spans="1:10" x14ac:dyDescent="0.25">
      <c r="A132" s="70" t="s">
        <v>51</v>
      </c>
      <c r="B132" s="71"/>
      <c r="C132" s="56">
        <f ca="1">J140</f>
        <v>30</v>
      </c>
      <c r="D132" s="17">
        <f ca="1">((100/H128)*C132)/100</f>
        <v>1</v>
      </c>
      <c r="E132" s="75"/>
      <c r="F132" s="76"/>
      <c r="G132" s="75"/>
      <c r="H132" s="80"/>
      <c r="I132" s="14" t="s">
        <v>103</v>
      </c>
      <c r="J132" s="26">
        <f ca="1">H128</f>
        <v>30</v>
      </c>
    </row>
    <row r="133" spans="1:10" ht="15.75" customHeight="1" x14ac:dyDescent="0.25">
      <c r="A133" s="70" t="s">
        <v>134</v>
      </c>
      <c r="B133" s="71"/>
      <c r="C133" s="48">
        <v>3</v>
      </c>
      <c r="D133" s="17">
        <f ca="1">((100/(D128+F128+H128))*C133)/100</f>
        <v>9.677419354838708E-2</v>
      </c>
      <c r="E133" s="75"/>
      <c r="F133" s="76"/>
      <c r="G133" s="75"/>
      <c r="H133" s="80"/>
      <c r="I133" s="14" t="s">
        <v>104</v>
      </c>
      <c r="J133" s="27">
        <f ca="1">(IF(B128&gt;1,(H128/(B128+2)),H128/4))</f>
        <v>7.5</v>
      </c>
    </row>
    <row r="134" spans="1:10" ht="15.75" customHeight="1" x14ac:dyDescent="0.25">
      <c r="A134" s="70" t="s">
        <v>141</v>
      </c>
      <c r="B134" s="71" t="s">
        <v>135</v>
      </c>
      <c r="C134" s="48">
        <v>0</v>
      </c>
      <c r="D134" s="17">
        <f ca="1">((100/H128)*C134)/100</f>
        <v>0</v>
      </c>
      <c r="E134" s="75"/>
      <c r="F134" s="76"/>
      <c r="G134" s="75"/>
      <c r="H134" s="80"/>
      <c r="I134" s="14" t="s">
        <v>105</v>
      </c>
      <c r="J134" s="27">
        <f ca="1">(IF(B128&gt;1,(H128/(B128+2)+J133),H128/4+J133))</f>
        <v>15</v>
      </c>
    </row>
    <row r="135" spans="1:10" ht="15.75" customHeight="1" x14ac:dyDescent="0.25">
      <c r="A135" s="70" t="s">
        <v>142</v>
      </c>
      <c r="B135" s="71" t="s">
        <v>135</v>
      </c>
      <c r="C135" s="48">
        <v>0</v>
      </c>
      <c r="D135" s="17">
        <f ca="1">((100/H128)*C135)/100</f>
        <v>0</v>
      </c>
      <c r="E135" s="75"/>
      <c r="F135" s="76"/>
      <c r="G135" s="75"/>
      <c r="H135" s="80"/>
      <c r="I135" s="14" t="s">
        <v>151</v>
      </c>
      <c r="J135" s="27">
        <f>(IF(B128&gt;1,(H128/(B128+2)+J134),0))</f>
        <v>0</v>
      </c>
    </row>
    <row r="136" spans="1:10" ht="15" customHeight="1" x14ac:dyDescent="0.25">
      <c r="A136" s="70" t="s">
        <v>140</v>
      </c>
      <c r="B136" s="71" t="s">
        <v>137</v>
      </c>
      <c r="C136" s="48">
        <v>0</v>
      </c>
      <c r="D136" s="17">
        <f ca="1">((100/(H128))*C136)/100</f>
        <v>0</v>
      </c>
      <c r="E136" s="75"/>
      <c r="F136" s="76"/>
      <c r="G136" s="75"/>
      <c r="H136" s="80"/>
      <c r="I136" s="14" t="s">
        <v>148</v>
      </c>
      <c r="J136" s="27">
        <f>(IF(B128&gt;2,(H128/(B128+2)+J135),0))</f>
        <v>0</v>
      </c>
    </row>
    <row r="137" spans="1:10" ht="15.75" customHeight="1" x14ac:dyDescent="0.25">
      <c r="A137" s="70" t="s">
        <v>136</v>
      </c>
      <c r="B137" s="71" t="s">
        <v>136</v>
      </c>
      <c r="C137" s="48">
        <v>0</v>
      </c>
      <c r="D137" s="17">
        <f ca="1">((100/H128)*C137)/100</f>
        <v>0</v>
      </c>
      <c r="E137" s="75"/>
      <c r="F137" s="76"/>
      <c r="G137" s="75"/>
      <c r="H137" s="80"/>
      <c r="I137" s="14" t="s">
        <v>149</v>
      </c>
      <c r="J137" s="28">
        <f>(IF(B128&gt;3,(H128/(B128+2)+J136),0))</f>
        <v>0</v>
      </c>
    </row>
    <row r="138" spans="1:10" ht="15.75" customHeight="1" x14ac:dyDescent="0.25">
      <c r="A138" s="70" t="s">
        <v>143</v>
      </c>
      <c r="B138" s="71"/>
      <c r="C138" s="48">
        <v>0</v>
      </c>
      <c r="D138" s="17">
        <f ca="1">((100/H128)*C138)/100</f>
        <v>0</v>
      </c>
      <c r="E138" s="75"/>
      <c r="F138" s="76"/>
      <c r="G138" s="75"/>
      <c r="H138" s="80"/>
      <c r="I138" s="14" t="s">
        <v>150</v>
      </c>
      <c r="J138" s="27">
        <f>(IF(B128&gt;4,(H128/(B128+2)+J137),0))</f>
        <v>0</v>
      </c>
    </row>
    <row r="139" spans="1:10" ht="15.75" customHeight="1" x14ac:dyDescent="0.25">
      <c r="A139" s="70" t="s">
        <v>138</v>
      </c>
      <c r="B139" s="71" t="s">
        <v>138</v>
      </c>
      <c r="C139" s="48">
        <v>0</v>
      </c>
      <c r="D139" s="17">
        <f ca="1">((100/(H128))*C139)/100</f>
        <v>0</v>
      </c>
      <c r="E139" s="75"/>
      <c r="F139" s="76"/>
      <c r="G139" s="75"/>
      <c r="H139" s="80"/>
      <c r="I139" s="14" t="s">
        <v>152</v>
      </c>
      <c r="J139" s="27">
        <f ca="1">(IF(B128=1,(H128/(B128+3)+J134),IF(B128=0,(H128/4+J134),IF(B128&gt;1,0))))</f>
        <v>22.5</v>
      </c>
    </row>
    <row r="140" spans="1:10" ht="16.5" thickBot="1" x14ac:dyDescent="0.3">
      <c r="A140" s="82" t="s">
        <v>139</v>
      </c>
      <c r="B140" s="83"/>
      <c r="C140" s="49">
        <v>0</v>
      </c>
      <c r="D140" s="18">
        <f ca="1">((100/(H128))*C140)/100</f>
        <v>0</v>
      </c>
      <c r="E140" s="77"/>
      <c r="F140" s="78"/>
      <c r="G140" s="77"/>
      <c r="H140" s="81"/>
      <c r="I140" s="15" t="s">
        <v>106</v>
      </c>
      <c r="J140" s="29">
        <f ca="1">(IF(B128&gt;1.5,(H128/(B128+2)+J134+MAX(0,J135-J134)+MAX(0,J136-J135)+MAX(0,J137-J136)+MAX(0,J138-J137)+MAX(0,J139-J138)),IF(B128=1,(H128/(B128+3)+J139),IF(B128=0,H128/4+J139))))</f>
        <v>30</v>
      </c>
    </row>
    <row r="141" spans="1:10" ht="31.5" customHeight="1" x14ac:dyDescent="0.25">
      <c r="A141" s="61" t="s">
        <v>145</v>
      </c>
      <c r="B141" s="62"/>
      <c r="C141" s="63" t="s">
        <v>282</v>
      </c>
      <c r="D141" s="64"/>
      <c r="E141" s="64"/>
      <c r="F141" s="64"/>
      <c r="G141" s="64"/>
      <c r="H141" s="65"/>
      <c r="I141" s="42" t="str">
        <f ca="1">IF(D154=100%,"All work Completed. Possession granted to the Building.",IF(D153=100%,"All work Completed, Waiting for OC",I142&amp;""&amp;I143&amp;""&amp;J142&amp;""&amp;J141&amp;" "&amp;J143))</f>
        <v xml:space="preserve">Excavation, Plinth Completed </v>
      </c>
      <c r="J141" s="43" t="str">
        <f ca="1">(IF(C147=(D142+F142+H142),"",IF(C147&gt;0,", RCC upto "&amp;C147&amp;" Slab","")))&amp;(IF(C148=H142,"",IF(C148&gt;0,", Brickwork upto "&amp;C148&amp;" Floor","")))&amp;(IF(C149=H142,"",IF(C149&gt;0,", Internal Plaster upto "&amp;C149&amp;" Floor","")))&amp;(IF(C150=H142,"",IF(C150&gt;0,", External Plaster upto "&amp;C150&amp;" Floor","")))&amp;(IF(C151=H142,"",IF(C151&gt;0,", Flooring upto "&amp;C151&amp;" Floor","")))&amp;(IF(C152=H142,"",IF(C152&gt;0,", Painting upto "&amp;C152&amp;" Floor","")))&amp;(IF(C153=H142,"",IF(C153&gt;0,", Finishing upto "&amp;C153&amp;" Floor","")))&amp;(IF(C154=H142,"",IF(C154&gt;0,", Possession upto "&amp;C154&amp;" Floor","")))</f>
        <v/>
      </c>
    </row>
    <row r="142" spans="1:10" x14ac:dyDescent="0.25">
      <c r="A142" s="51" t="s">
        <v>147</v>
      </c>
      <c r="B142" s="52">
        <v>0</v>
      </c>
      <c r="C142" s="52" t="s">
        <v>73</v>
      </c>
      <c r="D142" s="52">
        <v>1</v>
      </c>
      <c r="E142" s="52" t="s">
        <v>72</v>
      </c>
      <c r="F142" s="52">
        <v>0</v>
      </c>
      <c r="G142" s="52" t="s">
        <v>82</v>
      </c>
      <c r="H142" s="53">
        <f ca="1">--TRIM(RIGHT(SUBSTITUTE(LEFT(C141,_xlfn.AGGREGATE(16,6,FIND({0,1,2,3,4,5,6,7,8,9},C141,ROW(INDIRECT("1:"&amp;LEN(C141)))),1))," ",REPT(" ",LEN(C141))),LEN(C141)))</f>
        <v>30</v>
      </c>
      <c r="I142" s="44" t="str">
        <f ca="1">IF(D145=100%,"Excavation","")&amp;IF(D146=100%,", Plinth","")&amp;IF(D147=100%,", RCC Slab","")&amp;IF(D148=100%,", Brickwork","")&amp;IF(D149=100%,", Internal Plaster","")&amp;IF(D150=100%,", External Plaster","")&amp;IF(D151=100%,", Flooring","")&amp;IF(D152=100%,", Painting","")&amp;IF(D153=100%,", Building common Amenities","")</f>
        <v>Excavation, Plinth</v>
      </c>
      <c r="J142" s="45" t="str">
        <f ca="1">(IF(C145=0,"Work not yet Started.",IF(D145=25%,"Piling work in process",IF(D145=50%,"Excavation work in process",IF(D145=100%,"","0")))))&amp;(IF(C146=0%,"",IF(C146=J147,", Footing work is process",IF(C146=J148,", Footing work Completed",IF(C146=J149,", 1st Basement Completed",IF(C146=J150,", 1st &amp; 2nd Basement Completed",IF(C146=J151,", 1st to 3rd Basement Completed",IF(C146=J152,", 1st to 4th Basement Completed",IF(C146=J153,", Plinth work is process",IF(C146=J154,"","0"))))))))))</f>
        <v/>
      </c>
    </row>
    <row r="143" spans="1:10" x14ac:dyDescent="0.25">
      <c r="A143" s="66" t="s">
        <v>92</v>
      </c>
      <c r="B143" s="67"/>
      <c r="C143" s="68" t="str">
        <f ca="1">(IF($G$59="NA",I141,"All work Completed. OC Received."))</f>
        <v xml:space="preserve">Excavation, Plinth Completed </v>
      </c>
      <c r="D143" s="68"/>
      <c r="E143" s="68"/>
      <c r="F143" s="68"/>
      <c r="G143" s="68"/>
      <c r="H143" s="69"/>
      <c r="I143" s="44" t="str">
        <f ca="1">IF(I142&lt;&gt;""," Completed","")</f>
        <v xml:space="preserve"> Completed</v>
      </c>
      <c r="J143" s="45" t="str">
        <f ca="1">IF(J141&lt;&gt;"","Completed","")</f>
        <v/>
      </c>
    </row>
    <row r="144" spans="1:10" ht="15.75" customHeight="1" x14ac:dyDescent="0.25">
      <c r="A144" s="70" t="s">
        <v>50</v>
      </c>
      <c r="B144" s="71"/>
      <c r="C144" s="48" t="s">
        <v>144</v>
      </c>
      <c r="D144" s="48" t="s">
        <v>85</v>
      </c>
      <c r="E144" s="71" t="s">
        <v>87</v>
      </c>
      <c r="F144" s="71"/>
      <c r="G144" s="71" t="s">
        <v>86</v>
      </c>
      <c r="H144" s="72"/>
      <c r="I144" s="14" t="s">
        <v>146</v>
      </c>
      <c r="J144" s="25">
        <f ca="1">H142*25%</f>
        <v>7.5</v>
      </c>
    </row>
    <row r="145" spans="1:10" x14ac:dyDescent="0.25">
      <c r="A145" s="70" t="s">
        <v>133</v>
      </c>
      <c r="B145" s="71"/>
      <c r="C145" s="48">
        <f ca="1">J146</f>
        <v>30</v>
      </c>
      <c r="D145" s="17">
        <f ca="1">((100/H142)*C145)/100</f>
        <v>1</v>
      </c>
      <c r="E145" s="73">
        <f ca="1">(((C146/H142*10)+(40/(D142+F142+H142)*C147)+(7.5/(H142)*C148)+(7.5/(H142)*C149)+(10/H142*C150)+(10/H142*C151)+(5/H142*C152)+(5/H142*C153)+(5/H142*C154))/100)</f>
        <v>0.1</v>
      </c>
      <c r="F145" s="74"/>
      <c r="G145" s="73">
        <f ca="1">((((C145/H142)*20)+((C146/H142)*25)+(30/(H142+F142+D142)*C147)+(5/H142*C148)+(5/H142*C149)+(5/H142*C150)+(5/H142*C151)+(0/H142*C152)+(0/H142*C153)+(5/H142*C154))/100)</f>
        <v>0.45</v>
      </c>
      <c r="H145" s="79"/>
      <c r="I145" s="14" t="s">
        <v>102</v>
      </c>
      <c r="J145" s="26">
        <f ca="1">H142*50%</f>
        <v>15</v>
      </c>
    </row>
    <row r="146" spans="1:10" x14ac:dyDescent="0.25">
      <c r="A146" s="70" t="s">
        <v>51</v>
      </c>
      <c r="B146" s="71"/>
      <c r="C146" s="56">
        <f ca="1">J154</f>
        <v>30</v>
      </c>
      <c r="D146" s="17">
        <f ca="1">((100/H142)*C146)/100</f>
        <v>1</v>
      </c>
      <c r="E146" s="75"/>
      <c r="F146" s="76"/>
      <c r="G146" s="75"/>
      <c r="H146" s="80"/>
      <c r="I146" s="14" t="s">
        <v>103</v>
      </c>
      <c r="J146" s="26">
        <f ca="1">H142</f>
        <v>30</v>
      </c>
    </row>
    <row r="147" spans="1:10" ht="15.75" customHeight="1" x14ac:dyDescent="0.25">
      <c r="A147" s="70" t="s">
        <v>134</v>
      </c>
      <c r="B147" s="71"/>
      <c r="C147" s="48">
        <v>0</v>
      </c>
      <c r="D147" s="17">
        <f ca="1">((100/(D142+F142+H142))*C147)/100</f>
        <v>0</v>
      </c>
      <c r="E147" s="75"/>
      <c r="F147" s="76"/>
      <c r="G147" s="75"/>
      <c r="H147" s="80"/>
      <c r="I147" s="14" t="s">
        <v>104</v>
      </c>
      <c r="J147" s="27">
        <f ca="1">(IF(B142&gt;1,(H142/(B142+2)),H142/4))</f>
        <v>7.5</v>
      </c>
    </row>
    <row r="148" spans="1:10" ht="15.75" customHeight="1" x14ac:dyDescent="0.25">
      <c r="A148" s="70" t="s">
        <v>141</v>
      </c>
      <c r="B148" s="71" t="s">
        <v>135</v>
      </c>
      <c r="C148" s="48">
        <v>0</v>
      </c>
      <c r="D148" s="17">
        <f ca="1">((100/H142)*C148)/100</f>
        <v>0</v>
      </c>
      <c r="E148" s="75"/>
      <c r="F148" s="76"/>
      <c r="G148" s="75"/>
      <c r="H148" s="80"/>
      <c r="I148" s="14" t="s">
        <v>105</v>
      </c>
      <c r="J148" s="27">
        <f ca="1">(IF(B142&gt;1,(H142/(B142+2)+J147),H142/4+J147))</f>
        <v>15</v>
      </c>
    </row>
    <row r="149" spans="1:10" ht="15.75" customHeight="1" x14ac:dyDescent="0.25">
      <c r="A149" s="70" t="s">
        <v>142</v>
      </c>
      <c r="B149" s="71" t="s">
        <v>135</v>
      </c>
      <c r="C149" s="48">
        <v>0</v>
      </c>
      <c r="D149" s="17">
        <f ca="1">((100/H142)*C149)/100</f>
        <v>0</v>
      </c>
      <c r="E149" s="75"/>
      <c r="F149" s="76"/>
      <c r="G149" s="75"/>
      <c r="H149" s="80"/>
      <c r="I149" s="14" t="s">
        <v>151</v>
      </c>
      <c r="J149" s="27">
        <f>(IF(B142&gt;1,(H142/(B142+2)+J148),0))</f>
        <v>0</v>
      </c>
    </row>
    <row r="150" spans="1:10" ht="15" customHeight="1" x14ac:dyDescent="0.25">
      <c r="A150" s="70" t="s">
        <v>140</v>
      </c>
      <c r="B150" s="71" t="s">
        <v>137</v>
      </c>
      <c r="C150" s="48">
        <v>0</v>
      </c>
      <c r="D150" s="17">
        <f ca="1">((100/(H142))*C150)/100</f>
        <v>0</v>
      </c>
      <c r="E150" s="75"/>
      <c r="F150" s="76"/>
      <c r="G150" s="75"/>
      <c r="H150" s="80"/>
      <c r="I150" s="14" t="s">
        <v>148</v>
      </c>
      <c r="J150" s="27">
        <f>(IF(B142&gt;2,(H142/(B142+2)+J149),0))</f>
        <v>0</v>
      </c>
    </row>
    <row r="151" spans="1:10" ht="15.75" customHeight="1" x14ac:dyDescent="0.25">
      <c r="A151" s="70" t="s">
        <v>136</v>
      </c>
      <c r="B151" s="71" t="s">
        <v>136</v>
      </c>
      <c r="C151" s="48">
        <v>0</v>
      </c>
      <c r="D151" s="17">
        <f ca="1">((100/H142)*C151)/100</f>
        <v>0</v>
      </c>
      <c r="E151" s="75"/>
      <c r="F151" s="76"/>
      <c r="G151" s="75"/>
      <c r="H151" s="80"/>
      <c r="I151" s="14" t="s">
        <v>149</v>
      </c>
      <c r="J151" s="28">
        <f>(IF(B142&gt;3,(H142/(B142+2)+J150),0))</f>
        <v>0</v>
      </c>
    </row>
    <row r="152" spans="1:10" ht="15.75" customHeight="1" x14ac:dyDescent="0.25">
      <c r="A152" s="70" t="s">
        <v>143</v>
      </c>
      <c r="B152" s="71"/>
      <c r="C152" s="48">
        <v>0</v>
      </c>
      <c r="D152" s="17">
        <f ca="1">((100/H142)*C152)/100</f>
        <v>0</v>
      </c>
      <c r="E152" s="75"/>
      <c r="F152" s="76"/>
      <c r="G152" s="75"/>
      <c r="H152" s="80"/>
      <c r="I152" s="14" t="s">
        <v>150</v>
      </c>
      <c r="J152" s="27">
        <f>(IF(B142&gt;4,(H142/(B142+2)+J151),0))</f>
        <v>0</v>
      </c>
    </row>
    <row r="153" spans="1:10" ht="15.75" customHeight="1" x14ac:dyDescent="0.25">
      <c r="A153" s="70" t="s">
        <v>138</v>
      </c>
      <c r="B153" s="71" t="s">
        <v>138</v>
      </c>
      <c r="C153" s="48">
        <v>0</v>
      </c>
      <c r="D153" s="17">
        <f ca="1">((100/(H142))*C153)/100</f>
        <v>0</v>
      </c>
      <c r="E153" s="75"/>
      <c r="F153" s="76"/>
      <c r="G153" s="75"/>
      <c r="H153" s="80"/>
      <c r="I153" s="14" t="s">
        <v>152</v>
      </c>
      <c r="J153" s="27">
        <f ca="1">(IF(B142=1,(H142/(B142+3)+J148),IF(B142=0,(H142/4+J148),IF(B142&gt;1,0))))</f>
        <v>22.5</v>
      </c>
    </row>
    <row r="154" spans="1:10" ht="16.5" thickBot="1" x14ac:dyDescent="0.3">
      <c r="A154" s="82" t="s">
        <v>139</v>
      </c>
      <c r="B154" s="83"/>
      <c r="C154" s="49">
        <v>0</v>
      </c>
      <c r="D154" s="18">
        <f ca="1">((100/(H142))*C154)/100</f>
        <v>0</v>
      </c>
      <c r="E154" s="77"/>
      <c r="F154" s="78"/>
      <c r="G154" s="77"/>
      <c r="H154" s="81"/>
      <c r="I154" s="15" t="s">
        <v>106</v>
      </c>
      <c r="J154" s="29">
        <f ca="1">(IF(B142&gt;1.5,(H142/(B142+2)+J148+MAX(0,J149-J148)+MAX(0,J150-J149)+MAX(0,J151-J150)+MAX(0,J152-J151)+MAX(0,J153-J152)),IF(B142=1,(H142/(B142+3)+J153),IF(B142=0,H142/4+J153))))</f>
        <v>30</v>
      </c>
    </row>
    <row r="155" spans="1:10" ht="31.5" customHeight="1" x14ac:dyDescent="0.25">
      <c r="A155" s="61" t="s">
        <v>145</v>
      </c>
      <c r="B155" s="62"/>
      <c r="C155" s="63" t="s">
        <v>295</v>
      </c>
      <c r="D155" s="64"/>
      <c r="E155" s="64"/>
      <c r="F155" s="64"/>
      <c r="G155" s="64"/>
      <c r="H155" s="65"/>
      <c r="I155" s="42" t="str">
        <f ca="1">IF(D168=100%,"All work Completed. Possession granted to the Building.",IF(D167=100%,"All work Completed, Waiting for OC",I156&amp;""&amp;I157&amp;""&amp;J156&amp;""&amp;J155&amp;" "&amp;J157))</f>
        <v xml:space="preserve">Excavation, Plinth Completed </v>
      </c>
      <c r="J155" s="43" t="str">
        <f ca="1">(IF(C161=(D156+F156+H156),"",IF(C161&gt;0,", RCC upto "&amp;C161&amp;" Slab","")))&amp;(IF(C162=H156,"",IF(C162&gt;0,", Brickwork upto "&amp;C162&amp;" Floor","")))&amp;(IF(C163=H156,"",IF(C163&gt;0,", Internal Plaster upto "&amp;C163&amp;" Floor","")))&amp;(IF(C164=H156,"",IF(C164&gt;0,", External Plaster upto "&amp;C164&amp;" Floor","")))&amp;(IF(C165=H156,"",IF(C165&gt;0,", Flooring upto "&amp;C165&amp;" Floor","")))&amp;(IF(C166=H156,"",IF(C166&gt;0,", Painting upto "&amp;C166&amp;" Floor","")))&amp;(IF(C167=H156,"",IF(C167&gt;0,", Finishing upto "&amp;C167&amp;" Floor","")))&amp;(IF(C168=H156,"",IF(C168&gt;0,", Possession upto "&amp;C168&amp;" Floor","")))</f>
        <v/>
      </c>
    </row>
    <row r="156" spans="1:10" x14ac:dyDescent="0.25">
      <c r="A156" s="51" t="s">
        <v>147</v>
      </c>
      <c r="B156" s="52">
        <v>0</v>
      </c>
      <c r="C156" s="52" t="s">
        <v>73</v>
      </c>
      <c r="D156" s="52">
        <v>1</v>
      </c>
      <c r="E156" s="52" t="s">
        <v>72</v>
      </c>
      <c r="F156" s="52">
        <v>0</v>
      </c>
      <c r="G156" s="52" t="s">
        <v>82</v>
      </c>
      <c r="H156" s="53">
        <f ca="1">--TRIM(RIGHT(SUBSTITUTE(LEFT(C155,_xlfn.AGGREGATE(16,6,FIND({0,1,2,3,4,5,6,7,8,9},C155,ROW(INDIRECT("1:"&amp;LEN(C155)))),1))," ",REPT(" ",LEN(C155))),LEN(C155)))</f>
        <v>30</v>
      </c>
      <c r="I156" s="44" t="str">
        <f ca="1">IF(D159=100%,"Excavation","")&amp;IF(D160=100%,", Plinth","")&amp;IF(D161=100%,", RCC Slab","")&amp;IF(D162=100%,", Brickwork","")&amp;IF(D163=100%,", Internal Plaster","")&amp;IF(D164=100%,", External Plaster","")&amp;IF(D165=100%,", Flooring","")&amp;IF(D166=100%,", Painting","")&amp;IF(D167=100%,", Building common Amenities","")</f>
        <v>Excavation, Plinth</v>
      </c>
      <c r="J156" s="45" t="str">
        <f ca="1">(IF(C159=0,"Work not yet Started.",IF(D159=25%,"Piling work in process",IF(D159=50%,"Excavation work in process",IF(D159=100%,"","0")))))&amp;(IF(C160=0%,"",IF(C160=J161,", Footing work is process",IF(C160=J162,", Footing work Completed",IF(C160=J163,", 1st Basement Completed",IF(C160=J164,", 1st &amp; 2nd Basement Completed",IF(C160=J165,", 1st to 3rd Basement Completed",IF(C160=J166,", 1st to 4th Basement Completed",IF(C160=J167,", Plinth work is process",IF(C160=J168,"","0"))))))))))</f>
        <v/>
      </c>
    </row>
    <row r="157" spans="1:10" x14ac:dyDescent="0.25">
      <c r="A157" s="66" t="s">
        <v>92</v>
      </c>
      <c r="B157" s="67"/>
      <c r="C157" s="68" t="str">
        <f ca="1">(IF($G$59="NA",I155,"All work Completed. OC Received."))</f>
        <v xml:space="preserve">Excavation, Plinth Completed </v>
      </c>
      <c r="D157" s="68"/>
      <c r="E157" s="68"/>
      <c r="F157" s="68"/>
      <c r="G157" s="68"/>
      <c r="H157" s="69"/>
      <c r="I157" s="44" t="str">
        <f ca="1">IF(I156&lt;&gt;""," Completed","")</f>
        <v xml:space="preserve"> Completed</v>
      </c>
      <c r="J157" s="45" t="str">
        <f ca="1">IF(J155&lt;&gt;"","Completed","")</f>
        <v/>
      </c>
    </row>
    <row r="158" spans="1:10" ht="15.75" customHeight="1" x14ac:dyDescent="0.25">
      <c r="A158" s="70" t="s">
        <v>50</v>
      </c>
      <c r="B158" s="71"/>
      <c r="C158" s="48" t="s">
        <v>144</v>
      </c>
      <c r="D158" s="48" t="s">
        <v>85</v>
      </c>
      <c r="E158" s="71" t="s">
        <v>87</v>
      </c>
      <c r="F158" s="71"/>
      <c r="G158" s="71" t="s">
        <v>86</v>
      </c>
      <c r="H158" s="72"/>
      <c r="I158" s="14" t="s">
        <v>146</v>
      </c>
      <c r="J158" s="25">
        <f ca="1">H156*25%</f>
        <v>7.5</v>
      </c>
    </row>
    <row r="159" spans="1:10" x14ac:dyDescent="0.25">
      <c r="A159" s="70" t="s">
        <v>133</v>
      </c>
      <c r="B159" s="71"/>
      <c r="C159" s="48">
        <f ca="1">J160</f>
        <v>30</v>
      </c>
      <c r="D159" s="17">
        <f ca="1">((100/H156)*C159)/100</f>
        <v>1</v>
      </c>
      <c r="E159" s="73">
        <f ca="1">(((C160/H156*10)+(40/(D156+F156+H156)*C161)+(7.5/(H156)*C162)+(7.5/(H156)*C163)+(10/H156*C164)+(10/H156*C165)+(5/H156*C166)+(5/H156*C167)+(5/H156*C168))/100)</f>
        <v>0.1</v>
      </c>
      <c r="F159" s="74"/>
      <c r="G159" s="73">
        <f ca="1">((((C159/H156)*20)+((C160/H156)*25)+(30/(H156+F156+D156)*C161)+(5/H156*C162)+(5/H156*C163)+(5/H156*C164)+(5/H156*C165)+(0/H156*C166)+(0/H156*C167)+(5/H156*C168))/100)</f>
        <v>0.45</v>
      </c>
      <c r="H159" s="79"/>
      <c r="I159" s="14" t="s">
        <v>102</v>
      </c>
      <c r="J159" s="26">
        <f ca="1">H156*50%</f>
        <v>15</v>
      </c>
    </row>
    <row r="160" spans="1:10" x14ac:dyDescent="0.25">
      <c r="A160" s="70" t="s">
        <v>51</v>
      </c>
      <c r="B160" s="71"/>
      <c r="C160" s="56">
        <f ca="1">J168</f>
        <v>30</v>
      </c>
      <c r="D160" s="17">
        <f ca="1">((100/H156)*C160)/100</f>
        <v>1</v>
      </c>
      <c r="E160" s="75"/>
      <c r="F160" s="76"/>
      <c r="G160" s="75"/>
      <c r="H160" s="80"/>
      <c r="I160" s="14" t="s">
        <v>103</v>
      </c>
      <c r="J160" s="26">
        <f ca="1">H156</f>
        <v>30</v>
      </c>
    </row>
    <row r="161" spans="1:10" ht="15.75" customHeight="1" x14ac:dyDescent="0.25">
      <c r="A161" s="70" t="s">
        <v>134</v>
      </c>
      <c r="B161" s="71"/>
      <c r="C161" s="48">
        <v>0</v>
      </c>
      <c r="D161" s="17">
        <f ca="1">((100/(D156+F156+H156))*C161)/100</f>
        <v>0</v>
      </c>
      <c r="E161" s="75"/>
      <c r="F161" s="76"/>
      <c r="G161" s="75"/>
      <c r="H161" s="80"/>
      <c r="I161" s="14" t="s">
        <v>104</v>
      </c>
      <c r="J161" s="27">
        <f ca="1">(IF(B156&gt;1,(H156/(B156+2)),H156/4))</f>
        <v>7.5</v>
      </c>
    </row>
    <row r="162" spans="1:10" ht="15.75" customHeight="1" x14ac:dyDescent="0.25">
      <c r="A162" s="70" t="s">
        <v>141</v>
      </c>
      <c r="B162" s="71" t="s">
        <v>135</v>
      </c>
      <c r="C162" s="48">
        <v>0</v>
      </c>
      <c r="D162" s="17">
        <f ca="1">((100/H156)*C162)/100</f>
        <v>0</v>
      </c>
      <c r="E162" s="75"/>
      <c r="F162" s="76"/>
      <c r="G162" s="75"/>
      <c r="H162" s="80"/>
      <c r="I162" s="14" t="s">
        <v>105</v>
      </c>
      <c r="J162" s="27">
        <f ca="1">(IF(B156&gt;1,(H156/(B156+2)+J161),H156/4+J161))</f>
        <v>15</v>
      </c>
    </row>
    <row r="163" spans="1:10" ht="15.75" customHeight="1" x14ac:dyDescent="0.25">
      <c r="A163" s="70" t="s">
        <v>142</v>
      </c>
      <c r="B163" s="71" t="s">
        <v>135</v>
      </c>
      <c r="C163" s="48">
        <v>0</v>
      </c>
      <c r="D163" s="17">
        <f ca="1">((100/H156)*C163)/100</f>
        <v>0</v>
      </c>
      <c r="E163" s="75"/>
      <c r="F163" s="76"/>
      <c r="G163" s="75"/>
      <c r="H163" s="80"/>
      <c r="I163" s="14" t="s">
        <v>151</v>
      </c>
      <c r="J163" s="27">
        <f>(IF(B156&gt;1,(H156/(B156+2)+J162),0))</f>
        <v>0</v>
      </c>
    </row>
    <row r="164" spans="1:10" ht="15" customHeight="1" x14ac:dyDescent="0.25">
      <c r="A164" s="70" t="s">
        <v>140</v>
      </c>
      <c r="B164" s="71" t="s">
        <v>137</v>
      </c>
      <c r="C164" s="48">
        <v>0</v>
      </c>
      <c r="D164" s="17">
        <f ca="1">((100/(H156))*C164)/100</f>
        <v>0</v>
      </c>
      <c r="E164" s="75"/>
      <c r="F164" s="76"/>
      <c r="G164" s="75"/>
      <c r="H164" s="80"/>
      <c r="I164" s="14" t="s">
        <v>148</v>
      </c>
      <c r="J164" s="27">
        <f>(IF(B156&gt;2,(H156/(B156+2)+J163),0))</f>
        <v>0</v>
      </c>
    </row>
    <row r="165" spans="1:10" ht="15.75" customHeight="1" x14ac:dyDescent="0.25">
      <c r="A165" s="70" t="s">
        <v>136</v>
      </c>
      <c r="B165" s="71" t="s">
        <v>136</v>
      </c>
      <c r="C165" s="48">
        <v>0</v>
      </c>
      <c r="D165" s="17">
        <f ca="1">((100/H156)*C165)/100</f>
        <v>0</v>
      </c>
      <c r="E165" s="75"/>
      <c r="F165" s="76"/>
      <c r="G165" s="75"/>
      <c r="H165" s="80"/>
      <c r="I165" s="14" t="s">
        <v>149</v>
      </c>
      <c r="J165" s="28">
        <f>(IF(B156&gt;3,(H156/(B156+2)+J164),0))</f>
        <v>0</v>
      </c>
    </row>
    <row r="166" spans="1:10" ht="15.75" customHeight="1" x14ac:dyDescent="0.25">
      <c r="A166" s="70" t="s">
        <v>143</v>
      </c>
      <c r="B166" s="71"/>
      <c r="C166" s="48">
        <v>0</v>
      </c>
      <c r="D166" s="17">
        <f ca="1">((100/H156)*C166)/100</f>
        <v>0</v>
      </c>
      <c r="E166" s="75"/>
      <c r="F166" s="76"/>
      <c r="G166" s="75"/>
      <c r="H166" s="80"/>
      <c r="I166" s="14" t="s">
        <v>150</v>
      </c>
      <c r="J166" s="27">
        <f>(IF(B156&gt;4,(H156/(B156+2)+J165),0))</f>
        <v>0</v>
      </c>
    </row>
    <row r="167" spans="1:10" ht="15.75" customHeight="1" x14ac:dyDescent="0.25">
      <c r="A167" s="70" t="s">
        <v>138</v>
      </c>
      <c r="B167" s="71" t="s">
        <v>138</v>
      </c>
      <c r="C167" s="48">
        <v>0</v>
      </c>
      <c r="D167" s="17">
        <f ca="1">((100/(H156))*C167)/100</f>
        <v>0</v>
      </c>
      <c r="E167" s="75"/>
      <c r="F167" s="76"/>
      <c r="G167" s="75"/>
      <c r="H167" s="80"/>
      <c r="I167" s="14" t="s">
        <v>152</v>
      </c>
      <c r="J167" s="27">
        <f ca="1">(IF(B156=1,(H156/(B156+3)+J162),IF(B156=0,(H156/4+J162),IF(B156&gt;1,0))))</f>
        <v>22.5</v>
      </c>
    </row>
    <row r="168" spans="1:10" ht="16.5" thickBot="1" x14ac:dyDescent="0.3">
      <c r="A168" s="82" t="s">
        <v>139</v>
      </c>
      <c r="B168" s="83"/>
      <c r="C168" s="49">
        <v>0</v>
      </c>
      <c r="D168" s="18">
        <f ca="1">((100/(H156))*C168)/100</f>
        <v>0</v>
      </c>
      <c r="E168" s="77"/>
      <c r="F168" s="78"/>
      <c r="G168" s="77"/>
      <c r="H168" s="81"/>
      <c r="I168" s="15" t="s">
        <v>106</v>
      </c>
      <c r="J168" s="29">
        <f ca="1">(IF(B156&gt;1.5,(H156/(B156+2)+J162+MAX(0,J163-J162)+MAX(0,J164-J163)+MAX(0,J165-J164)+MAX(0,J166-J165)+MAX(0,J167-J166)),IF(B156=1,(H156/(B156+3)+J167),IF(B156=0,H156/4+J167))))</f>
        <v>30</v>
      </c>
    </row>
    <row r="169" spans="1:10" ht="31.5" customHeight="1" x14ac:dyDescent="0.25">
      <c r="A169" s="61" t="s">
        <v>145</v>
      </c>
      <c r="B169" s="62"/>
      <c r="C169" s="63" t="s">
        <v>296</v>
      </c>
      <c r="D169" s="64"/>
      <c r="E169" s="64"/>
      <c r="F169" s="64"/>
      <c r="G169" s="64"/>
      <c r="H169" s="65"/>
      <c r="I169" s="42" t="str">
        <f ca="1">IF(D182=100%,"All work Completed. Possession granted to the Building.",IF(D181=100%,"All work Completed, Waiting for OC",I170&amp;""&amp;I171&amp;""&amp;J170&amp;""&amp;J169&amp;" "&amp;J171))</f>
        <v xml:space="preserve">Work not yet Started. </v>
      </c>
      <c r="J169" s="43" t="str">
        <f ca="1">(IF(C175=(D170+F170+H170),"",IF(C175&gt;0,", RCC upto "&amp;C175&amp;" Slab","")))&amp;(IF(C176=H170,"",IF(C176&gt;0,", Brickwork upto "&amp;C176&amp;" Floor","")))&amp;(IF(C177=H170,"",IF(C177&gt;0,", Internal Plaster upto "&amp;C177&amp;" Floor","")))&amp;(IF(C178=H170,"",IF(C178&gt;0,", External Plaster upto "&amp;C178&amp;" Floor","")))&amp;(IF(C179=H170,"",IF(C179&gt;0,", Flooring upto "&amp;C179&amp;" Floor","")))&amp;(IF(C180=H170,"",IF(C180&gt;0,", Painting upto "&amp;C180&amp;" Floor","")))&amp;(IF(C181=H170,"",IF(C181&gt;0,", Finishing upto "&amp;C181&amp;" Floor","")))&amp;(IF(C182=H170,"",IF(C182&gt;0,", Possession upto "&amp;C182&amp;" Floor","")))</f>
        <v/>
      </c>
    </row>
    <row r="170" spans="1:10" x14ac:dyDescent="0.25">
      <c r="A170" s="51" t="s">
        <v>147</v>
      </c>
      <c r="B170" s="52">
        <v>0</v>
      </c>
      <c r="C170" s="52" t="s">
        <v>73</v>
      </c>
      <c r="D170" s="52">
        <v>1</v>
      </c>
      <c r="E170" s="52" t="s">
        <v>72</v>
      </c>
      <c r="F170" s="52">
        <v>0</v>
      </c>
      <c r="G170" s="52" t="s">
        <v>82</v>
      </c>
      <c r="H170" s="53">
        <f ca="1">--TRIM(RIGHT(SUBSTITUTE(LEFT(C169,_xlfn.AGGREGATE(16,6,FIND({0,1,2,3,4,5,6,7,8,9},C169,ROW(INDIRECT("1:"&amp;LEN(C169)))),1))," ",REPT(" ",LEN(C169))),LEN(C169)))</f>
        <v>30</v>
      </c>
      <c r="I170" s="44" t="str">
        <f ca="1">IF(D173=100%,"Excavation","")&amp;IF(D174=100%,", Plinth","")&amp;IF(D175=100%,", RCC Slab","")&amp;IF(D176=100%,", Brickwork","")&amp;IF(D177=100%,", Internal Plaster","")&amp;IF(D178=100%,", External Plaster","")&amp;IF(D179=100%,", Flooring","")&amp;IF(D180=100%,", Painting","")&amp;IF(D181=100%,", Building common Amenities","")</f>
        <v/>
      </c>
      <c r="J170" s="45" t="str">
        <f>(IF(C173=0,"Work not yet Started.",IF(D173=25%,"Piling work in process",IF(D173=50%,"Excavation work in process",IF(D173=100%,"","0")))))&amp;(IF(C174=0%,"",IF(C174=J175,", Footing work is process",IF(C174=J176,", Footing work Completed",IF(C174=J177,", 1st Basement Completed",IF(C174=J178,", 1st &amp; 2nd Basement Completed",IF(C174=J179,", 1st to 3rd Basement Completed",IF(C174=J180,", 1st to 4th Basement Completed",IF(C174=J181,", Plinth work is process",IF(C174=J182,"","0"))))))))))</f>
        <v>Work not yet Started.</v>
      </c>
    </row>
    <row r="171" spans="1:10" x14ac:dyDescent="0.25">
      <c r="A171" s="66" t="s">
        <v>92</v>
      </c>
      <c r="B171" s="67"/>
      <c r="C171" s="68" t="str">
        <f ca="1">(IF($G$59="NA",I169,"All work Completed. OC Received."))</f>
        <v xml:space="preserve">Work not yet Started. </v>
      </c>
      <c r="D171" s="68"/>
      <c r="E171" s="68"/>
      <c r="F171" s="68"/>
      <c r="G171" s="68"/>
      <c r="H171" s="69"/>
      <c r="I171" s="44" t="str">
        <f ca="1">IF(I170&lt;&gt;""," Completed","")</f>
        <v/>
      </c>
      <c r="J171" s="45" t="str">
        <f ca="1">IF(J169&lt;&gt;"","Completed","")</f>
        <v/>
      </c>
    </row>
    <row r="172" spans="1:10" ht="15.75" customHeight="1" x14ac:dyDescent="0.25">
      <c r="A172" s="70" t="s">
        <v>50</v>
      </c>
      <c r="B172" s="71"/>
      <c r="C172" s="48" t="s">
        <v>144</v>
      </c>
      <c r="D172" s="48" t="s">
        <v>85</v>
      </c>
      <c r="E172" s="71" t="s">
        <v>87</v>
      </c>
      <c r="F172" s="71"/>
      <c r="G172" s="71" t="s">
        <v>86</v>
      </c>
      <c r="H172" s="72"/>
      <c r="I172" s="14" t="s">
        <v>146</v>
      </c>
      <c r="J172" s="25">
        <f ca="1">H170*25%</f>
        <v>7.5</v>
      </c>
    </row>
    <row r="173" spans="1:10" x14ac:dyDescent="0.25">
      <c r="A173" s="70" t="s">
        <v>133</v>
      </c>
      <c r="B173" s="71"/>
      <c r="C173" s="48">
        <v>0</v>
      </c>
      <c r="D173" s="17">
        <f ca="1">((100/H170)*C173)/100</f>
        <v>0</v>
      </c>
      <c r="E173" s="73">
        <f ca="1">(((C174/H170*10)+(40/(D170+F170+H170)*C175)+(7.5/(H170)*C176)+(7.5/(H170)*C177)+(10/H170*C178)+(10/H170*C179)+(5/H170*C180)+(5/H170*C181)+(5/H170*C182))/100)</f>
        <v>0</v>
      </c>
      <c r="F173" s="74"/>
      <c r="G173" s="73">
        <f ca="1">((((C173/H170)*20)+((C174/H170)*25)+(30/(H170+F170+D170)*C175)+(5/H170*C176)+(5/H170*C177)+(5/H170*C178)+(5/H170*C179)+(0/H170*C180)+(0/H170*C181)+(5/H170*C182))/100)</f>
        <v>0</v>
      </c>
      <c r="H173" s="79"/>
      <c r="I173" s="14" t="s">
        <v>102</v>
      </c>
      <c r="J173" s="26">
        <f ca="1">H170*50%</f>
        <v>15</v>
      </c>
    </row>
    <row r="174" spans="1:10" x14ac:dyDescent="0.25">
      <c r="A174" s="70" t="s">
        <v>51</v>
      </c>
      <c r="B174" s="71"/>
      <c r="C174" s="48">
        <v>0</v>
      </c>
      <c r="D174" s="17">
        <f ca="1">((100/H170)*C174)/100</f>
        <v>0</v>
      </c>
      <c r="E174" s="75"/>
      <c r="F174" s="76"/>
      <c r="G174" s="75"/>
      <c r="H174" s="80"/>
      <c r="I174" s="14" t="s">
        <v>103</v>
      </c>
      <c r="J174" s="26">
        <f ca="1">H170</f>
        <v>30</v>
      </c>
    </row>
    <row r="175" spans="1:10" ht="15.75" customHeight="1" x14ac:dyDescent="0.25">
      <c r="A175" s="70" t="s">
        <v>134</v>
      </c>
      <c r="B175" s="71"/>
      <c r="C175" s="48">
        <v>0</v>
      </c>
      <c r="D175" s="17">
        <f ca="1">((100/(D170+F170+H170))*C175)/100</f>
        <v>0</v>
      </c>
      <c r="E175" s="75"/>
      <c r="F175" s="76"/>
      <c r="G175" s="75"/>
      <c r="H175" s="80"/>
      <c r="I175" s="14" t="s">
        <v>104</v>
      </c>
      <c r="J175" s="27">
        <f ca="1">(IF(B170&gt;1,(H170/(B170+2)),H170/4))</f>
        <v>7.5</v>
      </c>
    </row>
    <row r="176" spans="1:10" ht="15.75" customHeight="1" x14ac:dyDescent="0.25">
      <c r="A176" s="70" t="s">
        <v>141</v>
      </c>
      <c r="B176" s="71" t="s">
        <v>135</v>
      </c>
      <c r="C176" s="48">
        <v>0</v>
      </c>
      <c r="D176" s="17">
        <f ca="1">((100/H170)*C176)/100</f>
        <v>0</v>
      </c>
      <c r="E176" s="75"/>
      <c r="F176" s="76"/>
      <c r="G176" s="75"/>
      <c r="H176" s="80"/>
      <c r="I176" s="14" t="s">
        <v>105</v>
      </c>
      <c r="J176" s="27">
        <f ca="1">(IF(B170&gt;1,(H170/(B170+2)+J175),H170/4+J175))</f>
        <v>15</v>
      </c>
    </row>
    <row r="177" spans="1:10" ht="15.75" customHeight="1" x14ac:dyDescent="0.25">
      <c r="A177" s="70" t="s">
        <v>142</v>
      </c>
      <c r="B177" s="71" t="s">
        <v>135</v>
      </c>
      <c r="C177" s="48">
        <v>0</v>
      </c>
      <c r="D177" s="17">
        <f ca="1">((100/H170)*C177)/100</f>
        <v>0</v>
      </c>
      <c r="E177" s="75"/>
      <c r="F177" s="76"/>
      <c r="G177" s="75"/>
      <c r="H177" s="80"/>
      <c r="I177" s="14" t="s">
        <v>151</v>
      </c>
      <c r="J177" s="27">
        <f>(IF(B170&gt;1,(H170/(B170+2)+J176),0))</f>
        <v>0</v>
      </c>
    </row>
    <row r="178" spans="1:10" ht="15" customHeight="1" x14ac:dyDescent="0.25">
      <c r="A178" s="70" t="s">
        <v>140</v>
      </c>
      <c r="B178" s="71" t="s">
        <v>137</v>
      </c>
      <c r="C178" s="48">
        <v>0</v>
      </c>
      <c r="D178" s="17">
        <f ca="1">((100/(H170))*C178)/100</f>
        <v>0</v>
      </c>
      <c r="E178" s="75"/>
      <c r="F178" s="76"/>
      <c r="G178" s="75"/>
      <c r="H178" s="80"/>
      <c r="I178" s="14" t="s">
        <v>148</v>
      </c>
      <c r="J178" s="27">
        <f>(IF(B170&gt;2,(H170/(B170+2)+J177),0))</f>
        <v>0</v>
      </c>
    </row>
    <row r="179" spans="1:10" ht="15.75" customHeight="1" x14ac:dyDescent="0.25">
      <c r="A179" s="70" t="s">
        <v>136</v>
      </c>
      <c r="B179" s="71" t="s">
        <v>136</v>
      </c>
      <c r="C179" s="48">
        <v>0</v>
      </c>
      <c r="D179" s="17">
        <f ca="1">((100/H170)*C179)/100</f>
        <v>0</v>
      </c>
      <c r="E179" s="75"/>
      <c r="F179" s="76"/>
      <c r="G179" s="75"/>
      <c r="H179" s="80"/>
      <c r="I179" s="14" t="s">
        <v>149</v>
      </c>
      <c r="J179" s="28">
        <f>(IF(B170&gt;3,(H170/(B170+2)+J178),0))</f>
        <v>0</v>
      </c>
    </row>
    <row r="180" spans="1:10" ht="15.75" customHeight="1" x14ac:dyDescent="0.25">
      <c r="A180" s="70" t="s">
        <v>143</v>
      </c>
      <c r="B180" s="71"/>
      <c r="C180" s="48">
        <v>0</v>
      </c>
      <c r="D180" s="17">
        <f ca="1">((100/H170)*C180)/100</f>
        <v>0</v>
      </c>
      <c r="E180" s="75"/>
      <c r="F180" s="76"/>
      <c r="G180" s="75"/>
      <c r="H180" s="80"/>
      <c r="I180" s="14" t="s">
        <v>150</v>
      </c>
      <c r="J180" s="27">
        <f>(IF(B170&gt;4,(H170/(B170+2)+J179),0))</f>
        <v>0</v>
      </c>
    </row>
    <row r="181" spans="1:10" ht="15.75" customHeight="1" x14ac:dyDescent="0.25">
      <c r="A181" s="70" t="s">
        <v>138</v>
      </c>
      <c r="B181" s="71" t="s">
        <v>138</v>
      </c>
      <c r="C181" s="48">
        <v>0</v>
      </c>
      <c r="D181" s="17">
        <f ca="1">((100/(H170))*C181)/100</f>
        <v>0</v>
      </c>
      <c r="E181" s="75"/>
      <c r="F181" s="76"/>
      <c r="G181" s="75"/>
      <c r="H181" s="80"/>
      <c r="I181" s="14" t="s">
        <v>152</v>
      </c>
      <c r="J181" s="27">
        <f ca="1">(IF(B170=1,(H170/(B170+3)+J176),IF(B170=0,(H170/4+J176),IF(B170&gt;1,0))))</f>
        <v>22.5</v>
      </c>
    </row>
    <row r="182" spans="1:10" ht="16.5" thickBot="1" x14ac:dyDescent="0.3">
      <c r="A182" s="82" t="s">
        <v>139</v>
      </c>
      <c r="B182" s="83"/>
      <c r="C182" s="49">
        <v>0</v>
      </c>
      <c r="D182" s="18">
        <f ca="1">((100/(H170))*C182)/100</f>
        <v>0</v>
      </c>
      <c r="E182" s="77"/>
      <c r="F182" s="78"/>
      <c r="G182" s="77"/>
      <c r="H182" s="81"/>
      <c r="I182" s="15" t="s">
        <v>106</v>
      </c>
      <c r="J182" s="29">
        <f ca="1">(IF(B170&gt;1.5,(H170/(B170+2)+J176+MAX(0,J177-J176)+MAX(0,J178-J177)+MAX(0,J179-J178)+MAX(0,J180-J179)+MAX(0,J181-J180)),IF(B170=1,(H170/(B170+3)+J181),IF(B170=0,H170/4+J181))))</f>
        <v>30</v>
      </c>
    </row>
    <row r="183" spans="1:10" x14ac:dyDescent="0.25">
      <c r="A183" s="200" t="s">
        <v>165</v>
      </c>
      <c r="B183" s="200"/>
      <c r="C183" s="200"/>
      <c r="D183" s="200"/>
      <c r="E183" s="200"/>
      <c r="F183" s="201" t="s">
        <v>170</v>
      </c>
      <c r="G183" s="201"/>
      <c r="H183" s="201"/>
    </row>
    <row r="184" spans="1:10" x14ac:dyDescent="0.25">
      <c r="A184" s="84" t="s">
        <v>168</v>
      </c>
      <c r="B184" s="84"/>
      <c r="C184" s="84"/>
      <c r="D184" s="84"/>
      <c r="E184" s="84"/>
      <c r="F184" s="160">
        <v>9000</v>
      </c>
      <c r="G184" s="160"/>
      <c r="H184" s="160"/>
    </row>
    <row r="185" spans="1:10" hidden="1" x14ac:dyDescent="0.25">
      <c r="A185" s="84" t="s">
        <v>167</v>
      </c>
      <c r="B185" s="84"/>
      <c r="C185" s="84"/>
      <c r="D185" s="84"/>
      <c r="E185" s="84"/>
      <c r="F185" s="160"/>
      <c r="G185" s="160"/>
      <c r="H185" s="160"/>
    </row>
    <row r="186" spans="1:10" hidden="1" x14ac:dyDescent="0.25">
      <c r="A186" s="84" t="s">
        <v>169</v>
      </c>
      <c r="B186" s="84"/>
      <c r="C186" s="84"/>
      <c r="D186" s="84"/>
      <c r="E186" s="84"/>
      <c r="F186" s="160"/>
      <c r="G186" s="160"/>
      <c r="H186" s="160"/>
    </row>
    <row r="187" spans="1:10" s="30" customFormat="1" hidden="1" x14ac:dyDescent="0.25">
      <c r="A187" s="84" t="s">
        <v>166</v>
      </c>
      <c r="B187" s="84"/>
      <c r="C187" s="84"/>
      <c r="D187" s="84"/>
      <c r="E187" s="84"/>
      <c r="F187" s="160"/>
      <c r="G187" s="160"/>
      <c r="H187" s="160"/>
    </row>
    <row r="188" spans="1:10" s="30" customFormat="1" hidden="1" x14ac:dyDescent="0.25">
      <c r="A188" s="84" t="s">
        <v>97</v>
      </c>
      <c r="B188" s="84"/>
      <c r="C188" s="84"/>
      <c r="D188" s="84"/>
      <c r="E188" s="84"/>
      <c r="F188" s="160"/>
      <c r="G188" s="160"/>
      <c r="H188" s="160"/>
    </row>
    <row r="189" spans="1:10" s="30" customFormat="1" x14ac:dyDescent="0.25">
      <c r="A189" s="84" t="s">
        <v>98</v>
      </c>
      <c r="B189" s="84"/>
      <c r="C189" s="84"/>
      <c r="D189" s="84"/>
      <c r="E189" s="84"/>
      <c r="F189" s="160">
        <v>100000</v>
      </c>
      <c r="G189" s="160"/>
      <c r="H189" s="160"/>
    </row>
    <row r="190" spans="1:10" s="30" customFormat="1" hidden="1" x14ac:dyDescent="0.25">
      <c r="A190" s="84" t="s">
        <v>171</v>
      </c>
      <c r="B190" s="84"/>
      <c r="C190" s="84"/>
      <c r="D190" s="84"/>
      <c r="E190" s="84"/>
      <c r="F190" s="160"/>
      <c r="G190" s="160"/>
      <c r="H190" s="160"/>
    </row>
    <row r="191" spans="1:10" s="30" customFormat="1" hidden="1" x14ac:dyDescent="0.25">
      <c r="A191" s="84" t="s">
        <v>99</v>
      </c>
      <c r="B191" s="84"/>
      <c r="C191" s="84"/>
      <c r="D191" s="84"/>
      <c r="E191" s="84"/>
      <c r="F191" s="160"/>
      <c r="G191" s="160"/>
      <c r="H191" s="160"/>
    </row>
    <row r="192" spans="1:10" s="30" customFormat="1" hidden="1" x14ac:dyDescent="0.25">
      <c r="A192" s="84" t="s">
        <v>100</v>
      </c>
      <c r="B192" s="84"/>
      <c r="C192" s="84"/>
      <c r="D192" s="84"/>
      <c r="E192" s="84"/>
      <c r="F192" s="160"/>
      <c r="G192" s="160"/>
      <c r="H192" s="160"/>
    </row>
    <row r="193" spans="1:8" s="30" customFormat="1" x14ac:dyDescent="0.25">
      <c r="A193" s="84" t="s">
        <v>266</v>
      </c>
      <c r="B193" s="84"/>
      <c r="C193" s="84"/>
      <c r="D193" s="84"/>
      <c r="E193" s="84"/>
      <c r="F193" s="160">
        <v>35000</v>
      </c>
      <c r="G193" s="160"/>
      <c r="H193" s="160"/>
    </row>
    <row r="194" spans="1:8" s="30" customFormat="1" hidden="1" x14ac:dyDescent="0.25">
      <c r="A194" s="84" t="s">
        <v>101</v>
      </c>
      <c r="B194" s="84"/>
      <c r="C194" s="84"/>
      <c r="D194" s="84"/>
      <c r="E194" s="84"/>
      <c r="F194" s="160"/>
      <c r="G194" s="160"/>
      <c r="H194" s="160"/>
    </row>
    <row r="195" spans="1:8" x14ac:dyDescent="0.25">
      <c r="A195" s="84" t="s">
        <v>52</v>
      </c>
      <c r="B195" s="84"/>
      <c r="C195" s="84"/>
      <c r="D195" s="84"/>
      <c r="E195" s="84"/>
      <c r="F195" s="160">
        <v>500000</v>
      </c>
      <c r="G195" s="160"/>
      <c r="H195" s="160"/>
    </row>
    <row r="196" spans="1:8" s="31" customFormat="1" x14ac:dyDescent="0.25">
      <c r="A196" s="174" t="s">
        <v>53</v>
      </c>
      <c r="B196" s="174"/>
      <c r="C196" s="174"/>
      <c r="D196" s="174"/>
      <c r="E196" s="174"/>
      <c r="F196" s="160">
        <f>F184*0.8</f>
        <v>7200</v>
      </c>
      <c r="G196" s="160"/>
      <c r="H196" s="160"/>
    </row>
    <row r="197" spans="1:8" s="32" customFormat="1" ht="15.75" hidden="1" customHeight="1" x14ac:dyDescent="0.25">
      <c r="A197" s="133" t="s">
        <v>77</v>
      </c>
      <c r="B197" s="133"/>
      <c r="C197" s="133"/>
      <c r="D197" s="133"/>
      <c r="E197" s="133"/>
      <c r="F197" s="133"/>
      <c r="G197" s="133"/>
      <c r="H197" s="133"/>
    </row>
    <row r="198" spans="1:8" s="32" customFormat="1" ht="15.75" hidden="1" customHeight="1" x14ac:dyDescent="0.25">
      <c r="A198" s="136" t="s">
        <v>54</v>
      </c>
      <c r="B198" s="136"/>
      <c r="C198" s="134" t="s">
        <v>80</v>
      </c>
      <c r="D198" s="134"/>
      <c r="E198" s="135" t="s">
        <v>55</v>
      </c>
      <c r="F198" s="135"/>
      <c r="G198" s="136" t="s">
        <v>56</v>
      </c>
      <c r="H198" s="136"/>
    </row>
    <row r="199" spans="1:8" s="32" customFormat="1" hidden="1" x14ac:dyDescent="0.25">
      <c r="A199" s="162"/>
      <c r="B199" s="162"/>
      <c r="C199" s="197"/>
      <c r="D199" s="197"/>
      <c r="E199" s="198"/>
      <c r="F199" s="198"/>
      <c r="G199" s="199"/>
      <c r="H199" s="199"/>
    </row>
    <row r="200" spans="1:8" s="32" customFormat="1" hidden="1" x14ac:dyDescent="0.25">
      <c r="A200" s="162"/>
      <c r="B200" s="162"/>
      <c r="C200" s="197"/>
      <c r="D200" s="197"/>
      <c r="E200" s="198"/>
      <c r="F200" s="198"/>
      <c r="G200" s="199"/>
      <c r="H200" s="199"/>
    </row>
    <row r="201" spans="1:8" s="32" customFormat="1" hidden="1" x14ac:dyDescent="0.25">
      <c r="A201" s="133" t="s">
        <v>158</v>
      </c>
      <c r="B201" s="133"/>
      <c r="C201" s="134"/>
      <c r="D201" s="134"/>
      <c r="E201" s="135"/>
      <c r="F201" s="135"/>
      <c r="G201" s="136"/>
      <c r="H201" s="136"/>
    </row>
    <row r="202" spans="1:8" s="32" customFormat="1" x14ac:dyDescent="0.25">
      <c r="A202" s="133" t="s">
        <v>240</v>
      </c>
      <c r="B202" s="133"/>
      <c r="C202" s="133"/>
      <c r="D202" s="133"/>
      <c r="E202" s="133"/>
      <c r="F202" s="133"/>
      <c r="G202" s="133"/>
      <c r="H202" s="133"/>
    </row>
    <row r="203" spans="1:8" s="32" customFormat="1" ht="15.75" customHeight="1" x14ac:dyDescent="0.25">
      <c r="A203" s="136" t="s">
        <v>54</v>
      </c>
      <c r="B203" s="136"/>
      <c r="C203" s="134" t="s">
        <v>80</v>
      </c>
      <c r="D203" s="134"/>
      <c r="E203" s="135" t="s">
        <v>55</v>
      </c>
      <c r="F203" s="135"/>
      <c r="G203" s="136" t="s">
        <v>56</v>
      </c>
      <c r="H203" s="136"/>
    </row>
    <row r="204" spans="1:8" s="32" customFormat="1" ht="15.75" customHeight="1" x14ac:dyDescent="0.25">
      <c r="A204" s="129" t="s">
        <v>225</v>
      </c>
      <c r="B204" s="130"/>
      <c r="C204" s="159">
        <f>COUNT(D238:D239)*2+COUNT(D241:D246)*9+COUNT(D248:D251,D253)*2+COUNT(D255:D260)*7+COUNT(D262:D265,D267)</f>
        <v>115</v>
      </c>
      <c r="D204" s="159"/>
      <c r="E204" s="148">
        <f>SUM(D238:D239)*2+SUM(D241:D246)*9+SUM(D248:D251,D253)*2+SUM(D255:D260)*7+SUM(D262:D265,D267)</f>
        <v>70900.422839999999</v>
      </c>
      <c r="F204" s="148"/>
      <c r="G204" s="148">
        <f>SUM(F238:F239)*2+SUM(F241:F246)*9+SUM(F248:F251,F253)*2+SUM(F255:F260)*7+SUM(F262:F265,F267)</f>
        <v>106350.63426000001</v>
      </c>
      <c r="H204" s="148"/>
    </row>
    <row r="205" spans="1:8" s="32" customFormat="1" ht="15.75" customHeight="1" x14ac:dyDescent="0.25">
      <c r="A205" s="129" t="s">
        <v>226</v>
      </c>
      <c r="B205" s="130"/>
      <c r="C205" s="159">
        <f>COUNT(D273:D274)*2+COUNT(D276:D279)+COUNT(D281:D286)*8+COUNT(D288:D289,D291:D293)*2+COUNT(D295:D300)*7+COUNT(D302:D303,D305:D307)</f>
        <v>113</v>
      </c>
      <c r="D205" s="159"/>
      <c r="E205" s="148">
        <f>SUM(D273:D274)*2+SUM(D276:D279)+SUM(D281:D286)*8+SUM(D288:D289,D291:D293)*2+SUM(D295:D300)*7+SUM(D302:D303,D305:D307)</f>
        <v>69692.271479999996</v>
      </c>
      <c r="F205" s="148"/>
      <c r="G205" s="148">
        <f>SUM(F273:F274)*2+SUM(F276:F279)+SUM(F281:F286)*8+SUM(F288:F289,F291:F293)*2+SUM(F295:F300)*7+SUM(F302:F303,F305:F307)</f>
        <v>104538.40721999999</v>
      </c>
      <c r="H205" s="148"/>
    </row>
    <row r="206" spans="1:8" s="32" customFormat="1" x14ac:dyDescent="0.25">
      <c r="A206" s="133" t="s">
        <v>158</v>
      </c>
      <c r="B206" s="133"/>
      <c r="C206" s="149">
        <f>SUM(C204:C205)</f>
        <v>228</v>
      </c>
      <c r="D206" s="134"/>
      <c r="E206" s="161">
        <f>SUM(E204:E205)</f>
        <v>140592.69432000001</v>
      </c>
      <c r="F206" s="135"/>
      <c r="G206" s="136">
        <f>SUM(G204:G205)</f>
        <v>210889.04148000001</v>
      </c>
      <c r="H206" s="136"/>
    </row>
    <row r="207" spans="1:8" s="32" customFormat="1" x14ac:dyDescent="0.25">
      <c r="A207" s="133" t="s">
        <v>241</v>
      </c>
      <c r="B207" s="133"/>
      <c r="C207" s="133"/>
      <c r="D207" s="133"/>
      <c r="E207" s="133"/>
      <c r="F207" s="133"/>
      <c r="G207" s="133"/>
      <c r="H207" s="133"/>
    </row>
    <row r="208" spans="1:8" s="32" customFormat="1" ht="15.75" customHeight="1" x14ac:dyDescent="0.25">
      <c r="A208" s="136" t="s">
        <v>54</v>
      </c>
      <c r="B208" s="136"/>
      <c r="C208" s="134" t="s">
        <v>80</v>
      </c>
      <c r="D208" s="134"/>
      <c r="E208" s="135" t="s">
        <v>55</v>
      </c>
      <c r="F208" s="135"/>
      <c r="G208" s="136" t="s">
        <v>56</v>
      </c>
      <c r="H208" s="136"/>
    </row>
    <row r="209" spans="1:11" s="32" customFormat="1" ht="15.75" customHeight="1" x14ac:dyDescent="0.25">
      <c r="A209" s="129" t="s">
        <v>231</v>
      </c>
      <c r="B209" s="130"/>
      <c r="C209" s="159">
        <f>COUNT(D313:D314)+COUNT(D316:D319)*2+COUNT(D321:D326)*16+COUNT(D328:D329,D331:D333)*3</f>
        <v>121</v>
      </c>
      <c r="D209" s="159"/>
      <c r="E209" s="148">
        <f>SUM(D313:D314)+SUM(D316:D319)*2+SUM(D321:D326)*16+SUM(D328:D329,D331:D333)*3</f>
        <v>105559.10351999998</v>
      </c>
      <c r="F209" s="148"/>
      <c r="G209" s="148">
        <f>SUM(F313:F314)+SUM(F316:F319)*2+SUM(F321:F326)*16+SUM(F328:F329,F331:F333)*3</f>
        <v>158338.65527999998</v>
      </c>
      <c r="H209" s="148"/>
    </row>
    <row r="210" spans="1:11" s="32" customFormat="1" ht="15.75" customHeight="1" x14ac:dyDescent="0.25">
      <c r="A210" s="129" t="s">
        <v>232</v>
      </c>
      <c r="B210" s="130"/>
      <c r="C210" s="159">
        <f>COUNT(D338:D339)+COUNT(D341:D344)*2+COUNT(D346:D351)*16+COUNT(D353:D354,D356:D358)*3</f>
        <v>121</v>
      </c>
      <c r="D210" s="159"/>
      <c r="E210" s="148">
        <f>SUM(D338:D339)+SUM(D341:D344)*2+SUM(D346:D351)*16+SUM(D353:D354,D356:D358)*3</f>
        <v>105559.10351999998</v>
      </c>
      <c r="F210" s="148"/>
      <c r="G210" s="148">
        <f>SUM(F338:F339)+SUM(F341:F344)*2+SUM(F346:F351)*16+SUM(F353:F354,F356:F358)*3</f>
        <v>158338.65527999998</v>
      </c>
      <c r="H210" s="148"/>
    </row>
    <row r="211" spans="1:11" s="32" customFormat="1" x14ac:dyDescent="0.25">
      <c r="A211" s="133" t="s">
        <v>158</v>
      </c>
      <c r="B211" s="133"/>
      <c r="C211" s="149">
        <f>SUM(C209:C210)</f>
        <v>242</v>
      </c>
      <c r="D211" s="134"/>
      <c r="E211" s="161">
        <f>SUM(E209:E210)</f>
        <v>211118.20703999995</v>
      </c>
      <c r="F211" s="135"/>
      <c r="G211" s="136">
        <f>SUM(G209:G210)</f>
        <v>316677.31055999995</v>
      </c>
      <c r="H211" s="136"/>
    </row>
    <row r="212" spans="1:11" s="32" customFormat="1" x14ac:dyDescent="0.25">
      <c r="A212" s="133" t="s">
        <v>242</v>
      </c>
      <c r="B212" s="133"/>
      <c r="C212" s="133"/>
      <c r="D212" s="133"/>
      <c r="E212" s="133"/>
      <c r="F212" s="133"/>
      <c r="G212" s="133"/>
      <c r="H212" s="133"/>
    </row>
    <row r="213" spans="1:11" s="32" customFormat="1" ht="15.75" customHeight="1" x14ac:dyDescent="0.25">
      <c r="A213" s="136" t="s">
        <v>54</v>
      </c>
      <c r="B213" s="136"/>
      <c r="C213" s="134" t="s">
        <v>80</v>
      </c>
      <c r="D213" s="134"/>
      <c r="E213" s="135" t="s">
        <v>55</v>
      </c>
      <c r="F213" s="135"/>
      <c r="G213" s="136" t="s">
        <v>56</v>
      </c>
      <c r="H213" s="136"/>
    </row>
    <row r="214" spans="1:11" s="32" customFormat="1" ht="15.75" customHeight="1" x14ac:dyDescent="0.25">
      <c r="A214" s="129" t="s">
        <v>227</v>
      </c>
      <c r="B214" s="130"/>
      <c r="C214" s="131">
        <f>COUNT(D364:D365)+COUNT(D371:D374)*2+COUNT(D381:D386)*16+COUNT(D388:D391,D393)*3</f>
        <v>121</v>
      </c>
      <c r="D214" s="131"/>
      <c r="E214" s="132">
        <f>SUM(D364:D365)+SUM(D371:D374)*2+SUM(D381:D386)*16+SUM(D388:D391,D393)*3</f>
        <v>125463.56939999998</v>
      </c>
      <c r="F214" s="132"/>
      <c r="G214" s="132">
        <f>SUM(F364:F365)+SUM(F371:F374)*2+SUM(F381:F386)*16+SUM(F388:F391,F393)*3</f>
        <v>188195.3541</v>
      </c>
      <c r="H214" s="132"/>
    </row>
    <row r="215" spans="1:11" s="32" customFormat="1" ht="15.75" customHeight="1" x14ac:dyDescent="0.25">
      <c r="A215" s="129" t="s">
        <v>228</v>
      </c>
      <c r="B215" s="130"/>
      <c r="C215" s="159">
        <f>COUNT(D405:D406)+COUNT(D408:D411)*2+COUNT(D413:D418)*16+COUNT(D420:D421,D423:D425)*3</f>
        <v>121</v>
      </c>
      <c r="D215" s="159"/>
      <c r="E215" s="148">
        <f>SUM(D405:D406)+SUM(D408:D411)*2+SUM(D413:D418)*16+SUM(D420:D421,D423:D425)*3</f>
        <v>105559.10351999998</v>
      </c>
      <c r="F215" s="148"/>
      <c r="G215" s="148">
        <f>SUM(F405:F406)+SUM(F408:F411)*2+SUM(F413:F418)*16+SUM(F420:F421,F423:F425)*3</f>
        <v>158338.65527999998</v>
      </c>
      <c r="H215" s="148"/>
    </row>
    <row r="216" spans="1:11" s="32" customFormat="1" ht="15.75" customHeight="1" x14ac:dyDescent="0.25">
      <c r="A216" s="129" t="s">
        <v>229</v>
      </c>
      <c r="B216" s="130"/>
      <c r="C216" s="159">
        <f>COUNT(D431:D432)*3+COUNT(D434:D439)*8+COUNT(D442:D446)*2+COUNT(D448:D453)*7+COUNT(D456:D460)</f>
        <v>111</v>
      </c>
      <c r="D216" s="159"/>
      <c r="E216" s="148">
        <f>SUM(D431:D432)*3+SUM(D434:D439)*8+SUM(D442:D446)*2+SUM(D448:D453)*7+SUM(D456:D460)</f>
        <v>68484.120119999992</v>
      </c>
      <c r="F216" s="148"/>
      <c r="G216" s="148">
        <f>SUM(F431:F432)*3+SUM(F434:F439)*8+SUM(F442:F446)*2+SUM(F448:F453)*7+SUM(F456:F460)</f>
        <v>102726.18018</v>
      </c>
      <c r="H216" s="148"/>
      <c r="J216" s="55"/>
      <c r="K216" s="55"/>
    </row>
    <row r="217" spans="1:11" s="32" customFormat="1" ht="15.75" customHeight="1" x14ac:dyDescent="0.25">
      <c r="A217" s="129" t="s">
        <v>230</v>
      </c>
      <c r="B217" s="130"/>
      <c r="C217" s="159">
        <f>COUNT(D466:D467)*3+COUNT(D469:D474)*8+COUNT(D476:D478,D480:D481)*2+COUNT(D483:D488)*7+COUNT(D490:D492,D494:D495)</f>
        <v>111</v>
      </c>
      <c r="D217" s="159"/>
      <c r="E217" s="148">
        <f>SUM(D466:D467)*3+SUM(D469:D474)*8+SUM(D476:D478,D480:D481)*2+SUM(D483:D488)*7+SUM(D490:D492,D494:D495)</f>
        <v>68484.120119999992</v>
      </c>
      <c r="F217" s="148"/>
      <c r="G217" s="148">
        <f>SUM(F466:F467)*3+SUM(F469:F474)*8+SUM(F476:F478,F480:F481)*2+SUM(F483:F488)*7+SUM(F490:F492,F494:F495)</f>
        <v>102726.18018</v>
      </c>
      <c r="H217" s="148"/>
    </row>
    <row r="218" spans="1:11" s="32" customFormat="1" x14ac:dyDescent="0.25">
      <c r="A218" s="133" t="s">
        <v>158</v>
      </c>
      <c r="B218" s="133"/>
      <c r="C218" s="149">
        <f>SUM(C214:C217)</f>
        <v>464</v>
      </c>
      <c r="D218" s="134"/>
      <c r="E218" s="161">
        <f>SUM(E214:E217)</f>
        <v>367990.91315999994</v>
      </c>
      <c r="F218" s="135"/>
      <c r="G218" s="136">
        <f>SUM(G214:G217)</f>
        <v>551986.36973999999</v>
      </c>
      <c r="H218" s="136"/>
    </row>
    <row r="219" spans="1:11" s="32" customFormat="1" x14ac:dyDescent="0.25">
      <c r="A219" s="133" t="s">
        <v>278</v>
      </c>
      <c r="B219" s="133"/>
      <c r="C219" s="149">
        <f>C206+C211+C218</f>
        <v>934</v>
      </c>
      <c r="D219" s="134"/>
      <c r="E219" s="161">
        <f>E206+E211+E218</f>
        <v>719701.8145199999</v>
      </c>
      <c r="F219" s="135"/>
      <c r="G219" s="136">
        <f>G206+G211+G218</f>
        <v>1079552.72178</v>
      </c>
      <c r="H219" s="136"/>
    </row>
    <row r="220" spans="1:11" s="31" customFormat="1" x14ac:dyDescent="0.25">
      <c r="A220" s="117" t="s">
        <v>57</v>
      </c>
      <c r="B220" s="117"/>
      <c r="C220" s="117"/>
      <c r="D220" s="117"/>
      <c r="E220" s="117"/>
      <c r="F220" s="117"/>
      <c r="G220" s="117"/>
      <c r="H220" s="117"/>
    </row>
    <row r="221" spans="1:11" x14ac:dyDescent="0.25">
      <c r="A221" s="117" t="s">
        <v>58</v>
      </c>
      <c r="B221" s="117"/>
      <c r="C221" s="117"/>
      <c r="D221" s="117"/>
      <c r="E221" s="117"/>
      <c r="F221" s="117"/>
      <c r="G221" s="117"/>
      <c r="H221" s="117"/>
    </row>
    <row r="222" spans="1:11" ht="47.25" hidden="1" customHeight="1" x14ac:dyDescent="0.25">
      <c r="A222" s="140" t="s">
        <v>123</v>
      </c>
      <c r="B222" s="140" t="s">
        <v>122</v>
      </c>
      <c r="C222" s="140" t="s">
        <v>59</v>
      </c>
      <c r="D222" s="140" t="s">
        <v>60</v>
      </c>
      <c r="E222" s="142" t="s">
        <v>164</v>
      </c>
      <c r="F222" s="40" t="s">
        <v>157</v>
      </c>
      <c r="G222" s="144" t="s">
        <v>62</v>
      </c>
      <c r="H222" s="145"/>
    </row>
    <row r="223" spans="1:11" s="34" customFormat="1" hidden="1" x14ac:dyDescent="0.25">
      <c r="A223" s="141"/>
      <c r="B223" s="141"/>
      <c r="C223" s="141"/>
      <c r="D223" s="141"/>
      <c r="E223" s="143"/>
      <c r="F223" s="13">
        <v>0.6</v>
      </c>
      <c r="G223" s="146"/>
      <c r="H223" s="147"/>
    </row>
    <row r="224" spans="1:11" s="34" customFormat="1" hidden="1" x14ac:dyDescent="0.25">
      <c r="A224" s="137" t="s">
        <v>121</v>
      </c>
      <c r="B224" s="138"/>
      <c r="C224" s="138"/>
      <c r="D224" s="138"/>
      <c r="E224" s="138"/>
      <c r="F224" s="138"/>
      <c r="G224" s="138"/>
      <c r="H224" s="139"/>
      <c r="J224" s="33"/>
    </row>
    <row r="225" spans="1:14" s="34" customFormat="1" hidden="1" x14ac:dyDescent="0.25">
      <c r="A225" s="150">
        <v>1</v>
      </c>
      <c r="B225" s="152"/>
      <c r="C225" s="39"/>
      <c r="D225" s="39"/>
      <c r="E225" s="39">
        <v>0</v>
      </c>
      <c r="F225" s="39">
        <f>(D225+E225)*(($F$223)+1)</f>
        <v>0</v>
      </c>
      <c r="G225" s="150" t="str">
        <f>A224</f>
        <v>Ground Floor</v>
      </c>
      <c r="H225" s="152"/>
      <c r="I225" s="33"/>
      <c r="L225" s="127"/>
      <c r="M225" s="127"/>
      <c r="N225" s="33"/>
    </row>
    <row r="226" spans="1:14" s="34" customFormat="1" hidden="1" x14ac:dyDescent="0.25">
      <c r="A226" s="150">
        <f t="shared" ref="A226:A228" si="0">A225+1</f>
        <v>2</v>
      </c>
      <c r="B226" s="152"/>
      <c r="C226" s="39"/>
      <c r="D226" s="39"/>
      <c r="E226" s="39">
        <v>0</v>
      </c>
      <c r="F226" s="39">
        <f t="shared" ref="F226:F228" si="1">(D226+E226)*(($F$223)+1)</f>
        <v>0</v>
      </c>
      <c r="G226" s="150" t="str">
        <f t="shared" ref="G226:G228" si="2">G225</f>
        <v>Ground Floor</v>
      </c>
      <c r="H226" s="152"/>
      <c r="I226" s="33"/>
      <c r="L226" s="127"/>
      <c r="M226" s="127"/>
      <c r="N226" s="33"/>
    </row>
    <row r="227" spans="1:14" s="34" customFormat="1" hidden="1" x14ac:dyDescent="0.25">
      <c r="A227" s="150">
        <f t="shared" si="0"/>
        <v>3</v>
      </c>
      <c r="B227" s="152"/>
      <c r="C227" s="39"/>
      <c r="D227" s="39"/>
      <c r="E227" s="39">
        <v>0</v>
      </c>
      <c r="F227" s="39">
        <f t="shared" si="1"/>
        <v>0</v>
      </c>
      <c r="G227" s="150" t="str">
        <f t="shared" si="2"/>
        <v>Ground Floor</v>
      </c>
      <c r="H227" s="152"/>
      <c r="I227" s="33"/>
      <c r="L227" s="127"/>
      <c r="M227" s="127"/>
      <c r="N227" s="33"/>
    </row>
    <row r="228" spans="1:14" s="34" customFormat="1" hidden="1" x14ac:dyDescent="0.25">
      <c r="A228" s="150">
        <f t="shared" si="0"/>
        <v>4</v>
      </c>
      <c r="B228" s="152"/>
      <c r="C228" s="39"/>
      <c r="D228" s="39"/>
      <c r="E228" s="39">
        <v>0</v>
      </c>
      <c r="F228" s="39">
        <f t="shared" si="1"/>
        <v>0</v>
      </c>
      <c r="G228" s="150" t="str">
        <f t="shared" si="2"/>
        <v>Ground Floor</v>
      </c>
      <c r="H228" s="152"/>
      <c r="I228" s="33"/>
      <c r="L228" s="127"/>
      <c r="M228" s="127"/>
      <c r="N228" s="33"/>
    </row>
    <row r="229" spans="1:14" s="34" customFormat="1" hidden="1" x14ac:dyDescent="0.25">
      <c r="A229" s="150"/>
      <c r="B229" s="151"/>
      <c r="C229" s="151"/>
      <c r="D229" s="151"/>
      <c r="E229" s="151"/>
      <c r="F229" s="151"/>
      <c r="G229" s="151"/>
      <c r="H229" s="152"/>
      <c r="I229" s="33"/>
      <c r="N229" s="33"/>
    </row>
    <row r="230" spans="1:14" ht="47.25" customHeight="1" x14ac:dyDescent="0.25">
      <c r="A230" s="144" t="s">
        <v>124</v>
      </c>
      <c r="B230" s="144" t="s">
        <v>125</v>
      </c>
      <c r="C230" s="140" t="s">
        <v>59</v>
      </c>
      <c r="D230" s="140" t="s">
        <v>60</v>
      </c>
      <c r="E230" s="142" t="s">
        <v>61</v>
      </c>
      <c r="F230" s="40" t="s">
        <v>157</v>
      </c>
      <c r="G230" s="144" t="s">
        <v>62</v>
      </c>
      <c r="H230" s="145"/>
      <c r="I230" s="33"/>
    </row>
    <row r="231" spans="1:14" s="34" customFormat="1" x14ac:dyDescent="0.25">
      <c r="A231" s="146"/>
      <c r="B231" s="146"/>
      <c r="C231" s="141"/>
      <c r="D231" s="141"/>
      <c r="E231" s="143"/>
      <c r="F231" s="13">
        <v>0.5</v>
      </c>
      <c r="G231" s="146"/>
      <c r="H231" s="147"/>
      <c r="I231" s="33"/>
    </row>
    <row r="232" spans="1:14" s="34" customFormat="1" x14ac:dyDescent="0.25">
      <c r="A232" s="137" t="s">
        <v>207</v>
      </c>
      <c r="B232" s="138"/>
      <c r="C232" s="138"/>
      <c r="D232" s="138"/>
      <c r="E232" s="138"/>
      <c r="F232" s="138"/>
      <c r="G232" s="138"/>
      <c r="H232" s="139"/>
      <c r="J232" s="33"/>
    </row>
    <row r="233" spans="1:14" s="34" customFormat="1" x14ac:dyDescent="0.25">
      <c r="A233" s="137" t="s">
        <v>286</v>
      </c>
      <c r="B233" s="138"/>
      <c r="C233" s="138"/>
      <c r="D233" s="138"/>
      <c r="E233" s="138"/>
      <c r="F233" s="138"/>
      <c r="G233" s="138"/>
      <c r="H233" s="139"/>
      <c r="J233" s="33"/>
    </row>
    <row r="234" spans="1:14" s="34" customFormat="1" x14ac:dyDescent="0.25">
      <c r="A234" s="137" t="s">
        <v>248</v>
      </c>
      <c r="B234" s="138"/>
      <c r="C234" s="138"/>
      <c r="D234" s="138"/>
      <c r="E234" s="138"/>
      <c r="F234" s="138"/>
      <c r="G234" s="138"/>
      <c r="H234" s="139"/>
      <c r="J234" s="33"/>
    </row>
    <row r="235" spans="1:14" s="34" customFormat="1" x14ac:dyDescent="0.25">
      <c r="A235" s="137" t="s">
        <v>215</v>
      </c>
      <c r="B235" s="138"/>
      <c r="C235" s="138"/>
      <c r="D235" s="138"/>
      <c r="E235" s="138"/>
      <c r="F235" s="138"/>
      <c r="G235" s="138"/>
      <c r="H235" s="139"/>
      <c r="J235" s="33"/>
    </row>
    <row r="236" spans="1:14" s="34" customFormat="1" x14ac:dyDescent="0.25">
      <c r="A236" s="137" t="s">
        <v>216</v>
      </c>
      <c r="B236" s="138"/>
      <c r="C236" s="138"/>
      <c r="D236" s="138"/>
      <c r="E236" s="138"/>
      <c r="F236" s="138"/>
      <c r="G236" s="138"/>
      <c r="H236" s="139"/>
      <c r="J236" s="33"/>
    </row>
    <row r="237" spans="1:14" s="34" customFormat="1" x14ac:dyDescent="0.25">
      <c r="A237" s="137" t="s">
        <v>217</v>
      </c>
      <c r="B237" s="138"/>
      <c r="C237" s="138"/>
      <c r="D237" s="138"/>
      <c r="E237" s="138"/>
      <c r="F237" s="138"/>
      <c r="G237" s="138"/>
      <c r="H237" s="139"/>
      <c r="J237" s="46">
        <v>10.763999999999999</v>
      </c>
    </row>
    <row r="238" spans="1:14" s="34" customFormat="1" ht="15.75" customHeight="1" x14ac:dyDescent="0.25">
      <c r="A238" s="150">
        <v>5</v>
      </c>
      <c r="B238" s="152"/>
      <c r="C238" s="39" t="s">
        <v>218</v>
      </c>
      <c r="D238" s="46">
        <f>(54.96+1.16)*10.764</f>
        <v>604.07567999999992</v>
      </c>
      <c r="E238" s="39">
        <v>0</v>
      </c>
      <c r="F238" s="39">
        <f>D238*(($F$231)+1)+(IF(E238&lt;101,E238,IF(E238&lt;201,E238/2,IF(E238&lt;=301,E238/3,E238/4))))</f>
        <v>906.11351999999988</v>
      </c>
      <c r="G238" s="202" t="str">
        <f>A237</f>
        <v>2nd &amp; 3rd Floor For Parking &amp; Residential</v>
      </c>
      <c r="H238" s="203"/>
      <c r="I238" s="33">
        <f>2.9*4.77+2.13*2.45+2.13*2.22+2.75*3.5+2.9*3.65+2.13*1.22+2.13*1.22+1.1*2.75</f>
        <v>52.212299999999992</v>
      </c>
      <c r="K238" s="47">
        <f>0.84*2.13</f>
        <v>1.7891999999999999</v>
      </c>
      <c r="L238" s="127"/>
      <c r="M238" s="127"/>
      <c r="N238" s="33"/>
    </row>
    <row r="239" spans="1:14" s="34" customFormat="1" ht="15.75" customHeight="1" x14ac:dyDescent="0.25">
      <c r="A239" s="150">
        <f t="shared" ref="A239" si="3">A238+1</f>
        <v>6</v>
      </c>
      <c r="B239" s="152"/>
      <c r="C239" s="39" t="s">
        <v>218</v>
      </c>
      <c r="D239" s="46">
        <f>(54.96+1.16)*10.764</f>
        <v>604.07567999999992</v>
      </c>
      <c r="E239" s="39">
        <v>0</v>
      </c>
      <c r="F239" s="39">
        <f>D239*(($F$231)+1)+(IF(E239&lt;101,E239,IF(E239&lt;201,E239/2,IF(E239&lt;=301,E239/3,E239/4))))</f>
        <v>906.11351999999988</v>
      </c>
      <c r="G239" s="206"/>
      <c r="H239" s="207"/>
      <c r="I239" s="33"/>
      <c r="L239" s="127"/>
      <c r="M239" s="127"/>
      <c r="N239" s="33"/>
    </row>
    <row r="240" spans="1:14" s="34" customFormat="1" x14ac:dyDescent="0.25">
      <c r="A240" s="194" t="s">
        <v>219</v>
      </c>
      <c r="B240" s="194"/>
      <c r="C240" s="194"/>
      <c r="D240" s="194"/>
      <c r="E240" s="194"/>
      <c r="F240" s="194"/>
      <c r="G240" s="194"/>
      <c r="H240" s="194"/>
      <c r="I240" s="33"/>
      <c r="L240" s="127"/>
      <c r="M240" s="127"/>
    </row>
    <row r="241" spans="1:14" s="34" customFormat="1" ht="15.75" customHeight="1" x14ac:dyDescent="0.25">
      <c r="A241" s="128">
        <v>1</v>
      </c>
      <c r="B241" s="128"/>
      <c r="C241" s="39" t="s">
        <v>218</v>
      </c>
      <c r="D241" s="46">
        <f t="shared" ref="D241:D253" si="4">(54.96+1.16)*10.764</f>
        <v>604.07567999999992</v>
      </c>
      <c r="E241" s="39">
        <v>0</v>
      </c>
      <c r="F241" s="39">
        <f t="shared" ref="F241:F242" si="5">D241*(($F$231)+1)+(IF(E241&lt;101,E241,IF(E241&lt;201,E241/2,IF(E241&lt;=301,E241/3,E241/4))))</f>
        <v>906.11351999999988</v>
      </c>
      <c r="G241" s="202" t="str">
        <f>A240</f>
        <v>4th to 7th, 9th to 12th &amp; 14th Floor For Residential</v>
      </c>
      <c r="H241" s="203"/>
      <c r="I241" s="33"/>
      <c r="N241" s="33"/>
    </row>
    <row r="242" spans="1:14" s="34" customFormat="1" ht="15.75" customHeight="1" x14ac:dyDescent="0.25">
      <c r="A242" s="128">
        <f>A241+1</f>
        <v>2</v>
      </c>
      <c r="B242" s="128"/>
      <c r="C242" s="39" t="s">
        <v>218</v>
      </c>
      <c r="D242" s="46">
        <f t="shared" si="4"/>
        <v>604.07567999999992</v>
      </c>
      <c r="E242" s="39">
        <v>0</v>
      </c>
      <c r="F242" s="39">
        <f t="shared" si="5"/>
        <v>906.11351999999988</v>
      </c>
      <c r="G242" s="204"/>
      <c r="H242" s="205"/>
      <c r="I242" s="33"/>
      <c r="N242" s="33"/>
    </row>
    <row r="243" spans="1:14" s="34" customFormat="1" ht="15.75" customHeight="1" x14ac:dyDescent="0.25">
      <c r="A243" s="128">
        <f>A242+1</f>
        <v>3</v>
      </c>
      <c r="B243" s="128"/>
      <c r="C243" s="39" t="s">
        <v>218</v>
      </c>
      <c r="D243" s="46">
        <f t="shared" si="4"/>
        <v>604.07567999999992</v>
      </c>
      <c r="E243" s="39">
        <v>0</v>
      </c>
      <c r="F243" s="39">
        <f>D243*(($F$231)+1)+(IF(E243&lt;101,E243,IF(E243&lt;201,E243/2,IF(E243&lt;=301,E243/3,E243/4))))</f>
        <v>906.11351999999988</v>
      </c>
      <c r="G243" s="204"/>
      <c r="H243" s="205"/>
      <c r="I243" s="33"/>
      <c r="N243" s="33"/>
    </row>
    <row r="244" spans="1:14" s="34" customFormat="1" ht="15.75" customHeight="1" x14ac:dyDescent="0.25">
      <c r="A244" s="128">
        <f>A243+1</f>
        <v>4</v>
      </c>
      <c r="B244" s="128"/>
      <c r="C244" s="39" t="s">
        <v>218</v>
      </c>
      <c r="D244" s="46">
        <f t="shared" si="4"/>
        <v>604.07567999999992</v>
      </c>
      <c r="E244" s="39">
        <v>0</v>
      </c>
      <c r="F244" s="39">
        <f>D244*(($F$231)+1)+(IF(E244&lt;101,E244,IF(E244&lt;201,E244/2,IF(E244&lt;=301,E244/3,E244/4))))</f>
        <v>906.11351999999988</v>
      </c>
      <c r="G244" s="204"/>
      <c r="H244" s="205"/>
      <c r="I244" s="33"/>
      <c r="N244" s="33"/>
    </row>
    <row r="245" spans="1:14" s="34" customFormat="1" ht="15.75" customHeight="1" x14ac:dyDescent="0.25">
      <c r="A245" s="128">
        <v>5</v>
      </c>
      <c r="B245" s="128"/>
      <c r="C245" s="39" t="s">
        <v>218</v>
      </c>
      <c r="D245" s="46">
        <f t="shared" si="4"/>
        <v>604.07567999999992</v>
      </c>
      <c r="E245" s="39">
        <v>0</v>
      </c>
      <c r="F245" s="39">
        <f>D245*(($F$231)+1)+(IF(E245&lt;101,E245,IF(E245&lt;201,E245/2,IF(E245&lt;=301,E245/3,E245/4))))</f>
        <v>906.11351999999988</v>
      </c>
      <c r="G245" s="204"/>
      <c r="H245" s="205"/>
      <c r="I245" s="33"/>
      <c r="N245" s="33"/>
    </row>
    <row r="246" spans="1:14" s="34" customFormat="1" ht="15.75" customHeight="1" x14ac:dyDescent="0.25">
      <c r="A246" s="128">
        <v>6</v>
      </c>
      <c r="B246" s="128"/>
      <c r="C246" s="39" t="s">
        <v>218</v>
      </c>
      <c r="D246" s="46">
        <f t="shared" si="4"/>
        <v>604.07567999999992</v>
      </c>
      <c r="E246" s="39">
        <v>0</v>
      </c>
      <c r="F246" s="39">
        <f>D246*(($F$231)+1)+(IF(E246&lt;101,E246,IF(E246&lt;201,E246/2,IF(E246&lt;=301,E246/3,E246/4))))</f>
        <v>906.11351999999988</v>
      </c>
      <c r="G246" s="206"/>
      <c r="H246" s="207"/>
      <c r="I246" s="33"/>
      <c r="N246" s="33"/>
    </row>
    <row r="247" spans="1:14" s="34" customFormat="1" x14ac:dyDescent="0.25">
      <c r="A247" s="194" t="s">
        <v>220</v>
      </c>
      <c r="B247" s="194"/>
      <c r="C247" s="194"/>
      <c r="D247" s="194"/>
      <c r="E247" s="194"/>
      <c r="F247" s="194"/>
      <c r="G247" s="194"/>
      <c r="H247" s="194"/>
      <c r="I247" s="33"/>
      <c r="L247" s="127"/>
      <c r="M247" s="127"/>
    </row>
    <row r="248" spans="1:14" s="34" customFormat="1" ht="15.75" customHeight="1" x14ac:dyDescent="0.25">
      <c r="A248" s="128">
        <v>1</v>
      </c>
      <c r="B248" s="128"/>
      <c r="C248" s="39" t="s">
        <v>218</v>
      </c>
      <c r="D248" s="46">
        <f t="shared" si="4"/>
        <v>604.07567999999992</v>
      </c>
      <c r="E248" s="39">
        <v>0</v>
      </c>
      <c r="F248" s="39">
        <f t="shared" ref="F248:F249" si="6">D248*(($F$231)+1)+(IF(E248&lt;101,E248,IF(E248&lt;201,E248/2,IF(E248&lt;=301,E248/3,E248/4))))</f>
        <v>906.11351999999988</v>
      </c>
      <c r="G248" s="202" t="str">
        <f>A247</f>
        <v>8th &amp; 13 th Floor (Part Refuge Area)</v>
      </c>
      <c r="H248" s="203"/>
      <c r="I248" s="33"/>
      <c r="N248" s="33"/>
    </row>
    <row r="249" spans="1:14" s="34" customFormat="1" ht="15.75" customHeight="1" x14ac:dyDescent="0.25">
      <c r="A249" s="128">
        <f>A248+1</f>
        <v>2</v>
      </c>
      <c r="B249" s="128"/>
      <c r="C249" s="39" t="s">
        <v>218</v>
      </c>
      <c r="D249" s="46">
        <f t="shared" si="4"/>
        <v>604.07567999999992</v>
      </c>
      <c r="E249" s="39">
        <v>0</v>
      </c>
      <c r="F249" s="39">
        <f t="shared" si="6"/>
        <v>906.11351999999988</v>
      </c>
      <c r="G249" s="204"/>
      <c r="H249" s="205"/>
      <c r="I249" s="33"/>
      <c r="N249" s="33"/>
    </row>
    <row r="250" spans="1:14" s="34" customFormat="1" ht="15.75" customHeight="1" x14ac:dyDescent="0.25">
      <c r="A250" s="128">
        <f>A249+1</f>
        <v>3</v>
      </c>
      <c r="B250" s="128"/>
      <c r="C250" s="39" t="s">
        <v>218</v>
      </c>
      <c r="D250" s="46">
        <f t="shared" si="4"/>
        <v>604.07567999999992</v>
      </c>
      <c r="E250" s="39">
        <v>0</v>
      </c>
      <c r="F250" s="39">
        <f>D250*(($F$231)+1)+(IF(E250&lt;101,E250,IF(E250&lt;201,E250/2,IF(E250&lt;=301,E250/3,E250/4))))</f>
        <v>906.11351999999988</v>
      </c>
      <c r="G250" s="204"/>
      <c r="H250" s="205"/>
      <c r="I250" s="33"/>
      <c r="N250" s="33"/>
    </row>
    <row r="251" spans="1:14" s="34" customFormat="1" ht="15.75" customHeight="1" x14ac:dyDescent="0.25">
      <c r="A251" s="128">
        <f>A250+1</f>
        <v>4</v>
      </c>
      <c r="B251" s="128"/>
      <c r="C251" s="39" t="s">
        <v>218</v>
      </c>
      <c r="D251" s="46">
        <f t="shared" si="4"/>
        <v>604.07567999999992</v>
      </c>
      <c r="E251" s="39">
        <v>0</v>
      </c>
      <c r="F251" s="39">
        <f>D251*(($F$231)+1)+(IF(E251&lt;101,E251,IF(E251&lt;201,E251/2,IF(E251&lt;=301,E251/3,E251/4))))</f>
        <v>906.11351999999988</v>
      </c>
      <c r="G251" s="204"/>
      <c r="H251" s="205"/>
      <c r="I251" s="33"/>
      <c r="N251" s="33"/>
    </row>
    <row r="252" spans="1:14" s="34" customFormat="1" ht="15.75" customHeight="1" x14ac:dyDescent="0.25">
      <c r="A252" s="128">
        <v>5</v>
      </c>
      <c r="B252" s="128"/>
      <c r="C252" s="150" t="s">
        <v>221</v>
      </c>
      <c r="D252" s="151"/>
      <c r="E252" s="151"/>
      <c r="F252" s="152"/>
      <c r="G252" s="204"/>
      <c r="H252" s="205"/>
      <c r="I252" s="33"/>
      <c r="N252" s="33"/>
    </row>
    <row r="253" spans="1:14" s="34" customFormat="1" ht="15.75" customHeight="1" x14ac:dyDescent="0.25">
      <c r="A253" s="128">
        <v>6</v>
      </c>
      <c r="B253" s="128"/>
      <c r="C253" s="39" t="s">
        <v>218</v>
      </c>
      <c r="D253" s="46">
        <f t="shared" si="4"/>
        <v>604.07567999999992</v>
      </c>
      <c r="E253" s="39">
        <v>0</v>
      </c>
      <c r="F253" s="39">
        <f>D253*(($F$231)+1)+(IF(E253&lt;101,E253,IF(E253&lt;201,E253/2,IF(E253&lt;=301,E253/3,E253/4))))</f>
        <v>906.11351999999988</v>
      </c>
      <c r="G253" s="206"/>
      <c r="H253" s="207"/>
      <c r="I253" s="33"/>
      <c r="N253" s="33"/>
    </row>
    <row r="254" spans="1:14" s="34" customFormat="1" x14ac:dyDescent="0.25">
      <c r="A254" s="194" t="s">
        <v>222</v>
      </c>
      <c r="B254" s="194"/>
      <c r="C254" s="194"/>
      <c r="D254" s="194"/>
      <c r="E254" s="194"/>
      <c r="F254" s="194"/>
      <c r="G254" s="194"/>
      <c r="H254" s="194"/>
      <c r="I254" s="33"/>
      <c r="L254" s="127"/>
      <c r="M254" s="127"/>
    </row>
    <row r="255" spans="1:14" s="34" customFormat="1" ht="15.75" customHeight="1" x14ac:dyDescent="0.25">
      <c r="A255" s="128">
        <v>1</v>
      </c>
      <c r="B255" s="128"/>
      <c r="C255" s="39" t="s">
        <v>218</v>
      </c>
      <c r="D255" s="46">
        <f>(55.39+3.56)*10.764</f>
        <v>634.53779999999995</v>
      </c>
      <c r="E255" s="39">
        <v>0</v>
      </c>
      <c r="F255" s="39">
        <f t="shared" ref="F255:F256" si="7">D255*(($F$231)+1)+(IF(E255&lt;101,E255,IF(E255&lt;201,E255/2,IF(E255&lt;=301,E255/3,E255/4))))</f>
        <v>951.80669999999986</v>
      </c>
      <c r="G255" s="202" t="str">
        <f>A254</f>
        <v>15th to 17th, 19th to 22nd Floor</v>
      </c>
      <c r="H255" s="203"/>
      <c r="I255" s="33">
        <f>2.9*4.77+2.13*2.22+2.13*2.45+2.75*3.5+2.9*3.65+2.13*1.22+2.13*1.22+1.1*2.75</f>
        <v>52.212299999999992</v>
      </c>
      <c r="J255" s="34">
        <f>0.9*2.9+0.84*2.13</f>
        <v>4.3991999999999996</v>
      </c>
      <c r="K255" s="34">
        <f>8463900/F255</f>
        <v>8892.4568402386758</v>
      </c>
      <c r="N255" s="33"/>
    </row>
    <row r="256" spans="1:14" s="34" customFormat="1" ht="15.75" customHeight="1" x14ac:dyDescent="0.25">
      <c r="A256" s="128">
        <f>A255+1</f>
        <v>2</v>
      </c>
      <c r="B256" s="128"/>
      <c r="C256" s="39" t="s">
        <v>218</v>
      </c>
      <c r="D256" s="46">
        <f t="shared" ref="D256:D260" si="8">(55.39+3.56)*10.764</f>
        <v>634.53779999999995</v>
      </c>
      <c r="E256" s="39">
        <v>0</v>
      </c>
      <c r="F256" s="39">
        <f t="shared" si="7"/>
        <v>951.80669999999986</v>
      </c>
      <c r="G256" s="204"/>
      <c r="H256" s="205"/>
      <c r="I256" s="33"/>
      <c r="N256" s="33"/>
    </row>
    <row r="257" spans="1:14" s="34" customFormat="1" ht="15.75" customHeight="1" x14ac:dyDescent="0.25">
      <c r="A257" s="128">
        <f>A256+1</f>
        <v>3</v>
      </c>
      <c r="B257" s="128"/>
      <c r="C257" s="39" t="s">
        <v>218</v>
      </c>
      <c r="D257" s="46">
        <f t="shared" si="8"/>
        <v>634.53779999999995</v>
      </c>
      <c r="E257" s="39">
        <v>0</v>
      </c>
      <c r="F257" s="39">
        <f>D257*(($F$231)+1)+(IF(E257&lt;101,E257,IF(E257&lt;201,E257/2,IF(E257&lt;=301,E257/3,E257/4))))</f>
        <v>951.80669999999986</v>
      </c>
      <c r="G257" s="204"/>
      <c r="H257" s="205"/>
      <c r="I257" s="33"/>
      <c r="N257" s="33"/>
    </row>
    <row r="258" spans="1:14" s="34" customFormat="1" ht="15.75" customHeight="1" x14ac:dyDescent="0.25">
      <c r="A258" s="128">
        <f>A257+1</f>
        <v>4</v>
      </c>
      <c r="B258" s="128"/>
      <c r="C258" s="39" t="s">
        <v>218</v>
      </c>
      <c r="D258" s="46">
        <f t="shared" si="8"/>
        <v>634.53779999999995</v>
      </c>
      <c r="E258" s="39">
        <v>0</v>
      </c>
      <c r="F258" s="39">
        <f>D258*(($F$231)+1)+(IF(E258&lt;101,E258,IF(E258&lt;201,E258/2,IF(E258&lt;=301,E258/3,E258/4))))</f>
        <v>951.80669999999986</v>
      </c>
      <c r="G258" s="204"/>
      <c r="H258" s="205"/>
      <c r="I258" s="33"/>
      <c r="N258" s="33"/>
    </row>
    <row r="259" spans="1:14" s="34" customFormat="1" ht="15.75" customHeight="1" x14ac:dyDescent="0.25">
      <c r="A259" s="128">
        <v>5</v>
      </c>
      <c r="B259" s="128"/>
      <c r="C259" s="39" t="s">
        <v>218</v>
      </c>
      <c r="D259" s="46">
        <f t="shared" si="8"/>
        <v>634.53779999999995</v>
      </c>
      <c r="E259" s="39">
        <v>0</v>
      </c>
      <c r="F259" s="39">
        <f>D259*(($F$231)+1)+(IF(E259&lt;101,E259,IF(E259&lt;201,E259/2,IF(E259&lt;=301,E259/3,E259/4))))</f>
        <v>951.80669999999986</v>
      </c>
      <c r="G259" s="204"/>
      <c r="H259" s="205"/>
      <c r="I259" s="33"/>
      <c r="N259" s="33"/>
    </row>
    <row r="260" spans="1:14" s="34" customFormat="1" ht="15.75" customHeight="1" x14ac:dyDescent="0.25">
      <c r="A260" s="128">
        <v>6</v>
      </c>
      <c r="B260" s="128"/>
      <c r="C260" s="39" t="s">
        <v>218</v>
      </c>
      <c r="D260" s="46">
        <f t="shared" si="8"/>
        <v>634.53779999999995</v>
      </c>
      <c r="E260" s="39">
        <v>0</v>
      </c>
      <c r="F260" s="39">
        <f>D260*(($F$231)+1)+(IF(E260&lt;101,E260,IF(E260&lt;201,E260/2,IF(E260&lt;=301,E260/3,E260/4))))</f>
        <v>951.80669999999986</v>
      </c>
      <c r="G260" s="206"/>
      <c r="H260" s="207"/>
      <c r="I260" s="33"/>
      <c r="N260" s="33"/>
    </row>
    <row r="261" spans="1:14" s="34" customFormat="1" x14ac:dyDescent="0.25">
      <c r="A261" s="194" t="s">
        <v>223</v>
      </c>
      <c r="B261" s="194"/>
      <c r="C261" s="194"/>
      <c r="D261" s="194"/>
      <c r="E261" s="194"/>
      <c r="F261" s="194"/>
      <c r="G261" s="194"/>
      <c r="H261" s="194"/>
      <c r="I261" s="33"/>
      <c r="L261" s="127"/>
      <c r="M261" s="127"/>
    </row>
    <row r="262" spans="1:14" s="34" customFormat="1" ht="15.75" customHeight="1" x14ac:dyDescent="0.25">
      <c r="A262" s="128">
        <v>1</v>
      </c>
      <c r="B262" s="128"/>
      <c r="C262" s="39" t="s">
        <v>218</v>
      </c>
      <c r="D262" s="46">
        <f>(55.39+3.56)*10.764</f>
        <v>634.53779999999995</v>
      </c>
      <c r="E262" s="39">
        <v>0</v>
      </c>
      <c r="F262" s="39">
        <f t="shared" ref="F262:F263" si="9">D262*(($F$231)+1)+(IF(E262&lt;101,E262,IF(E262&lt;201,E262/2,IF(E262&lt;=301,E262/3,E262/4))))</f>
        <v>951.80669999999986</v>
      </c>
      <c r="G262" s="202" t="str">
        <f>A261</f>
        <v>18th Floor (Part Refuge Area)</v>
      </c>
      <c r="H262" s="203"/>
      <c r="I262" s="33">
        <f>2.9*4.77+2.13*2.22+2.13*2.45+2.75*3.5+2.9*3.65+2.13*1.22+2.13*1.22+1.1*2.75</f>
        <v>52.212299999999992</v>
      </c>
      <c r="J262" s="34">
        <f>0.9*2.9+0.84*2.13</f>
        <v>4.3991999999999996</v>
      </c>
      <c r="N262" s="33"/>
    </row>
    <row r="263" spans="1:14" s="34" customFormat="1" ht="15.75" customHeight="1" x14ac:dyDescent="0.25">
      <c r="A263" s="128">
        <f>A262+1</f>
        <v>2</v>
      </c>
      <c r="B263" s="128"/>
      <c r="C263" s="39" t="s">
        <v>218</v>
      </c>
      <c r="D263" s="46">
        <f t="shared" ref="D263:D267" si="10">(55.39+3.56)*10.764</f>
        <v>634.53779999999995</v>
      </c>
      <c r="E263" s="39">
        <v>0</v>
      </c>
      <c r="F263" s="39">
        <f t="shared" si="9"/>
        <v>951.80669999999986</v>
      </c>
      <c r="G263" s="204"/>
      <c r="H263" s="205"/>
      <c r="I263" s="33"/>
      <c r="N263" s="33"/>
    </row>
    <row r="264" spans="1:14" s="34" customFormat="1" ht="15.75" customHeight="1" x14ac:dyDescent="0.25">
      <c r="A264" s="128">
        <f>A263+1</f>
        <v>3</v>
      </c>
      <c r="B264" s="128"/>
      <c r="C264" s="39" t="s">
        <v>218</v>
      </c>
      <c r="D264" s="46">
        <f t="shared" si="10"/>
        <v>634.53779999999995</v>
      </c>
      <c r="E264" s="39">
        <v>0</v>
      </c>
      <c r="F264" s="39">
        <f>D264*(($F$231)+1)+(IF(E264&lt;101,E264,IF(E264&lt;201,E264/2,IF(E264&lt;=301,E264/3,E264/4))))</f>
        <v>951.80669999999986</v>
      </c>
      <c r="G264" s="204"/>
      <c r="H264" s="205"/>
      <c r="I264" s="33"/>
      <c r="N264" s="33"/>
    </row>
    <row r="265" spans="1:14" s="34" customFormat="1" ht="15.75" customHeight="1" x14ac:dyDescent="0.25">
      <c r="A265" s="128">
        <f>A264+1</f>
        <v>4</v>
      </c>
      <c r="B265" s="128"/>
      <c r="C265" s="39" t="s">
        <v>218</v>
      </c>
      <c r="D265" s="46">
        <f t="shared" si="10"/>
        <v>634.53779999999995</v>
      </c>
      <c r="E265" s="39">
        <v>0</v>
      </c>
      <c r="F265" s="39">
        <f>D265*(($F$231)+1)+(IF(E265&lt;101,E265,IF(E265&lt;201,E265/2,IF(E265&lt;=301,E265/3,E265/4))))</f>
        <v>951.80669999999986</v>
      </c>
      <c r="G265" s="204"/>
      <c r="H265" s="205"/>
      <c r="I265" s="33"/>
      <c r="N265" s="33"/>
    </row>
    <row r="266" spans="1:14" s="34" customFormat="1" ht="15.75" customHeight="1" x14ac:dyDescent="0.25">
      <c r="A266" s="128">
        <v>5</v>
      </c>
      <c r="B266" s="128"/>
      <c r="C266" s="150" t="s">
        <v>221</v>
      </c>
      <c r="D266" s="151"/>
      <c r="E266" s="151"/>
      <c r="F266" s="152"/>
      <c r="G266" s="204"/>
      <c r="H266" s="205"/>
      <c r="I266" s="33"/>
      <c r="N266" s="33"/>
    </row>
    <row r="267" spans="1:14" s="34" customFormat="1" ht="15.75" customHeight="1" x14ac:dyDescent="0.25">
      <c r="A267" s="128">
        <v>6</v>
      </c>
      <c r="B267" s="128"/>
      <c r="C267" s="39" t="s">
        <v>218</v>
      </c>
      <c r="D267" s="46">
        <f t="shared" si="10"/>
        <v>634.53779999999995</v>
      </c>
      <c r="E267" s="39">
        <v>0</v>
      </c>
      <c r="F267" s="39">
        <f>D267*(($F$231)+1)+(IF(E267&lt;101,E267,IF(E267&lt;201,E267/2,IF(E267&lt;=301,E267/3,E267/4))))</f>
        <v>951.80669999999986</v>
      </c>
      <c r="G267" s="206"/>
      <c r="H267" s="207"/>
      <c r="I267" s="33"/>
      <c r="N267" s="33"/>
    </row>
    <row r="268" spans="1:14" s="34" customFormat="1" x14ac:dyDescent="0.25">
      <c r="A268" s="137" t="s">
        <v>287</v>
      </c>
      <c r="B268" s="138"/>
      <c r="C268" s="138"/>
      <c r="D268" s="138"/>
      <c r="E268" s="138"/>
      <c r="F268" s="138"/>
      <c r="G268" s="138"/>
      <c r="H268" s="139"/>
      <c r="J268" s="33"/>
    </row>
    <row r="269" spans="1:14" s="34" customFormat="1" x14ac:dyDescent="0.25">
      <c r="A269" s="137" t="s">
        <v>249</v>
      </c>
      <c r="B269" s="138"/>
      <c r="C269" s="138"/>
      <c r="D269" s="138"/>
      <c r="E269" s="138"/>
      <c r="F269" s="138"/>
      <c r="G269" s="138"/>
      <c r="H269" s="139"/>
      <c r="J269" s="33"/>
    </row>
    <row r="270" spans="1:14" s="34" customFormat="1" x14ac:dyDescent="0.25">
      <c r="A270" s="137" t="s">
        <v>215</v>
      </c>
      <c r="B270" s="138"/>
      <c r="C270" s="138"/>
      <c r="D270" s="138"/>
      <c r="E270" s="138"/>
      <c r="F270" s="138"/>
      <c r="G270" s="138"/>
      <c r="H270" s="139"/>
      <c r="J270" s="33"/>
    </row>
    <row r="271" spans="1:14" s="34" customFormat="1" x14ac:dyDescent="0.25">
      <c r="A271" s="137" t="s">
        <v>216</v>
      </c>
      <c r="B271" s="138"/>
      <c r="C271" s="138"/>
      <c r="D271" s="138"/>
      <c r="E271" s="138"/>
      <c r="F271" s="138"/>
      <c r="G271" s="138"/>
      <c r="H271" s="139"/>
      <c r="J271" s="33"/>
    </row>
    <row r="272" spans="1:14" s="34" customFormat="1" x14ac:dyDescent="0.25">
      <c r="A272" s="137" t="s">
        <v>217</v>
      </c>
      <c r="B272" s="138"/>
      <c r="C272" s="138"/>
      <c r="D272" s="138"/>
      <c r="E272" s="138"/>
      <c r="F272" s="138"/>
      <c r="G272" s="138"/>
      <c r="H272" s="139"/>
      <c r="J272" s="46">
        <v>10.763999999999999</v>
      </c>
    </row>
    <row r="273" spans="1:14" s="34" customFormat="1" ht="15.75" customHeight="1" x14ac:dyDescent="0.25">
      <c r="A273" s="150">
        <v>3</v>
      </c>
      <c r="B273" s="152"/>
      <c r="C273" s="39" t="s">
        <v>218</v>
      </c>
      <c r="D273" s="46">
        <f>(54.96+1.16)*10.764</f>
        <v>604.07567999999992</v>
      </c>
      <c r="E273" s="39">
        <v>0</v>
      </c>
      <c r="F273" s="39">
        <f>D273*(($F$231)+1)+(IF(E273&lt;101,E273,IF(E273&lt;201,E273/2,IF(E273&lt;=301,E273/3,E273/4))))</f>
        <v>906.11351999999988</v>
      </c>
      <c r="G273" s="202" t="str">
        <f>A272</f>
        <v>2nd &amp; 3rd Floor For Parking &amp; Residential</v>
      </c>
      <c r="H273" s="203"/>
      <c r="I273" s="33">
        <f>2.9*4.77+2.13*2.45+2.13*2.22+2.75*3.5+2.9*3.65+2.13*1.22+2.13*1.22+1.1*2.75</f>
        <v>52.212299999999992</v>
      </c>
      <c r="K273" s="47">
        <f>0.84*2.13</f>
        <v>1.7891999999999999</v>
      </c>
      <c r="L273" s="127"/>
      <c r="M273" s="127"/>
      <c r="N273" s="33"/>
    </row>
    <row r="274" spans="1:14" s="34" customFormat="1" ht="15.75" customHeight="1" x14ac:dyDescent="0.25">
      <c r="A274" s="150">
        <f t="shared" ref="A274" si="11">A273+1</f>
        <v>4</v>
      </c>
      <c r="B274" s="152"/>
      <c r="C274" s="39" t="s">
        <v>218</v>
      </c>
      <c r="D274" s="46">
        <f>(54.96+1.16)*10.764</f>
        <v>604.07567999999992</v>
      </c>
      <c r="E274" s="39">
        <v>0</v>
      </c>
      <c r="F274" s="39">
        <f>D274*(($F$231)+1)+(IF(E274&lt;101,E274,IF(E274&lt;201,E274/2,IF(E274&lt;=301,E274/3,E274/4))))</f>
        <v>906.11351999999988</v>
      </c>
      <c r="G274" s="206"/>
      <c r="H274" s="207"/>
      <c r="I274" s="33"/>
      <c r="L274" s="127"/>
      <c r="M274" s="127"/>
      <c r="N274" s="33"/>
    </row>
    <row r="275" spans="1:14" s="34" customFormat="1" ht="15.75" customHeight="1" x14ac:dyDescent="0.25">
      <c r="A275" s="137" t="s">
        <v>224</v>
      </c>
      <c r="B275" s="138"/>
      <c r="C275" s="138"/>
      <c r="D275" s="138"/>
      <c r="E275" s="138"/>
      <c r="F275" s="138"/>
      <c r="G275" s="138"/>
      <c r="H275" s="139"/>
      <c r="I275" s="33"/>
    </row>
    <row r="276" spans="1:14" s="34" customFormat="1" ht="15.75" customHeight="1" x14ac:dyDescent="0.25">
      <c r="A276" s="150">
        <v>3</v>
      </c>
      <c r="B276" s="152"/>
      <c r="C276" s="39" t="s">
        <v>218</v>
      </c>
      <c r="D276" s="46">
        <f t="shared" ref="D276:D279" si="12">(54.96+1.16)*10.764</f>
        <v>604.07567999999992</v>
      </c>
      <c r="E276" s="39">
        <v>0</v>
      </c>
      <c r="F276" s="39">
        <f>D276*(($F$231)+1)+(IF(E276&lt;101,E276,IF(E276&lt;201,E276/2,IF(E276&lt;=301,E276/3,E276/4))))</f>
        <v>906.11351999999988</v>
      </c>
      <c r="G276" s="202" t="s">
        <v>224</v>
      </c>
      <c r="H276" s="203"/>
      <c r="I276" s="33">
        <f>8100000/F276</f>
        <v>8939.2772773106844</v>
      </c>
    </row>
    <row r="277" spans="1:14" s="34" customFormat="1" ht="15.75" customHeight="1" x14ac:dyDescent="0.25">
      <c r="A277" s="150">
        <v>4</v>
      </c>
      <c r="B277" s="152"/>
      <c r="C277" s="39" t="s">
        <v>218</v>
      </c>
      <c r="D277" s="46">
        <f t="shared" si="12"/>
        <v>604.07567999999992</v>
      </c>
      <c r="E277" s="39">
        <v>0</v>
      </c>
      <c r="F277" s="39">
        <f>D277*(($F$231)+1)+(IF(E277&lt;101,E277,IF(E277&lt;201,E277/2,IF(E277&lt;=301,E277/3,E277/4))))</f>
        <v>906.11351999999988</v>
      </c>
      <c r="G277" s="204"/>
      <c r="H277" s="205"/>
      <c r="I277" s="33"/>
    </row>
    <row r="278" spans="1:14" s="34" customFormat="1" ht="15.75" customHeight="1" x14ac:dyDescent="0.25">
      <c r="A278" s="150">
        <v>5</v>
      </c>
      <c r="B278" s="152"/>
      <c r="C278" s="39" t="s">
        <v>218</v>
      </c>
      <c r="D278" s="46">
        <f t="shared" si="12"/>
        <v>604.07567999999992</v>
      </c>
      <c r="E278" s="39">
        <v>0</v>
      </c>
      <c r="F278" s="39">
        <f>D278*(($F$231)+1)+(IF(E278&lt;101,E278,IF(E278&lt;201,E278/2,IF(E278&lt;=301,E278/3,E278/4))))</f>
        <v>906.11351999999988</v>
      </c>
      <c r="G278" s="204"/>
      <c r="H278" s="205"/>
      <c r="I278" s="33"/>
    </row>
    <row r="279" spans="1:14" s="34" customFormat="1" ht="15.75" customHeight="1" x14ac:dyDescent="0.25">
      <c r="A279" s="150">
        <v>6</v>
      </c>
      <c r="B279" s="152"/>
      <c r="C279" s="39" t="s">
        <v>218</v>
      </c>
      <c r="D279" s="46">
        <f t="shared" si="12"/>
        <v>604.07567999999992</v>
      </c>
      <c r="E279" s="39">
        <v>0</v>
      </c>
      <c r="F279" s="39">
        <f>D279*(($F$231)+1)+(IF(E279&lt;101,E279,IF(E279&lt;201,E279/2,IF(E279&lt;=301,E279/3,E279/4))))</f>
        <v>906.11351999999988</v>
      </c>
      <c r="G279" s="206"/>
      <c r="H279" s="207"/>
      <c r="I279" s="33"/>
    </row>
    <row r="280" spans="1:14" s="34" customFormat="1" x14ac:dyDescent="0.25">
      <c r="A280" s="194" t="s">
        <v>239</v>
      </c>
      <c r="B280" s="194"/>
      <c r="C280" s="194"/>
      <c r="D280" s="194"/>
      <c r="E280" s="194"/>
      <c r="F280" s="194"/>
      <c r="G280" s="194"/>
      <c r="H280" s="194"/>
      <c r="I280" s="33"/>
      <c r="L280" s="127"/>
      <c r="M280" s="127"/>
    </row>
    <row r="281" spans="1:14" s="34" customFormat="1" ht="15.75" customHeight="1" x14ac:dyDescent="0.25">
      <c r="A281" s="128">
        <v>1</v>
      </c>
      <c r="B281" s="128"/>
      <c r="C281" s="39" t="s">
        <v>218</v>
      </c>
      <c r="D281" s="46">
        <f t="shared" ref="D281:D293" si="13">(54.96+1.16)*10.764</f>
        <v>604.07567999999992</v>
      </c>
      <c r="E281" s="39">
        <v>0</v>
      </c>
      <c r="F281" s="39">
        <f t="shared" ref="F281:F282" si="14">D281*(($F$231)+1)+(IF(E281&lt;101,E281,IF(E281&lt;201,E281/2,IF(E281&lt;=301,E281/3,E281/4))))</f>
        <v>906.11351999999988</v>
      </c>
      <c r="G281" s="202" t="str">
        <f>A280</f>
        <v>5th to 7th, 9th to 12th &amp; 14th Floor For Residential</v>
      </c>
      <c r="H281" s="203"/>
      <c r="I281" s="33"/>
      <c r="N281" s="33"/>
    </row>
    <row r="282" spans="1:14" s="34" customFormat="1" ht="15.75" customHeight="1" x14ac:dyDescent="0.25">
      <c r="A282" s="128">
        <f>A281+1</f>
        <v>2</v>
      </c>
      <c r="B282" s="128"/>
      <c r="C282" s="39" t="s">
        <v>218</v>
      </c>
      <c r="D282" s="46">
        <f t="shared" si="13"/>
        <v>604.07567999999992</v>
      </c>
      <c r="E282" s="39">
        <v>0</v>
      </c>
      <c r="F282" s="39">
        <f t="shared" si="14"/>
        <v>906.11351999999988</v>
      </c>
      <c r="G282" s="204"/>
      <c r="H282" s="205"/>
      <c r="I282" s="33"/>
      <c r="N282" s="33"/>
    </row>
    <row r="283" spans="1:14" s="34" customFormat="1" ht="15.75" customHeight="1" x14ac:dyDescent="0.25">
      <c r="A283" s="128">
        <f>A282+1</f>
        <v>3</v>
      </c>
      <c r="B283" s="128"/>
      <c r="C283" s="39" t="s">
        <v>218</v>
      </c>
      <c r="D283" s="46">
        <f t="shared" si="13"/>
        <v>604.07567999999992</v>
      </c>
      <c r="E283" s="39">
        <v>0</v>
      </c>
      <c r="F283" s="39">
        <f>D283*(($F$231)+1)+(IF(E283&lt;101,E283,IF(E283&lt;201,E283/2,IF(E283&lt;=301,E283/3,E283/4))))</f>
        <v>906.11351999999988</v>
      </c>
      <c r="G283" s="204"/>
      <c r="H283" s="205"/>
      <c r="I283" s="33"/>
      <c r="N283" s="33"/>
    </row>
    <row r="284" spans="1:14" s="34" customFormat="1" ht="15.75" customHeight="1" x14ac:dyDescent="0.25">
      <c r="A284" s="128">
        <f>A283+1</f>
        <v>4</v>
      </c>
      <c r="B284" s="128"/>
      <c r="C284" s="39" t="s">
        <v>218</v>
      </c>
      <c r="D284" s="46">
        <f t="shared" si="13"/>
        <v>604.07567999999992</v>
      </c>
      <c r="E284" s="39">
        <v>0</v>
      </c>
      <c r="F284" s="39">
        <f>D284*(($F$231)+1)+(IF(E284&lt;101,E284,IF(E284&lt;201,E284/2,IF(E284&lt;=301,E284/3,E284/4))))</f>
        <v>906.11351999999988</v>
      </c>
      <c r="G284" s="204"/>
      <c r="H284" s="205"/>
      <c r="I284" s="33"/>
      <c r="N284" s="33"/>
    </row>
    <row r="285" spans="1:14" s="34" customFormat="1" ht="15.75" customHeight="1" x14ac:dyDescent="0.25">
      <c r="A285" s="128">
        <v>5</v>
      </c>
      <c r="B285" s="128"/>
      <c r="C285" s="39" t="s">
        <v>218</v>
      </c>
      <c r="D285" s="46">
        <f t="shared" si="13"/>
        <v>604.07567999999992</v>
      </c>
      <c r="E285" s="39">
        <v>0</v>
      </c>
      <c r="F285" s="39">
        <f>D285*(($F$231)+1)+(IF(E285&lt;101,E285,IF(E285&lt;201,E285/2,IF(E285&lt;=301,E285/3,E285/4))))</f>
        <v>906.11351999999988</v>
      </c>
      <c r="G285" s="204"/>
      <c r="H285" s="205"/>
      <c r="I285" s="33"/>
      <c r="N285" s="33"/>
    </row>
    <row r="286" spans="1:14" s="34" customFormat="1" ht="15.75" customHeight="1" x14ac:dyDescent="0.25">
      <c r="A286" s="128">
        <v>6</v>
      </c>
      <c r="B286" s="128"/>
      <c r="C286" s="39" t="s">
        <v>218</v>
      </c>
      <c r="D286" s="46">
        <f t="shared" si="13"/>
        <v>604.07567999999992</v>
      </c>
      <c r="E286" s="39">
        <v>0</v>
      </c>
      <c r="F286" s="39">
        <f>D286*(($F$231)+1)+(IF(E286&lt;101,E286,IF(E286&lt;201,E286/2,IF(E286&lt;=301,E286/3,E286/4))))</f>
        <v>906.11351999999988</v>
      </c>
      <c r="G286" s="206"/>
      <c r="H286" s="207"/>
      <c r="I286" s="33"/>
      <c r="N286" s="33"/>
    </row>
    <row r="287" spans="1:14" s="34" customFormat="1" x14ac:dyDescent="0.25">
      <c r="A287" s="194" t="s">
        <v>220</v>
      </c>
      <c r="B287" s="194"/>
      <c r="C287" s="194"/>
      <c r="D287" s="194"/>
      <c r="E287" s="194"/>
      <c r="F287" s="194"/>
      <c r="G287" s="194"/>
      <c r="H287" s="194"/>
      <c r="I287" s="33"/>
      <c r="L287" s="127"/>
      <c r="M287" s="127"/>
    </row>
    <row r="288" spans="1:14" s="34" customFormat="1" ht="15.75" customHeight="1" x14ac:dyDescent="0.25">
      <c r="A288" s="128">
        <v>1</v>
      </c>
      <c r="B288" s="128"/>
      <c r="C288" s="39" t="s">
        <v>218</v>
      </c>
      <c r="D288" s="46">
        <f t="shared" si="13"/>
        <v>604.07567999999992</v>
      </c>
      <c r="E288" s="39">
        <v>0</v>
      </c>
      <c r="F288" s="39">
        <f t="shared" ref="F288:F289" si="15">D288*(($F$231)+1)+(IF(E288&lt;101,E288,IF(E288&lt;201,E288/2,IF(E288&lt;=301,E288/3,E288/4))))</f>
        <v>906.11351999999988</v>
      </c>
      <c r="G288" s="202" t="str">
        <f>A287</f>
        <v>8th &amp; 13 th Floor (Part Refuge Area)</v>
      </c>
      <c r="H288" s="203"/>
      <c r="I288" s="33"/>
      <c r="N288" s="33"/>
    </row>
    <row r="289" spans="1:14" s="34" customFormat="1" ht="15.75" customHeight="1" x14ac:dyDescent="0.25">
      <c r="A289" s="128">
        <f>A288+1</f>
        <v>2</v>
      </c>
      <c r="B289" s="128"/>
      <c r="C289" s="39" t="s">
        <v>218</v>
      </c>
      <c r="D289" s="46">
        <f t="shared" si="13"/>
        <v>604.07567999999992</v>
      </c>
      <c r="E289" s="39">
        <v>0</v>
      </c>
      <c r="F289" s="39">
        <f t="shared" si="15"/>
        <v>906.11351999999988</v>
      </c>
      <c r="G289" s="204"/>
      <c r="H289" s="205"/>
      <c r="I289" s="33"/>
      <c r="N289" s="33"/>
    </row>
    <row r="290" spans="1:14" s="34" customFormat="1" ht="15.75" customHeight="1" x14ac:dyDescent="0.25">
      <c r="A290" s="128">
        <f>A289+1</f>
        <v>3</v>
      </c>
      <c r="B290" s="128"/>
      <c r="C290" s="150" t="s">
        <v>221</v>
      </c>
      <c r="D290" s="151"/>
      <c r="E290" s="151"/>
      <c r="F290" s="152"/>
      <c r="G290" s="204"/>
      <c r="H290" s="205"/>
      <c r="I290" s="33"/>
      <c r="N290" s="33"/>
    </row>
    <row r="291" spans="1:14" s="34" customFormat="1" ht="15.75" customHeight="1" x14ac:dyDescent="0.25">
      <c r="A291" s="128">
        <f>A290+1</f>
        <v>4</v>
      </c>
      <c r="B291" s="128"/>
      <c r="C291" s="39" t="s">
        <v>218</v>
      </c>
      <c r="D291" s="46">
        <f t="shared" si="13"/>
        <v>604.07567999999992</v>
      </c>
      <c r="E291" s="39">
        <v>0</v>
      </c>
      <c r="F291" s="39">
        <f>D291*(($F$231)+1)+(IF(E291&lt;101,E291,IF(E291&lt;201,E291/2,IF(E291&lt;=301,E291/3,E291/4))))</f>
        <v>906.11351999999988</v>
      </c>
      <c r="G291" s="204"/>
      <c r="H291" s="205"/>
      <c r="I291" s="33"/>
      <c r="N291" s="33"/>
    </row>
    <row r="292" spans="1:14" s="34" customFormat="1" ht="15.75" customHeight="1" x14ac:dyDescent="0.25">
      <c r="A292" s="128">
        <v>5</v>
      </c>
      <c r="B292" s="128"/>
      <c r="C292" s="39" t="s">
        <v>218</v>
      </c>
      <c r="D292" s="46">
        <f t="shared" si="13"/>
        <v>604.07567999999992</v>
      </c>
      <c r="E292" s="39">
        <v>0</v>
      </c>
      <c r="F292" s="39">
        <f>D292*(($F$231)+1)+(IF(E292&lt;101,E292,IF(E292&lt;201,E292/2,IF(E292&lt;=301,E292/3,E292/4))))</f>
        <v>906.11351999999988</v>
      </c>
      <c r="G292" s="204"/>
      <c r="H292" s="205"/>
      <c r="I292" s="33"/>
      <c r="N292" s="33"/>
    </row>
    <row r="293" spans="1:14" s="34" customFormat="1" ht="15.75" customHeight="1" x14ac:dyDescent="0.25">
      <c r="A293" s="128">
        <v>6</v>
      </c>
      <c r="B293" s="128"/>
      <c r="C293" s="39" t="s">
        <v>218</v>
      </c>
      <c r="D293" s="46">
        <f t="shared" si="13"/>
        <v>604.07567999999992</v>
      </c>
      <c r="E293" s="39">
        <v>0</v>
      </c>
      <c r="F293" s="39">
        <f>D293*(($F$231)+1)+(IF(E293&lt;101,E293,IF(E293&lt;201,E293/2,IF(E293&lt;=301,E293/3,E293/4))))</f>
        <v>906.11351999999988</v>
      </c>
      <c r="G293" s="206"/>
      <c r="H293" s="207"/>
      <c r="I293" s="33"/>
      <c r="N293" s="33"/>
    </row>
    <row r="294" spans="1:14" s="34" customFormat="1" x14ac:dyDescent="0.25">
      <c r="A294" s="194" t="s">
        <v>222</v>
      </c>
      <c r="B294" s="194"/>
      <c r="C294" s="194"/>
      <c r="D294" s="194"/>
      <c r="E294" s="194"/>
      <c r="F294" s="194"/>
      <c r="G294" s="194"/>
      <c r="H294" s="194"/>
      <c r="I294" s="33"/>
      <c r="L294" s="127"/>
      <c r="M294" s="127"/>
    </row>
    <row r="295" spans="1:14" s="34" customFormat="1" ht="15.75" customHeight="1" x14ac:dyDescent="0.25">
      <c r="A295" s="128">
        <v>1</v>
      </c>
      <c r="B295" s="128"/>
      <c r="C295" s="39" t="s">
        <v>218</v>
      </c>
      <c r="D295" s="46">
        <f>(55.39+3.56)*10.764</f>
        <v>634.53779999999995</v>
      </c>
      <c r="E295" s="39">
        <v>0</v>
      </c>
      <c r="F295" s="39">
        <f t="shared" ref="F295:F296" si="16">D295*(($F$231)+1)+(IF(E295&lt;101,E295,IF(E295&lt;201,E295/2,IF(E295&lt;=301,E295/3,E295/4))))</f>
        <v>951.80669999999986</v>
      </c>
      <c r="G295" s="202" t="str">
        <f>A294</f>
        <v>15th to 17th, 19th to 22nd Floor</v>
      </c>
      <c r="H295" s="203"/>
      <c r="I295" s="33">
        <f>2.9*4.77+2.13*2.22+2.13*2.45+2.75*3.5+2.9*3.65+2.13*1.22+2.13*1.22+1.1*2.75</f>
        <v>52.212299999999992</v>
      </c>
      <c r="J295" s="34">
        <f>0.9*2.9+0.84*2.13</f>
        <v>4.3991999999999996</v>
      </c>
      <c r="N295" s="33"/>
    </row>
    <row r="296" spans="1:14" s="34" customFormat="1" ht="15.75" customHeight="1" x14ac:dyDescent="0.25">
      <c r="A296" s="128">
        <f>A295+1</f>
        <v>2</v>
      </c>
      <c r="B296" s="128"/>
      <c r="C296" s="39" t="s">
        <v>218</v>
      </c>
      <c r="D296" s="46">
        <f t="shared" ref="D296:D300" si="17">(55.39+3.56)*10.764</f>
        <v>634.53779999999995</v>
      </c>
      <c r="E296" s="39">
        <v>0</v>
      </c>
      <c r="F296" s="39">
        <f t="shared" si="16"/>
        <v>951.80669999999986</v>
      </c>
      <c r="G296" s="204"/>
      <c r="H296" s="205"/>
      <c r="I296" s="33"/>
      <c r="N296" s="33"/>
    </row>
    <row r="297" spans="1:14" s="34" customFormat="1" ht="15.75" customHeight="1" x14ac:dyDescent="0.25">
      <c r="A297" s="128">
        <f>A296+1</f>
        <v>3</v>
      </c>
      <c r="B297" s="128"/>
      <c r="C297" s="39" t="s">
        <v>218</v>
      </c>
      <c r="D297" s="46">
        <f t="shared" si="17"/>
        <v>634.53779999999995</v>
      </c>
      <c r="E297" s="39">
        <v>0</v>
      </c>
      <c r="F297" s="39">
        <f>D297*(($F$231)+1)+(IF(E297&lt;101,E297,IF(E297&lt;201,E297/2,IF(E297&lt;=301,E297/3,E297/4))))</f>
        <v>951.80669999999986</v>
      </c>
      <c r="G297" s="204"/>
      <c r="H297" s="205"/>
      <c r="I297" s="33"/>
      <c r="N297" s="33"/>
    </row>
    <row r="298" spans="1:14" s="34" customFormat="1" ht="15.75" customHeight="1" x14ac:dyDescent="0.25">
      <c r="A298" s="128">
        <f>A297+1</f>
        <v>4</v>
      </c>
      <c r="B298" s="128"/>
      <c r="C298" s="39" t="s">
        <v>218</v>
      </c>
      <c r="D298" s="46">
        <f t="shared" si="17"/>
        <v>634.53779999999995</v>
      </c>
      <c r="E298" s="39">
        <v>0</v>
      </c>
      <c r="F298" s="39">
        <f>D298*(($F$231)+1)+(IF(E298&lt;101,E298,IF(E298&lt;201,E298/2,IF(E298&lt;=301,E298/3,E298/4))))</f>
        <v>951.80669999999986</v>
      </c>
      <c r="G298" s="204"/>
      <c r="H298" s="205"/>
      <c r="I298" s="33"/>
      <c r="N298" s="33"/>
    </row>
    <row r="299" spans="1:14" s="34" customFormat="1" ht="15.75" customHeight="1" x14ac:dyDescent="0.25">
      <c r="A299" s="128">
        <v>5</v>
      </c>
      <c r="B299" s="128"/>
      <c r="C299" s="39" t="s">
        <v>218</v>
      </c>
      <c r="D299" s="46">
        <f t="shared" si="17"/>
        <v>634.53779999999995</v>
      </c>
      <c r="E299" s="39">
        <v>0</v>
      </c>
      <c r="F299" s="39">
        <f>D299*(($F$231)+1)+(IF(E299&lt;101,E299,IF(E299&lt;201,E299/2,IF(E299&lt;=301,E299/3,E299/4))))</f>
        <v>951.80669999999986</v>
      </c>
      <c r="G299" s="204"/>
      <c r="H299" s="205"/>
      <c r="I299" s="33"/>
      <c r="N299" s="33"/>
    </row>
    <row r="300" spans="1:14" s="34" customFormat="1" ht="15.75" customHeight="1" x14ac:dyDescent="0.25">
      <c r="A300" s="128">
        <v>6</v>
      </c>
      <c r="B300" s="128"/>
      <c r="C300" s="39" t="s">
        <v>218</v>
      </c>
      <c r="D300" s="46">
        <f t="shared" si="17"/>
        <v>634.53779999999995</v>
      </c>
      <c r="E300" s="39">
        <v>0</v>
      </c>
      <c r="F300" s="39">
        <f>D300*(($F$231)+1)+(IF(E300&lt;101,E300,IF(E300&lt;201,E300/2,IF(E300&lt;=301,E300/3,E300/4))))</f>
        <v>951.80669999999986</v>
      </c>
      <c r="G300" s="206"/>
      <c r="H300" s="207"/>
      <c r="I300" s="33"/>
      <c r="N300" s="33"/>
    </row>
    <row r="301" spans="1:14" s="34" customFormat="1" x14ac:dyDescent="0.25">
      <c r="A301" s="194" t="s">
        <v>223</v>
      </c>
      <c r="B301" s="194"/>
      <c r="C301" s="194"/>
      <c r="D301" s="194"/>
      <c r="E301" s="194"/>
      <c r="F301" s="194"/>
      <c r="G301" s="194"/>
      <c r="H301" s="194"/>
      <c r="I301" s="33"/>
      <c r="L301" s="127"/>
      <c r="M301" s="127"/>
    </row>
    <row r="302" spans="1:14" s="34" customFormat="1" ht="15.75" customHeight="1" x14ac:dyDescent="0.25">
      <c r="A302" s="128">
        <v>1</v>
      </c>
      <c r="B302" s="128"/>
      <c r="C302" s="39" t="s">
        <v>218</v>
      </c>
      <c r="D302" s="46">
        <f>(55.39+3.56)*10.764</f>
        <v>634.53779999999995</v>
      </c>
      <c r="E302" s="39">
        <v>0</v>
      </c>
      <c r="F302" s="39">
        <f t="shared" ref="F302:F303" si="18">D302*(($F$231)+1)+(IF(E302&lt;101,E302,IF(E302&lt;201,E302/2,IF(E302&lt;=301,E302/3,E302/4))))</f>
        <v>951.80669999999986</v>
      </c>
      <c r="G302" s="202" t="str">
        <f>A301</f>
        <v>18th Floor (Part Refuge Area)</v>
      </c>
      <c r="H302" s="203"/>
      <c r="I302" s="33"/>
      <c r="N302" s="33"/>
    </row>
    <row r="303" spans="1:14" s="34" customFormat="1" ht="15.75" customHeight="1" x14ac:dyDescent="0.25">
      <c r="A303" s="128">
        <f>A302+1</f>
        <v>2</v>
      </c>
      <c r="B303" s="128"/>
      <c r="C303" s="39" t="s">
        <v>218</v>
      </c>
      <c r="D303" s="46">
        <f t="shared" ref="D303:D307" si="19">(55.39+3.56)*10.764</f>
        <v>634.53779999999995</v>
      </c>
      <c r="E303" s="39">
        <v>0</v>
      </c>
      <c r="F303" s="39">
        <f t="shared" si="18"/>
        <v>951.80669999999986</v>
      </c>
      <c r="G303" s="204"/>
      <c r="H303" s="205"/>
      <c r="I303" s="33"/>
      <c r="N303" s="33"/>
    </row>
    <row r="304" spans="1:14" s="34" customFormat="1" ht="15.75" customHeight="1" x14ac:dyDescent="0.25">
      <c r="A304" s="128">
        <f>A303+1</f>
        <v>3</v>
      </c>
      <c r="B304" s="128"/>
      <c r="C304" s="150" t="s">
        <v>221</v>
      </c>
      <c r="D304" s="151"/>
      <c r="E304" s="151"/>
      <c r="F304" s="152"/>
      <c r="G304" s="204"/>
      <c r="H304" s="205"/>
      <c r="I304" s="33"/>
      <c r="N304" s="33"/>
    </row>
    <row r="305" spans="1:14" s="34" customFormat="1" ht="15.75" customHeight="1" x14ac:dyDescent="0.25">
      <c r="A305" s="128">
        <f>A304+1</f>
        <v>4</v>
      </c>
      <c r="B305" s="128"/>
      <c r="C305" s="39" t="s">
        <v>218</v>
      </c>
      <c r="D305" s="46">
        <f t="shared" si="19"/>
        <v>634.53779999999995</v>
      </c>
      <c r="E305" s="39">
        <v>0</v>
      </c>
      <c r="F305" s="39">
        <f>D305*(($F$231)+1)+(IF(E305&lt;101,E305,IF(E305&lt;201,E305/2,IF(E305&lt;=301,E305/3,E305/4))))</f>
        <v>951.80669999999986</v>
      </c>
      <c r="G305" s="204"/>
      <c r="H305" s="205"/>
      <c r="I305" s="33"/>
      <c r="N305" s="33"/>
    </row>
    <row r="306" spans="1:14" s="34" customFormat="1" ht="15.75" customHeight="1" x14ac:dyDescent="0.25">
      <c r="A306" s="128">
        <v>5</v>
      </c>
      <c r="B306" s="128"/>
      <c r="C306" s="39" t="s">
        <v>218</v>
      </c>
      <c r="D306" s="46">
        <f t="shared" si="19"/>
        <v>634.53779999999995</v>
      </c>
      <c r="E306" s="39">
        <v>0</v>
      </c>
      <c r="F306" s="39">
        <f>D306*(($F$231)+1)+(IF(E306&lt;101,E306,IF(E306&lt;201,E306/2,IF(E306&lt;=301,E306/3,E306/4))))</f>
        <v>951.80669999999986</v>
      </c>
      <c r="G306" s="204"/>
      <c r="H306" s="205"/>
      <c r="I306" s="33"/>
      <c r="N306" s="33"/>
    </row>
    <row r="307" spans="1:14" s="34" customFormat="1" ht="15.75" customHeight="1" x14ac:dyDescent="0.25">
      <c r="A307" s="128">
        <v>6</v>
      </c>
      <c r="B307" s="128"/>
      <c r="C307" s="39" t="s">
        <v>218</v>
      </c>
      <c r="D307" s="46">
        <f t="shared" si="19"/>
        <v>634.53779999999995</v>
      </c>
      <c r="E307" s="39">
        <v>0</v>
      </c>
      <c r="F307" s="39">
        <f>D307*(($F$231)+1)+(IF(E307&lt;101,E307,IF(E307&lt;201,E307/2,IF(E307&lt;=301,E307/3,E307/4))))</f>
        <v>951.80669999999986</v>
      </c>
      <c r="G307" s="206"/>
      <c r="H307" s="207"/>
      <c r="I307" s="33"/>
      <c r="N307" s="33"/>
    </row>
    <row r="308" spans="1:14" s="34" customFormat="1" x14ac:dyDescent="0.25">
      <c r="A308" s="137" t="s">
        <v>208</v>
      </c>
      <c r="B308" s="138"/>
      <c r="C308" s="138"/>
      <c r="D308" s="138"/>
      <c r="E308" s="138"/>
      <c r="F308" s="138"/>
      <c r="G308" s="138"/>
      <c r="H308" s="139"/>
      <c r="J308" s="33"/>
    </row>
    <row r="309" spans="1:14" s="34" customFormat="1" x14ac:dyDescent="0.25">
      <c r="A309" s="137" t="s">
        <v>288</v>
      </c>
      <c r="B309" s="138"/>
      <c r="C309" s="138"/>
      <c r="D309" s="138"/>
      <c r="E309" s="138"/>
      <c r="F309" s="138"/>
      <c r="G309" s="138"/>
      <c r="H309" s="139"/>
      <c r="J309" s="33"/>
    </row>
    <row r="310" spans="1:14" s="34" customFormat="1" x14ac:dyDescent="0.25">
      <c r="A310" s="137" t="s">
        <v>250</v>
      </c>
      <c r="B310" s="138"/>
      <c r="C310" s="138"/>
      <c r="D310" s="138"/>
      <c r="E310" s="138"/>
      <c r="F310" s="138"/>
      <c r="G310" s="138"/>
      <c r="H310" s="139"/>
      <c r="J310" s="33"/>
    </row>
    <row r="311" spans="1:14" s="34" customFormat="1" x14ac:dyDescent="0.25">
      <c r="A311" s="137" t="s">
        <v>215</v>
      </c>
      <c r="B311" s="138"/>
      <c r="C311" s="138"/>
      <c r="D311" s="138"/>
      <c r="E311" s="138"/>
      <c r="F311" s="138"/>
      <c r="G311" s="138"/>
      <c r="H311" s="139"/>
      <c r="J311" s="33"/>
    </row>
    <row r="312" spans="1:14" s="34" customFormat="1" x14ac:dyDescent="0.25">
      <c r="A312" s="137" t="s">
        <v>233</v>
      </c>
      <c r="B312" s="138"/>
      <c r="C312" s="138"/>
      <c r="D312" s="138"/>
      <c r="E312" s="138"/>
      <c r="F312" s="138"/>
      <c r="G312" s="138"/>
      <c r="H312" s="139"/>
      <c r="J312" s="33"/>
    </row>
    <row r="313" spans="1:14" s="34" customFormat="1" ht="15.75" customHeight="1" x14ac:dyDescent="0.25">
      <c r="A313" s="150">
        <v>5</v>
      </c>
      <c r="B313" s="152"/>
      <c r="C313" s="39" t="s">
        <v>234</v>
      </c>
      <c r="D313" s="46">
        <f>(79.11+5.22)*10.764</f>
        <v>907.72811999999988</v>
      </c>
      <c r="E313" s="39">
        <v>0</v>
      </c>
      <c r="F313" s="39">
        <f>D313*(($F$231)+1)+(IF(E313&lt;101,E313,IF(E313&lt;201,E313/2,IF(E313&lt;=301,E313/3,E313/4))))</f>
        <v>1361.5921799999999</v>
      </c>
      <c r="G313" s="202" t="s">
        <v>233</v>
      </c>
      <c r="H313" s="203"/>
      <c r="I313" s="33">
        <f>5.49*3.25+2.44*0.6+3.5*2.83+3.95*3.05+1.48*0.9+2.9*3.65+1.32*0.9+2.27*1.22+1.22*2.13+0.9*3.73+2.13*2.75+2.5*1.05+2.27*1.37</f>
        <v>74.681399999999996</v>
      </c>
      <c r="J313" s="46">
        <v>10.763999999999999</v>
      </c>
    </row>
    <row r="314" spans="1:14" s="34" customFormat="1" ht="15.75" customHeight="1" x14ac:dyDescent="0.25">
      <c r="A314" s="150">
        <v>6</v>
      </c>
      <c r="B314" s="152"/>
      <c r="C314" s="39" t="s">
        <v>234</v>
      </c>
      <c r="D314" s="46">
        <f>(79.11+5.22)*10.764</f>
        <v>907.72811999999988</v>
      </c>
      <c r="E314" s="39">
        <v>0</v>
      </c>
      <c r="F314" s="39">
        <f>D314*(($F$231)+1)+(IF(E314&lt;101,E314,IF(E314&lt;201,E314/2,IF(E314&lt;=301,E314/3,E314/4))))</f>
        <v>1361.5921799999999</v>
      </c>
      <c r="G314" s="206"/>
      <c r="H314" s="207"/>
      <c r="I314" s="33"/>
    </row>
    <row r="315" spans="1:14" s="34" customFormat="1" x14ac:dyDescent="0.25">
      <c r="A315" s="137" t="s">
        <v>217</v>
      </c>
      <c r="B315" s="138"/>
      <c r="C315" s="138"/>
      <c r="D315" s="138"/>
      <c r="E315" s="138"/>
      <c r="F315" s="138"/>
      <c r="G315" s="138"/>
      <c r="H315" s="139"/>
      <c r="I315" s="33"/>
    </row>
    <row r="316" spans="1:14" s="34" customFormat="1" ht="15.75" customHeight="1" x14ac:dyDescent="0.25">
      <c r="A316" s="150">
        <v>1</v>
      </c>
      <c r="B316" s="152"/>
      <c r="C316" s="39" t="s">
        <v>234</v>
      </c>
      <c r="D316" s="46">
        <f t="shared" ref="D316:D333" si="20">(79.11+5.22)*10.764</f>
        <v>907.72811999999988</v>
      </c>
      <c r="E316" s="39">
        <v>0</v>
      </c>
      <c r="F316" s="39">
        <f>D316*(($F$231)+1)+(IF(E316&lt;101,E316,IF(E316&lt;201,E316/2,IF(E316&lt;=301,E316/3,E316/4))))</f>
        <v>1361.5921799999999</v>
      </c>
      <c r="G316" s="202" t="str">
        <f>A315</f>
        <v>2nd &amp; 3rd Floor For Parking &amp; Residential</v>
      </c>
      <c r="H316" s="203"/>
      <c r="I316" s="33"/>
    </row>
    <row r="317" spans="1:14" s="34" customFormat="1" ht="15.75" customHeight="1" x14ac:dyDescent="0.25">
      <c r="A317" s="150">
        <v>2</v>
      </c>
      <c r="B317" s="152"/>
      <c r="C317" s="39" t="s">
        <v>234</v>
      </c>
      <c r="D317" s="46">
        <f t="shared" si="20"/>
        <v>907.72811999999988</v>
      </c>
      <c r="E317" s="39">
        <v>0</v>
      </c>
      <c r="F317" s="39">
        <f>D317*(($F$231)+1)+(IF(E317&lt;101,E317,IF(E317&lt;201,E317/2,IF(E317&lt;=301,E317/3,E317/4))))</f>
        <v>1361.5921799999999</v>
      </c>
      <c r="G317" s="204"/>
      <c r="H317" s="205"/>
      <c r="I317" s="33"/>
    </row>
    <row r="318" spans="1:14" s="34" customFormat="1" ht="15.75" customHeight="1" x14ac:dyDescent="0.25">
      <c r="A318" s="150">
        <v>5</v>
      </c>
      <c r="B318" s="152"/>
      <c r="C318" s="39" t="s">
        <v>234</v>
      </c>
      <c r="D318" s="46">
        <f t="shared" si="20"/>
        <v>907.72811999999988</v>
      </c>
      <c r="E318" s="39">
        <v>0</v>
      </c>
      <c r="F318" s="39">
        <f>D318*(($F$231)+1)+(IF(E318&lt;101,E318,IF(E318&lt;201,E318/2,IF(E318&lt;=301,E318/3,E318/4))))</f>
        <v>1361.5921799999999</v>
      </c>
      <c r="G318" s="204"/>
      <c r="H318" s="205"/>
      <c r="I318" s="33"/>
    </row>
    <row r="319" spans="1:14" s="34" customFormat="1" ht="15.75" customHeight="1" x14ac:dyDescent="0.25">
      <c r="A319" s="150">
        <v>6</v>
      </c>
      <c r="B319" s="152"/>
      <c r="C319" s="39" t="s">
        <v>234</v>
      </c>
      <c r="D319" s="46">
        <f t="shared" si="20"/>
        <v>907.72811999999988</v>
      </c>
      <c r="E319" s="39">
        <v>0</v>
      </c>
      <c r="F319" s="39">
        <f>D319*(($F$231)+1)+(IF(E319&lt;101,E319,IF(E319&lt;201,E319/2,IF(E319&lt;=301,E319/3,E319/4))))</f>
        <v>1361.5921799999999</v>
      </c>
      <c r="G319" s="206"/>
      <c r="H319" s="207"/>
      <c r="I319" s="33"/>
    </row>
    <row r="320" spans="1:14" s="34" customFormat="1" x14ac:dyDescent="0.25">
      <c r="A320" s="137" t="s">
        <v>235</v>
      </c>
      <c r="B320" s="138"/>
      <c r="C320" s="138"/>
      <c r="D320" s="138"/>
      <c r="E320" s="138"/>
      <c r="F320" s="138"/>
      <c r="G320" s="138"/>
      <c r="H320" s="139"/>
      <c r="I320" s="33"/>
    </row>
    <row r="321" spans="1:10" s="34" customFormat="1" ht="15.75" customHeight="1" x14ac:dyDescent="0.25">
      <c r="A321" s="150">
        <v>1</v>
      </c>
      <c r="B321" s="152"/>
      <c r="C321" s="39" t="s">
        <v>234</v>
      </c>
      <c r="D321" s="46">
        <f t="shared" si="20"/>
        <v>907.72811999999988</v>
      </c>
      <c r="E321" s="39">
        <v>0</v>
      </c>
      <c r="F321" s="39">
        <f t="shared" ref="F321:F326" si="21">D321*(($F$231)+1)+(IF(E321&lt;101,E321,IF(E321&lt;201,E321/2,IF(E321&lt;=301,E321/3,E321/4))))</f>
        <v>1361.5921799999999</v>
      </c>
      <c r="G321" s="202" t="str">
        <f>A320</f>
        <v>4th to 7th, 9th to 12th &amp; 14th to 17th &amp; 19th to 22nd Floor For Residential</v>
      </c>
      <c r="H321" s="203"/>
      <c r="I321" s="33"/>
    </row>
    <row r="322" spans="1:10" s="34" customFormat="1" ht="15.75" customHeight="1" x14ac:dyDescent="0.25">
      <c r="A322" s="150">
        <v>2</v>
      </c>
      <c r="B322" s="152"/>
      <c r="C322" s="39" t="s">
        <v>234</v>
      </c>
      <c r="D322" s="46">
        <f t="shared" si="20"/>
        <v>907.72811999999988</v>
      </c>
      <c r="E322" s="39">
        <v>0</v>
      </c>
      <c r="F322" s="39">
        <f t="shared" si="21"/>
        <v>1361.5921799999999</v>
      </c>
      <c r="G322" s="204"/>
      <c r="H322" s="205"/>
      <c r="I322" s="33"/>
    </row>
    <row r="323" spans="1:10" s="34" customFormat="1" ht="15.75" customHeight="1" x14ac:dyDescent="0.25">
      <c r="A323" s="150">
        <v>3</v>
      </c>
      <c r="B323" s="152"/>
      <c r="C323" s="39" t="s">
        <v>234</v>
      </c>
      <c r="D323" s="46">
        <f>(69.32+3.66)*10.764</f>
        <v>785.55671999999981</v>
      </c>
      <c r="E323" s="39">
        <v>0</v>
      </c>
      <c r="F323" s="39">
        <f t="shared" si="21"/>
        <v>1178.3350799999998</v>
      </c>
      <c r="G323" s="204"/>
      <c r="H323" s="205"/>
      <c r="I323" s="33"/>
    </row>
    <row r="324" spans="1:10" s="34" customFormat="1" ht="15.75" customHeight="1" x14ac:dyDescent="0.25">
      <c r="A324" s="150">
        <v>4</v>
      </c>
      <c r="B324" s="152"/>
      <c r="C324" s="39" t="s">
        <v>234</v>
      </c>
      <c r="D324" s="46">
        <f>(69.32+3.66)*10.764</f>
        <v>785.55671999999981</v>
      </c>
      <c r="E324" s="39">
        <v>0</v>
      </c>
      <c r="F324" s="39">
        <f t="shared" si="21"/>
        <v>1178.3350799999998</v>
      </c>
      <c r="G324" s="204"/>
      <c r="H324" s="205"/>
      <c r="I324" s="33"/>
    </row>
    <row r="325" spans="1:10" s="34" customFormat="1" ht="15.75" customHeight="1" x14ac:dyDescent="0.25">
      <c r="A325" s="150">
        <v>5</v>
      </c>
      <c r="B325" s="152"/>
      <c r="C325" s="39" t="s">
        <v>234</v>
      </c>
      <c r="D325" s="46">
        <f t="shared" si="20"/>
        <v>907.72811999999988</v>
      </c>
      <c r="E325" s="39">
        <v>0</v>
      </c>
      <c r="F325" s="39">
        <f t="shared" si="21"/>
        <v>1361.5921799999999</v>
      </c>
      <c r="G325" s="204"/>
      <c r="H325" s="205"/>
      <c r="I325" s="33"/>
    </row>
    <row r="326" spans="1:10" s="34" customFormat="1" ht="15.75" customHeight="1" x14ac:dyDescent="0.25">
      <c r="A326" s="150">
        <v>6</v>
      </c>
      <c r="B326" s="152"/>
      <c r="C326" s="39" t="s">
        <v>234</v>
      </c>
      <c r="D326" s="46">
        <f t="shared" si="20"/>
        <v>907.72811999999988</v>
      </c>
      <c r="E326" s="39">
        <v>0</v>
      </c>
      <c r="F326" s="39">
        <f t="shared" si="21"/>
        <v>1361.5921799999999</v>
      </c>
      <c r="G326" s="206"/>
      <c r="H326" s="207"/>
      <c r="I326" s="33"/>
    </row>
    <row r="327" spans="1:10" s="34" customFormat="1" x14ac:dyDescent="0.25">
      <c r="A327" s="137" t="s">
        <v>236</v>
      </c>
      <c r="B327" s="138"/>
      <c r="C327" s="138"/>
      <c r="D327" s="138"/>
      <c r="E327" s="138"/>
      <c r="F327" s="138"/>
      <c r="G327" s="138"/>
      <c r="H327" s="139"/>
      <c r="I327" s="33"/>
    </row>
    <row r="328" spans="1:10" s="34" customFormat="1" ht="15.75" customHeight="1" x14ac:dyDescent="0.25">
      <c r="A328" s="150">
        <v>1</v>
      </c>
      <c r="B328" s="152"/>
      <c r="C328" s="39" t="s">
        <v>234</v>
      </c>
      <c r="D328" s="46">
        <f t="shared" si="20"/>
        <v>907.72811999999988</v>
      </c>
      <c r="E328" s="39">
        <v>0</v>
      </c>
      <c r="F328" s="39">
        <f>D328*(($F$231)+1)+(IF(E328&lt;101,E328,IF(E328&lt;201,E328/2,IF(E328&lt;=301,E328/3,E328/4))))</f>
        <v>1361.5921799999999</v>
      </c>
      <c r="G328" s="202" t="str">
        <f>A327</f>
        <v>8th, 13th &amp; 18th Floor (Part Refuge Area)</v>
      </c>
      <c r="H328" s="203"/>
      <c r="I328" s="33"/>
    </row>
    <row r="329" spans="1:10" s="34" customFormat="1" ht="15.75" customHeight="1" x14ac:dyDescent="0.25">
      <c r="A329" s="150">
        <v>2</v>
      </c>
      <c r="B329" s="152"/>
      <c r="C329" s="39" t="s">
        <v>234</v>
      </c>
      <c r="D329" s="46">
        <f t="shared" si="20"/>
        <v>907.72811999999988</v>
      </c>
      <c r="E329" s="39">
        <v>0</v>
      </c>
      <c r="F329" s="39">
        <f>D329*(($F$231)+1)+(IF(E329&lt;101,E329,IF(E329&lt;201,E329/2,IF(E329&lt;=301,E329/3,E329/4))))</f>
        <v>1361.5921799999999</v>
      </c>
      <c r="G329" s="204"/>
      <c r="H329" s="205"/>
      <c r="I329" s="33"/>
    </row>
    <row r="330" spans="1:10" s="34" customFormat="1" ht="15.75" customHeight="1" x14ac:dyDescent="0.25">
      <c r="A330" s="150">
        <v>3</v>
      </c>
      <c r="B330" s="152"/>
      <c r="C330" s="150" t="s">
        <v>221</v>
      </c>
      <c r="D330" s="151"/>
      <c r="E330" s="151"/>
      <c r="F330" s="152"/>
      <c r="G330" s="204"/>
      <c r="H330" s="205"/>
      <c r="I330" s="33"/>
    </row>
    <row r="331" spans="1:10" s="34" customFormat="1" ht="15.75" customHeight="1" x14ac:dyDescent="0.25">
      <c r="A331" s="150">
        <v>4</v>
      </c>
      <c r="B331" s="152"/>
      <c r="C331" s="39" t="s">
        <v>234</v>
      </c>
      <c r="D331" s="46">
        <f>(69.32+3.66)*10.764</f>
        <v>785.55671999999981</v>
      </c>
      <c r="E331" s="39">
        <v>0</v>
      </c>
      <c r="F331" s="39">
        <f>D331*(($F$231)+1)+(IF(E331&lt;101,E331,IF(E331&lt;201,E331/2,IF(E331&lt;=301,E331/3,E331/4))))</f>
        <v>1178.3350799999998</v>
      </c>
      <c r="G331" s="204"/>
      <c r="H331" s="205"/>
      <c r="I331" s="33"/>
    </row>
    <row r="332" spans="1:10" s="34" customFormat="1" ht="15.75" customHeight="1" x14ac:dyDescent="0.25">
      <c r="A332" s="150">
        <v>5</v>
      </c>
      <c r="B332" s="152"/>
      <c r="C332" s="39" t="s">
        <v>234</v>
      </c>
      <c r="D332" s="46">
        <f t="shared" si="20"/>
        <v>907.72811999999988</v>
      </c>
      <c r="E332" s="39">
        <v>0</v>
      </c>
      <c r="F332" s="39">
        <f>D332*(($F$231)+1)+(IF(E332&lt;101,E332,IF(E332&lt;201,E332/2,IF(E332&lt;=301,E332/3,E332/4))))</f>
        <v>1361.5921799999999</v>
      </c>
      <c r="G332" s="204"/>
      <c r="H332" s="205"/>
      <c r="I332" s="33"/>
    </row>
    <row r="333" spans="1:10" s="34" customFormat="1" ht="15.75" customHeight="1" x14ac:dyDescent="0.25">
      <c r="A333" s="150">
        <v>6</v>
      </c>
      <c r="B333" s="152"/>
      <c r="C333" s="39" t="s">
        <v>234</v>
      </c>
      <c r="D333" s="46">
        <f t="shared" si="20"/>
        <v>907.72811999999988</v>
      </c>
      <c r="E333" s="39">
        <v>0</v>
      </c>
      <c r="F333" s="39">
        <f>D333*(($F$231)+1)+(IF(E333&lt;101,E333,IF(E333&lt;201,E333/2,IF(E333&lt;=301,E333/3,E333/4))))</f>
        <v>1361.5921799999999</v>
      </c>
      <c r="G333" s="206"/>
      <c r="H333" s="207"/>
      <c r="I333" s="33"/>
    </row>
    <row r="334" spans="1:10" s="34" customFormat="1" x14ac:dyDescent="0.25">
      <c r="A334" s="137" t="s">
        <v>289</v>
      </c>
      <c r="B334" s="138"/>
      <c r="C334" s="138"/>
      <c r="D334" s="138"/>
      <c r="E334" s="138"/>
      <c r="F334" s="138"/>
      <c r="G334" s="138"/>
      <c r="H334" s="139"/>
      <c r="J334" s="33"/>
    </row>
    <row r="335" spans="1:10" s="34" customFormat="1" ht="15.75" customHeight="1" x14ac:dyDescent="0.25">
      <c r="A335" s="137" t="s">
        <v>251</v>
      </c>
      <c r="B335" s="138"/>
      <c r="C335" s="138"/>
      <c r="D335" s="138"/>
      <c r="E335" s="138"/>
      <c r="F335" s="138"/>
      <c r="G335" s="138"/>
      <c r="H335" s="139"/>
      <c r="J335" s="33"/>
    </row>
    <row r="336" spans="1:10" s="34" customFormat="1" x14ac:dyDescent="0.25">
      <c r="A336" s="137" t="s">
        <v>215</v>
      </c>
      <c r="B336" s="138"/>
      <c r="C336" s="138"/>
      <c r="D336" s="138"/>
      <c r="E336" s="138"/>
      <c r="F336" s="138"/>
      <c r="G336" s="138"/>
      <c r="H336" s="139"/>
      <c r="J336" s="33"/>
    </row>
    <row r="337" spans="1:10" s="34" customFormat="1" x14ac:dyDescent="0.25">
      <c r="A337" s="137" t="s">
        <v>233</v>
      </c>
      <c r="B337" s="138"/>
      <c r="C337" s="138"/>
      <c r="D337" s="138"/>
      <c r="E337" s="138"/>
      <c r="F337" s="138"/>
      <c r="G337" s="138"/>
      <c r="H337" s="139"/>
      <c r="J337" s="33"/>
    </row>
    <row r="338" spans="1:10" s="34" customFormat="1" ht="15.75" customHeight="1" x14ac:dyDescent="0.25">
      <c r="A338" s="150">
        <v>1</v>
      </c>
      <c r="B338" s="152"/>
      <c r="C338" s="39" t="s">
        <v>234</v>
      </c>
      <c r="D338" s="46">
        <f>(79.11+5.22)*10.764</f>
        <v>907.72811999999988</v>
      </c>
      <c r="E338" s="39">
        <v>0</v>
      </c>
      <c r="F338" s="39">
        <f>D338*(($F$231)+1)+(IF(E338&lt;101,E338,IF(E338&lt;201,E338/2,IF(E338&lt;=301,E338/3,E338/4))))</f>
        <v>1361.5921799999999</v>
      </c>
      <c r="G338" s="202" t="s">
        <v>233</v>
      </c>
      <c r="H338" s="203"/>
      <c r="I338" s="33">
        <f>5.49*3.25+2.44*0.6+3.5*2.83+3.95*3.05+1.48*0.9+2.9*3.65+1.32*0.9+2.27*1.22+1.22*2.13+0.9*3.73+2.13*2.75+2.5*1.05+2.27*1.37</f>
        <v>74.681399999999996</v>
      </c>
      <c r="J338" s="46">
        <v>10.763999999999999</v>
      </c>
    </row>
    <row r="339" spans="1:10" s="34" customFormat="1" ht="15.75" customHeight="1" x14ac:dyDescent="0.25">
      <c r="A339" s="150">
        <v>2</v>
      </c>
      <c r="B339" s="152"/>
      <c r="C339" s="39" t="s">
        <v>234</v>
      </c>
      <c r="D339" s="46">
        <f>(79.11+5.22)*10.764</f>
        <v>907.72811999999988</v>
      </c>
      <c r="E339" s="39">
        <v>0</v>
      </c>
      <c r="F339" s="39">
        <f>D339*(($F$231)+1)+(IF(E339&lt;101,E339,IF(E339&lt;201,E339/2,IF(E339&lt;=301,E339/3,E339/4))))</f>
        <v>1361.5921799999999</v>
      </c>
      <c r="G339" s="206"/>
      <c r="H339" s="207"/>
      <c r="I339" s="33"/>
    </row>
    <row r="340" spans="1:10" s="34" customFormat="1" x14ac:dyDescent="0.25">
      <c r="A340" s="137" t="s">
        <v>217</v>
      </c>
      <c r="B340" s="138"/>
      <c r="C340" s="138"/>
      <c r="D340" s="138"/>
      <c r="E340" s="138"/>
      <c r="F340" s="138"/>
      <c r="G340" s="138"/>
      <c r="H340" s="139"/>
      <c r="I340" s="33"/>
    </row>
    <row r="341" spans="1:10" s="34" customFormat="1" ht="15.75" customHeight="1" x14ac:dyDescent="0.25">
      <c r="A341" s="150">
        <v>1</v>
      </c>
      <c r="B341" s="152"/>
      <c r="C341" s="39" t="s">
        <v>234</v>
      </c>
      <c r="D341" s="46">
        <f t="shared" ref="D341:D344" si="22">(79.11+5.22)*10.764</f>
        <v>907.72811999999988</v>
      </c>
      <c r="E341" s="39">
        <v>0</v>
      </c>
      <c r="F341" s="39">
        <f>D341*(($F$231)+1)+(IF(E341&lt;101,E341,IF(E341&lt;201,E341/2,IF(E341&lt;=301,E341/3,E341/4))))</f>
        <v>1361.5921799999999</v>
      </c>
      <c r="G341" s="202" t="str">
        <f>A340</f>
        <v>2nd &amp; 3rd Floor For Parking &amp; Residential</v>
      </c>
      <c r="H341" s="203"/>
      <c r="I341" s="33"/>
    </row>
    <row r="342" spans="1:10" s="34" customFormat="1" ht="15.75" customHeight="1" x14ac:dyDescent="0.25">
      <c r="A342" s="150">
        <v>2</v>
      </c>
      <c r="B342" s="152"/>
      <c r="C342" s="39" t="s">
        <v>234</v>
      </c>
      <c r="D342" s="46">
        <f t="shared" si="22"/>
        <v>907.72811999999988</v>
      </c>
      <c r="E342" s="39">
        <v>0</v>
      </c>
      <c r="F342" s="39">
        <f>D342*(($F$231)+1)+(IF(E342&lt;101,E342,IF(E342&lt;201,E342/2,IF(E342&lt;=301,E342/3,E342/4))))</f>
        <v>1361.5921799999999</v>
      </c>
      <c r="G342" s="204"/>
      <c r="H342" s="205"/>
      <c r="I342" s="33"/>
    </row>
    <row r="343" spans="1:10" s="34" customFormat="1" ht="15.75" customHeight="1" x14ac:dyDescent="0.25">
      <c r="A343" s="150">
        <v>5</v>
      </c>
      <c r="B343" s="152"/>
      <c r="C343" s="39" t="s">
        <v>234</v>
      </c>
      <c r="D343" s="46">
        <f t="shared" si="22"/>
        <v>907.72811999999988</v>
      </c>
      <c r="E343" s="39">
        <v>0</v>
      </c>
      <c r="F343" s="39">
        <f>D343*(($F$231)+1)+(IF(E343&lt;101,E343,IF(E343&lt;201,E343/2,IF(E343&lt;=301,E343/3,E343/4))))</f>
        <v>1361.5921799999999</v>
      </c>
      <c r="G343" s="204"/>
      <c r="H343" s="205"/>
      <c r="I343" s="33"/>
    </row>
    <row r="344" spans="1:10" s="34" customFormat="1" ht="15.75" customHeight="1" x14ac:dyDescent="0.25">
      <c r="A344" s="150">
        <v>6</v>
      </c>
      <c r="B344" s="152"/>
      <c r="C344" s="39" t="s">
        <v>234</v>
      </c>
      <c r="D344" s="46">
        <f t="shared" si="22"/>
        <v>907.72811999999988</v>
      </c>
      <c r="E344" s="39">
        <v>0</v>
      </c>
      <c r="F344" s="39">
        <f>D344*(($F$231)+1)+(IF(E344&lt;101,E344,IF(E344&lt;201,E344/2,IF(E344&lt;=301,E344/3,E344/4))))</f>
        <v>1361.5921799999999</v>
      </c>
      <c r="G344" s="206"/>
      <c r="H344" s="207"/>
      <c r="I344" s="33"/>
    </row>
    <row r="345" spans="1:10" s="34" customFormat="1" x14ac:dyDescent="0.25">
      <c r="A345" s="137" t="s">
        <v>235</v>
      </c>
      <c r="B345" s="138"/>
      <c r="C345" s="138"/>
      <c r="D345" s="138"/>
      <c r="E345" s="138"/>
      <c r="F345" s="138"/>
      <c r="G345" s="138"/>
      <c r="H345" s="139"/>
      <c r="I345" s="33"/>
    </row>
    <row r="346" spans="1:10" s="34" customFormat="1" ht="15.75" customHeight="1" x14ac:dyDescent="0.25">
      <c r="A346" s="150">
        <v>1</v>
      </c>
      <c r="B346" s="152"/>
      <c r="C346" s="39" t="s">
        <v>234</v>
      </c>
      <c r="D346" s="46">
        <f t="shared" ref="D346:D351" si="23">(79.11+5.22)*10.764</f>
        <v>907.72811999999988</v>
      </c>
      <c r="E346" s="39">
        <v>0</v>
      </c>
      <c r="F346" s="39">
        <f t="shared" ref="F346:F351" si="24">D346*(($F$231)+1)+(IF(E346&lt;101,E346,IF(E346&lt;201,E346/2,IF(E346&lt;=301,E346/3,E346/4))))</f>
        <v>1361.5921799999999</v>
      </c>
      <c r="G346" s="202" t="str">
        <f>A345</f>
        <v>4th to 7th, 9th to 12th &amp; 14th to 17th &amp; 19th to 22nd Floor For Residential</v>
      </c>
      <c r="H346" s="203"/>
      <c r="I346" s="33"/>
    </row>
    <row r="347" spans="1:10" s="34" customFormat="1" ht="15.75" customHeight="1" x14ac:dyDescent="0.25">
      <c r="A347" s="150">
        <v>2</v>
      </c>
      <c r="B347" s="152"/>
      <c r="C347" s="39" t="s">
        <v>234</v>
      </c>
      <c r="D347" s="46">
        <f t="shared" si="23"/>
        <v>907.72811999999988</v>
      </c>
      <c r="E347" s="39">
        <v>0</v>
      </c>
      <c r="F347" s="39">
        <f t="shared" si="24"/>
        <v>1361.5921799999999</v>
      </c>
      <c r="G347" s="204"/>
      <c r="H347" s="205"/>
      <c r="I347" s="33"/>
    </row>
    <row r="348" spans="1:10" s="34" customFormat="1" ht="15.75" customHeight="1" x14ac:dyDescent="0.25">
      <c r="A348" s="150">
        <v>3</v>
      </c>
      <c r="B348" s="152"/>
      <c r="C348" s="39" t="s">
        <v>234</v>
      </c>
      <c r="D348" s="46">
        <f>(69.32+3.66)*10.764</f>
        <v>785.55671999999981</v>
      </c>
      <c r="E348" s="39">
        <v>0</v>
      </c>
      <c r="F348" s="39">
        <f t="shared" si="24"/>
        <v>1178.3350799999998</v>
      </c>
      <c r="G348" s="204"/>
      <c r="H348" s="205"/>
      <c r="I348" s="33"/>
    </row>
    <row r="349" spans="1:10" s="34" customFormat="1" ht="15.75" customHeight="1" x14ac:dyDescent="0.25">
      <c r="A349" s="150">
        <v>4</v>
      </c>
      <c r="B349" s="152"/>
      <c r="C349" s="39" t="s">
        <v>234</v>
      </c>
      <c r="D349" s="46">
        <f>(69.32+3.66)*10.764</f>
        <v>785.55671999999981</v>
      </c>
      <c r="E349" s="39">
        <v>0</v>
      </c>
      <c r="F349" s="39">
        <f t="shared" si="24"/>
        <v>1178.3350799999998</v>
      </c>
      <c r="G349" s="204"/>
      <c r="H349" s="205"/>
      <c r="I349" s="33"/>
    </row>
    <row r="350" spans="1:10" s="34" customFormat="1" ht="15.75" customHeight="1" x14ac:dyDescent="0.25">
      <c r="A350" s="150">
        <v>5</v>
      </c>
      <c r="B350" s="152"/>
      <c r="C350" s="39" t="s">
        <v>234</v>
      </c>
      <c r="D350" s="46">
        <f t="shared" si="23"/>
        <v>907.72811999999988</v>
      </c>
      <c r="E350" s="39">
        <v>0</v>
      </c>
      <c r="F350" s="39">
        <f t="shared" si="24"/>
        <v>1361.5921799999999</v>
      </c>
      <c r="G350" s="204"/>
      <c r="H350" s="205"/>
      <c r="I350" s="33"/>
    </row>
    <row r="351" spans="1:10" s="34" customFormat="1" ht="15.75" customHeight="1" x14ac:dyDescent="0.25">
      <c r="A351" s="150">
        <v>6</v>
      </c>
      <c r="B351" s="152"/>
      <c r="C351" s="39" t="s">
        <v>234</v>
      </c>
      <c r="D351" s="46">
        <f t="shared" si="23"/>
        <v>907.72811999999988</v>
      </c>
      <c r="E351" s="39">
        <v>0</v>
      </c>
      <c r="F351" s="39">
        <f t="shared" si="24"/>
        <v>1361.5921799999999</v>
      </c>
      <c r="G351" s="206"/>
      <c r="H351" s="207"/>
      <c r="I351" s="33"/>
    </row>
    <row r="352" spans="1:10" s="34" customFormat="1" x14ac:dyDescent="0.25">
      <c r="A352" s="137" t="s">
        <v>236</v>
      </c>
      <c r="B352" s="138"/>
      <c r="C352" s="138"/>
      <c r="D352" s="138"/>
      <c r="E352" s="138"/>
      <c r="F352" s="138"/>
      <c r="G352" s="138"/>
      <c r="H352" s="139"/>
      <c r="I352" s="33"/>
    </row>
    <row r="353" spans="1:10" s="34" customFormat="1" ht="15.75" customHeight="1" x14ac:dyDescent="0.25">
      <c r="A353" s="150">
        <v>1</v>
      </c>
      <c r="B353" s="152"/>
      <c r="C353" s="39" t="s">
        <v>234</v>
      </c>
      <c r="D353" s="46">
        <f t="shared" ref="D353:D358" si="25">(79.11+5.22)*10.764</f>
        <v>907.72811999999988</v>
      </c>
      <c r="E353" s="39">
        <v>0</v>
      </c>
      <c r="F353" s="39">
        <f>D353*(($F$231)+1)+(IF(E353&lt;101,E353,IF(E353&lt;201,E353/2,IF(E353&lt;=301,E353/3,E353/4))))</f>
        <v>1361.5921799999999</v>
      </c>
      <c r="G353" s="202" t="str">
        <f>A352</f>
        <v>8th, 13th &amp; 18th Floor (Part Refuge Area)</v>
      </c>
      <c r="H353" s="203"/>
      <c r="I353" s="33"/>
    </row>
    <row r="354" spans="1:10" s="34" customFormat="1" ht="15.75" customHeight="1" x14ac:dyDescent="0.25">
      <c r="A354" s="150">
        <v>2</v>
      </c>
      <c r="B354" s="152"/>
      <c r="C354" s="39" t="s">
        <v>234</v>
      </c>
      <c r="D354" s="46">
        <f t="shared" si="25"/>
        <v>907.72811999999988</v>
      </c>
      <c r="E354" s="39">
        <v>0</v>
      </c>
      <c r="F354" s="39">
        <f>D354*(($F$231)+1)+(IF(E354&lt;101,E354,IF(E354&lt;201,E354/2,IF(E354&lt;=301,E354/3,E354/4))))</f>
        <v>1361.5921799999999</v>
      </c>
      <c r="G354" s="204"/>
      <c r="H354" s="205"/>
      <c r="I354" s="33"/>
    </row>
    <row r="355" spans="1:10" s="34" customFormat="1" ht="15.75" customHeight="1" x14ac:dyDescent="0.25">
      <c r="A355" s="150">
        <v>3</v>
      </c>
      <c r="B355" s="152"/>
      <c r="C355" s="150" t="s">
        <v>221</v>
      </c>
      <c r="D355" s="151"/>
      <c r="E355" s="151"/>
      <c r="F355" s="152"/>
      <c r="G355" s="204"/>
      <c r="H355" s="205"/>
      <c r="I355" s="33"/>
    </row>
    <row r="356" spans="1:10" s="34" customFormat="1" ht="15.75" customHeight="1" x14ac:dyDescent="0.25">
      <c r="A356" s="150">
        <v>4</v>
      </c>
      <c r="B356" s="152"/>
      <c r="C356" s="39" t="s">
        <v>234</v>
      </c>
      <c r="D356" s="46">
        <f>(69.32+3.66)*10.764</f>
        <v>785.55671999999981</v>
      </c>
      <c r="E356" s="39">
        <v>0</v>
      </c>
      <c r="F356" s="39">
        <f>D356*(($F$231)+1)+(IF(E356&lt;101,E356,IF(E356&lt;201,E356/2,IF(E356&lt;=301,E356/3,E356/4))))</f>
        <v>1178.3350799999998</v>
      </c>
      <c r="G356" s="204"/>
      <c r="H356" s="205"/>
      <c r="I356" s="33"/>
    </row>
    <row r="357" spans="1:10" s="34" customFormat="1" ht="15.75" customHeight="1" x14ac:dyDescent="0.25">
      <c r="A357" s="150">
        <v>5</v>
      </c>
      <c r="B357" s="152"/>
      <c r="C357" s="39" t="s">
        <v>234</v>
      </c>
      <c r="D357" s="46">
        <f t="shared" si="25"/>
        <v>907.72811999999988</v>
      </c>
      <c r="E357" s="39">
        <v>0</v>
      </c>
      <c r="F357" s="39">
        <f>D357*(($F$231)+1)+(IF(E357&lt;101,E357,IF(E357&lt;201,E357/2,IF(E357&lt;=301,E357/3,E357/4))))</f>
        <v>1361.5921799999999</v>
      </c>
      <c r="G357" s="204"/>
      <c r="H357" s="205"/>
      <c r="I357" s="33"/>
    </row>
    <row r="358" spans="1:10" s="34" customFormat="1" ht="15.75" customHeight="1" x14ac:dyDescent="0.25">
      <c r="A358" s="150">
        <v>6</v>
      </c>
      <c r="B358" s="152"/>
      <c r="C358" s="39" t="s">
        <v>234</v>
      </c>
      <c r="D358" s="46">
        <f t="shared" si="25"/>
        <v>907.72811999999988</v>
      </c>
      <c r="E358" s="39">
        <v>0</v>
      </c>
      <c r="F358" s="39">
        <f>D358*(($F$231)+1)+(IF(E358&lt;101,E358,IF(E358&lt;201,E358/2,IF(E358&lt;=301,E358/3,E358/4))))</f>
        <v>1361.5921799999999</v>
      </c>
      <c r="G358" s="206"/>
      <c r="H358" s="207"/>
      <c r="I358" s="33"/>
    </row>
    <row r="359" spans="1:10" s="34" customFormat="1" x14ac:dyDescent="0.25">
      <c r="A359" s="137" t="s">
        <v>211</v>
      </c>
      <c r="B359" s="138"/>
      <c r="C359" s="138"/>
      <c r="D359" s="138"/>
      <c r="E359" s="138"/>
      <c r="F359" s="138"/>
      <c r="G359" s="138"/>
      <c r="H359" s="139"/>
      <c r="J359" s="33"/>
    </row>
    <row r="360" spans="1:10" s="34" customFormat="1" x14ac:dyDescent="0.25">
      <c r="A360" s="208" t="s">
        <v>290</v>
      </c>
      <c r="B360" s="209"/>
      <c r="C360" s="209"/>
      <c r="D360" s="209"/>
      <c r="E360" s="209"/>
      <c r="F360" s="209"/>
      <c r="G360" s="209"/>
      <c r="H360" s="210"/>
      <c r="J360" s="33"/>
    </row>
    <row r="361" spans="1:10" s="34" customFormat="1" ht="15.75" customHeight="1" x14ac:dyDescent="0.25">
      <c r="A361" s="208" t="s">
        <v>252</v>
      </c>
      <c r="B361" s="209"/>
      <c r="C361" s="209"/>
      <c r="D361" s="209"/>
      <c r="E361" s="209"/>
      <c r="F361" s="209"/>
      <c r="G361" s="209"/>
      <c r="H361" s="210"/>
      <c r="J361" s="33"/>
    </row>
    <row r="362" spans="1:10" s="34" customFormat="1" x14ac:dyDescent="0.25">
      <c r="A362" s="137" t="s">
        <v>269</v>
      </c>
      <c r="B362" s="138"/>
      <c r="C362" s="138"/>
      <c r="D362" s="138"/>
      <c r="E362" s="138"/>
      <c r="F362" s="138"/>
      <c r="G362" s="138"/>
      <c r="H362" s="139"/>
      <c r="J362" s="33"/>
    </row>
    <row r="363" spans="1:10" s="34" customFormat="1" x14ac:dyDescent="0.25">
      <c r="A363" s="137" t="s">
        <v>273</v>
      </c>
      <c r="B363" s="138"/>
      <c r="C363" s="138"/>
      <c r="D363" s="138"/>
      <c r="E363" s="138"/>
      <c r="F363" s="138"/>
      <c r="G363" s="138"/>
      <c r="H363" s="139"/>
      <c r="I363" s="33"/>
    </row>
    <row r="364" spans="1:10" s="34" customFormat="1" ht="15.75" customHeight="1" x14ac:dyDescent="0.25">
      <c r="A364" s="150">
        <v>1</v>
      </c>
      <c r="B364" s="152"/>
      <c r="C364" s="39" t="s">
        <v>234</v>
      </c>
      <c r="D364" s="46">
        <f>(95.86+6.59)*10.764</f>
        <v>1102.7718</v>
      </c>
      <c r="E364" s="39">
        <v>0</v>
      </c>
      <c r="F364" s="39">
        <f>D364*(($F$231)+1)+(IF(E364&lt;101,E364,IF(E364&lt;201,E364/2,IF(E364&lt;=301,E364/3,E364/4))))</f>
        <v>1654.1577</v>
      </c>
      <c r="G364" s="202" t="s">
        <v>235</v>
      </c>
      <c r="H364" s="203"/>
      <c r="I364" s="47">
        <f>1.05*2.68+3.67*5.83+3.24*2.45+3.65*0.62+3.05*3.58+3.35*4.26+0.9*1.67+3.97*3.19+1.62*0.91+2.28*1.37+1.52*2.44+1.82*2.73+0.9*3.2+0.97*2.45+3.67*1.45</f>
        <v>97.621599999999987</v>
      </c>
      <c r="J364" s="47">
        <f>1.45*3.67+0.97*2.45</f>
        <v>7.6979999999999995</v>
      </c>
    </row>
    <row r="365" spans="1:10" s="34" customFormat="1" ht="15.75" customHeight="1" x14ac:dyDescent="0.25">
      <c r="A365" s="150">
        <v>2</v>
      </c>
      <c r="B365" s="152"/>
      <c r="C365" s="39" t="s">
        <v>234</v>
      </c>
      <c r="D365" s="46">
        <f>(95.86+6.59)*10.764</f>
        <v>1102.7718</v>
      </c>
      <c r="E365" s="39">
        <v>0</v>
      </c>
      <c r="F365" s="39">
        <f>D365*(($F$231)+1)+(IF(E365&lt;101,E365,IF(E365&lt;201,E365/2,IF(E365&lt;=301,E365/3,E365/4))))</f>
        <v>1654.1577</v>
      </c>
      <c r="G365" s="204"/>
      <c r="H365" s="205"/>
      <c r="I365" s="33"/>
    </row>
    <row r="366" spans="1:10" s="34" customFormat="1" ht="15.75" customHeight="1" x14ac:dyDescent="0.25">
      <c r="A366" s="150">
        <v>3</v>
      </c>
      <c r="B366" s="152"/>
      <c r="C366" s="202" t="s">
        <v>274</v>
      </c>
      <c r="D366" s="220"/>
      <c r="E366" s="220"/>
      <c r="F366" s="203"/>
      <c r="G366" s="204"/>
      <c r="H366" s="205"/>
      <c r="I366" s="33"/>
    </row>
    <row r="367" spans="1:10" s="34" customFormat="1" ht="15.75" customHeight="1" x14ac:dyDescent="0.25">
      <c r="A367" s="150">
        <v>4</v>
      </c>
      <c r="B367" s="152"/>
      <c r="C367" s="206"/>
      <c r="D367" s="221"/>
      <c r="E367" s="221"/>
      <c r="F367" s="207"/>
      <c r="G367" s="204"/>
      <c r="H367" s="205"/>
      <c r="I367" s="33"/>
    </row>
    <row r="368" spans="1:10" s="34" customFormat="1" ht="15.75" customHeight="1" x14ac:dyDescent="0.25">
      <c r="A368" s="150">
        <v>5</v>
      </c>
      <c r="B368" s="152"/>
      <c r="C368" s="202" t="s">
        <v>275</v>
      </c>
      <c r="D368" s="220">
        <f>(69.32+3.66)*10.764</f>
        <v>785.55671999999981</v>
      </c>
      <c r="E368" s="220">
        <v>0</v>
      </c>
      <c r="F368" s="203">
        <f>D368*(($F$231)+1)+(IF(E368&lt;101,E368,IF(E368&lt;201,E368/2,IF(E368&lt;=301,E368/3,E368/4))))</f>
        <v>1178.3350799999998</v>
      </c>
      <c r="G368" s="204"/>
      <c r="H368" s="205"/>
      <c r="I368" s="33"/>
    </row>
    <row r="369" spans="1:10" s="34" customFormat="1" ht="15.75" customHeight="1" x14ac:dyDescent="0.25">
      <c r="A369" s="150">
        <v>6</v>
      </c>
      <c r="B369" s="152"/>
      <c r="C369" s="206" t="s">
        <v>234</v>
      </c>
      <c r="D369" s="221">
        <f>(69.32+3.66)*10.764</f>
        <v>785.55671999999981</v>
      </c>
      <c r="E369" s="221">
        <v>0</v>
      </c>
      <c r="F369" s="207">
        <f>D369*(($F$231)+1)+(IF(E369&lt;101,E369,IF(E369&lt;201,E369/2,IF(E369&lt;=301,E369/3,E369/4))))</f>
        <v>1178.3350799999998</v>
      </c>
      <c r="G369" s="206"/>
      <c r="H369" s="207"/>
      <c r="I369" s="33"/>
    </row>
    <row r="370" spans="1:10" s="34" customFormat="1" x14ac:dyDescent="0.25">
      <c r="A370" s="137" t="s">
        <v>276</v>
      </c>
      <c r="B370" s="138"/>
      <c r="C370" s="138"/>
      <c r="D370" s="138"/>
      <c r="E370" s="138"/>
      <c r="F370" s="138"/>
      <c r="G370" s="138"/>
      <c r="H370" s="139"/>
      <c r="I370" s="33"/>
    </row>
    <row r="371" spans="1:10" s="34" customFormat="1" ht="15.75" customHeight="1" x14ac:dyDescent="0.25">
      <c r="A371" s="150">
        <v>1</v>
      </c>
      <c r="B371" s="152"/>
      <c r="C371" s="39" t="s">
        <v>234</v>
      </c>
      <c r="D371" s="46">
        <f t="shared" ref="D371:D374" si="26">(95.86+6.59)*10.764</f>
        <v>1102.7718</v>
      </c>
      <c r="E371" s="39">
        <v>0</v>
      </c>
      <c r="F371" s="39">
        <f t="shared" ref="F371:F376" si="27">D371*(($F$231)+1)+(IF(E371&lt;101,E371,IF(E371&lt;201,E371/2,IF(E371&lt;=301,E371/3,E371/4))))</f>
        <v>1654.1577</v>
      </c>
      <c r="G371" s="202" t="s">
        <v>235</v>
      </c>
      <c r="H371" s="203"/>
      <c r="I371" s="47">
        <f>1.05*2.68+3.67*5.83+3.24*2.45+3.65*0.62+3.05*3.58+3.35*4.26+0.9*1.67+3.97*3.19+1.62*0.91+2.28*1.37+1.52*2.44+1.82*2.73+0.9*3.2+0.97*2.45+3.67*1.45</f>
        <v>97.621599999999987</v>
      </c>
      <c r="J371" s="34">
        <f>1.45*3.67</f>
        <v>5.3214999999999995</v>
      </c>
    </row>
    <row r="372" spans="1:10" s="34" customFormat="1" ht="15.75" customHeight="1" x14ac:dyDescent="0.25">
      <c r="A372" s="150">
        <v>2</v>
      </c>
      <c r="B372" s="152"/>
      <c r="C372" s="39" t="s">
        <v>234</v>
      </c>
      <c r="D372" s="46">
        <f t="shared" si="26"/>
        <v>1102.7718</v>
      </c>
      <c r="E372" s="39">
        <v>0</v>
      </c>
      <c r="F372" s="39">
        <f t="shared" si="27"/>
        <v>1654.1577</v>
      </c>
      <c r="G372" s="204"/>
      <c r="H372" s="205"/>
      <c r="I372" s="33"/>
    </row>
    <row r="373" spans="1:10" s="34" customFormat="1" ht="15.75" customHeight="1" x14ac:dyDescent="0.25">
      <c r="A373" s="150">
        <v>3</v>
      </c>
      <c r="B373" s="152"/>
      <c r="C373" s="39" t="s">
        <v>234</v>
      </c>
      <c r="D373" s="46">
        <f t="shared" si="26"/>
        <v>1102.7718</v>
      </c>
      <c r="E373" s="39">
        <v>0</v>
      </c>
      <c r="F373" s="39">
        <f t="shared" si="27"/>
        <v>1654.1577</v>
      </c>
      <c r="G373" s="204"/>
      <c r="H373" s="205"/>
      <c r="I373" s="33"/>
    </row>
    <row r="374" spans="1:10" s="34" customFormat="1" ht="15.75" customHeight="1" x14ac:dyDescent="0.25">
      <c r="A374" s="150">
        <v>4</v>
      </c>
      <c r="B374" s="152"/>
      <c r="C374" s="39" t="s">
        <v>234</v>
      </c>
      <c r="D374" s="46">
        <f t="shared" si="26"/>
        <v>1102.7718</v>
      </c>
      <c r="E374" s="39">
        <v>0</v>
      </c>
      <c r="F374" s="39">
        <f t="shared" si="27"/>
        <v>1654.1577</v>
      </c>
      <c r="G374" s="204"/>
      <c r="H374" s="205"/>
      <c r="I374" s="33"/>
    </row>
    <row r="375" spans="1:10" s="34" customFormat="1" ht="15.75" customHeight="1" x14ac:dyDescent="0.25">
      <c r="A375" s="150">
        <v>5</v>
      </c>
      <c r="B375" s="152"/>
      <c r="C375" s="202" t="s">
        <v>275</v>
      </c>
      <c r="D375" s="220">
        <f>(69.32+3.66)*10.764</f>
        <v>785.55671999999981</v>
      </c>
      <c r="E375" s="220">
        <v>0</v>
      </c>
      <c r="F375" s="203">
        <f t="shared" si="27"/>
        <v>1178.3350799999998</v>
      </c>
      <c r="G375" s="204"/>
      <c r="H375" s="205"/>
      <c r="I375" s="33"/>
    </row>
    <row r="376" spans="1:10" s="34" customFormat="1" ht="15.75" customHeight="1" x14ac:dyDescent="0.25">
      <c r="A376" s="150">
        <v>6</v>
      </c>
      <c r="B376" s="152"/>
      <c r="C376" s="206" t="s">
        <v>234</v>
      </c>
      <c r="D376" s="221">
        <f>(69.32+3.66)*10.764</f>
        <v>785.55671999999981</v>
      </c>
      <c r="E376" s="221">
        <v>0</v>
      </c>
      <c r="F376" s="207">
        <f t="shared" si="27"/>
        <v>1178.3350799999998</v>
      </c>
      <c r="G376" s="206"/>
      <c r="H376" s="207"/>
      <c r="I376" s="33"/>
    </row>
    <row r="377" spans="1:10" s="57" customFormat="1" hidden="1" x14ac:dyDescent="0.25">
      <c r="A377" s="211" t="s">
        <v>237</v>
      </c>
      <c r="B377" s="212"/>
      <c r="C377" s="212"/>
      <c r="D377" s="212"/>
      <c r="E377" s="212"/>
      <c r="F377" s="212"/>
      <c r="G377" s="212"/>
      <c r="H377" s="213"/>
      <c r="J377" s="58"/>
    </row>
    <row r="378" spans="1:10" s="57" customFormat="1" ht="15.75" hidden="1" customHeight="1" x14ac:dyDescent="0.25">
      <c r="A378" s="214">
        <v>3</v>
      </c>
      <c r="B378" s="215"/>
      <c r="C378" s="59" t="s">
        <v>234</v>
      </c>
      <c r="D378" s="60">
        <f>(79.11+5.22)*10.764</f>
        <v>907.72811999999988</v>
      </c>
      <c r="E378" s="59">
        <v>0</v>
      </c>
      <c r="F378" s="59">
        <f>D378*(($F$231)+1)+(IF(E378&lt;101,E378,IF(E378&lt;201,E378/2,IF(E378&lt;=301,E378/3,E378/4))))</f>
        <v>1361.5921799999999</v>
      </c>
      <c r="G378" s="216" t="s">
        <v>237</v>
      </c>
      <c r="H378" s="217"/>
      <c r="I378" s="58">
        <f>5.49*3.25+2.44*0.6+3.5*2.83+3.95*3.05+1.48*0.9+2.9*3.65+1.32*0.9+2.27*1.22+1.22*2.13+0.9*3.73+2.13*2.75+2.5*1.05+2.27*1.37</f>
        <v>74.681399999999996</v>
      </c>
      <c r="J378" s="60">
        <v>10.763999999999999</v>
      </c>
    </row>
    <row r="379" spans="1:10" s="57" customFormat="1" ht="15.75" hidden="1" customHeight="1" x14ac:dyDescent="0.25">
      <c r="A379" s="214">
        <v>4</v>
      </c>
      <c r="B379" s="215"/>
      <c r="C379" s="59" t="s">
        <v>234</v>
      </c>
      <c r="D379" s="60">
        <f>(79.11+5.22)*10.764</f>
        <v>907.72811999999988</v>
      </c>
      <c r="E379" s="59">
        <v>0</v>
      </c>
      <c r="F379" s="59">
        <f>D379*(($F$231)+1)+(IF(E379&lt;101,E379,IF(E379&lt;201,E379/2,IF(E379&lt;=301,E379/3,E379/4))))</f>
        <v>1361.5921799999999</v>
      </c>
      <c r="G379" s="218"/>
      <c r="H379" s="219"/>
      <c r="I379" s="58"/>
    </row>
    <row r="380" spans="1:10" s="34" customFormat="1" x14ac:dyDescent="0.25">
      <c r="A380" s="137" t="s">
        <v>277</v>
      </c>
      <c r="B380" s="138"/>
      <c r="C380" s="138"/>
      <c r="D380" s="138"/>
      <c r="E380" s="138"/>
      <c r="F380" s="138"/>
      <c r="G380" s="138"/>
      <c r="H380" s="139"/>
      <c r="I380" s="33"/>
    </row>
    <row r="381" spans="1:10" s="34" customFormat="1" ht="15.75" customHeight="1" x14ac:dyDescent="0.25">
      <c r="A381" s="150">
        <v>1</v>
      </c>
      <c r="B381" s="152"/>
      <c r="C381" s="39" t="s">
        <v>234</v>
      </c>
      <c r="D381" s="46">
        <f t="shared" ref="D381:D384" si="28">(95.86+6.59)*10.764</f>
        <v>1102.7718</v>
      </c>
      <c r="E381" s="39">
        <v>0</v>
      </c>
      <c r="F381" s="39">
        <f t="shared" ref="F381:F386" si="29">D381*(($F$231)+1)+(IF(E381&lt;101,E381,IF(E381&lt;201,E381/2,IF(E381&lt;=301,E381/3,E381/4))))</f>
        <v>1654.1577</v>
      </c>
      <c r="G381" s="202" t="s">
        <v>235</v>
      </c>
      <c r="H381" s="203"/>
      <c r="I381" s="33"/>
    </row>
    <row r="382" spans="1:10" s="34" customFormat="1" ht="15.75" customHeight="1" x14ac:dyDescent="0.25">
      <c r="A382" s="150">
        <v>2</v>
      </c>
      <c r="B382" s="152"/>
      <c r="C382" s="39" t="s">
        <v>234</v>
      </c>
      <c r="D382" s="46">
        <f t="shared" si="28"/>
        <v>1102.7718</v>
      </c>
      <c r="E382" s="39">
        <v>0</v>
      </c>
      <c r="F382" s="39">
        <f t="shared" si="29"/>
        <v>1654.1577</v>
      </c>
      <c r="G382" s="204"/>
      <c r="H382" s="205"/>
      <c r="I382" s="33"/>
    </row>
    <row r="383" spans="1:10" s="34" customFormat="1" ht="15.75" customHeight="1" x14ac:dyDescent="0.25">
      <c r="A383" s="150">
        <v>3</v>
      </c>
      <c r="B383" s="152"/>
      <c r="C383" s="39" t="s">
        <v>234</v>
      </c>
      <c r="D383" s="46">
        <f t="shared" si="28"/>
        <v>1102.7718</v>
      </c>
      <c r="E383" s="39">
        <v>0</v>
      </c>
      <c r="F383" s="39">
        <f t="shared" si="29"/>
        <v>1654.1577</v>
      </c>
      <c r="G383" s="204"/>
      <c r="H383" s="205"/>
      <c r="I383" s="33"/>
    </row>
    <row r="384" spans="1:10" s="34" customFormat="1" ht="15.75" customHeight="1" x14ac:dyDescent="0.25">
      <c r="A384" s="150">
        <v>4</v>
      </c>
      <c r="B384" s="152"/>
      <c r="C384" s="39" t="s">
        <v>234</v>
      </c>
      <c r="D384" s="46">
        <f t="shared" si="28"/>
        <v>1102.7718</v>
      </c>
      <c r="E384" s="39">
        <v>0</v>
      </c>
      <c r="F384" s="39">
        <f t="shared" si="29"/>
        <v>1654.1577</v>
      </c>
      <c r="G384" s="204"/>
      <c r="H384" s="205"/>
      <c r="I384" s="33"/>
    </row>
    <row r="385" spans="1:9" s="34" customFormat="1" ht="15.75" customHeight="1" x14ac:dyDescent="0.25">
      <c r="A385" s="150">
        <v>5</v>
      </c>
      <c r="B385" s="152"/>
      <c r="C385" s="39" t="s">
        <v>234</v>
      </c>
      <c r="D385" s="46">
        <f>(76.81+4.48)*10.764</f>
        <v>875.00556000000006</v>
      </c>
      <c r="E385" s="39">
        <v>0</v>
      </c>
      <c r="F385" s="39">
        <f t="shared" si="29"/>
        <v>1312.5083400000001</v>
      </c>
      <c r="G385" s="204"/>
      <c r="H385" s="205"/>
      <c r="I385" s="47">
        <f>1.13*3.12+0.84*2.12</f>
        <v>5.3064</v>
      </c>
    </row>
    <row r="386" spans="1:9" s="34" customFormat="1" ht="15.75" customHeight="1" x14ac:dyDescent="0.25">
      <c r="A386" s="150">
        <v>6</v>
      </c>
      <c r="B386" s="152"/>
      <c r="C386" s="39" t="s">
        <v>234</v>
      </c>
      <c r="D386" s="46">
        <f>(76.81+4.48)*10.764</f>
        <v>875.00556000000006</v>
      </c>
      <c r="E386" s="39">
        <v>0</v>
      </c>
      <c r="F386" s="39">
        <f t="shared" si="29"/>
        <v>1312.5083400000001</v>
      </c>
      <c r="G386" s="206"/>
      <c r="H386" s="207"/>
      <c r="I386" s="33"/>
    </row>
    <row r="387" spans="1:9" s="34" customFormat="1" x14ac:dyDescent="0.25">
      <c r="A387" s="137" t="s">
        <v>236</v>
      </c>
      <c r="B387" s="138"/>
      <c r="C387" s="138"/>
      <c r="D387" s="138"/>
      <c r="E387" s="138"/>
      <c r="F387" s="138"/>
      <c r="G387" s="138"/>
      <c r="H387" s="139"/>
      <c r="I387" s="33"/>
    </row>
    <row r="388" spans="1:9" s="34" customFormat="1" ht="15.75" customHeight="1" x14ac:dyDescent="0.25">
      <c r="A388" s="150">
        <v>1</v>
      </c>
      <c r="B388" s="152"/>
      <c r="C388" s="39" t="s">
        <v>234</v>
      </c>
      <c r="D388" s="46">
        <f t="shared" ref="D388:D391" si="30">(95.86+6.59)*10.764</f>
        <v>1102.7718</v>
      </c>
      <c r="E388" s="39">
        <v>0</v>
      </c>
      <c r="F388" s="39">
        <f>D388*(($F$231)+1)+(IF(E388&lt;101,E388,IF(E388&lt;201,E388/2,IF(E388&lt;=301,E388/3,E388/4))))</f>
        <v>1654.1577</v>
      </c>
      <c r="G388" s="202" t="s">
        <v>235</v>
      </c>
      <c r="H388" s="203"/>
      <c r="I388" s="33"/>
    </row>
    <row r="389" spans="1:9" s="34" customFormat="1" ht="15.75" customHeight="1" x14ac:dyDescent="0.25">
      <c r="A389" s="150">
        <v>2</v>
      </c>
      <c r="B389" s="152"/>
      <c r="C389" s="39" t="s">
        <v>234</v>
      </c>
      <c r="D389" s="46">
        <f t="shared" si="30"/>
        <v>1102.7718</v>
      </c>
      <c r="E389" s="39">
        <v>0</v>
      </c>
      <c r="F389" s="39">
        <f>D389*(($F$231)+1)+(IF(E389&lt;101,E389,IF(E389&lt;201,E389/2,IF(E389&lt;=301,E389/3,E389/4))))</f>
        <v>1654.1577</v>
      </c>
      <c r="G389" s="204"/>
      <c r="H389" s="205"/>
      <c r="I389" s="33"/>
    </row>
    <row r="390" spans="1:9" s="34" customFormat="1" ht="15.75" customHeight="1" x14ac:dyDescent="0.25">
      <c r="A390" s="150">
        <v>3</v>
      </c>
      <c r="B390" s="152"/>
      <c r="C390" s="39" t="s">
        <v>234</v>
      </c>
      <c r="D390" s="46">
        <f t="shared" si="30"/>
        <v>1102.7718</v>
      </c>
      <c r="E390" s="39">
        <v>0</v>
      </c>
      <c r="F390" s="39">
        <f>D390*(($F$231)+1)+(IF(E390&lt;101,E390,IF(E390&lt;201,E390/2,IF(E390&lt;=301,E390/3,E390/4))))</f>
        <v>1654.1577</v>
      </c>
      <c r="G390" s="204"/>
      <c r="H390" s="205"/>
      <c r="I390" s="33"/>
    </row>
    <row r="391" spans="1:9" s="34" customFormat="1" ht="15.75" customHeight="1" x14ac:dyDescent="0.25">
      <c r="A391" s="150">
        <v>4</v>
      </c>
      <c r="B391" s="152"/>
      <c r="C391" s="39" t="s">
        <v>234</v>
      </c>
      <c r="D391" s="46">
        <f t="shared" si="30"/>
        <v>1102.7718</v>
      </c>
      <c r="E391" s="39">
        <v>0</v>
      </c>
      <c r="F391" s="39">
        <f>D391*(($F$231)+1)+(IF(E391&lt;101,E391,IF(E391&lt;201,E391/2,IF(E391&lt;=301,E391/3,E391/4))))</f>
        <v>1654.1577</v>
      </c>
      <c r="G391" s="204"/>
      <c r="H391" s="205"/>
      <c r="I391" s="33"/>
    </row>
    <row r="392" spans="1:9" s="34" customFormat="1" ht="15.75" customHeight="1" x14ac:dyDescent="0.25">
      <c r="A392" s="150">
        <v>5</v>
      </c>
      <c r="B392" s="152"/>
      <c r="C392" s="150" t="s">
        <v>221</v>
      </c>
      <c r="D392" s="151"/>
      <c r="E392" s="151"/>
      <c r="F392" s="152"/>
      <c r="G392" s="204"/>
      <c r="H392" s="205"/>
      <c r="I392" s="33"/>
    </row>
    <row r="393" spans="1:9" s="34" customFormat="1" ht="15.75" customHeight="1" x14ac:dyDescent="0.25">
      <c r="A393" s="150">
        <v>6</v>
      </c>
      <c r="B393" s="152"/>
      <c r="C393" s="39" t="s">
        <v>234</v>
      </c>
      <c r="D393" s="46">
        <f>(76.81+4.48)*10.764</f>
        <v>875.00556000000006</v>
      </c>
      <c r="E393" s="39">
        <v>0</v>
      </c>
      <c r="F393" s="39">
        <f>D393*(($F$231)+1)+(IF(E393&lt;101,E393,IF(E393&lt;201,E393/2,IF(E393&lt;=301,E393/3,E393/4))))</f>
        <v>1312.5083400000001</v>
      </c>
      <c r="G393" s="206"/>
      <c r="H393" s="207"/>
      <c r="I393" s="33"/>
    </row>
    <row r="394" spans="1:9" s="34" customFormat="1" hidden="1" x14ac:dyDescent="0.25">
      <c r="A394" s="211" t="s">
        <v>236</v>
      </c>
      <c r="B394" s="212"/>
      <c r="C394" s="212"/>
      <c r="D394" s="212"/>
      <c r="E394" s="212"/>
      <c r="F394" s="212"/>
      <c r="G394" s="212"/>
      <c r="H394" s="213"/>
      <c r="I394" s="33"/>
    </row>
    <row r="395" spans="1:9" s="34" customFormat="1" ht="15.75" hidden="1" customHeight="1" x14ac:dyDescent="0.25">
      <c r="A395" s="214">
        <v>1</v>
      </c>
      <c r="B395" s="215"/>
      <c r="C395" s="59" t="s">
        <v>234</v>
      </c>
      <c r="D395" s="60">
        <f>(69.32+3.66)*10.764</f>
        <v>785.55671999999981</v>
      </c>
      <c r="E395" s="59">
        <v>0</v>
      </c>
      <c r="F395" s="59">
        <f>D395*(($F$231)+1)+(IF(E395&lt;101,E395,IF(E395&lt;201,E395/2,IF(E395&lt;=301,E395/3,E395/4))))</f>
        <v>1178.3350799999998</v>
      </c>
      <c r="G395" s="216" t="str">
        <f>A394</f>
        <v>8th, 13th &amp; 18th Floor (Part Refuge Area)</v>
      </c>
      <c r="H395" s="217"/>
      <c r="I395" s="33"/>
    </row>
    <row r="396" spans="1:9" s="34" customFormat="1" ht="15.75" hidden="1" customHeight="1" x14ac:dyDescent="0.25">
      <c r="A396" s="214">
        <v>2</v>
      </c>
      <c r="B396" s="215"/>
      <c r="C396" s="59" t="s">
        <v>234</v>
      </c>
      <c r="D396" s="60">
        <f>(69.32+3.66)*10.764</f>
        <v>785.55671999999981</v>
      </c>
      <c r="E396" s="59">
        <v>0</v>
      </c>
      <c r="F396" s="59">
        <f>D396*(($F$231)+1)+(IF(E396&lt;101,E396,IF(E396&lt;201,E396/2,IF(E396&lt;=301,E396/3,E396/4))))</f>
        <v>1178.3350799999998</v>
      </c>
      <c r="G396" s="222"/>
      <c r="H396" s="223"/>
      <c r="I396" s="33"/>
    </row>
    <row r="397" spans="1:9" s="34" customFormat="1" ht="15.75" hidden="1" customHeight="1" x14ac:dyDescent="0.25">
      <c r="A397" s="214">
        <v>3</v>
      </c>
      <c r="B397" s="215"/>
      <c r="C397" s="59" t="s">
        <v>234</v>
      </c>
      <c r="D397" s="60">
        <f>(79.11+5.22)*10.764</f>
        <v>907.72811999999988</v>
      </c>
      <c r="E397" s="59">
        <v>0</v>
      </c>
      <c r="F397" s="59">
        <f>D397*(($F$231)+1)+(IF(E397&lt;101,E397,IF(E397&lt;201,E397/2,IF(E397&lt;=301,E397/3,E397/4))))</f>
        <v>1361.5921799999999</v>
      </c>
      <c r="G397" s="222"/>
      <c r="H397" s="223"/>
      <c r="I397" s="33"/>
    </row>
    <row r="398" spans="1:9" s="34" customFormat="1" ht="15.75" hidden="1" customHeight="1" x14ac:dyDescent="0.25">
      <c r="A398" s="214">
        <v>4</v>
      </c>
      <c r="B398" s="215"/>
      <c r="C398" s="59" t="s">
        <v>234</v>
      </c>
      <c r="D398" s="60">
        <f>(79.11+5.22)*10.764</f>
        <v>907.72811999999988</v>
      </c>
      <c r="E398" s="59">
        <v>0</v>
      </c>
      <c r="F398" s="59">
        <f>D398*(($F$231)+1)+(IF(E398&lt;101,E398,IF(E398&lt;201,E398/2,IF(E398&lt;=301,E398/3,E398/4))))</f>
        <v>1361.5921799999999</v>
      </c>
      <c r="G398" s="222"/>
      <c r="H398" s="223"/>
      <c r="I398" s="33"/>
    </row>
    <row r="399" spans="1:9" s="34" customFormat="1" ht="15.75" hidden="1" customHeight="1" x14ac:dyDescent="0.25">
      <c r="A399" s="214">
        <v>5</v>
      </c>
      <c r="B399" s="215"/>
      <c r="C399" s="214" t="s">
        <v>221</v>
      </c>
      <c r="D399" s="224"/>
      <c r="E399" s="224"/>
      <c r="F399" s="215"/>
      <c r="G399" s="222"/>
      <c r="H399" s="223"/>
      <c r="I399" s="33"/>
    </row>
    <row r="400" spans="1:9" s="34" customFormat="1" ht="15.75" hidden="1" customHeight="1" x14ac:dyDescent="0.25">
      <c r="A400" s="214">
        <v>6</v>
      </c>
      <c r="B400" s="215"/>
      <c r="C400" s="59" t="s">
        <v>234</v>
      </c>
      <c r="D400" s="60">
        <f>(69.32+3.66)*10.764</f>
        <v>785.55671999999981</v>
      </c>
      <c r="E400" s="59">
        <v>0</v>
      </c>
      <c r="F400" s="59">
        <f>D400*(($F$231)+1)+(IF(E400&lt;101,E400,IF(E400&lt;201,E400/2,IF(E400&lt;=301,E400/3,E400/4))))</f>
        <v>1178.3350799999998</v>
      </c>
      <c r="G400" s="218"/>
      <c r="H400" s="219"/>
      <c r="I400" s="33"/>
    </row>
    <row r="401" spans="1:10" s="34" customFormat="1" x14ac:dyDescent="0.25">
      <c r="A401" s="137" t="s">
        <v>291</v>
      </c>
      <c r="B401" s="138"/>
      <c r="C401" s="138"/>
      <c r="D401" s="138"/>
      <c r="E401" s="138"/>
      <c r="F401" s="138"/>
      <c r="G401" s="138"/>
      <c r="H401" s="139"/>
      <c r="J401" s="33"/>
    </row>
    <row r="402" spans="1:10" s="34" customFormat="1" ht="15.75" customHeight="1" x14ac:dyDescent="0.25">
      <c r="A402" s="137" t="s">
        <v>253</v>
      </c>
      <c r="B402" s="138"/>
      <c r="C402" s="138"/>
      <c r="D402" s="138"/>
      <c r="E402" s="138"/>
      <c r="F402" s="138"/>
      <c r="G402" s="138"/>
      <c r="H402" s="139"/>
      <c r="J402" s="33"/>
    </row>
    <row r="403" spans="1:10" s="34" customFormat="1" x14ac:dyDescent="0.25">
      <c r="A403" s="137" t="s">
        <v>215</v>
      </c>
      <c r="B403" s="138"/>
      <c r="C403" s="138"/>
      <c r="D403" s="138"/>
      <c r="E403" s="138"/>
      <c r="F403" s="138"/>
      <c r="G403" s="138"/>
      <c r="H403" s="139"/>
      <c r="J403" s="33"/>
    </row>
    <row r="404" spans="1:10" s="34" customFormat="1" x14ac:dyDescent="0.25">
      <c r="A404" s="137" t="s">
        <v>268</v>
      </c>
      <c r="B404" s="138"/>
      <c r="C404" s="138"/>
      <c r="D404" s="138"/>
      <c r="E404" s="138"/>
      <c r="F404" s="138"/>
      <c r="G404" s="138"/>
      <c r="H404" s="139"/>
      <c r="J404" s="33"/>
    </row>
    <row r="405" spans="1:10" s="34" customFormat="1" ht="15.75" customHeight="1" x14ac:dyDescent="0.25">
      <c r="A405" s="150">
        <v>1</v>
      </c>
      <c r="B405" s="152"/>
      <c r="C405" s="39" t="s">
        <v>234</v>
      </c>
      <c r="D405" s="46">
        <f>(79.11+5.22)*10.764</f>
        <v>907.72811999999988</v>
      </c>
      <c r="E405" s="39">
        <v>0</v>
      </c>
      <c r="F405" s="39">
        <f>D405*(($F$231)+1)+(IF(E405&lt;101,E405,IF(E405&lt;201,E405/2,IF(E405&lt;=301,E405/3,E405/4))))</f>
        <v>1361.5921799999999</v>
      </c>
      <c r="G405" s="202" t="s">
        <v>233</v>
      </c>
      <c r="H405" s="203"/>
      <c r="I405" s="33">
        <f>5.49*3.25+2.44*0.6+3.5*2.83+3.95*3.05+1.48*0.9+2.9*3.65+1.32*0.9+2.27*1.22+1.22*2.13+0.9*3.73+2.13*2.75+2.5*1.05+2.27*1.37</f>
        <v>74.681399999999996</v>
      </c>
      <c r="J405" s="46">
        <v>10.763999999999999</v>
      </c>
    </row>
    <row r="406" spans="1:10" s="34" customFormat="1" ht="15.75" customHeight="1" x14ac:dyDescent="0.25">
      <c r="A406" s="150">
        <v>2</v>
      </c>
      <c r="B406" s="152"/>
      <c r="C406" s="39" t="s">
        <v>234</v>
      </c>
      <c r="D406" s="46">
        <f>(79.11+5.22)*10.764</f>
        <v>907.72811999999988</v>
      </c>
      <c r="E406" s="39">
        <v>0</v>
      </c>
      <c r="F406" s="39">
        <f>D406*(($F$231)+1)+(IF(E406&lt;101,E406,IF(E406&lt;201,E406/2,IF(E406&lt;=301,E406/3,E406/4))))</f>
        <v>1361.5921799999999</v>
      </c>
      <c r="G406" s="206"/>
      <c r="H406" s="207"/>
      <c r="I406" s="33"/>
    </row>
    <row r="407" spans="1:10" s="34" customFormat="1" x14ac:dyDescent="0.25">
      <c r="A407" s="137" t="s">
        <v>217</v>
      </c>
      <c r="B407" s="138"/>
      <c r="C407" s="138"/>
      <c r="D407" s="138"/>
      <c r="E407" s="138"/>
      <c r="F407" s="138"/>
      <c r="G407" s="138"/>
      <c r="H407" s="139"/>
      <c r="I407" s="33"/>
    </row>
    <row r="408" spans="1:10" s="34" customFormat="1" ht="15.75" customHeight="1" x14ac:dyDescent="0.25">
      <c r="A408" s="150">
        <v>1</v>
      </c>
      <c r="B408" s="152"/>
      <c r="C408" s="39" t="s">
        <v>234</v>
      </c>
      <c r="D408" s="46">
        <f t="shared" ref="D408:D411" si="31">(79.11+5.22)*10.764</f>
        <v>907.72811999999988</v>
      </c>
      <c r="E408" s="39">
        <v>0</v>
      </c>
      <c r="F408" s="39">
        <f>D408*(($F$231)+1)+(IF(E408&lt;101,E408,IF(E408&lt;201,E408/2,IF(E408&lt;=301,E408/3,E408/4))))</f>
        <v>1361.5921799999999</v>
      </c>
      <c r="G408" s="202" t="str">
        <f>A407</f>
        <v>2nd &amp; 3rd Floor For Parking &amp; Residential</v>
      </c>
      <c r="H408" s="203"/>
      <c r="I408" s="33"/>
    </row>
    <row r="409" spans="1:10" s="34" customFormat="1" ht="15.75" customHeight="1" x14ac:dyDescent="0.25">
      <c r="A409" s="150">
        <v>2</v>
      </c>
      <c r="B409" s="152"/>
      <c r="C409" s="39" t="s">
        <v>234</v>
      </c>
      <c r="D409" s="46">
        <f t="shared" si="31"/>
        <v>907.72811999999988</v>
      </c>
      <c r="E409" s="39">
        <v>0</v>
      </c>
      <c r="F409" s="39">
        <f>D409*(($F$231)+1)+(IF(E409&lt;101,E409,IF(E409&lt;201,E409/2,IF(E409&lt;=301,E409/3,E409/4))))</f>
        <v>1361.5921799999999</v>
      </c>
      <c r="G409" s="204"/>
      <c r="H409" s="205"/>
      <c r="I409" s="33"/>
    </row>
    <row r="410" spans="1:10" s="34" customFormat="1" ht="15.75" customHeight="1" x14ac:dyDescent="0.25">
      <c r="A410" s="150">
        <v>5</v>
      </c>
      <c r="B410" s="152"/>
      <c r="C410" s="39" t="s">
        <v>234</v>
      </c>
      <c r="D410" s="46">
        <f t="shared" si="31"/>
        <v>907.72811999999988</v>
      </c>
      <c r="E410" s="39">
        <v>0</v>
      </c>
      <c r="F410" s="39">
        <f>D410*(($F$231)+1)+(IF(E410&lt;101,E410,IF(E410&lt;201,E410/2,IF(E410&lt;=301,E410/3,E410/4))))</f>
        <v>1361.5921799999999</v>
      </c>
      <c r="G410" s="204"/>
      <c r="H410" s="205"/>
      <c r="I410" s="33"/>
    </row>
    <row r="411" spans="1:10" s="34" customFormat="1" ht="15.75" customHeight="1" x14ac:dyDescent="0.25">
      <c r="A411" s="150">
        <v>6</v>
      </c>
      <c r="B411" s="152"/>
      <c r="C411" s="39" t="s">
        <v>234</v>
      </c>
      <c r="D411" s="46">
        <f t="shared" si="31"/>
        <v>907.72811999999988</v>
      </c>
      <c r="E411" s="39">
        <v>0</v>
      </c>
      <c r="F411" s="39">
        <f>D411*(($F$231)+1)+(IF(E411&lt;101,E411,IF(E411&lt;201,E411/2,IF(E411&lt;=301,E411/3,E411/4))))</f>
        <v>1361.5921799999999</v>
      </c>
      <c r="G411" s="206"/>
      <c r="H411" s="207"/>
      <c r="I411" s="33"/>
    </row>
    <row r="412" spans="1:10" s="34" customFormat="1" x14ac:dyDescent="0.25">
      <c r="A412" s="137" t="s">
        <v>235</v>
      </c>
      <c r="B412" s="138"/>
      <c r="C412" s="138"/>
      <c r="D412" s="138"/>
      <c r="E412" s="138"/>
      <c r="F412" s="138"/>
      <c r="G412" s="138"/>
      <c r="H412" s="139"/>
      <c r="I412" s="33"/>
    </row>
    <row r="413" spans="1:10" s="34" customFormat="1" ht="15.75" customHeight="1" x14ac:dyDescent="0.25">
      <c r="A413" s="150">
        <v>1</v>
      </c>
      <c r="B413" s="152"/>
      <c r="C413" s="39" t="s">
        <v>234</v>
      </c>
      <c r="D413" s="46">
        <f t="shared" ref="D413:D418" si="32">(79.11+5.22)*10.764</f>
        <v>907.72811999999988</v>
      </c>
      <c r="E413" s="39">
        <v>0</v>
      </c>
      <c r="F413" s="39">
        <f t="shared" ref="F413:F418" si="33">D413*(($F$231)+1)+(IF(E413&lt;101,E413,IF(E413&lt;201,E413/2,IF(E413&lt;=301,E413/3,E413/4))))</f>
        <v>1361.5921799999999</v>
      </c>
      <c r="G413" s="202" t="str">
        <f>A412</f>
        <v>4th to 7th, 9th to 12th &amp; 14th to 17th &amp; 19th to 22nd Floor For Residential</v>
      </c>
      <c r="H413" s="203"/>
      <c r="I413" s="33"/>
    </row>
    <row r="414" spans="1:10" s="34" customFormat="1" ht="15.75" customHeight="1" x14ac:dyDescent="0.25">
      <c r="A414" s="150">
        <v>2</v>
      </c>
      <c r="B414" s="152"/>
      <c r="C414" s="39" t="s">
        <v>234</v>
      </c>
      <c r="D414" s="46">
        <f t="shared" si="32"/>
        <v>907.72811999999988</v>
      </c>
      <c r="E414" s="39">
        <v>0</v>
      </c>
      <c r="F414" s="39">
        <f t="shared" si="33"/>
        <v>1361.5921799999999</v>
      </c>
      <c r="G414" s="204"/>
      <c r="H414" s="205"/>
      <c r="I414" s="33"/>
    </row>
    <row r="415" spans="1:10" s="34" customFormat="1" ht="15.75" customHeight="1" x14ac:dyDescent="0.25">
      <c r="A415" s="150">
        <v>3</v>
      </c>
      <c r="B415" s="152"/>
      <c r="C415" s="39" t="s">
        <v>234</v>
      </c>
      <c r="D415" s="46">
        <f>(69.32+3.66)*10.764</f>
        <v>785.55671999999981</v>
      </c>
      <c r="E415" s="39">
        <v>0</v>
      </c>
      <c r="F415" s="39">
        <f t="shared" si="33"/>
        <v>1178.3350799999998</v>
      </c>
      <c r="G415" s="204"/>
      <c r="H415" s="205"/>
      <c r="I415" s="33"/>
    </row>
    <row r="416" spans="1:10" s="34" customFormat="1" ht="15.75" customHeight="1" x14ac:dyDescent="0.25">
      <c r="A416" s="150">
        <v>4</v>
      </c>
      <c r="B416" s="152"/>
      <c r="C416" s="39" t="s">
        <v>234</v>
      </c>
      <c r="D416" s="46">
        <f>(69.32+3.66)*10.764</f>
        <v>785.55671999999981</v>
      </c>
      <c r="E416" s="39">
        <v>0</v>
      </c>
      <c r="F416" s="39">
        <f t="shared" si="33"/>
        <v>1178.3350799999998</v>
      </c>
      <c r="G416" s="204"/>
      <c r="H416" s="205"/>
      <c r="I416" s="33"/>
    </row>
    <row r="417" spans="1:14" s="34" customFormat="1" ht="15.75" customHeight="1" x14ac:dyDescent="0.25">
      <c r="A417" s="150">
        <v>5</v>
      </c>
      <c r="B417" s="152"/>
      <c r="C417" s="39" t="s">
        <v>234</v>
      </c>
      <c r="D417" s="46">
        <f t="shared" si="32"/>
        <v>907.72811999999988</v>
      </c>
      <c r="E417" s="39">
        <v>0</v>
      </c>
      <c r="F417" s="39">
        <f t="shared" si="33"/>
        <v>1361.5921799999999</v>
      </c>
      <c r="G417" s="204"/>
      <c r="H417" s="205"/>
      <c r="I417" s="33"/>
    </row>
    <row r="418" spans="1:14" s="34" customFormat="1" ht="15.75" customHeight="1" x14ac:dyDescent="0.25">
      <c r="A418" s="150">
        <v>6</v>
      </c>
      <c r="B418" s="152"/>
      <c r="C418" s="39" t="s">
        <v>234</v>
      </c>
      <c r="D418" s="46">
        <f t="shared" si="32"/>
        <v>907.72811999999988</v>
      </c>
      <c r="E418" s="39">
        <v>0</v>
      </c>
      <c r="F418" s="39">
        <f t="shared" si="33"/>
        <v>1361.5921799999999</v>
      </c>
      <c r="G418" s="206"/>
      <c r="H418" s="207"/>
      <c r="I418" s="33"/>
    </row>
    <row r="419" spans="1:14" s="34" customFormat="1" x14ac:dyDescent="0.25">
      <c r="A419" s="137" t="s">
        <v>236</v>
      </c>
      <c r="B419" s="138"/>
      <c r="C419" s="138"/>
      <c r="D419" s="138"/>
      <c r="E419" s="138"/>
      <c r="F419" s="138"/>
      <c r="G419" s="138"/>
      <c r="H419" s="139"/>
      <c r="I419" s="33"/>
    </row>
    <row r="420" spans="1:14" s="34" customFormat="1" ht="15.75" customHeight="1" x14ac:dyDescent="0.25">
      <c r="A420" s="150">
        <v>1</v>
      </c>
      <c r="B420" s="152"/>
      <c r="C420" s="39" t="s">
        <v>234</v>
      </c>
      <c r="D420" s="46">
        <f t="shared" ref="D420:D425" si="34">(79.11+5.22)*10.764</f>
        <v>907.72811999999988</v>
      </c>
      <c r="E420" s="39">
        <v>0</v>
      </c>
      <c r="F420" s="39">
        <f>D420*(($F$231)+1)+(IF(E420&lt;101,E420,IF(E420&lt;201,E420/2,IF(E420&lt;=301,E420/3,E420/4))))</f>
        <v>1361.5921799999999</v>
      </c>
      <c r="G420" s="202" t="str">
        <f>A419</f>
        <v>8th, 13th &amp; 18th Floor (Part Refuge Area)</v>
      </c>
      <c r="H420" s="203"/>
      <c r="I420" s="33"/>
    </row>
    <row r="421" spans="1:14" s="34" customFormat="1" ht="15.75" customHeight="1" x14ac:dyDescent="0.25">
      <c r="A421" s="150">
        <v>2</v>
      </c>
      <c r="B421" s="152"/>
      <c r="C421" s="39" t="s">
        <v>234</v>
      </c>
      <c r="D421" s="46">
        <f t="shared" si="34"/>
        <v>907.72811999999988</v>
      </c>
      <c r="E421" s="39">
        <v>0</v>
      </c>
      <c r="F421" s="39">
        <f>D421*(($F$231)+1)+(IF(E421&lt;101,E421,IF(E421&lt;201,E421/2,IF(E421&lt;=301,E421/3,E421/4))))</f>
        <v>1361.5921799999999</v>
      </c>
      <c r="G421" s="204"/>
      <c r="H421" s="205"/>
      <c r="I421" s="33"/>
    </row>
    <row r="422" spans="1:14" s="34" customFormat="1" ht="15.75" customHeight="1" x14ac:dyDescent="0.25">
      <c r="A422" s="150">
        <v>3</v>
      </c>
      <c r="B422" s="152"/>
      <c r="C422" s="150" t="s">
        <v>221</v>
      </c>
      <c r="D422" s="151"/>
      <c r="E422" s="151"/>
      <c r="F422" s="152"/>
      <c r="G422" s="204"/>
      <c r="H422" s="205"/>
      <c r="I422" s="33"/>
    </row>
    <row r="423" spans="1:14" s="34" customFormat="1" ht="15.75" customHeight="1" x14ac:dyDescent="0.25">
      <c r="A423" s="150">
        <v>4</v>
      </c>
      <c r="B423" s="152"/>
      <c r="C423" s="39" t="s">
        <v>234</v>
      </c>
      <c r="D423" s="46">
        <f>(69.32+3.66)*10.764</f>
        <v>785.55671999999981</v>
      </c>
      <c r="E423" s="39">
        <v>0</v>
      </c>
      <c r="F423" s="39">
        <f>D423*(($F$231)+1)+(IF(E423&lt;101,E423,IF(E423&lt;201,E423/2,IF(E423&lt;=301,E423/3,E423/4))))</f>
        <v>1178.3350799999998</v>
      </c>
      <c r="G423" s="204"/>
      <c r="H423" s="205"/>
      <c r="I423" s="33"/>
    </row>
    <row r="424" spans="1:14" s="34" customFormat="1" ht="15.75" customHeight="1" x14ac:dyDescent="0.25">
      <c r="A424" s="150">
        <v>5</v>
      </c>
      <c r="B424" s="152"/>
      <c r="C424" s="39" t="s">
        <v>234</v>
      </c>
      <c r="D424" s="46">
        <f t="shared" si="34"/>
        <v>907.72811999999988</v>
      </c>
      <c r="E424" s="39">
        <v>0</v>
      </c>
      <c r="F424" s="39">
        <f>D424*(($F$231)+1)+(IF(E424&lt;101,E424,IF(E424&lt;201,E424/2,IF(E424&lt;=301,E424/3,E424/4))))</f>
        <v>1361.5921799999999</v>
      </c>
      <c r="G424" s="204"/>
      <c r="H424" s="205"/>
      <c r="I424" s="33"/>
    </row>
    <row r="425" spans="1:14" s="34" customFormat="1" ht="15.75" customHeight="1" x14ac:dyDescent="0.25">
      <c r="A425" s="150">
        <v>6</v>
      </c>
      <c r="B425" s="152"/>
      <c r="C425" s="39" t="s">
        <v>234</v>
      </c>
      <c r="D425" s="46">
        <f t="shared" si="34"/>
        <v>907.72811999999988</v>
      </c>
      <c r="E425" s="39">
        <v>0</v>
      </c>
      <c r="F425" s="39">
        <f>D425*(($F$231)+1)+(IF(E425&lt;101,E425,IF(E425&lt;201,E425/2,IF(E425&lt;=301,E425/3,E425/4))))</f>
        <v>1361.5921799999999</v>
      </c>
      <c r="G425" s="206"/>
      <c r="H425" s="207"/>
      <c r="I425" s="33"/>
    </row>
    <row r="426" spans="1:14" s="34" customFormat="1" x14ac:dyDescent="0.25">
      <c r="A426" s="137" t="s">
        <v>292</v>
      </c>
      <c r="B426" s="138"/>
      <c r="C426" s="138"/>
      <c r="D426" s="138"/>
      <c r="E426" s="138"/>
      <c r="F426" s="138"/>
      <c r="G426" s="138"/>
      <c r="H426" s="139"/>
      <c r="J426" s="33"/>
    </row>
    <row r="427" spans="1:14" s="34" customFormat="1" ht="15.75" customHeight="1" x14ac:dyDescent="0.25">
      <c r="A427" s="137" t="s">
        <v>254</v>
      </c>
      <c r="B427" s="138"/>
      <c r="C427" s="138"/>
      <c r="D427" s="138"/>
      <c r="E427" s="138"/>
      <c r="F427" s="138"/>
      <c r="G427" s="138"/>
      <c r="H427" s="139"/>
      <c r="J427" s="33"/>
    </row>
    <row r="428" spans="1:14" s="34" customFormat="1" x14ac:dyDescent="0.25">
      <c r="A428" s="137" t="s">
        <v>215</v>
      </c>
      <c r="B428" s="138"/>
      <c r="C428" s="138"/>
      <c r="D428" s="138"/>
      <c r="E428" s="138"/>
      <c r="F428" s="138"/>
      <c r="G428" s="138"/>
      <c r="H428" s="139"/>
      <c r="J428" s="33"/>
    </row>
    <row r="429" spans="1:14" s="34" customFormat="1" x14ac:dyDescent="0.25">
      <c r="A429" s="137" t="s">
        <v>216</v>
      </c>
      <c r="B429" s="138"/>
      <c r="C429" s="138"/>
      <c r="D429" s="138"/>
      <c r="E429" s="138"/>
      <c r="F429" s="138"/>
      <c r="G429" s="138"/>
      <c r="H429" s="139"/>
      <c r="J429" s="33"/>
    </row>
    <row r="430" spans="1:14" s="34" customFormat="1" x14ac:dyDescent="0.25">
      <c r="A430" s="137" t="s">
        <v>238</v>
      </c>
      <c r="B430" s="138"/>
      <c r="C430" s="138"/>
      <c r="D430" s="138"/>
      <c r="E430" s="138"/>
      <c r="F430" s="138"/>
      <c r="G430" s="138"/>
      <c r="H430" s="139"/>
      <c r="J430" s="46">
        <v>10.763999999999999</v>
      </c>
    </row>
    <row r="431" spans="1:14" s="34" customFormat="1" ht="15.75" customHeight="1" x14ac:dyDescent="0.25">
      <c r="A431" s="150">
        <v>1</v>
      </c>
      <c r="B431" s="152"/>
      <c r="C431" s="39" t="s">
        <v>218</v>
      </c>
      <c r="D431" s="46">
        <f>(54.96+1.16)*10.764</f>
        <v>604.07567999999992</v>
      </c>
      <c r="E431" s="39">
        <v>0</v>
      </c>
      <c r="F431" s="39">
        <f>D431*(($F$231)+1)+(IF(E431&lt;101,E431,IF(E431&lt;201,E431/2,IF(E431&lt;=301,E431/3,E431/4))))</f>
        <v>906.11351999999988</v>
      </c>
      <c r="G431" s="202" t="str">
        <f>A430</f>
        <v>2nd, 3rd &amp; 4th Floor For Parking &amp; Residential</v>
      </c>
      <c r="H431" s="203"/>
      <c r="I431" s="33">
        <f>2.9*4.77+2.13*2.45+2.13*2.22+2.75*3.5+2.9*3.65+2.13*1.22+2.13*1.22+1.1*2.75</f>
        <v>52.212299999999992</v>
      </c>
      <c r="K431" s="47">
        <f>0.84*2.13</f>
        <v>1.7891999999999999</v>
      </c>
      <c r="L431" s="127"/>
      <c r="M431" s="127"/>
      <c r="N431" s="33"/>
    </row>
    <row r="432" spans="1:14" s="34" customFormat="1" ht="15.75" customHeight="1" x14ac:dyDescent="0.25">
      <c r="A432" s="150">
        <f t="shared" ref="A432" si="35">A431+1</f>
        <v>2</v>
      </c>
      <c r="B432" s="152"/>
      <c r="C432" s="39" t="s">
        <v>218</v>
      </c>
      <c r="D432" s="46">
        <f>(54.96+1.16)*10.764</f>
        <v>604.07567999999992</v>
      </c>
      <c r="E432" s="39">
        <v>0</v>
      </c>
      <c r="F432" s="39">
        <f>D432*(($F$231)+1)+(IF(E432&lt;101,E432,IF(E432&lt;201,E432/2,IF(E432&lt;=301,E432/3,E432/4))))</f>
        <v>906.11351999999988</v>
      </c>
      <c r="G432" s="206"/>
      <c r="H432" s="207"/>
      <c r="I432" s="33"/>
      <c r="L432" s="127"/>
      <c r="M432" s="127"/>
      <c r="N432" s="33"/>
    </row>
    <row r="433" spans="1:14" s="34" customFormat="1" x14ac:dyDescent="0.25">
      <c r="A433" s="194" t="s">
        <v>239</v>
      </c>
      <c r="B433" s="194"/>
      <c r="C433" s="194"/>
      <c r="D433" s="194"/>
      <c r="E433" s="194"/>
      <c r="F433" s="194"/>
      <c r="G433" s="194"/>
      <c r="H433" s="194"/>
      <c r="I433" s="33"/>
      <c r="L433" s="127"/>
      <c r="M433" s="127"/>
    </row>
    <row r="434" spans="1:14" s="34" customFormat="1" ht="15.75" customHeight="1" x14ac:dyDescent="0.25">
      <c r="A434" s="128">
        <v>1</v>
      </c>
      <c r="B434" s="128"/>
      <c r="C434" s="39" t="s">
        <v>218</v>
      </c>
      <c r="D434" s="46">
        <f t="shared" ref="D434:D446" si="36">(54.96+1.16)*10.764</f>
        <v>604.07567999999992</v>
      </c>
      <c r="E434" s="39">
        <v>0</v>
      </c>
      <c r="F434" s="39">
        <f t="shared" ref="F434:F435" si="37">D434*(($F$231)+1)+(IF(E434&lt;101,E434,IF(E434&lt;201,E434/2,IF(E434&lt;=301,E434/3,E434/4))))</f>
        <v>906.11351999999988</v>
      </c>
      <c r="G434" s="202" t="str">
        <f>A433</f>
        <v>5th to 7th, 9th to 12th &amp; 14th Floor For Residential</v>
      </c>
      <c r="H434" s="203"/>
      <c r="I434" s="33"/>
      <c r="N434" s="33"/>
    </row>
    <row r="435" spans="1:14" s="34" customFormat="1" ht="15.75" customHeight="1" x14ac:dyDescent="0.25">
      <c r="A435" s="128">
        <f>A434+1</f>
        <v>2</v>
      </c>
      <c r="B435" s="128"/>
      <c r="C435" s="39" t="s">
        <v>218</v>
      </c>
      <c r="D435" s="46">
        <f t="shared" si="36"/>
        <v>604.07567999999992</v>
      </c>
      <c r="E435" s="39">
        <v>0</v>
      </c>
      <c r="F435" s="39">
        <f t="shared" si="37"/>
        <v>906.11351999999988</v>
      </c>
      <c r="G435" s="204"/>
      <c r="H435" s="205"/>
      <c r="I435" s="33"/>
      <c r="N435" s="33"/>
    </row>
    <row r="436" spans="1:14" s="34" customFormat="1" ht="15.75" customHeight="1" x14ac:dyDescent="0.25">
      <c r="A436" s="128">
        <f>A435+1</f>
        <v>3</v>
      </c>
      <c r="B436" s="128"/>
      <c r="C436" s="39" t="s">
        <v>218</v>
      </c>
      <c r="D436" s="46">
        <f t="shared" si="36"/>
        <v>604.07567999999992</v>
      </c>
      <c r="E436" s="39">
        <v>0</v>
      </c>
      <c r="F436" s="39">
        <f>D436*(($F$231)+1)+(IF(E436&lt;101,E436,IF(E436&lt;201,E436/2,IF(E436&lt;=301,E436/3,E436/4))))</f>
        <v>906.11351999999988</v>
      </c>
      <c r="G436" s="204"/>
      <c r="H436" s="205"/>
      <c r="I436" s="33"/>
      <c r="N436" s="33"/>
    </row>
    <row r="437" spans="1:14" s="34" customFormat="1" ht="15.75" customHeight="1" x14ac:dyDescent="0.25">
      <c r="A437" s="128">
        <f>A436+1</f>
        <v>4</v>
      </c>
      <c r="B437" s="128"/>
      <c r="C437" s="39" t="s">
        <v>218</v>
      </c>
      <c r="D437" s="46">
        <f t="shared" si="36"/>
        <v>604.07567999999992</v>
      </c>
      <c r="E437" s="39">
        <v>0</v>
      </c>
      <c r="F437" s="39">
        <f>D437*(($F$231)+1)+(IF(E437&lt;101,E437,IF(E437&lt;201,E437/2,IF(E437&lt;=301,E437/3,E437/4))))</f>
        <v>906.11351999999988</v>
      </c>
      <c r="G437" s="204"/>
      <c r="H437" s="205"/>
      <c r="I437" s="33"/>
      <c r="N437" s="33"/>
    </row>
    <row r="438" spans="1:14" s="34" customFormat="1" ht="15.75" customHeight="1" x14ac:dyDescent="0.25">
      <c r="A438" s="128">
        <v>5</v>
      </c>
      <c r="B438" s="128"/>
      <c r="C438" s="39" t="s">
        <v>218</v>
      </c>
      <c r="D438" s="46">
        <f t="shared" si="36"/>
        <v>604.07567999999992</v>
      </c>
      <c r="E438" s="39">
        <v>0</v>
      </c>
      <c r="F438" s="39">
        <f>D438*(($F$231)+1)+(IF(E438&lt;101,E438,IF(E438&lt;201,E438/2,IF(E438&lt;=301,E438/3,E438/4))))</f>
        <v>906.11351999999988</v>
      </c>
      <c r="G438" s="204"/>
      <c r="H438" s="205"/>
      <c r="I438" s="33"/>
      <c r="N438" s="33"/>
    </row>
    <row r="439" spans="1:14" s="34" customFormat="1" ht="15.75" customHeight="1" x14ac:dyDescent="0.25">
      <c r="A439" s="128">
        <v>6</v>
      </c>
      <c r="B439" s="128"/>
      <c r="C439" s="39" t="s">
        <v>218</v>
      </c>
      <c r="D439" s="46">
        <f t="shared" si="36"/>
        <v>604.07567999999992</v>
      </c>
      <c r="E439" s="39">
        <v>0</v>
      </c>
      <c r="F439" s="39">
        <f>D439*(($F$231)+1)+(IF(E439&lt;101,E439,IF(E439&lt;201,E439/2,IF(E439&lt;=301,E439/3,E439/4))))</f>
        <v>906.11351999999988</v>
      </c>
      <c r="G439" s="206"/>
      <c r="H439" s="207"/>
      <c r="I439" s="33"/>
      <c r="N439" s="33"/>
    </row>
    <row r="440" spans="1:14" s="34" customFormat="1" x14ac:dyDescent="0.25">
      <c r="A440" s="194" t="s">
        <v>220</v>
      </c>
      <c r="B440" s="194"/>
      <c r="C440" s="194"/>
      <c r="D440" s="194"/>
      <c r="E440" s="194"/>
      <c r="F440" s="194"/>
      <c r="G440" s="194"/>
      <c r="H440" s="194"/>
      <c r="I440" s="33"/>
      <c r="L440" s="127"/>
      <c r="M440" s="127"/>
    </row>
    <row r="441" spans="1:14" s="34" customFormat="1" ht="15.75" customHeight="1" x14ac:dyDescent="0.25">
      <c r="A441" s="128">
        <v>1</v>
      </c>
      <c r="B441" s="128"/>
      <c r="C441" s="150" t="s">
        <v>221</v>
      </c>
      <c r="D441" s="151"/>
      <c r="E441" s="151"/>
      <c r="F441" s="152"/>
      <c r="G441" s="202" t="str">
        <f>A440</f>
        <v>8th &amp; 13 th Floor (Part Refuge Area)</v>
      </c>
      <c r="H441" s="203"/>
      <c r="I441" s="33"/>
      <c r="N441" s="33"/>
    </row>
    <row r="442" spans="1:14" s="34" customFormat="1" ht="15.75" customHeight="1" x14ac:dyDescent="0.25">
      <c r="A442" s="128">
        <f>A441+1</f>
        <v>2</v>
      </c>
      <c r="B442" s="128"/>
      <c r="C442" s="39" t="s">
        <v>218</v>
      </c>
      <c r="D442" s="46">
        <f t="shared" si="36"/>
        <v>604.07567999999992</v>
      </c>
      <c r="E442" s="39">
        <v>0</v>
      </c>
      <c r="F442" s="39">
        <f>D442*(($F$231)+1)+(IF(E442&lt;101,E442,IF(E442&lt;201,E442/2,IF(E442&lt;=301,E442/3,E442/4))))</f>
        <v>906.11351999999988</v>
      </c>
      <c r="G442" s="204"/>
      <c r="H442" s="205"/>
      <c r="I442" s="33"/>
      <c r="N442" s="33"/>
    </row>
    <row r="443" spans="1:14" s="34" customFormat="1" ht="15.75" customHeight="1" x14ac:dyDescent="0.25">
      <c r="A443" s="128">
        <f>A442+1</f>
        <v>3</v>
      </c>
      <c r="B443" s="128"/>
      <c r="C443" s="39" t="s">
        <v>218</v>
      </c>
      <c r="D443" s="46">
        <f t="shared" si="36"/>
        <v>604.07567999999992</v>
      </c>
      <c r="E443" s="39">
        <v>0</v>
      </c>
      <c r="F443" s="39">
        <f>D443*(($F$231)+1)+(IF(E443&lt;101,E443,IF(E443&lt;201,E443/2,IF(E443&lt;=301,E443/3,E443/4))))</f>
        <v>906.11351999999988</v>
      </c>
      <c r="G443" s="204"/>
      <c r="H443" s="205"/>
      <c r="I443" s="33"/>
      <c r="N443" s="33"/>
    </row>
    <row r="444" spans="1:14" s="34" customFormat="1" ht="15.75" customHeight="1" x14ac:dyDescent="0.25">
      <c r="A444" s="128">
        <f>A443+1</f>
        <v>4</v>
      </c>
      <c r="B444" s="128"/>
      <c r="C444" s="39" t="s">
        <v>218</v>
      </c>
      <c r="D444" s="46">
        <f t="shared" si="36"/>
        <v>604.07567999999992</v>
      </c>
      <c r="E444" s="39">
        <v>0</v>
      </c>
      <c r="F444" s="39">
        <f>D444*(($F$231)+1)+(IF(E444&lt;101,E444,IF(E444&lt;201,E444/2,IF(E444&lt;=301,E444/3,E444/4))))</f>
        <v>906.11351999999988</v>
      </c>
      <c r="G444" s="204"/>
      <c r="H444" s="205"/>
      <c r="I444" s="33"/>
      <c r="N444" s="33"/>
    </row>
    <row r="445" spans="1:14" s="34" customFormat="1" ht="15.75" customHeight="1" x14ac:dyDescent="0.25">
      <c r="A445" s="128">
        <v>5</v>
      </c>
      <c r="B445" s="128"/>
      <c r="C445" s="39" t="s">
        <v>218</v>
      </c>
      <c r="D445" s="46">
        <f t="shared" si="36"/>
        <v>604.07567999999992</v>
      </c>
      <c r="E445" s="39">
        <v>0</v>
      </c>
      <c r="F445" s="39">
        <f>D445*(($F$231)+1)+(IF(E445&lt;101,E445,IF(E445&lt;201,E445/2,IF(E445&lt;=301,E445/3,E445/4))))</f>
        <v>906.11351999999988</v>
      </c>
      <c r="G445" s="204"/>
      <c r="H445" s="205"/>
      <c r="I445" s="33"/>
      <c r="N445" s="33"/>
    </row>
    <row r="446" spans="1:14" s="34" customFormat="1" ht="15.75" customHeight="1" x14ac:dyDescent="0.25">
      <c r="A446" s="128">
        <v>6</v>
      </c>
      <c r="B446" s="128"/>
      <c r="C446" s="39" t="s">
        <v>218</v>
      </c>
      <c r="D446" s="46">
        <f t="shared" si="36"/>
        <v>604.07567999999992</v>
      </c>
      <c r="E446" s="39">
        <v>0</v>
      </c>
      <c r="F446" s="39">
        <f>D446*(($F$231)+1)+(IF(E446&lt;101,E446,IF(E446&lt;201,E446/2,IF(E446&lt;=301,E446/3,E446/4))))</f>
        <v>906.11351999999988</v>
      </c>
      <c r="G446" s="206"/>
      <c r="H446" s="207"/>
      <c r="I446" s="33"/>
      <c r="N446" s="33"/>
    </row>
    <row r="447" spans="1:14" s="34" customFormat="1" x14ac:dyDescent="0.25">
      <c r="A447" s="194" t="s">
        <v>222</v>
      </c>
      <c r="B447" s="194"/>
      <c r="C447" s="194"/>
      <c r="D447" s="194"/>
      <c r="E447" s="194"/>
      <c r="F447" s="194"/>
      <c r="G447" s="194"/>
      <c r="H447" s="194"/>
      <c r="I447" s="33"/>
      <c r="L447" s="127"/>
      <c r="M447" s="127"/>
    </row>
    <row r="448" spans="1:14" s="34" customFormat="1" ht="15.75" customHeight="1" x14ac:dyDescent="0.25">
      <c r="A448" s="128">
        <v>1</v>
      </c>
      <c r="B448" s="128"/>
      <c r="C448" s="39" t="s">
        <v>218</v>
      </c>
      <c r="D448" s="46">
        <f>(55.39+3.56)*10.764</f>
        <v>634.53779999999995</v>
      </c>
      <c r="E448" s="39">
        <v>0</v>
      </c>
      <c r="F448" s="39">
        <f t="shared" ref="F448:F449" si="38">D448*(($F$231)+1)+(IF(E448&lt;101,E448,IF(E448&lt;201,E448/2,IF(E448&lt;=301,E448/3,E448/4))))</f>
        <v>951.80669999999986</v>
      </c>
      <c r="G448" s="202" t="str">
        <f>A447</f>
        <v>15th to 17th, 19th to 22nd Floor</v>
      </c>
      <c r="H448" s="203"/>
      <c r="I448" s="33"/>
      <c r="N448" s="33"/>
    </row>
    <row r="449" spans="1:14" s="34" customFormat="1" ht="15.75" customHeight="1" x14ac:dyDescent="0.25">
      <c r="A449" s="128">
        <f>A448+1</f>
        <v>2</v>
      </c>
      <c r="B449" s="128"/>
      <c r="C449" s="39" t="s">
        <v>218</v>
      </c>
      <c r="D449" s="46">
        <f t="shared" ref="D449:D453" si="39">(55.39+3.56)*10.764</f>
        <v>634.53779999999995</v>
      </c>
      <c r="E449" s="39">
        <v>0</v>
      </c>
      <c r="F449" s="39">
        <f t="shared" si="38"/>
        <v>951.80669999999986</v>
      </c>
      <c r="G449" s="204"/>
      <c r="H449" s="205"/>
      <c r="I449" s="33"/>
      <c r="N449" s="33"/>
    </row>
    <row r="450" spans="1:14" s="34" customFormat="1" ht="15.75" customHeight="1" x14ac:dyDescent="0.25">
      <c r="A450" s="128">
        <f>A449+1</f>
        <v>3</v>
      </c>
      <c r="B450" s="128"/>
      <c r="C450" s="39" t="s">
        <v>218</v>
      </c>
      <c r="D450" s="46">
        <f t="shared" si="39"/>
        <v>634.53779999999995</v>
      </c>
      <c r="E450" s="39">
        <v>0</v>
      </c>
      <c r="F450" s="39">
        <f>D450*(($F$231)+1)+(IF(E450&lt;101,E450,IF(E450&lt;201,E450/2,IF(E450&lt;=301,E450/3,E450/4))))</f>
        <v>951.80669999999986</v>
      </c>
      <c r="G450" s="204"/>
      <c r="H450" s="205"/>
      <c r="I450" s="33"/>
      <c r="N450" s="33"/>
    </row>
    <row r="451" spans="1:14" s="34" customFormat="1" ht="15.75" customHeight="1" x14ac:dyDescent="0.25">
      <c r="A451" s="128">
        <f>A450+1</f>
        <v>4</v>
      </c>
      <c r="B451" s="128"/>
      <c r="C451" s="39" t="s">
        <v>218</v>
      </c>
      <c r="D451" s="46">
        <f t="shared" si="39"/>
        <v>634.53779999999995</v>
      </c>
      <c r="E451" s="39">
        <v>0</v>
      </c>
      <c r="F451" s="39">
        <f>D451*(($F$231)+1)+(IF(E451&lt;101,E451,IF(E451&lt;201,E451/2,IF(E451&lt;=301,E451/3,E451/4))))</f>
        <v>951.80669999999986</v>
      </c>
      <c r="G451" s="204"/>
      <c r="H451" s="205"/>
      <c r="I451" s="33"/>
      <c r="N451" s="33"/>
    </row>
    <row r="452" spans="1:14" s="34" customFormat="1" ht="15.75" customHeight="1" x14ac:dyDescent="0.25">
      <c r="A452" s="128">
        <v>5</v>
      </c>
      <c r="B452" s="128"/>
      <c r="C452" s="39" t="s">
        <v>218</v>
      </c>
      <c r="D452" s="46">
        <f t="shared" si="39"/>
        <v>634.53779999999995</v>
      </c>
      <c r="E452" s="39">
        <v>0</v>
      </c>
      <c r="F452" s="39">
        <f>D452*(($F$231)+1)+(IF(E452&lt;101,E452,IF(E452&lt;201,E452/2,IF(E452&lt;=301,E452/3,E452/4))))</f>
        <v>951.80669999999986</v>
      </c>
      <c r="G452" s="204"/>
      <c r="H452" s="205"/>
      <c r="I452" s="33"/>
      <c r="N452" s="33"/>
    </row>
    <row r="453" spans="1:14" s="34" customFormat="1" ht="15.75" customHeight="1" x14ac:dyDescent="0.25">
      <c r="A453" s="128">
        <v>6</v>
      </c>
      <c r="B453" s="128"/>
      <c r="C453" s="39" t="s">
        <v>218</v>
      </c>
      <c r="D453" s="46">
        <f t="shared" si="39"/>
        <v>634.53779999999995</v>
      </c>
      <c r="E453" s="39">
        <v>0</v>
      </c>
      <c r="F453" s="39">
        <f>D453*(($F$231)+1)+(IF(E453&lt;101,E453,IF(E453&lt;201,E453/2,IF(E453&lt;=301,E453/3,E453/4))))</f>
        <v>951.80669999999986</v>
      </c>
      <c r="G453" s="206"/>
      <c r="H453" s="207"/>
      <c r="I453" s="33"/>
      <c r="N453" s="33"/>
    </row>
    <row r="454" spans="1:14" s="34" customFormat="1" x14ac:dyDescent="0.25">
      <c r="A454" s="194" t="s">
        <v>223</v>
      </c>
      <c r="B454" s="194"/>
      <c r="C454" s="194"/>
      <c r="D454" s="194"/>
      <c r="E454" s="194"/>
      <c r="F454" s="194"/>
      <c r="G454" s="194"/>
      <c r="H454" s="194"/>
      <c r="I454" s="33"/>
      <c r="L454" s="127"/>
      <c r="M454" s="127"/>
    </row>
    <row r="455" spans="1:14" s="34" customFormat="1" ht="15.75" customHeight="1" x14ac:dyDescent="0.25">
      <c r="A455" s="128">
        <v>1</v>
      </c>
      <c r="B455" s="128"/>
      <c r="C455" s="150" t="s">
        <v>221</v>
      </c>
      <c r="D455" s="151"/>
      <c r="E455" s="151"/>
      <c r="F455" s="152"/>
      <c r="G455" s="202" t="str">
        <f>A454</f>
        <v>18th Floor (Part Refuge Area)</v>
      </c>
      <c r="H455" s="203"/>
      <c r="I455" s="33"/>
      <c r="N455" s="33"/>
    </row>
    <row r="456" spans="1:14" s="34" customFormat="1" ht="15.75" customHeight="1" x14ac:dyDescent="0.25">
      <c r="A456" s="128">
        <f>A455+1</f>
        <v>2</v>
      </c>
      <c r="B456" s="128"/>
      <c r="C456" s="39" t="s">
        <v>218</v>
      </c>
      <c r="D456" s="46">
        <f t="shared" ref="D456:D460" si="40">(55.39+3.56)*10.764</f>
        <v>634.53779999999995</v>
      </c>
      <c r="E456" s="39">
        <v>0</v>
      </c>
      <c r="F456" s="39">
        <f>D456*(($F$231)+1)+(IF(E456&lt;101,E456,IF(E456&lt;201,E456/2,IF(E456&lt;=301,E456/3,E456/4))))</f>
        <v>951.80669999999986</v>
      </c>
      <c r="G456" s="204"/>
      <c r="H456" s="205"/>
      <c r="I456" s="33"/>
      <c r="N456" s="33"/>
    </row>
    <row r="457" spans="1:14" s="34" customFormat="1" ht="15.75" customHeight="1" x14ac:dyDescent="0.25">
      <c r="A457" s="128">
        <f>A456+1</f>
        <v>3</v>
      </c>
      <c r="B457" s="128"/>
      <c r="C457" s="39" t="s">
        <v>218</v>
      </c>
      <c r="D457" s="46">
        <f t="shared" si="40"/>
        <v>634.53779999999995</v>
      </c>
      <c r="E457" s="39">
        <v>0</v>
      </c>
      <c r="F457" s="39">
        <f>D457*(($F$231)+1)+(IF(E457&lt;101,E457,IF(E457&lt;201,E457/2,IF(E457&lt;=301,E457/3,E457/4))))</f>
        <v>951.80669999999986</v>
      </c>
      <c r="G457" s="204"/>
      <c r="H457" s="205"/>
      <c r="I457" s="33"/>
      <c r="N457" s="33"/>
    </row>
    <row r="458" spans="1:14" s="34" customFormat="1" ht="15.75" customHeight="1" x14ac:dyDescent="0.25">
      <c r="A458" s="128">
        <f>A457+1</f>
        <v>4</v>
      </c>
      <c r="B458" s="128"/>
      <c r="C458" s="39" t="s">
        <v>218</v>
      </c>
      <c r="D458" s="46">
        <f t="shared" si="40"/>
        <v>634.53779999999995</v>
      </c>
      <c r="E458" s="39">
        <v>0</v>
      </c>
      <c r="F458" s="39">
        <f>D458*(($F$231)+1)+(IF(E458&lt;101,E458,IF(E458&lt;201,E458/2,IF(E458&lt;=301,E458/3,E458/4))))</f>
        <v>951.80669999999986</v>
      </c>
      <c r="G458" s="204"/>
      <c r="H458" s="205"/>
      <c r="I458" s="33"/>
      <c r="N458" s="33"/>
    </row>
    <row r="459" spans="1:14" s="34" customFormat="1" ht="15.75" customHeight="1" x14ac:dyDescent="0.25">
      <c r="A459" s="128">
        <v>5</v>
      </c>
      <c r="B459" s="128"/>
      <c r="C459" s="39" t="s">
        <v>218</v>
      </c>
      <c r="D459" s="46">
        <f t="shared" si="40"/>
        <v>634.53779999999995</v>
      </c>
      <c r="E459" s="39">
        <v>0</v>
      </c>
      <c r="F459" s="39">
        <f>D459*(($F$231)+1)+(IF(E459&lt;101,E459,IF(E459&lt;201,E459/2,IF(E459&lt;=301,E459/3,E459/4))))</f>
        <v>951.80669999999986</v>
      </c>
      <c r="G459" s="204"/>
      <c r="H459" s="205"/>
      <c r="I459" s="33"/>
      <c r="N459" s="33"/>
    </row>
    <row r="460" spans="1:14" s="34" customFormat="1" ht="15.75" customHeight="1" x14ac:dyDescent="0.25">
      <c r="A460" s="128">
        <v>6</v>
      </c>
      <c r="B460" s="128"/>
      <c r="C460" s="39" t="s">
        <v>218</v>
      </c>
      <c r="D460" s="46">
        <f t="shared" si="40"/>
        <v>634.53779999999995</v>
      </c>
      <c r="E460" s="39">
        <v>0</v>
      </c>
      <c r="F460" s="39">
        <f>D460*(($F$231)+1)+(IF(E460&lt;101,E460,IF(E460&lt;201,E460/2,IF(E460&lt;=301,E460/3,E460/4))))</f>
        <v>951.80669999999986</v>
      </c>
      <c r="G460" s="206"/>
      <c r="H460" s="207"/>
      <c r="I460" s="33"/>
      <c r="N460" s="33"/>
    </row>
    <row r="461" spans="1:14" s="34" customFormat="1" x14ac:dyDescent="0.25">
      <c r="A461" s="137" t="s">
        <v>293</v>
      </c>
      <c r="B461" s="138"/>
      <c r="C461" s="138"/>
      <c r="D461" s="138"/>
      <c r="E461" s="138"/>
      <c r="F461" s="138"/>
      <c r="G461" s="138"/>
      <c r="H461" s="139"/>
      <c r="J461" s="33"/>
    </row>
    <row r="462" spans="1:14" s="34" customFormat="1" ht="15.75" customHeight="1" x14ac:dyDescent="0.25">
      <c r="A462" s="137" t="s">
        <v>255</v>
      </c>
      <c r="B462" s="138"/>
      <c r="C462" s="138"/>
      <c r="D462" s="138"/>
      <c r="E462" s="138"/>
      <c r="F462" s="138"/>
      <c r="G462" s="138"/>
      <c r="H462" s="139"/>
      <c r="J462" s="33"/>
    </row>
    <row r="463" spans="1:14" s="34" customFormat="1" x14ac:dyDescent="0.25">
      <c r="A463" s="137" t="s">
        <v>215</v>
      </c>
      <c r="B463" s="138"/>
      <c r="C463" s="138"/>
      <c r="D463" s="138"/>
      <c r="E463" s="138"/>
      <c r="F463" s="138"/>
      <c r="G463" s="138"/>
      <c r="H463" s="139"/>
      <c r="J463" s="33"/>
    </row>
    <row r="464" spans="1:14" s="34" customFormat="1" x14ac:dyDescent="0.25">
      <c r="A464" s="137" t="s">
        <v>216</v>
      </c>
      <c r="B464" s="138"/>
      <c r="C464" s="138"/>
      <c r="D464" s="138"/>
      <c r="E464" s="138"/>
      <c r="F464" s="138"/>
      <c r="G464" s="138"/>
      <c r="H464" s="139"/>
      <c r="J464" s="33"/>
    </row>
    <row r="465" spans="1:14" s="34" customFormat="1" x14ac:dyDescent="0.25">
      <c r="A465" s="137" t="s">
        <v>238</v>
      </c>
      <c r="B465" s="138"/>
      <c r="C465" s="138"/>
      <c r="D465" s="138"/>
      <c r="E465" s="138"/>
      <c r="F465" s="138"/>
      <c r="G465" s="138"/>
      <c r="H465" s="139"/>
      <c r="J465" s="46">
        <v>10.763999999999999</v>
      </c>
    </row>
    <row r="466" spans="1:14" s="34" customFormat="1" ht="15.75" customHeight="1" x14ac:dyDescent="0.25">
      <c r="A466" s="150">
        <v>5</v>
      </c>
      <c r="B466" s="152"/>
      <c r="C466" s="39" t="s">
        <v>218</v>
      </c>
      <c r="D466" s="46">
        <f>(54.96+1.16)*10.764</f>
        <v>604.07567999999992</v>
      </c>
      <c r="E466" s="39">
        <v>0</v>
      </c>
      <c r="F466" s="39">
        <f>D466*(($F$231)+1)+(IF(E466&lt;101,E466,IF(E466&lt;201,E466/2,IF(E466&lt;=301,E466/3,E466/4))))</f>
        <v>906.11351999999988</v>
      </c>
      <c r="G466" s="202" t="str">
        <f>A465</f>
        <v>2nd, 3rd &amp; 4th Floor For Parking &amp; Residential</v>
      </c>
      <c r="H466" s="203"/>
      <c r="I466" s="33">
        <f>2.9*4.77+2.13*2.45+2.13*2.22+2.75*3.5+2.9*3.65+2.13*1.22+2.13*1.22+1.1*2.75</f>
        <v>52.212299999999992</v>
      </c>
      <c r="K466" s="47">
        <f>0.84*2.13</f>
        <v>1.7891999999999999</v>
      </c>
      <c r="L466" s="127"/>
      <c r="M466" s="127"/>
      <c r="N466" s="33"/>
    </row>
    <row r="467" spans="1:14" s="34" customFormat="1" ht="15.75" customHeight="1" x14ac:dyDescent="0.25">
      <c r="A467" s="150">
        <f t="shared" ref="A467" si="41">A466+1</f>
        <v>6</v>
      </c>
      <c r="B467" s="152"/>
      <c r="C467" s="39" t="s">
        <v>218</v>
      </c>
      <c r="D467" s="46">
        <f>(54.96+1.16)*10.764</f>
        <v>604.07567999999992</v>
      </c>
      <c r="E467" s="39">
        <v>0</v>
      </c>
      <c r="F467" s="39">
        <f>D467*(($F$231)+1)+(IF(E467&lt;101,E467,IF(E467&lt;201,E467/2,IF(E467&lt;=301,E467/3,E467/4))))</f>
        <v>906.11351999999988</v>
      </c>
      <c r="G467" s="206"/>
      <c r="H467" s="207"/>
      <c r="I467" s="33"/>
      <c r="L467" s="127"/>
      <c r="M467" s="127"/>
      <c r="N467" s="33"/>
    </row>
    <row r="468" spans="1:14" s="34" customFormat="1" x14ac:dyDescent="0.25">
      <c r="A468" s="194" t="s">
        <v>239</v>
      </c>
      <c r="B468" s="194"/>
      <c r="C468" s="194"/>
      <c r="D468" s="194"/>
      <c r="E468" s="194"/>
      <c r="F468" s="194"/>
      <c r="G468" s="194"/>
      <c r="H468" s="194"/>
      <c r="I468" s="33"/>
      <c r="L468" s="127"/>
      <c r="M468" s="127"/>
    </row>
    <row r="469" spans="1:14" s="34" customFormat="1" ht="15.75" customHeight="1" x14ac:dyDescent="0.25">
      <c r="A469" s="128">
        <v>1</v>
      </c>
      <c r="B469" s="128"/>
      <c r="C469" s="39" t="s">
        <v>218</v>
      </c>
      <c r="D469" s="46">
        <f t="shared" ref="D469:D481" si="42">(54.96+1.16)*10.764</f>
        <v>604.07567999999992</v>
      </c>
      <c r="E469" s="39">
        <v>0</v>
      </c>
      <c r="F469" s="39">
        <f t="shared" ref="F469:F470" si="43">D469*(($F$231)+1)+(IF(E469&lt;101,E469,IF(E469&lt;201,E469/2,IF(E469&lt;=301,E469/3,E469/4))))</f>
        <v>906.11351999999988</v>
      </c>
      <c r="G469" s="202" t="str">
        <f>A468</f>
        <v>5th to 7th, 9th to 12th &amp; 14th Floor For Residential</v>
      </c>
      <c r="H469" s="203"/>
      <c r="I469" s="33"/>
      <c r="N469" s="33"/>
    </row>
    <row r="470" spans="1:14" s="34" customFormat="1" ht="15.75" customHeight="1" x14ac:dyDescent="0.25">
      <c r="A470" s="128">
        <f>A469+1</f>
        <v>2</v>
      </c>
      <c r="B470" s="128"/>
      <c r="C470" s="39" t="s">
        <v>218</v>
      </c>
      <c r="D470" s="46">
        <f t="shared" si="42"/>
        <v>604.07567999999992</v>
      </c>
      <c r="E470" s="39">
        <v>0</v>
      </c>
      <c r="F470" s="39">
        <f t="shared" si="43"/>
        <v>906.11351999999988</v>
      </c>
      <c r="G470" s="204"/>
      <c r="H470" s="205"/>
      <c r="I470" s="33"/>
      <c r="N470" s="33"/>
    </row>
    <row r="471" spans="1:14" s="34" customFormat="1" ht="15.75" customHeight="1" x14ac:dyDescent="0.25">
      <c r="A471" s="128">
        <f>A470+1</f>
        <v>3</v>
      </c>
      <c r="B471" s="128"/>
      <c r="C471" s="39" t="s">
        <v>218</v>
      </c>
      <c r="D471" s="46">
        <f t="shared" si="42"/>
        <v>604.07567999999992</v>
      </c>
      <c r="E471" s="39">
        <v>0</v>
      </c>
      <c r="F471" s="39">
        <f>D471*(($F$231)+1)+(IF(E471&lt;101,E471,IF(E471&lt;201,E471/2,IF(E471&lt;=301,E471/3,E471/4))))</f>
        <v>906.11351999999988</v>
      </c>
      <c r="G471" s="204"/>
      <c r="H471" s="205"/>
      <c r="I471" s="33"/>
      <c r="N471" s="33"/>
    </row>
    <row r="472" spans="1:14" s="34" customFormat="1" ht="15.75" customHeight="1" x14ac:dyDescent="0.25">
      <c r="A472" s="128">
        <f>A471+1</f>
        <v>4</v>
      </c>
      <c r="B472" s="128"/>
      <c r="C472" s="39" t="s">
        <v>218</v>
      </c>
      <c r="D472" s="46">
        <f t="shared" si="42"/>
        <v>604.07567999999992</v>
      </c>
      <c r="E472" s="39">
        <v>0</v>
      </c>
      <c r="F472" s="39">
        <f>D472*(($F$231)+1)+(IF(E472&lt;101,E472,IF(E472&lt;201,E472/2,IF(E472&lt;=301,E472/3,E472/4))))</f>
        <v>906.11351999999988</v>
      </c>
      <c r="G472" s="204"/>
      <c r="H472" s="205"/>
      <c r="I472" s="33"/>
      <c r="N472" s="33"/>
    </row>
    <row r="473" spans="1:14" s="34" customFormat="1" ht="15.75" customHeight="1" x14ac:dyDescent="0.25">
      <c r="A473" s="128">
        <v>5</v>
      </c>
      <c r="B473" s="128"/>
      <c r="C473" s="39" t="s">
        <v>218</v>
      </c>
      <c r="D473" s="46">
        <f t="shared" si="42"/>
        <v>604.07567999999992</v>
      </c>
      <c r="E473" s="39">
        <v>0</v>
      </c>
      <c r="F473" s="39">
        <f>D473*(($F$231)+1)+(IF(E473&lt;101,E473,IF(E473&lt;201,E473/2,IF(E473&lt;=301,E473/3,E473/4))))</f>
        <v>906.11351999999988</v>
      </c>
      <c r="G473" s="204"/>
      <c r="H473" s="205"/>
      <c r="I473" s="33"/>
      <c r="N473" s="33"/>
    </row>
    <row r="474" spans="1:14" s="34" customFormat="1" ht="15.75" customHeight="1" x14ac:dyDescent="0.25">
      <c r="A474" s="128">
        <v>6</v>
      </c>
      <c r="B474" s="128"/>
      <c r="C474" s="39" t="s">
        <v>218</v>
      </c>
      <c r="D474" s="46">
        <f t="shared" si="42"/>
        <v>604.07567999999992</v>
      </c>
      <c r="E474" s="39">
        <v>0</v>
      </c>
      <c r="F474" s="39">
        <f>D474*(($F$231)+1)+(IF(E474&lt;101,E474,IF(E474&lt;201,E474/2,IF(E474&lt;=301,E474/3,E474/4))))</f>
        <v>906.11351999999988</v>
      </c>
      <c r="G474" s="206"/>
      <c r="H474" s="207"/>
      <c r="I474" s="33"/>
      <c r="N474" s="33"/>
    </row>
    <row r="475" spans="1:14" s="34" customFormat="1" x14ac:dyDescent="0.25">
      <c r="A475" s="194" t="s">
        <v>220</v>
      </c>
      <c r="B475" s="194"/>
      <c r="C475" s="194"/>
      <c r="D475" s="194"/>
      <c r="E475" s="194"/>
      <c r="F475" s="194"/>
      <c r="G475" s="194"/>
      <c r="H475" s="194"/>
      <c r="I475" s="33"/>
      <c r="L475" s="127"/>
      <c r="M475" s="127"/>
    </row>
    <row r="476" spans="1:14" s="34" customFormat="1" ht="15.75" customHeight="1" x14ac:dyDescent="0.25">
      <c r="A476" s="128">
        <v>1</v>
      </c>
      <c r="B476" s="128"/>
      <c r="C476" s="39" t="s">
        <v>218</v>
      </c>
      <c r="D476" s="46">
        <f t="shared" si="42"/>
        <v>604.07567999999992</v>
      </c>
      <c r="E476" s="39">
        <v>0</v>
      </c>
      <c r="F476" s="39">
        <f t="shared" ref="F476:F477" si="44">D476*(($F$231)+1)+(IF(E476&lt;101,E476,IF(E476&lt;201,E476/2,IF(E476&lt;=301,E476/3,E476/4))))</f>
        <v>906.11351999999988</v>
      </c>
      <c r="G476" s="202" t="str">
        <f>A475</f>
        <v>8th &amp; 13 th Floor (Part Refuge Area)</v>
      </c>
      <c r="H476" s="203"/>
      <c r="I476" s="33"/>
      <c r="N476" s="33"/>
    </row>
    <row r="477" spans="1:14" s="34" customFormat="1" ht="15.75" customHeight="1" x14ac:dyDescent="0.25">
      <c r="A477" s="128">
        <f>A476+1</f>
        <v>2</v>
      </c>
      <c r="B477" s="128"/>
      <c r="C477" s="39" t="s">
        <v>218</v>
      </c>
      <c r="D477" s="46">
        <f t="shared" si="42"/>
        <v>604.07567999999992</v>
      </c>
      <c r="E477" s="39">
        <v>0</v>
      </c>
      <c r="F477" s="39">
        <f t="shared" si="44"/>
        <v>906.11351999999988</v>
      </c>
      <c r="G477" s="204"/>
      <c r="H477" s="205"/>
      <c r="I477" s="33"/>
      <c r="N477" s="33"/>
    </row>
    <row r="478" spans="1:14" s="34" customFormat="1" ht="15.75" customHeight="1" x14ac:dyDescent="0.25">
      <c r="A478" s="128">
        <f>A477+1</f>
        <v>3</v>
      </c>
      <c r="B478" s="128"/>
      <c r="C478" s="39" t="s">
        <v>218</v>
      </c>
      <c r="D478" s="46">
        <f t="shared" si="42"/>
        <v>604.07567999999992</v>
      </c>
      <c r="E478" s="39">
        <v>0</v>
      </c>
      <c r="F478" s="39">
        <f>D478*(($F$231)+1)+(IF(E478&lt;101,E478,IF(E478&lt;201,E478/2,IF(E478&lt;=301,E478/3,E478/4))))</f>
        <v>906.11351999999988</v>
      </c>
      <c r="G478" s="204"/>
      <c r="H478" s="205"/>
      <c r="I478" s="33"/>
      <c r="N478" s="33"/>
    </row>
    <row r="479" spans="1:14" s="34" customFormat="1" ht="15.75" customHeight="1" x14ac:dyDescent="0.25">
      <c r="A479" s="128">
        <f>A478+1</f>
        <v>4</v>
      </c>
      <c r="B479" s="128"/>
      <c r="C479" s="150" t="s">
        <v>221</v>
      </c>
      <c r="D479" s="151"/>
      <c r="E479" s="151"/>
      <c r="F479" s="152"/>
      <c r="G479" s="204"/>
      <c r="H479" s="205"/>
      <c r="I479" s="33"/>
      <c r="N479" s="33"/>
    </row>
    <row r="480" spans="1:14" s="34" customFormat="1" ht="15.75" customHeight="1" x14ac:dyDescent="0.25">
      <c r="A480" s="128">
        <v>5</v>
      </c>
      <c r="B480" s="128"/>
      <c r="C480" s="39" t="s">
        <v>218</v>
      </c>
      <c r="D480" s="46">
        <f t="shared" si="42"/>
        <v>604.07567999999992</v>
      </c>
      <c r="E480" s="39">
        <v>0</v>
      </c>
      <c r="F480" s="39">
        <f>D480*(($F$231)+1)+(IF(E480&lt;101,E480,IF(E480&lt;201,E480/2,IF(E480&lt;=301,E480/3,E480/4))))</f>
        <v>906.11351999999988</v>
      </c>
      <c r="G480" s="204"/>
      <c r="H480" s="205"/>
      <c r="I480" s="33"/>
      <c r="N480" s="33"/>
    </row>
    <row r="481" spans="1:14" s="34" customFormat="1" ht="15.75" customHeight="1" x14ac:dyDescent="0.25">
      <c r="A481" s="128">
        <v>6</v>
      </c>
      <c r="B481" s="128"/>
      <c r="C481" s="39" t="s">
        <v>218</v>
      </c>
      <c r="D481" s="46">
        <f t="shared" si="42"/>
        <v>604.07567999999992</v>
      </c>
      <c r="E481" s="39">
        <v>0</v>
      </c>
      <c r="F481" s="39">
        <f>D481*(($F$231)+1)+(IF(E481&lt;101,E481,IF(E481&lt;201,E481/2,IF(E481&lt;=301,E481/3,E481/4))))</f>
        <v>906.11351999999988</v>
      </c>
      <c r="G481" s="206"/>
      <c r="H481" s="207"/>
      <c r="I481" s="33"/>
      <c r="N481" s="33"/>
    </row>
    <row r="482" spans="1:14" s="34" customFormat="1" x14ac:dyDescent="0.25">
      <c r="A482" s="194" t="s">
        <v>222</v>
      </c>
      <c r="B482" s="194"/>
      <c r="C482" s="194"/>
      <c r="D482" s="194"/>
      <c r="E482" s="194"/>
      <c r="F482" s="194"/>
      <c r="G482" s="194"/>
      <c r="H482" s="194"/>
      <c r="I482" s="33"/>
      <c r="L482" s="127"/>
      <c r="M482" s="127"/>
    </row>
    <row r="483" spans="1:14" s="34" customFormat="1" ht="15.75" customHeight="1" x14ac:dyDescent="0.25">
      <c r="A483" s="128">
        <v>1</v>
      </c>
      <c r="B483" s="128"/>
      <c r="C483" s="39" t="s">
        <v>218</v>
      </c>
      <c r="D483" s="46">
        <f>(55.39+3.56)*10.764</f>
        <v>634.53779999999995</v>
      </c>
      <c r="E483" s="39">
        <v>0</v>
      </c>
      <c r="F483" s="39">
        <f t="shared" ref="F483:F484" si="45">D483*(($F$231)+1)+(IF(E483&lt;101,E483,IF(E483&lt;201,E483/2,IF(E483&lt;=301,E483/3,E483/4))))</f>
        <v>951.80669999999986</v>
      </c>
      <c r="G483" s="202" t="str">
        <f>A482</f>
        <v>15th to 17th, 19th to 22nd Floor</v>
      </c>
      <c r="H483" s="203"/>
      <c r="I483" s="33"/>
      <c r="N483" s="33"/>
    </row>
    <row r="484" spans="1:14" s="34" customFormat="1" ht="15.75" customHeight="1" x14ac:dyDescent="0.25">
      <c r="A484" s="128">
        <f>A483+1</f>
        <v>2</v>
      </c>
      <c r="B484" s="128"/>
      <c r="C484" s="39" t="s">
        <v>218</v>
      </c>
      <c r="D484" s="46">
        <f t="shared" ref="D484:D488" si="46">(55.39+3.56)*10.764</f>
        <v>634.53779999999995</v>
      </c>
      <c r="E484" s="39">
        <v>0</v>
      </c>
      <c r="F484" s="39">
        <f t="shared" si="45"/>
        <v>951.80669999999986</v>
      </c>
      <c r="G484" s="204"/>
      <c r="H484" s="205"/>
      <c r="I484" s="33"/>
      <c r="N484" s="33"/>
    </row>
    <row r="485" spans="1:14" s="34" customFormat="1" ht="15.75" customHeight="1" x14ac:dyDescent="0.25">
      <c r="A485" s="128">
        <f>A484+1</f>
        <v>3</v>
      </c>
      <c r="B485" s="128"/>
      <c r="C485" s="39" t="s">
        <v>218</v>
      </c>
      <c r="D485" s="46">
        <f t="shared" si="46"/>
        <v>634.53779999999995</v>
      </c>
      <c r="E485" s="39">
        <v>0</v>
      </c>
      <c r="F485" s="39">
        <f>D485*(($F$231)+1)+(IF(E485&lt;101,E485,IF(E485&lt;201,E485/2,IF(E485&lt;=301,E485/3,E485/4))))</f>
        <v>951.80669999999986</v>
      </c>
      <c r="G485" s="204"/>
      <c r="H485" s="205"/>
      <c r="I485" s="33"/>
      <c r="N485" s="33"/>
    </row>
    <row r="486" spans="1:14" s="34" customFormat="1" ht="15.75" customHeight="1" x14ac:dyDescent="0.25">
      <c r="A486" s="128">
        <f>A485+1</f>
        <v>4</v>
      </c>
      <c r="B486" s="128"/>
      <c r="C486" s="39" t="s">
        <v>218</v>
      </c>
      <c r="D486" s="46">
        <f t="shared" si="46"/>
        <v>634.53779999999995</v>
      </c>
      <c r="E486" s="39">
        <v>0</v>
      </c>
      <c r="F486" s="39">
        <f>D486*(($F$231)+1)+(IF(E486&lt;101,E486,IF(E486&lt;201,E486/2,IF(E486&lt;=301,E486/3,E486/4))))</f>
        <v>951.80669999999986</v>
      </c>
      <c r="G486" s="204"/>
      <c r="H486" s="205"/>
      <c r="I486" s="33"/>
      <c r="N486" s="33"/>
    </row>
    <row r="487" spans="1:14" s="34" customFormat="1" ht="15.75" customHeight="1" x14ac:dyDescent="0.25">
      <c r="A487" s="128">
        <v>5</v>
      </c>
      <c r="B487" s="128"/>
      <c r="C487" s="39" t="s">
        <v>218</v>
      </c>
      <c r="D487" s="46">
        <f t="shared" si="46"/>
        <v>634.53779999999995</v>
      </c>
      <c r="E487" s="39">
        <v>0</v>
      </c>
      <c r="F487" s="39">
        <f>D487*(($F$231)+1)+(IF(E487&lt;101,E487,IF(E487&lt;201,E487/2,IF(E487&lt;=301,E487/3,E487/4))))</f>
        <v>951.80669999999986</v>
      </c>
      <c r="G487" s="204"/>
      <c r="H487" s="205"/>
      <c r="I487" s="33"/>
      <c r="N487" s="33"/>
    </row>
    <row r="488" spans="1:14" s="34" customFormat="1" ht="15.75" customHeight="1" x14ac:dyDescent="0.25">
      <c r="A488" s="128">
        <v>6</v>
      </c>
      <c r="B488" s="128"/>
      <c r="C488" s="39" t="s">
        <v>218</v>
      </c>
      <c r="D488" s="46">
        <f t="shared" si="46"/>
        <v>634.53779999999995</v>
      </c>
      <c r="E488" s="39">
        <v>0</v>
      </c>
      <c r="F488" s="39">
        <f>D488*(($F$231)+1)+(IF(E488&lt;101,E488,IF(E488&lt;201,E488/2,IF(E488&lt;=301,E488/3,E488/4))))</f>
        <v>951.80669999999986</v>
      </c>
      <c r="G488" s="206"/>
      <c r="H488" s="207"/>
      <c r="I488" s="33"/>
      <c r="N488" s="33"/>
    </row>
    <row r="489" spans="1:14" s="34" customFormat="1" x14ac:dyDescent="0.25">
      <c r="A489" s="194" t="s">
        <v>223</v>
      </c>
      <c r="B489" s="194"/>
      <c r="C489" s="194"/>
      <c r="D489" s="194"/>
      <c r="E489" s="194"/>
      <c r="F489" s="194"/>
      <c r="G489" s="194"/>
      <c r="H489" s="194"/>
      <c r="I489" s="33"/>
      <c r="L489" s="127"/>
      <c r="M489" s="127"/>
    </row>
    <row r="490" spans="1:14" s="34" customFormat="1" ht="15.75" customHeight="1" x14ac:dyDescent="0.25">
      <c r="A490" s="128">
        <v>1</v>
      </c>
      <c r="B490" s="128"/>
      <c r="C490" s="39" t="s">
        <v>218</v>
      </c>
      <c r="D490" s="46">
        <f t="shared" ref="D490:D495" si="47">(55.39+3.56)*10.764</f>
        <v>634.53779999999995</v>
      </c>
      <c r="E490" s="39">
        <v>0</v>
      </c>
      <c r="F490" s="39">
        <f t="shared" ref="F490" si="48">D490*(($F$231)+1)+(IF(E490&lt;101,E490,IF(E490&lt;201,E490/2,IF(E490&lt;=301,E490/3,E490/4))))</f>
        <v>951.80669999999986</v>
      </c>
      <c r="G490" s="202" t="str">
        <f>A489</f>
        <v>18th Floor (Part Refuge Area)</v>
      </c>
      <c r="H490" s="203"/>
      <c r="I490" s="33"/>
      <c r="N490" s="33"/>
    </row>
    <row r="491" spans="1:14" s="34" customFormat="1" ht="15.75" customHeight="1" x14ac:dyDescent="0.25">
      <c r="A491" s="128">
        <f>A490+1</f>
        <v>2</v>
      </c>
      <c r="B491" s="128"/>
      <c r="C491" s="39" t="s">
        <v>218</v>
      </c>
      <c r="D491" s="46">
        <f t="shared" si="47"/>
        <v>634.53779999999995</v>
      </c>
      <c r="E491" s="39">
        <v>0</v>
      </c>
      <c r="F491" s="39">
        <f t="shared" ref="F491" si="49">D491*(($F$231)+1)+(IF(E491&lt;101,E491,IF(E491&lt;201,E491/2,IF(E491&lt;=301,E491/3,E491/4))))</f>
        <v>951.80669999999986</v>
      </c>
      <c r="G491" s="204"/>
      <c r="H491" s="205"/>
      <c r="I491" s="33"/>
      <c r="N491" s="33"/>
    </row>
    <row r="492" spans="1:14" s="34" customFormat="1" ht="15.75" customHeight="1" x14ac:dyDescent="0.25">
      <c r="A492" s="128">
        <f>A491+1</f>
        <v>3</v>
      </c>
      <c r="B492" s="128"/>
      <c r="C492" s="39" t="s">
        <v>218</v>
      </c>
      <c r="D492" s="46">
        <f t="shared" si="47"/>
        <v>634.53779999999995</v>
      </c>
      <c r="E492" s="39">
        <v>0</v>
      </c>
      <c r="F492" s="39">
        <f>D492*(($F$231)+1)+(IF(E492&lt;101,E492,IF(E492&lt;201,E492/2,IF(E492&lt;=301,E492/3,E492/4))))</f>
        <v>951.80669999999986</v>
      </c>
      <c r="G492" s="204"/>
      <c r="H492" s="205"/>
      <c r="I492" s="33"/>
      <c r="N492" s="33"/>
    </row>
    <row r="493" spans="1:14" s="34" customFormat="1" ht="15.75" customHeight="1" x14ac:dyDescent="0.25">
      <c r="A493" s="128">
        <f>A492+1</f>
        <v>4</v>
      </c>
      <c r="B493" s="128"/>
      <c r="C493" s="150" t="s">
        <v>221</v>
      </c>
      <c r="D493" s="151"/>
      <c r="E493" s="151"/>
      <c r="F493" s="152"/>
      <c r="G493" s="204"/>
      <c r="H493" s="205"/>
      <c r="I493" s="33"/>
      <c r="N493" s="33"/>
    </row>
    <row r="494" spans="1:14" s="34" customFormat="1" ht="15.75" customHeight="1" x14ac:dyDescent="0.25">
      <c r="A494" s="128">
        <v>5</v>
      </c>
      <c r="B494" s="128"/>
      <c r="C494" s="39" t="s">
        <v>218</v>
      </c>
      <c r="D494" s="46">
        <f t="shared" si="47"/>
        <v>634.53779999999995</v>
      </c>
      <c r="E494" s="39">
        <v>0</v>
      </c>
      <c r="F494" s="39">
        <f>D494*(($F$231)+1)+(IF(E494&lt;101,E494,IF(E494&lt;201,E494/2,IF(E494&lt;=301,E494/3,E494/4))))</f>
        <v>951.80669999999986</v>
      </c>
      <c r="G494" s="204"/>
      <c r="H494" s="205"/>
      <c r="I494" s="33"/>
      <c r="N494" s="33"/>
    </row>
    <row r="495" spans="1:14" s="34" customFormat="1" ht="15.75" customHeight="1" x14ac:dyDescent="0.25">
      <c r="A495" s="128">
        <v>6</v>
      </c>
      <c r="B495" s="128"/>
      <c r="C495" s="39" t="s">
        <v>218</v>
      </c>
      <c r="D495" s="46">
        <f t="shared" si="47"/>
        <v>634.53779999999995</v>
      </c>
      <c r="E495" s="39">
        <v>0</v>
      </c>
      <c r="F495" s="39">
        <f>D495*(($F$231)+1)+(IF(E495&lt;101,E495,IF(E495&lt;201,E495/2,IF(E495&lt;=301,E495/3,E495/4))))</f>
        <v>951.80669999999986</v>
      </c>
      <c r="G495" s="206"/>
      <c r="H495" s="207"/>
      <c r="I495" s="33"/>
      <c r="N495" s="33"/>
    </row>
    <row r="496" spans="1:14" s="32" customFormat="1" x14ac:dyDescent="0.25">
      <c r="A496" s="225" t="s">
        <v>70</v>
      </c>
      <c r="B496" s="225"/>
      <c r="C496" s="225"/>
      <c r="D496" s="225"/>
      <c r="E496" s="225"/>
      <c r="F496" s="225"/>
      <c r="G496" s="225"/>
      <c r="H496" s="225"/>
    </row>
    <row r="497" spans="1:8" s="32" customFormat="1" ht="129.75" customHeight="1" x14ac:dyDescent="0.25">
      <c r="A497" s="41" t="s">
        <v>161</v>
      </c>
      <c r="B497" s="187" t="s">
        <v>302</v>
      </c>
      <c r="C497" s="188"/>
      <c r="D497" s="188"/>
      <c r="E497" s="188"/>
      <c r="F497" s="188"/>
      <c r="G497" s="188"/>
      <c r="H497" s="189"/>
    </row>
    <row r="498" spans="1:8" s="32" customFormat="1" x14ac:dyDescent="0.25">
      <c r="A498" s="41" t="s">
        <v>161</v>
      </c>
      <c r="B498" s="191" t="str">
        <f>(IF(F230="Saleable area Loading :","We have considered Saleable area of Flats as per our Calculation.","We considered Saleable area of Flat as per Builder area Sheet."))</f>
        <v>We have considered Saleable area of Flats as per our Calculation.</v>
      </c>
      <c r="C498" s="192"/>
      <c r="D498" s="192"/>
      <c r="E498" s="192"/>
      <c r="F498" s="192"/>
      <c r="G498" s="192"/>
      <c r="H498" s="193"/>
    </row>
    <row r="499" spans="1:8" s="32" customFormat="1" x14ac:dyDescent="0.25">
      <c r="A499" s="41" t="s">
        <v>161</v>
      </c>
      <c r="B499" s="191" t="str">
        <f>(IF(F222="Saleable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99" s="192"/>
      <c r="D499" s="192"/>
      <c r="E499" s="192"/>
      <c r="F499" s="192"/>
      <c r="G499" s="192"/>
      <c r="H499" s="193"/>
    </row>
    <row r="500" spans="1:8" s="32" customFormat="1" x14ac:dyDescent="0.25">
      <c r="A500" s="41" t="s">
        <v>161</v>
      </c>
      <c r="B500" s="184" t="s">
        <v>128</v>
      </c>
      <c r="C500" s="185"/>
      <c r="D500" s="185"/>
      <c r="E500" s="185"/>
      <c r="F500" s="185"/>
      <c r="G500" s="185"/>
      <c r="H500" s="186"/>
    </row>
    <row r="501" spans="1:8" s="32" customFormat="1" x14ac:dyDescent="0.25">
      <c r="A501" s="41" t="s">
        <v>161</v>
      </c>
      <c r="B501" s="184" t="s">
        <v>247</v>
      </c>
      <c r="C501" s="185"/>
      <c r="D501" s="185"/>
      <c r="E501" s="185"/>
      <c r="F501" s="185"/>
      <c r="G501" s="185"/>
      <c r="H501" s="186"/>
    </row>
    <row r="502" spans="1:8" s="32" customFormat="1" x14ac:dyDescent="0.25">
      <c r="A502" s="41" t="s">
        <v>161</v>
      </c>
      <c r="B502" s="184" t="s">
        <v>160</v>
      </c>
      <c r="C502" s="185"/>
      <c r="D502" s="185"/>
      <c r="E502" s="185"/>
      <c r="F502" s="185"/>
      <c r="G502" s="185"/>
      <c r="H502" s="186"/>
    </row>
    <row r="503" spans="1:8" s="32" customFormat="1" x14ac:dyDescent="0.25">
      <c r="A503" s="41" t="s">
        <v>161</v>
      </c>
      <c r="B503" s="184" t="s">
        <v>129</v>
      </c>
      <c r="C503" s="185"/>
      <c r="D503" s="185"/>
      <c r="E503" s="185"/>
      <c r="F503" s="185"/>
      <c r="G503" s="185"/>
      <c r="H503" s="186"/>
    </row>
    <row r="504" spans="1:8" s="32" customFormat="1" ht="34.5" customHeight="1" x14ac:dyDescent="0.25">
      <c r="A504" s="41" t="s">
        <v>161</v>
      </c>
      <c r="B504" s="184" t="s">
        <v>162</v>
      </c>
      <c r="C504" s="185"/>
      <c r="D504" s="185"/>
      <c r="E504" s="185"/>
      <c r="F504" s="185"/>
      <c r="G504" s="185"/>
      <c r="H504" s="186"/>
    </row>
    <row r="505" spans="1:8" s="32" customFormat="1" x14ac:dyDescent="0.25">
      <c r="A505" s="41" t="s">
        <v>161</v>
      </c>
      <c r="B505" s="184" t="s">
        <v>130</v>
      </c>
      <c r="C505" s="185"/>
      <c r="D505" s="185"/>
      <c r="E505" s="185"/>
      <c r="F505" s="185"/>
      <c r="G505" s="185"/>
      <c r="H505" s="186"/>
    </row>
    <row r="506" spans="1:8" s="32" customFormat="1" hidden="1" x14ac:dyDescent="0.25">
      <c r="A506" s="41" t="s">
        <v>161</v>
      </c>
      <c r="B506" s="187" t="s">
        <v>262</v>
      </c>
      <c r="C506" s="188"/>
      <c r="D506" s="188"/>
      <c r="E506" s="188"/>
      <c r="F506" s="188"/>
      <c r="G506" s="188"/>
      <c r="H506" s="189"/>
    </row>
    <row r="507" spans="1:8" s="32" customFormat="1" x14ac:dyDescent="0.25">
      <c r="A507" s="41" t="s">
        <v>161</v>
      </c>
      <c r="B507" s="187" t="s">
        <v>258</v>
      </c>
      <c r="C507" s="188"/>
      <c r="D507" s="188"/>
      <c r="E507" s="188"/>
      <c r="F507" s="188"/>
      <c r="G507" s="188"/>
      <c r="H507" s="189"/>
    </row>
    <row r="508" spans="1:8" s="32" customFormat="1" x14ac:dyDescent="0.25">
      <c r="A508" s="41" t="s">
        <v>161</v>
      </c>
      <c r="B508" s="187" t="s">
        <v>280</v>
      </c>
      <c r="C508" s="188"/>
      <c r="D508" s="188"/>
      <c r="E508" s="188"/>
      <c r="F508" s="188"/>
      <c r="G508" s="188"/>
      <c r="H508" s="189"/>
    </row>
    <row r="509" spans="1:8" s="32" customFormat="1" x14ac:dyDescent="0.25">
      <c r="A509" s="41" t="s">
        <v>161</v>
      </c>
      <c r="B509" s="191" t="s">
        <v>281</v>
      </c>
      <c r="C509" s="192"/>
      <c r="D509" s="192"/>
      <c r="E509" s="192"/>
      <c r="F509" s="192"/>
      <c r="G509" s="192"/>
      <c r="H509" s="193"/>
    </row>
    <row r="510" spans="1:8" s="32" customFormat="1" ht="30.95" customHeight="1" x14ac:dyDescent="0.25">
      <c r="A510" s="41" t="s">
        <v>161</v>
      </c>
      <c r="B510" s="191" t="s">
        <v>294</v>
      </c>
      <c r="C510" s="192"/>
      <c r="D510" s="192"/>
      <c r="E510" s="192"/>
      <c r="F510" s="192"/>
      <c r="G510" s="192"/>
      <c r="H510" s="193"/>
    </row>
    <row r="511" spans="1:8" s="32" customFormat="1" ht="34.15" customHeight="1" x14ac:dyDescent="0.25">
      <c r="A511" s="41" t="s">
        <v>161</v>
      </c>
      <c r="B511" s="191" t="s">
        <v>301</v>
      </c>
      <c r="C511" s="192"/>
      <c r="D511" s="192"/>
      <c r="E511" s="192"/>
      <c r="F511" s="192"/>
      <c r="G511" s="192"/>
      <c r="H511" s="193"/>
    </row>
    <row r="512" spans="1:8" x14ac:dyDescent="0.25">
      <c r="A512" s="168" t="s">
        <v>63</v>
      </c>
      <c r="B512" s="168"/>
      <c r="C512" s="168"/>
      <c r="D512" s="168"/>
      <c r="E512" s="168"/>
      <c r="F512" s="168"/>
      <c r="G512" s="168"/>
      <c r="H512" s="168"/>
    </row>
    <row r="513" spans="1:8" x14ac:dyDescent="0.25">
      <c r="A513" s="84" t="s">
        <v>64</v>
      </c>
      <c r="B513" s="84"/>
      <c r="C513" s="84"/>
      <c r="D513" s="84"/>
      <c r="E513" s="84"/>
      <c r="F513" s="84"/>
      <c r="G513" s="84"/>
      <c r="H513" s="84"/>
    </row>
    <row r="514" spans="1:8" ht="15.75" customHeight="1" x14ac:dyDescent="0.25">
      <c r="A514" s="190" t="s">
        <v>65</v>
      </c>
      <c r="B514" s="190"/>
      <c r="C514" s="190"/>
      <c r="D514" s="190"/>
      <c r="E514" s="190"/>
      <c r="F514" s="190"/>
      <c r="G514" s="190"/>
      <c r="H514" s="190"/>
    </row>
    <row r="515" spans="1:8" x14ac:dyDescent="0.25">
      <c r="A515" s="84" t="s">
        <v>66</v>
      </c>
      <c r="B515" s="84"/>
      <c r="C515" s="84"/>
      <c r="D515" s="84"/>
      <c r="E515" s="84"/>
      <c r="F515" s="84"/>
      <c r="G515" s="84"/>
      <c r="H515" s="84"/>
    </row>
    <row r="516" spans="1:8" x14ac:dyDescent="0.25">
      <c r="A516" s="84" t="s">
        <v>67</v>
      </c>
      <c r="B516" s="84"/>
      <c r="C516" s="84"/>
      <c r="D516" s="84"/>
      <c r="E516" s="84"/>
      <c r="F516" s="84"/>
      <c r="G516" s="84"/>
      <c r="H516" s="84"/>
    </row>
    <row r="517" spans="1:8" x14ac:dyDescent="0.25">
      <c r="A517" s="84" t="s">
        <v>131</v>
      </c>
      <c r="B517" s="84"/>
      <c r="C517" s="84"/>
      <c r="D517" s="84"/>
      <c r="E517" s="84"/>
      <c r="F517" s="84"/>
      <c r="G517" s="84"/>
      <c r="H517" s="84"/>
    </row>
    <row r="518" spans="1:8" ht="35.25" hidden="1" customHeight="1" x14ac:dyDescent="0.25">
      <c r="A518" s="92" t="s">
        <v>132</v>
      </c>
      <c r="B518" s="92"/>
      <c r="C518" s="92"/>
      <c r="D518" s="92"/>
      <c r="E518" s="92"/>
      <c r="F518" s="92"/>
      <c r="G518" s="92"/>
      <c r="H518" s="92"/>
    </row>
    <row r="519" spans="1:8" x14ac:dyDescent="0.25">
      <c r="A519" s="183" t="s">
        <v>79</v>
      </c>
      <c r="B519" s="183"/>
      <c r="C519" s="183" t="s">
        <v>297</v>
      </c>
      <c r="D519" s="183"/>
      <c r="E519" s="183" t="s">
        <v>108</v>
      </c>
      <c r="F519" s="183"/>
      <c r="G519" s="183" t="s">
        <v>303</v>
      </c>
      <c r="H519" s="183"/>
    </row>
    <row r="520" spans="1:8" x14ac:dyDescent="0.25">
      <c r="A520" s="182" t="s">
        <v>81</v>
      </c>
      <c r="B520" s="182"/>
      <c r="C520" s="182"/>
      <c r="D520" s="182"/>
      <c r="E520" s="182"/>
      <c r="F520" s="182"/>
      <c r="G520" s="182"/>
      <c r="H520" s="182"/>
    </row>
    <row r="521" spans="1:8" x14ac:dyDescent="0.25">
      <c r="A521" s="182"/>
      <c r="B521" s="182"/>
      <c r="C521" s="182"/>
      <c r="D521" s="182"/>
      <c r="E521" s="182"/>
      <c r="F521" s="182"/>
      <c r="G521" s="182"/>
      <c r="H521" s="182"/>
    </row>
    <row r="522" spans="1:8" x14ac:dyDescent="0.25">
      <c r="A522" s="182"/>
      <c r="B522" s="182"/>
      <c r="C522" s="182"/>
      <c r="D522" s="182"/>
      <c r="E522" s="182"/>
      <c r="F522" s="182"/>
      <c r="G522" s="182"/>
      <c r="H522" s="182"/>
    </row>
    <row r="523" spans="1:8" x14ac:dyDescent="0.25">
      <c r="A523" s="182"/>
      <c r="B523" s="182"/>
      <c r="C523" s="182"/>
      <c r="D523" s="182"/>
      <c r="E523" s="182"/>
      <c r="F523" s="182"/>
      <c r="G523" s="182"/>
      <c r="H523" s="182"/>
    </row>
    <row r="524" spans="1:8" x14ac:dyDescent="0.25">
      <c r="A524" s="35" t="s">
        <v>68</v>
      </c>
      <c r="B524" s="36"/>
      <c r="C524" s="36"/>
      <c r="D524" s="35" t="str">
        <f>E8</f>
        <v>Sunteck Beach Residences</v>
      </c>
      <c r="F524" s="36"/>
      <c r="G524" s="36"/>
      <c r="H524" s="36"/>
    </row>
    <row r="525" spans="1:8" x14ac:dyDescent="0.25">
      <c r="A525" s="36"/>
      <c r="B525" s="36"/>
      <c r="C525" s="36"/>
      <c r="D525" s="36"/>
      <c r="E525" s="36"/>
      <c r="F525" s="36"/>
      <c r="G525" s="36"/>
      <c r="H525" s="36"/>
    </row>
    <row r="526" spans="1:8" x14ac:dyDescent="0.25">
      <c r="A526" s="36"/>
      <c r="B526" s="36"/>
      <c r="C526" s="36"/>
      <c r="D526" s="36"/>
      <c r="E526" s="36"/>
      <c r="F526" s="36"/>
      <c r="G526" s="36"/>
      <c r="H526" s="36"/>
    </row>
    <row r="527" spans="1:8" ht="15" customHeight="1" x14ac:dyDescent="0.25"/>
    <row r="566" spans="1:1" x14ac:dyDescent="0.25">
      <c r="A566" s="38" t="s">
        <v>69</v>
      </c>
    </row>
    <row r="605" hidden="1" x14ac:dyDescent="0.25"/>
    <row r="606" hidden="1" x14ac:dyDescent="0.25"/>
    <row r="607" hidden="1" x14ac:dyDescent="0.25"/>
    <row r="608" hidden="1" x14ac:dyDescent="0.25"/>
    <row r="609" spans="1:1" hidden="1" x14ac:dyDescent="0.25"/>
    <row r="610" spans="1:1" x14ac:dyDescent="0.25">
      <c r="A610" s="38" t="s">
        <v>244</v>
      </c>
    </row>
  </sheetData>
  <mergeCells count="827">
    <mergeCell ref="A155:B155"/>
    <mergeCell ref="C155:H155"/>
    <mergeCell ref="A157:B157"/>
    <mergeCell ref="C157:H157"/>
    <mergeCell ref="A158:B158"/>
    <mergeCell ref="E158:F158"/>
    <mergeCell ref="G158:H158"/>
    <mergeCell ref="A159:B159"/>
    <mergeCell ref="E159:F168"/>
    <mergeCell ref="G159:H168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G241:H246"/>
    <mergeCell ref="G238:H239"/>
    <mergeCell ref="G273:H274"/>
    <mergeCell ref="G276:H279"/>
    <mergeCell ref="G313:H314"/>
    <mergeCell ref="G316:H319"/>
    <mergeCell ref="G338:H339"/>
    <mergeCell ref="G341:H344"/>
    <mergeCell ref="G408:H411"/>
    <mergeCell ref="G405:H406"/>
    <mergeCell ref="G328:H333"/>
    <mergeCell ref="G321:H326"/>
    <mergeCell ref="G302:H307"/>
    <mergeCell ref="G295:H300"/>
    <mergeCell ref="G288:H293"/>
    <mergeCell ref="G281:H286"/>
    <mergeCell ref="G262:H267"/>
    <mergeCell ref="G255:H260"/>
    <mergeCell ref="G248:H253"/>
    <mergeCell ref="G371:H376"/>
    <mergeCell ref="A380:H380"/>
    <mergeCell ref="A381:B381"/>
    <mergeCell ref="A382:B382"/>
    <mergeCell ref="G381:H386"/>
    <mergeCell ref="C375:F376"/>
    <mergeCell ref="A376:B376"/>
    <mergeCell ref="A387:H387"/>
    <mergeCell ref="A494:B494"/>
    <mergeCell ref="A470:B470"/>
    <mergeCell ref="A471:B471"/>
    <mergeCell ref="A472:B472"/>
    <mergeCell ref="A473:B473"/>
    <mergeCell ref="A474:B474"/>
    <mergeCell ref="A468:H468"/>
    <mergeCell ref="A457:B457"/>
    <mergeCell ref="A458:B458"/>
    <mergeCell ref="A454:H454"/>
    <mergeCell ref="A445:B445"/>
    <mergeCell ref="A446:B446"/>
    <mergeCell ref="C441:F441"/>
    <mergeCell ref="A447:H447"/>
    <mergeCell ref="A419:H419"/>
    <mergeCell ref="A414:B414"/>
    <mergeCell ref="A415:B415"/>
    <mergeCell ref="A416:B416"/>
    <mergeCell ref="A417:B417"/>
    <mergeCell ref="A418:B418"/>
    <mergeCell ref="G413:H418"/>
    <mergeCell ref="A495:B495"/>
    <mergeCell ref="C493:F493"/>
    <mergeCell ref="B499:H499"/>
    <mergeCell ref="A493:B493"/>
    <mergeCell ref="A481:B481"/>
    <mergeCell ref="B498:H498"/>
    <mergeCell ref="G490:H495"/>
    <mergeCell ref="G483:H488"/>
    <mergeCell ref="G476:H481"/>
    <mergeCell ref="B497:H497"/>
    <mergeCell ref="A496:H496"/>
    <mergeCell ref="L489:M489"/>
    <mergeCell ref="A490:B490"/>
    <mergeCell ref="A491:B491"/>
    <mergeCell ref="A492:B492"/>
    <mergeCell ref="A484:B484"/>
    <mergeCell ref="A485:B485"/>
    <mergeCell ref="A486:B486"/>
    <mergeCell ref="A487:B487"/>
    <mergeCell ref="A488:B488"/>
    <mergeCell ref="A489:H489"/>
    <mergeCell ref="L482:M482"/>
    <mergeCell ref="A483:B483"/>
    <mergeCell ref="A475:H475"/>
    <mergeCell ref="L475:M475"/>
    <mergeCell ref="A476:B476"/>
    <mergeCell ref="A477:B477"/>
    <mergeCell ref="A478:B478"/>
    <mergeCell ref="A479:B479"/>
    <mergeCell ref="A480:B480"/>
    <mergeCell ref="C479:F479"/>
    <mergeCell ref="A482:H482"/>
    <mergeCell ref="L468:M468"/>
    <mergeCell ref="A469:B469"/>
    <mergeCell ref="A459:B459"/>
    <mergeCell ref="A460:B460"/>
    <mergeCell ref="A461:H461"/>
    <mergeCell ref="A463:H463"/>
    <mergeCell ref="A464:H464"/>
    <mergeCell ref="A465:H465"/>
    <mergeCell ref="A462:H462"/>
    <mergeCell ref="A466:B466"/>
    <mergeCell ref="G469:H474"/>
    <mergeCell ref="G455:H460"/>
    <mergeCell ref="G466:H467"/>
    <mergeCell ref="C455:F455"/>
    <mergeCell ref="L466:M466"/>
    <mergeCell ref="A467:B467"/>
    <mergeCell ref="L467:M467"/>
    <mergeCell ref="L454:M454"/>
    <mergeCell ref="A455:B455"/>
    <mergeCell ref="A456:B456"/>
    <mergeCell ref="A449:B449"/>
    <mergeCell ref="A450:B450"/>
    <mergeCell ref="A451:B451"/>
    <mergeCell ref="A452:B452"/>
    <mergeCell ref="A453:B453"/>
    <mergeCell ref="G448:H453"/>
    <mergeCell ref="L447:M447"/>
    <mergeCell ref="A448:B448"/>
    <mergeCell ref="G441:H446"/>
    <mergeCell ref="L440:M440"/>
    <mergeCell ref="A441:B441"/>
    <mergeCell ref="A442:B442"/>
    <mergeCell ref="A443:B443"/>
    <mergeCell ref="A444:B444"/>
    <mergeCell ref="A436:B436"/>
    <mergeCell ref="A437:B437"/>
    <mergeCell ref="A438:B438"/>
    <mergeCell ref="A439:B439"/>
    <mergeCell ref="A440:H440"/>
    <mergeCell ref="G434:H439"/>
    <mergeCell ref="L431:M431"/>
    <mergeCell ref="A432:B432"/>
    <mergeCell ref="L432:M432"/>
    <mergeCell ref="A433:H433"/>
    <mergeCell ref="L433:M433"/>
    <mergeCell ref="A434:B434"/>
    <mergeCell ref="A435:B435"/>
    <mergeCell ref="G431:H432"/>
    <mergeCell ref="A424:B424"/>
    <mergeCell ref="A425:B425"/>
    <mergeCell ref="A426:H426"/>
    <mergeCell ref="A428:H428"/>
    <mergeCell ref="A429:H429"/>
    <mergeCell ref="A430:H430"/>
    <mergeCell ref="A431:B431"/>
    <mergeCell ref="A427:H427"/>
    <mergeCell ref="G420:H425"/>
    <mergeCell ref="A420:B420"/>
    <mergeCell ref="A421:B421"/>
    <mergeCell ref="A422:B422"/>
    <mergeCell ref="C422:F422"/>
    <mergeCell ref="A423:B423"/>
    <mergeCell ref="A402:H402"/>
    <mergeCell ref="A409:B409"/>
    <mergeCell ref="A410:B410"/>
    <mergeCell ref="A411:B411"/>
    <mergeCell ref="A412:H412"/>
    <mergeCell ref="A413:B413"/>
    <mergeCell ref="A403:H403"/>
    <mergeCell ref="A404:H404"/>
    <mergeCell ref="A405:B405"/>
    <mergeCell ref="A406:B406"/>
    <mergeCell ref="A407:H407"/>
    <mergeCell ref="A408:B408"/>
    <mergeCell ref="A395:B395"/>
    <mergeCell ref="A396:B396"/>
    <mergeCell ref="A397:B397"/>
    <mergeCell ref="A398:B398"/>
    <mergeCell ref="A399:B399"/>
    <mergeCell ref="G395:H400"/>
    <mergeCell ref="A400:B400"/>
    <mergeCell ref="C399:F399"/>
    <mergeCell ref="A401:H401"/>
    <mergeCell ref="A383:B383"/>
    <mergeCell ref="A384:B384"/>
    <mergeCell ref="A385:B385"/>
    <mergeCell ref="A386:B386"/>
    <mergeCell ref="A394:H394"/>
    <mergeCell ref="A388:B388"/>
    <mergeCell ref="G388:H393"/>
    <mergeCell ref="A389:B389"/>
    <mergeCell ref="A390:B390"/>
    <mergeCell ref="A391:B391"/>
    <mergeCell ref="A392:B392"/>
    <mergeCell ref="A393:B393"/>
    <mergeCell ref="C392:F392"/>
    <mergeCell ref="A359:H359"/>
    <mergeCell ref="A361:H361"/>
    <mergeCell ref="A362:H362"/>
    <mergeCell ref="A377:H377"/>
    <mergeCell ref="A378:B378"/>
    <mergeCell ref="G378:H379"/>
    <mergeCell ref="A379:B379"/>
    <mergeCell ref="A370:H370"/>
    <mergeCell ref="A360:H360"/>
    <mergeCell ref="A363:H363"/>
    <mergeCell ref="A364:B364"/>
    <mergeCell ref="G364:H369"/>
    <mergeCell ref="A365:B365"/>
    <mergeCell ref="A366:B366"/>
    <mergeCell ref="A367:B367"/>
    <mergeCell ref="A368:B368"/>
    <mergeCell ref="A369:B369"/>
    <mergeCell ref="C366:F367"/>
    <mergeCell ref="C368:F369"/>
    <mergeCell ref="A371:B371"/>
    <mergeCell ref="A372:B372"/>
    <mergeCell ref="A373:B373"/>
    <mergeCell ref="A374:B374"/>
    <mergeCell ref="A375:B375"/>
    <mergeCell ref="A353:B353"/>
    <mergeCell ref="A354:B354"/>
    <mergeCell ref="A355:B355"/>
    <mergeCell ref="C355:F355"/>
    <mergeCell ref="A356:B356"/>
    <mergeCell ref="G353:H358"/>
    <mergeCell ref="A348:B348"/>
    <mergeCell ref="A349:B349"/>
    <mergeCell ref="A350:B350"/>
    <mergeCell ref="A351:B351"/>
    <mergeCell ref="A352:H352"/>
    <mergeCell ref="G346:H351"/>
    <mergeCell ref="A357:B357"/>
    <mergeCell ref="A358:B358"/>
    <mergeCell ref="A308:H308"/>
    <mergeCell ref="A310:H310"/>
    <mergeCell ref="A309:H309"/>
    <mergeCell ref="A311:H311"/>
    <mergeCell ref="A312:H312"/>
    <mergeCell ref="A320:H320"/>
    <mergeCell ref="A323:B323"/>
    <mergeCell ref="A324:B324"/>
    <mergeCell ref="A321:B321"/>
    <mergeCell ref="A322:B322"/>
    <mergeCell ref="A313:B313"/>
    <mergeCell ref="A314:B314"/>
    <mergeCell ref="A318:B318"/>
    <mergeCell ref="A315:H315"/>
    <mergeCell ref="A316:B316"/>
    <mergeCell ref="A317:B317"/>
    <mergeCell ref="A319:B319"/>
    <mergeCell ref="A304:B304"/>
    <mergeCell ref="A305:B305"/>
    <mergeCell ref="A306:B306"/>
    <mergeCell ref="A307:B307"/>
    <mergeCell ref="C304:F304"/>
    <mergeCell ref="A299:B299"/>
    <mergeCell ref="A300:B300"/>
    <mergeCell ref="A301:H301"/>
    <mergeCell ref="L301:M301"/>
    <mergeCell ref="A302:B302"/>
    <mergeCell ref="A303:B303"/>
    <mergeCell ref="A294:H294"/>
    <mergeCell ref="L294:M294"/>
    <mergeCell ref="A295:B295"/>
    <mergeCell ref="A296:B296"/>
    <mergeCell ref="A297:B297"/>
    <mergeCell ref="A298:B298"/>
    <mergeCell ref="A290:B290"/>
    <mergeCell ref="A291:B291"/>
    <mergeCell ref="A292:B292"/>
    <mergeCell ref="A293:B293"/>
    <mergeCell ref="C290:F290"/>
    <mergeCell ref="A285:B285"/>
    <mergeCell ref="A286:B286"/>
    <mergeCell ref="A287:H287"/>
    <mergeCell ref="L287:M287"/>
    <mergeCell ref="A288:B288"/>
    <mergeCell ref="A289:B289"/>
    <mergeCell ref="L273:M273"/>
    <mergeCell ref="A274:B274"/>
    <mergeCell ref="L274:M274"/>
    <mergeCell ref="A278:B278"/>
    <mergeCell ref="A280:H280"/>
    <mergeCell ref="L280:M280"/>
    <mergeCell ref="A281:B281"/>
    <mergeCell ref="A276:B276"/>
    <mergeCell ref="A282:B282"/>
    <mergeCell ref="A283:B283"/>
    <mergeCell ref="A284:B284"/>
    <mergeCell ref="A279:B279"/>
    <mergeCell ref="A277:B277"/>
    <mergeCell ref="A275:H275"/>
    <mergeCell ref="L261:M261"/>
    <mergeCell ref="A262:B262"/>
    <mergeCell ref="A263:B263"/>
    <mergeCell ref="A264:B264"/>
    <mergeCell ref="A265:B265"/>
    <mergeCell ref="L254:M254"/>
    <mergeCell ref="A255:B255"/>
    <mergeCell ref="A256:B256"/>
    <mergeCell ref="A257:B257"/>
    <mergeCell ref="A258:B258"/>
    <mergeCell ref="A254:H254"/>
    <mergeCell ref="A261:H261"/>
    <mergeCell ref="A212:H212"/>
    <mergeCell ref="G218:H218"/>
    <mergeCell ref="A220:H220"/>
    <mergeCell ref="D222:D223"/>
    <mergeCell ref="A225:B225"/>
    <mergeCell ref="A226:B226"/>
    <mergeCell ref="A227:B227"/>
    <mergeCell ref="A228:B228"/>
    <mergeCell ref="A219:B219"/>
    <mergeCell ref="C219:D219"/>
    <mergeCell ref="E219:F219"/>
    <mergeCell ref="G219:H219"/>
    <mergeCell ref="G213:H213"/>
    <mergeCell ref="A218:B218"/>
    <mergeCell ref="E218:F218"/>
    <mergeCell ref="C213:D213"/>
    <mergeCell ref="C218:D218"/>
    <mergeCell ref="E213:F213"/>
    <mergeCell ref="G227:H227"/>
    <mergeCell ref="G225:H225"/>
    <mergeCell ref="G226:H226"/>
    <mergeCell ref="G228:H228"/>
    <mergeCell ref="A127:B127"/>
    <mergeCell ref="C127:H127"/>
    <mergeCell ref="A151:B151"/>
    <mergeCell ref="A94:B94"/>
    <mergeCell ref="F184:H184"/>
    <mergeCell ref="G199:H199"/>
    <mergeCell ref="A154:B154"/>
    <mergeCell ref="G198:H198"/>
    <mergeCell ref="A193:E193"/>
    <mergeCell ref="C199:D199"/>
    <mergeCell ref="E199:F199"/>
    <mergeCell ref="F193:H193"/>
    <mergeCell ref="A129:B129"/>
    <mergeCell ref="F196:H196"/>
    <mergeCell ref="C129:H129"/>
    <mergeCell ref="E130:F130"/>
    <mergeCell ref="G130:H130"/>
    <mergeCell ref="A189:E189"/>
    <mergeCell ref="F189:H189"/>
    <mergeCell ref="A190:E190"/>
    <mergeCell ref="A192:E192"/>
    <mergeCell ref="F186:H186"/>
    <mergeCell ref="C198:D198"/>
    <mergeCell ref="F185:H185"/>
    <mergeCell ref="F188:H188"/>
    <mergeCell ref="A149:B149"/>
    <mergeCell ref="A150:B150"/>
    <mergeCell ref="A152:B152"/>
    <mergeCell ref="A153:B153"/>
    <mergeCell ref="A186:E186"/>
    <mergeCell ref="A183:E183"/>
    <mergeCell ref="F187:H187"/>
    <mergeCell ref="A133:B133"/>
    <mergeCell ref="A134:B134"/>
    <mergeCell ref="E144:F144"/>
    <mergeCell ref="G145:H154"/>
    <mergeCell ref="A185:E185"/>
    <mergeCell ref="A187:E187"/>
    <mergeCell ref="A138:B138"/>
    <mergeCell ref="A139:B139"/>
    <mergeCell ref="A140:B140"/>
    <mergeCell ref="A145:B145"/>
    <mergeCell ref="E145:F154"/>
    <mergeCell ref="F183:H183"/>
    <mergeCell ref="A179:B179"/>
    <mergeCell ref="A180:B180"/>
    <mergeCell ref="A181:B181"/>
    <mergeCell ref="A182:B182"/>
    <mergeCell ref="A194:E194"/>
    <mergeCell ref="E208:F208"/>
    <mergeCell ref="G208:H208"/>
    <mergeCell ref="A209:B209"/>
    <mergeCell ref="G209:H209"/>
    <mergeCell ref="A210:B210"/>
    <mergeCell ref="C210:D210"/>
    <mergeCell ref="E210:F210"/>
    <mergeCell ref="C200:D200"/>
    <mergeCell ref="E200:F200"/>
    <mergeCell ref="G200:H200"/>
    <mergeCell ref="A200:B200"/>
    <mergeCell ref="A203:B203"/>
    <mergeCell ref="C203:D203"/>
    <mergeCell ref="E203:F203"/>
    <mergeCell ref="A207:H207"/>
    <mergeCell ref="A208:B208"/>
    <mergeCell ref="C208:D208"/>
    <mergeCell ref="A205:B205"/>
    <mergeCell ref="C205:D205"/>
    <mergeCell ref="E205:F205"/>
    <mergeCell ref="G205:H205"/>
    <mergeCell ref="A206:B206"/>
    <mergeCell ref="C230:C231"/>
    <mergeCell ref="A215:B215"/>
    <mergeCell ref="C215:D215"/>
    <mergeCell ref="E215:F215"/>
    <mergeCell ref="G215:H215"/>
    <mergeCell ref="A217:B217"/>
    <mergeCell ref="C217:D217"/>
    <mergeCell ref="E217:F217"/>
    <mergeCell ref="G217:H217"/>
    <mergeCell ref="A221:H221"/>
    <mergeCell ref="G68:H69"/>
    <mergeCell ref="A66:B66"/>
    <mergeCell ref="A67:B67"/>
    <mergeCell ref="C65:D65"/>
    <mergeCell ref="E198:F198"/>
    <mergeCell ref="A198:B198"/>
    <mergeCell ref="F191:H191"/>
    <mergeCell ref="A197:H197"/>
    <mergeCell ref="F194:H194"/>
    <mergeCell ref="F192:H192"/>
    <mergeCell ref="A191:E191"/>
    <mergeCell ref="A195:E195"/>
    <mergeCell ref="F195:H195"/>
    <mergeCell ref="A196:E196"/>
    <mergeCell ref="A130:B130"/>
    <mergeCell ref="A146:B146"/>
    <mergeCell ref="A147:B147"/>
    <mergeCell ref="G131:H140"/>
    <mergeCell ref="A132:B132"/>
    <mergeCell ref="A135:B135"/>
    <mergeCell ref="A136:B136"/>
    <mergeCell ref="A137:B137"/>
    <mergeCell ref="A148:B148"/>
    <mergeCell ref="A188:E188"/>
    <mergeCell ref="A267:B267"/>
    <mergeCell ref="C266:F266"/>
    <mergeCell ref="A273:B273"/>
    <mergeCell ref="A244:B244"/>
    <mergeCell ref="G47:H47"/>
    <mergeCell ref="G53:H53"/>
    <mergeCell ref="D63:H63"/>
    <mergeCell ref="A48:B48"/>
    <mergeCell ref="E69:F69"/>
    <mergeCell ref="A49:B50"/>
    <mergeCell ref="C49:E49"/>
    <mergeCell ref="G60:H60"/>
    <mergeCell ref="C69:D69"/>
    <mergeCell ref="A53:B54"/>
    <mergeCell ref="C56:E56"/>
    <mergeCell ref="G56:H56"/>
    <mergeCell ref="A57:B58"/>
    <mergeCell ref="C57:E57"/>
    <mergeCell ref="G57:H57"/>
    <mergeCell ref="C58:H58"/>
    <mergeCell ref="A55:H55"/>
    <mergeCell ref="A68:B68"/>
    <mergeCell ref="A269:H269"/>
    <mergeCell ref="G66:H67"/>
    <mergeCell ref="A270:H270"/>
    <mergeCell ref="A268:H268"/>
    <mergeCell ref="A271:H271"/>
    <mergeCell ref="A272:H272"/>
    <mergeCell ref="A259:B259"/>
    <mergeCell ref="A260:B260"/>
    <mergeCell ref="B230:B231"/>
    <mergeCell ref="A233:H233"/>
    <mergeCell ref="A232:H232"/>
    <mergeCell ref="A234:H234"/>
    <mergeCell ref="A240:H240"/>
    <mergeCell ref="A252:B252"/>
    <mergeCell ref="C252:F252"/>
    <mergeCell ref="A247:H247"/>
    <mergeCell ref="A245:B245"/>
    <mergeCell ref="A249:B249"/>
    <mergeCell ref="A246:B246"/>
    <mergeCell ref="A242:B242"/>
    <mergeCell ref="A243:B243"/>
    <mergeCell ref="A241:B241"/>
    <mergeCell ref="A253:B253"/>
    <mergeCell ref="A251:B251"/>
    <mergeCell ref="A250:B250"/>
    <mergeCell ref="A266:B266"/>
    <mergeCell ref="A520:H523"/>
    <mergeCell ref="A519:B519"/>
    <mergeCell ref="E519:F519"/>
    <mergeCell ref="C519:D519"/>
    <mergeCell ref="G519:H519"/>
    <mergeCell ref="A518:H518"/>
    <mergeCell ref="B500:H500"/>
    <mergeCell ref="B501:H501"/>
    <mergeCell ref="B503:H503"/>
    <mergeCell ref="B506:H506"/>
    <mergeCell ref="B504:H504"/>
    <mergeCell ref="B502:H502"/>
    <mergeCell ref="A517:H517"/>
    <mergeCell ref="A514:H514"/>
    <mergeCell ref="A512:H512"/>
    <mergeCell ref="A513:H513"/>
    <mergeCell ref="B505:H505"/>
    <mergeCell ref="B507:H507"/>
    <mergeCell ref="A515:H515"/>
    <mergeCell ref="B508:H508"/>
    <mergeCell ref="B509:H509"/>
    <mergeCell ref="B510:H510"/>
    <mergeCell ref="A516:H516"/>
    <mergeCell ref="B511:H511"/>
    <mergeCell ref="A343:B343"/>
    <mergeCell ref="A344:B344"/>
    <mergeCell ref="A345:H345"/>
    <mergeCell ref="A346:B346"/>
    <mergeCell ref="A347:B347"/>
    <mergeCell ref="A325:B325"/>
    <mergeCell ref="A326:B326"/>
    <mergeCell ref="A333:B333"/>
    <mergeCell ref="C330:F330"/>
    <mergeCell ref="A339:B339"/>
    <mergeCell ref="A332:B332"/>
    <mergeCell ref="A334:H334"/>
    <mergeCell ref="A340:H340"/>
    <mergeCell ref="A341:B341"/>
    <mergeCell ref="A342:B342"/>
    <mergeCell ref="A327:H327"/>
    <mergeCell ref="A328:B328"/>
    <mergeCell ref="A329:B329"/>
    <mergeCell ref="A330:B330"/>
    <mergeCell ref="A331:B331"/>
    <mergeCell ref="A335:H335"/>
    <mergeCell ref="A336:H336"/>
    <mergeCell ref="A337:H337"/>
    <mergeCell ref="A338:B33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E12:H12"/>
    <mergeCell ref="A13:B13"/>
    <mergeCell ref="C13:H13"/>
    <mergeCell ref="C14:H14"/>
    <mergeCell ref="A15:B15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20:D21"/>
    <mergeCell ref="E20:H21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F31:H31"/>
    <mergeCell ref="F32:H32"/>
    <mergeCell ref="A39:D39"/>
    <mergeCell ref="E39:H39"/>
    <mergeCell ref="F34:H34"/>
    <mergeCell ref="A36:B36"/>
    <mergeCell ref="A93:B93"/>
    <mergeCell ref="A80:C80"/>
    <mergeCell ref="D80:H80"/>
    <mergeCell ref="C87:H87"/>
    <mergeCell ref="A90:B90"/>
    <mergeCell ref="A92:B92"/>
    <mergeCell ref="E88:F88"/>
    <mergeCell ref="A81:C81"/>
    <mergeCell ref="D83:H83"/>
    <mergeCell ref="A89:B89"/>
    <mergeCell ref="G88:H88"/>
    <mergeCell ref="C53:E53"/>
    <mergeCell ref="C48:E48"/>
    <mergeCell ref="C60:E60"/>
    <mergeCell ref="A38:H38"/>
    <mergeCell ref="A78:C78"/>
    <mergeCell ref="E40:H40"/>
    <mergeCell ref="A40:D40"/>
    <mergeCell ref="A35:H35"/>
    <mergeCell ref="A69:B69"/>
    <mergeCell ref="A34:B34"/>
    <mergeCell ref="C34:E34"/>
    <mergeCell ref="A82:C82"/>
    <mergeCell ref="D77:H77"/>
    <mergeCell ref="C54:H54"/>
    <mergeCell ref="A51:B52"/>
    <mergeCell ref="C51:E51"/>
    <mergeCell ref="G51:H51"/>
    <mergeCell ref="C52:H52"/>
    <mergeCell ref="A62:H62"/>
    <mergeCell ref="A63:C63"/>
    <mergeCell ref="A64:C64"/>
    <mergeCell ref="D64:H64"/>
    <mergeCell ref="C73:D73"/>
    <mergeCell ref="E66:F66"/>
    <mergeCell ref="E68:F68"/>
    <mergeCell ref="C68:D68"/>
    <mergeCell ref="A47:B47"/>
    <mergeCell ref="C47:E47"/>
    <mergeCell ref="D82:H82"/>
    <mergeCell ref="E43:H43"/>
    <mergeCell ref="A74:C74"/>
    <mergeCell ref="G48:H48"/>
    <mergeCell ref="A56:B56"/>
    <mergeCell ref="A96:B96"/>
    <mergeCell ref="C216:D216"/>
    <mergeCell ref="E216:F216"/>
    <mergeCell ref="G216:H216"/>
    <mergeCell ref="F190:H190"/>
    <mergeCell ref="A184:E184"/>
    <mergeCell ref="A141:B141"/>
    <mergeCell ref="C141:H141"/>
    <mergeCell ref="A224:H224"/>
    <mergeCell ref="E222:E223"/>
    <mergeCell ref="G222:H223"/>
    <mergeCell ref="A131:B131"/>
    <mergeCell ref="E131:F140"/>
    <mergeCell ref="C222:C223"/>
    <mergeCell ref="E211:F211"/>
    <mergeCell ref="G211:H211"/>
    <mergeCell ref="C209:D209"/>
    <mergeCell ref="E209:F209"/>
    <mergeCell ref="A199:B199"/>
    <mergeCell ref="G203:H203"/>
    <mergeCell ref="A204:B204"/>
    <mergeCell ref="C204:D204"/>
    <mergeCell ref="C206:D206"/>
    <mergeCell ref="E206:F206"/>
    <mergeCell ref="D75:H75"/>
    <mergeCell ref="D76:H76"/>
    <mergeCell ref="C71:D71"/>
    <mergeCell ref="C72:D72"/>
    <mergeCell ref="G70:H73"/>
    <mergeCell ref="L228:M228"/>
    <mergeCell ref="L227:M227"/>
    <mergeCell ref="L226:M226"/>
    <mergeCell ref="L225:M225"/>
    <mergeCell ref="A79:C79"/>
    <mergeCell ref="D78:H78"/>
    <mergeCell ref="E70:F70"/>
    <mergeCell ref="E71:F71"/>
    <mergeCell ref="E72:F72"/>
    <mergeCell ref="E73:F73"/>
    <mergeCell ref="A70:B70"/>
    <mergeCell ref="A71:B71"/>
    <mergeCell ref="A72:B72"/>
    <mergeCell ref="A73:B73"/>
    <mergeCell ref="C70:D70"/>
    <mergeCell ref="A95:B95"/>
    <mergeCell ref="G206:H206"/>
    <mergeCell ref="E204:F204"/>
    <mergeCell ref="G204:H204"/>
    <mergeCell ref="L240:M240"/>
    <mergeCell ref="A229:H229"/>
    <mergeCell ref="A230:A231"/>
    <mergeCell ref="L238:M238"/>
    <mergeCell ref="A239:B239"/>
    <mergeCell ref="L239:M239"/>
    <mergeCell ref="A238:B238"/>
    <mergeCell ref="A143:B143"/>
    <mergeCell ref="C143:H143"/>
    <mergeCell ref="A169:B169"/>
    <mergeCell ref="C169:H169"/>
    <mergeCell ref="A171:B171"/>
    <mergeCell ref="C171:H171"/>
    <mergeCell ref="A172:B172"/>
    <mergeCell ref="E172:F172"/>
    <mergeCell ref="G172:H172"/>
    <mergeCell ref="A173:B173"/>
    <mergeCell ref="E173:F182"/>
    <mergeCell ref="G173:H182"/>
    <mergeCell ref="A174:B174"/>
    <mergeCell ref="A175:B175"/>
    <mergeCell ref="A176:B176"/>
    <mergeCell ref="A177:B177"/>
    <mergeCell ref="A178:B178"/>
    <mergeCell ref="L247:M247"/>
    <mergeCell ref="A248:B248"/>
    <mergeCell ref="A214:B214"/>
    <mergeCell ref="C214:D214"/>
    <mergeCell ref="E214:F214"/>
    <mergeCell ref="G214:H214"/>
    <mergeCell ref="A216:B216"/>
    <mergeCell ref="A201:B201"/>
    <mergeCell ref="C201:D201"/>
    <mergeCell ref="E201:F201"/>
    <mergeCell ref="G201:H201"/>
    <mergeCell ref="A213:B213"/>
    <mergeCell ref="A237:H237"/>
    <mergeCell ref="A235:H235"/>
    <mergeCell ref="A236:H236"/>
    <mergeCell ref="A202:H202"/>
    <mergeCell ref="D230:D231"/>
    <mergeCell ref="E230:E231"/>
    <mergeCell ref="G230:H231"/>
    <mergeCell ref="G210:H210"/>
    <mergeCell ref="A211:B211"/>
    <mergeCell ref="C211:D211"/>
    <mergeCell ref="B222:B223"/>
    <mergeCell ref="A222:A223"/>
    <mergeCell ref="C36:H36"/>
    <mergeCell ref="A59:B59"/>
    <mergeCell ref="C59:E59"/>
    <mergeCell ref="G59:H59"/>
    <mergeCell ref="A60:B61"/>
    <mergeCell ref="G144:H144"/>
    <mergeCell ref="A144:B144"/>
    <mergeCell ref="E67:F67"/>
    <mergeCell ref="C66:D66"/>
    <mergeCell ref="C67:D67"/>
    <mergeCell ref="A37:B37"/>
    <mergeCell ref="C37:H37"/>
    <mergeCell ref="A46:B46"/>
    <mergeCell ref="C46:H46"/>
    <mergeCell ref="E89:F98"/>
    <mergeCell ref="G89:H98"/>
    <mergeCell ref="A97:B97"/>
    <mergeCell ref="A98:B98"/>
    <mergeCell ref="D79:H79"/>
    <mergeCell ref="A41:D41"/>
    <mergeCell ref="E41:H41"/>
    <mergeCell ref="E42:H42"/>
    <mergeCell ref="E44:H44"/>
    <mergeCell ref="A113:B113"/>
    <mergeCell ref="C113:H113"/>
    <mergeCell ref="A115:B115"/>
    <mergeCell ref="C115:H115"/>
    <mergeCell ref="A42:D42"/>
    <mergeCell ref="A88:B88"/>
    <mergeCell ref="A91:B91"/>
    <mergeCell ref="A87:B87"/>
    <mergeCell ref="A85:B85"/>
    <mergeCell ref="C85:H85"/>
    <mergeCell ref="A43:D43"/>
    <mergeCell ref="A44:D44"/>
    <mergeCell ref="A45:H45"/>
    <mergeCell ref="D74:H74"/>
    <mergeCell ref="C61:H61"/>
    <mergeCell ref="D81:H81"/>
    <mergeCell ref="A84:C84"/>
    <mergeCell ref="D84:H84"/>
    <mergeCell ref="A83:C83"/>
    <mergeCell ref="G49:H49"/>
    <mergeCell ref="C50:H50"/>
    <mergeCell ref="A65:B65"/>
    <mergeCell ref="G65:H65"/>
    <mergeCell ref="E65:F65"/>
    <mergeCell ref="A75:C77"/>
    <mergeCell ref="A116:B116"/>
    <mergeCell ref="E116:F116"/>
    <mergeCell ref="G116:H116"/>
    <mergeCell ref="A117:B117"/>
    <mergeCell ref="E117:F126"/>
    <mergeCell ref="G117:H126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99:B99"/>
    <mergeCell ref="C99:H99"/>
    <mergeCell ref="A101:B101"/>
    <mergeCell ref="C101:H101"/>
    <mergeCell ref="A102:B102"/>
    <mergeCell ref="E102:F102"/>
    <mergeCell ref="G102:H102"/>
    <mergeCell ref="A103:B103"/>
    <mergeCell ref="E103:F112"/>
    <mergeCell ref="G103:H112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</mergeCells>
  <hyperlinks>
    <hyperlink ref="C37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8" manualBreakCount="8">
    <brk id="61" max="7" man="1"/>
    <brk id="98" max="16383" man="1"/>
    <brk id="168" max="16383" man="1"/>
    <brk id="219" max="7" man="1"/>
    <brk id="495" max="16383" man="1"/>
    <brk id="523" max="16383" man="1"/>
    <brk id="565" max="16383" man="1"/>
    <brk id="60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26" t="s">
        <v>109</v>
      </c>
      <c r="C3" s="226"/>
      <c r="D3" s="226"/>
      <c r="E3" s="226"/>
      <c r="F3" s="226"/>
      <c r="G3" s="226"/>
      <c r="H3" s="226"/>
    </row>
    <row r="4" spans="1:9" x14ac:dyDescent="0.25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2025-09-19T11:30:13Z</cp:lastPrinted>
  <dcterms:created xsi:type="dcterms:W3CDTF">2019-07-16T09:29:46Z</dcterms:created>
  <dcterms:modified xsi:type="dcterms:W3CDTF">2025-09-19T11:31:39Z</dcterms:modified>
</cp:coreProperties>
</file>