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DUMP\"/>
    </mc:Choice>
  </mc:AlternateContent>
  <xr:revisionPtr revIDLastSave="0" documentId="13_ncr:1_{2F7FE3CE-4D19-4A23-81D7-1CEDC4000716}" xr6:coauthVersionLast="36" xr6:coauthVersionMax="47" xr10:uidLastSave="{00000000-0000-0000-0000-000000000000}"/>
  <bookViews>
    <workbookView xWindow="0" yWindow="0" windowWidth="20490" windowHeight="6825"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2" i="1" l="1"/>
  <c r="L152" i="1" s="1"/>
  <c r="K157" i="1"/>
  <c r="K142" i="1"/>
  <c r="L142" i="1" s="1"/>
  <c r="K147" i="1"/>
  <c r="L147" i="1" s="1"/>
  <c r="D166" i="1"/>
  <c r="D165" i="1"/>
  <c r="D164" i="1"/>
  <c r="D163" i="1"/>
  <c r="E112" i="1"/>
  <c r="H123" i="1" l="1"/>
  <c r="E161" i="1"/>
  <c r="D161" i="1"/>
  <c r="E160" i="1"/>
  <c r="D160" i="1"/>
  <c r="E159" i="1"/>
  <c r="D159" i="1"/>
  <c r="E158" i="1"/>
  <c r="D158" i="1"/>
  <c r="G156" i="1"/>
  <c r="G155" i="1"/>
  <c r="G154" i="1"/>
  <c r="G153" i="1"/>
  <c r="E156" i="1"/>
  <c r="D156" i="1"/>
  <c r="E155" i="1"/>
  <c r="D155" i="1"/>
  <c r="E154" i="1"/>
  <c r="D154" i="1"/>
  <c r="E153" i="1"/>
  <c r="D153" i="1"/>
  <c r="E151" i="1"/>
  <c r="D151" i="1"/>
  <c r="E150" i="1"/>
  <c r="D150" i="1"/>
  <c r="E149" i="1"/>
  <c r="D149" i="1"/>
  <c r="E148" i="1"/>
  <c r="D148" i="1"/>
  <c r="E146" i="1"/>
  <c r="D146" i="1"/>
  <c r="E145" i="1"/>
  <c r="D145" i="1"/>
  <c r="E144" i="1"/>
  <c r="D144" i="1"/>
  <c r="E143" i="1"/>
  <c r="D143" i="1"/>
  <c r="G141" i="1"/>
  <c r="G140" i="1"/>
  <c r="G139" i="1"/>
  <c r="G138" i="1"/>
  <c r="E141" i="1"/>
  <c r="D141" i="1"/>
  <c r="E140" i="1"/>
  <c r="D140" i="1"/>
  <c r="E139" i="1"/>
  <c r="D139" i="1"/>
  <c r="E138" i="1"/>
  <c r="D138" i="1"/>
  <c r="E133" i="1"/>
  <c r="D133" i="1"/>
  <c r="E132" i="1"/>
  <c r="D132" i="1"/>
  <c r="E131" i="1"/>
  <c r="D131" i="1"/>
  <c r="E130" i="1"/>
  <c r="D130" i="1"/>
  <c r="E129" i="1"/>
  <c r="D129" i="1"/>
  <c r="E128" i="1"/>
  <c r="D128" i="1"/>
  <c r="E127" i="1"/>
  <c r="D127" i="1"/>
  <c r="E126" i="1"/>
  <c r="D126" i="1"/>
  <c r="E125" i="1"/>
  <c r="D125" i="1"/>
  <c r="G118" i="1"/>
  <c r="E122" i="1"/>
  <c r="D122" i="1"/>
  <c r="F122" i="1" s="1"/>
  <c r="H122" i="1" s="1"/>
  <c r="E121" i="1"/>
  <c r="D121" i="1"/>
  <c r="E120" i="1"/>
  <c r="D120" i="1"/>
  <c r="E119" i="1"/>
  <c r="D119" i="1"/>
  <c r="E118" i="1"/>
  <c r="D118" i="1"/>
  <c r="D116" i="1"/>
  <c r="F116" i="1" s="1"/>
  <c r="H116" i="1" s="1"/>
  <c r="E115" i="1"/>
  <c r="D115" i="1"/>
  <c r="E114" i="1"/>
  <c r="D114" i="1"/>
  <c r="E113" i="1"/>
  <c r="D113" i="1"/>
  <c r="D112" i="1"/>
  <c r="E111" i="1"/>
  <c r="D111" i="1"/>
  <c r="J111" i="1"/>
  <c r="I156" i="1"/>
  <c r="I145" i="1"/>
  <c r="J161" i="1"/>
  <c r="I161" i="1"/>
  <c r="J158" i="1"/>
  <c r="I158" i="1"/>
  <c r="A158" i="1"/>
  <c r="A159" i="1" s="1"/>
  <c r="A160" i="1" s="1"/>
  <c r="A161" i="1" s="1"/>
  <c r="J156" i="1"/>
  <c r="J153" i="1"/>
  <c r="I153" i="1"/>
  <c r="A153" i="1"/>
  <c r="A154" i="1" s="1"/>
  <c r="A155" i="1" s="1"/>
  <c r="A156" i="1" s="1"/>
  <c r="J138" i="1"/>
  <c r="I138" i="1"/>
  <c r="J139" i="1"/>
  <c r="I139" i="1"/>
  <c r="I128" i="1"/>
  <c r="I127" i="1"/>
  <c r="I122" i="1"/>
  <c r="I119" i="1"/>
  <c r="A125" i="1"/>
  <c r="A126" i="1" s="1"/>
  <c r="A127" i="1" s="1"/>
  <c r="A128" i="1" s="1"/>
  <c r="A129" i="1" s="1"/>
  <c r="A130" i="1" s="1"/>
  <c r="A131" i="1" s="1"/>
  <c r="A132" i="1" s="1"/>
  <c r="A133" i="1" s="1"/>
  <c r="A118" i="1"/>
  <c r="A119" i="1" s="1"/>
  <c r="A120" i="1" s="1"/>
  <c r="A121" i="1" s="1"/>
  <c r="A122" i="1" s="1"/>
  <c r="A123" i="1" s="1"/>
  <c r="I115" i="1"/>
  <c r="I113" i="1"/>
  <c r="A148" i="1"/>
  <c r="F149" i="1" l="1"/>
  <c r="H149" i="1" s="1"/>
  <c r="K149" i="1" s="1"/>
  <c r="L149" i="1" s="1"/>
  <c r="F119" i="1"/>
  <c r="H119" i="1" s="1"/>
  <c r="F121" i="1"/>
  <c r="H121" i="1" s="1"/>
  <c r="F151" i="1"/>
  <c r="H151" i="1" s="1"/>
  <c r="K151" i="1" s="1"/>
  <c r="L151" i="1" s="1"/>
  <c r="F156" i="1"/>
  <c r="H156" i="1" s="1"/>
  <c r="K156" i="1" s="1"/>
  <c r="L156" i="1" s="1"/>
  <c r="F132" i="1"/>
  <c r="H132" i="1" s="1"/>
  <c r="F115" i="1"/>
  <c r="H115" i="1" s="1"/>
  <c r="F159" i="1"/>
  <c r="H159" i="1" s="1"/>
  <c r="C99" i="1"/>
  <c r="F161" i="1"/>
  <c r="H161" i="1" s="1"/>
  <c r="C98" i="1"/>
  <c r="F126" i="1"/>
  <c r="H126" i="1" s="1"/>
  <c r="C103" i="1"/>
  <c r="C104" i="1" s="1"/>
  <c r="F128" i="1"/>
  <c r="H128" i="1" s="1"/>
  <c r="F130" i="1"/>
  <c r="H130" i="1" s="1"/>
  <c r="F153" i="1"/>
  <c r="H153" i="1" s="1"/>
  <c r="K153" i="1" s="1"/>
  <c r="L153" i="1" s="1"/>
  <c r="F155" i="1"/>
  <c r="H155" i="1" s="1"/>
  <c r="K155" i="1" s="1"/>
  <c r="L155" i="1" s="1"/>
  <c r="F118" i="1"/>
  <c r="H118" i="1" s="1"/>
  <c r="F120" i="1"/>
  <c r="H120" i="1" s="1"/>
  <c r="F125" i="1"/>
  <c r="H125" i="1" s="1"/>
  <c r="F127" i="1"/>
  <c r="H127" i="1" s="1"/>
  <c r="F129" i="1"/>
  <c r="H129" i="1" s="1"/>
  <c r="F131" i="1"/>
  <c r="H131" i="1" s="1"/>
  <c r="F133" i="1"/>
  <c r="H133" i="1" s="1"/>
  <c r="F148" i="1"/>
  <c r="H148" i="1" s="1"/>
  <c r="K148" i="1" s="1"/>
  <c r="L148" i="1" s="1"/>
  <c r="F150" i="1"/>
  <c r="H150" i="1" s="1"/>
  <c r="K150" i="1" s="1"/>
  <c r="L150" i="1" s="1"/>
  <c r="F154" i="1"/>
  <c r="H154" i="1" s="1"/>
  <c r="K154" i="1" s="1"/>
  <c r="L154" i="1" s="1"/>
  <c r="F158" i="1"/>
  <c r="H158" i="1" s="1"/>
  <c r="F160" i="1"/>
  <c r="H160" i="1" s="1"/>
  <c r="K160" i="1" s="1"/>
  <c r="E43" i="1"/>
  <c r="A149" i="1"/>
  <c r="C100" i="1" l="1"/>
  <c r="G99" i="1"/>
  <c r="E99" i="1"/>
  <c r="B169" i="1"/>
  <c r="A150" i="1"/>
  <c r="F112" i="1" l="1"/>
  <c r="H112" i="1" s="1"/>
  <c r="F113" i="1"/>
  <c r="H113" i="1" s="1"/>
  <c r="F114" i="1"/>
  <c r="H114" i="1" s="1"/>
  <c r="F111" i="1"/>
  <c r="A151" i="1"/>
  <c r="H111" i="1" l="1"/>
  <c r="G98" i="1" s="1"/>
  <c r="G100" i="1" s="1"/>
  <c r="E98" i="1"/>
  <c r="E100" i="1" s="1"/>
  <c r="C54" i="1"/>
  <c r="S33" i="1" l="1"/>
  <c r="F11" i="5" l="1"/>
  <c r="G11" i="5" s="1"/>
  <c r="F10" i="5"/>
  <c r="G10" i="5" s="1"/>
  <c r="F9" i="5"/>
  <c r="G9" i="5" s="1"/>
  <c r="G8" i="5"/>
  <c r="F8" i="5"/>
  <c r="F7" i="5"/>
  <c r="G7" i="5" s="1"/>
  <c r="F6" i="5"/>
  <c r="G6" i="5" s="1"/>
  <c r="F5" i="5"/>
  <c r="G5" i="5" s="1"/>
  <c r="G12" i="5" s="1"/>
  <c r="D190" i="1"/>
  <c r="B170" i="1"/>
  <c r="F166" i="1"/>
  <c r="H166" i="1" s="1"/>
  <c r="F165" i="1"/>
  <c r="H165" i="1" s="1"/>
  <c r="F164" i="1"/>
  <c r="H164" i="1" s="1"/>
  <c r="F163" i="1"/>
  <c r="H163" i="1" s="1"/>
  <c r="F146" i="1"/>
  <c r="H146" i="1" s="1"/>
  <c r="K146" i="1" s="1"/>
  <c r="L146" i="1" s="1"/>
  <c r="F145" i="1"/>
  <c r="H145" i="1" s="1"/>
  <c r="K145" i="1" s="1"/>
  <c r="L145" i="1" s="1"/>
  <c r="F144" i="1"/>
  <c r="H144" i="1" s="1"/>
  <c r="K144" i="1" s="1"/>
  <c r="L144" i="1" s="1"/>
  <c r="F143" i="1"/>
  <c r="H143" i="1" s="1"/>
  <c r="K143" i="1" s="1"/>
  <c r="L143" i="1" s="1"/>
  <c r="F141" i="1"/>
  <c r="H141" i="1" s="1"/>
  <c r="F140" i="1"/>
  <c r="H140" i="1" s="1"/>
  <c r="K140" i="1" s="1"/>
  <c r="L140" i="1" s="1"/>
  <c r="F139" i="1"/>
  <c r="H139" i="1" s="1"/>
  <c r="K139" i="1" s="1"/>
  <c r="L139" i="1" s="1"/>
  <c r="F138" i="1"/>
  <c r="A138" i="1"/>
  <c r="A139" i="1" s="1"/>
  <c r="A140" i="1" s="1"/>
  <c r="A141" i="1" s="1"/>
  <c r="A112" i="1"/>
  <c r="A113" i="1" s="1"/>
  <c r="A114" i="1" s="1"/>
  <c r="A115" i="1" s="1"/>
  <c r="A116" i="1" s="1"/>
  <c r="C105" i="1"/>
  <c r="F95" i="1"/>
  <c r="C69" i="1"/>
  <c r="D63" i="1"/>
  <c r="D58" i="1"/>
  <c r="C51" i="1"/>
  <c r="E44" i="1"/>
  <c r="E45" i="1" s="1"/>
  <c r="E31" i="1"/>
  <c r="E28" i="1"/>
  <c r="E26" i="1"/>
  <c r="C16" i="1"/>
  <c r="I15" i="1"/>
  <c r="Z13" i="1"/>
  <c r="E8" i="1"/>
  <c r="E3" i="1"/>
  <c r="A163" i="1"/>
  <c r="H70" i="1"/>
  <c r="A143" i="1"/>
  <c r="E103" i="1" l="1"/>
  <c r="E104" i="1" s="1"/>
  <c r="E105" i="1" s="1"/>
  <c r="H138" i="1"/>
  <c r="J69" i="1"/>
  <c r="J71" i="1" s="1"/>
  <c r="J72" i="1"/>
  <c r="J73" i="1"/>
  <c r="J74" i="1"/>
  <c r="C73" i="1" s="1"/>
  <c r="D77" i="1"/>
  <c r="D79" i="1"/>
  <c r="D78" i="1"/>
  <c r="D82" i="1"/>
  <c r="D76" i="1"/>
  <c r="D81" i="1"/>
  <c r="D75" i="1"/>
  <c r="D80" i="1"/>
  <c r="B70" i="1"/>
  <c r="J75" i="1" s="1"/>
  <c r="A144" i="1"/>
  <c r="A164" i="1"/>
  <c r="G103" i="1" l="1"/>
  <c r="K138" i="1"/>
  <c r="L138" i="1" s="1"/>
  <c r="D73" i="1"/>
  <c r="J79" i="1"/>
  <c r="J77" i="1"/>
  <c r="J78" i="1"/>
  <c r="J76" i="1"/>
  <c r="J81" i="1" s="1"/>
  <c r="J82" i="1" s="1"/>
  <c r="C74" i="1" s="1"/>
  <c r="J80" i="1"/>
  <c r="A165" i="1"/>
  <c r="A145" i="1"/>
  <c r="G104" i="1" l="1"/>
  <c r="G105" i="1" s="1"/>
  <c r="J70" i="1"/>
  <c r="E73" i="1"/>
  <c r="D74" i="1"/>
  <c r="I70" i="1" s="1"/>
  <c r="G73" i="1"/>
  <c r="D67" i="1" s="1"/>
  <c r="A146" i="1"/>
  <c r="A166" i="1"/>
  <c r="F68" i="1" l="1"/>
  <c r="D68" i="1"/>
  <c r="I71" i="1"/>
  <c r="I69" i="1" s="1"/>
  <c r="C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D58" authorId="0" shapeId="0" xr:uid="{00000000-0006-0000-0000-000004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88" authorId="1" shapeId="0" xr:uid="{00000000-0006-0000-0000-000005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6" authorId="1" shapeId="0" xr:uid="{00000000-0006-0000-0000-000006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<sst xmlns="http://schemas.openxmlformats.org/spreadsheetml/2006/main" count="565" uniqueCount="357">
  <si>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</si>
  <si>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</si>
  <si>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</si>
  <si>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</si>
  <si>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</si>
  <si>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</si>
  <si>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</si>
  <si>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</si>
  <si>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</si>
  <si>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</si>
  <si>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</si>
  <si>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</si>
  <si>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</si>
  <si>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</si>
  <si>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</si>
  <si>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</si>
  <si>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</si>
  <si>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</si>
  <si>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</si>
  <si>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</si>
  <si>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</si>
  <si>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</si>
  <si>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</si>
  <si>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</si>
  <si>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</si>
  <si>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</si>
  <si>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</si>
  <si>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</si>
  <si>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</si>
  <si>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</si>
  <si>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</si>
  <si>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</si>
  <si>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</si>
  <si>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</si>
  <si>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</si>
  <si>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</si>
  <si>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</si>
  <si>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</si>
  <si>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</si>
  <si>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</si>
  <si>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</si>
  <si>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</si>
  <si>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</si>
  <si>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</si>
  <si>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</si>
  <si>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</si>
  <si>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</si>
  <si>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</si>
  <si>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</si>
  <si>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</si>
  <si>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</si>
  <si>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</si>
  <si>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</si>
  <si>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</si>
  <si>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</si>
  <si>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</si>
  <si>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</si>
  <si>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</si>
  <si>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</si>
  <si>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</si>
  <si>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</si>
  <si>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</si>
  <si>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</si>
  <si>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</si>
  <si>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</si>
  <si>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</si>
  <si>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</si>
  <si>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</si>
  <si>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</si>
  <si>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</si>
  <si>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</si>
  <si>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</si>
  <si>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</si>
  <si>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</si>
  <si>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</si>
  <si>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</si>
  <si>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</si>
  <si>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</si>
  <si>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</si>
  <si>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</si>
  <si>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</si>
  <si>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</si>
  <si>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</si>
  <si>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</si>
  <si>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</si>
  <si>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</si>
  <si>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</si>
  <si>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</si>
  <si>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</si>
  <si>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</si>
  <si>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</si>
  <si>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</si>
  <si>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</si>
  <si>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</si>
  <si>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</si>
  <si>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</si>
  <si>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</si>
  <si>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</si>
  <si>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</si>
  <si>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</si>
  <si>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</si>
  <si>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</si>
  <si>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</si>
  <si>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</si>
  <si>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</si>
  <si>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</si>
  <si>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</si>
  <si>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</si>
  <si>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</si>
  <si>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</si>
  <si>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</si>
  <si>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</si>
  <si>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</si>
  <si>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</si>
  <si>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</si>
  <si>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</si>
  <si>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</si>
  <si>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</si>
  <si>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</si>
  <si>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</si>
  <si>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</si>
  <si>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</si>
  <si>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</si>
  <si>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</si>
  <si>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</si>
  <si>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</si>
  <si>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</si>
  <si>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</si>
  <si>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</si>
  <si>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</si>
  <si>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</si>
  <si>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</si>
  <si>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</si>
  <si>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</si>
  <si>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</si>
  <si>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</si>
  <si>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</si>
  <si>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</si>
  <si>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</si>
  <si>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</si>
  <si>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</si>
  <si>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</si>
  <si>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</si>
  <si>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</si>
  <si>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</si>
  <si>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</si>
  <si>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</si>
  <si>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</si>
  <si>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</si>
  <si>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</si>
  <si>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</si>
  <si>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</si>
  <si>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</si>
  <si>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</si>
  <si>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</si>
  <si>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</si>
  <si>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</si>
  <si>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</si>
  <si>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</si>
  <si>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</si>
  <si>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</si>
  <si>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</si>
  <si>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</si>
  <si>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</si>
  <si>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</si>
  <si>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</si>
  <si>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</si>
  <si>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</si>
  <si>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</si>
  <si>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</si>
  <si>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</si>
  <si>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</si>
  <si>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</si>
  <si>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</si>
  <si>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</si>
  <si>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</si>
  <si>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</si>
  <si>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</si>
  <si>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</si>
  <si>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</si>
  <si>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</si>
  <si>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</si>
  <si>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</si>
  <si>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</si>
  <si>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</si>
  <si>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</si>
  <si>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</si>
  <si>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</si>
  <si>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</si>
  <si>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</si>
  <si>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</si>
  <si>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</si>
  <si>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</si>
  <si>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</si>
  <si>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</si>
  <si>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</si>
  <si>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</si>
  <si>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</si>
  <si>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</si>
  <si>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</si>
  <si>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</si>
  <si>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</si>
  <si>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</si>
  <si>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</si>
  <si>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</si>
  <si>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</si>
  <si>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</si>
  <si>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</si>
  <si>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</si>
  <si>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</si>
  <si>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</si>
  <si>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</si>
  <si>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</si>
  <si>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</si>
  <si>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</si>
  <si>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</si>
  <si>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</si>
  <si>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</si>
  <si>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</si>
  <si>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</si>
  <si>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</si>
  <si>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</si>
  <si>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</si>
  <si>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</si>
  <si>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</si>
  <si>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</si>
  <si>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</si>
  <si>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</si>
  <si>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</si>
  <si>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</si>
  <si>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</si>
  <si>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</si>
  <si>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</si>
  <si>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</si>
  <si>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</si>
  <si>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</si>
  <si>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</si>
  <si>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</si>
  <si>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</si>
  <si>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</si>
  <si>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</si>
  <si>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</si>
  <si>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</si>
  <si>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</si>
  <si>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</si>
  <si>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</si>
  <si>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</si>
  <si>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</si>
  <si>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</si>
  <si>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</si>
  <si>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</si>
  <si>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</si>
  <si>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</si>
  <si>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</si>
  <si>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</si>
  <si>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</si>
  <si>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</si>
  <si>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</si>
  <si>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</si>
  <si>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</si>
  <si>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</si>
  <si>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</si>
  <si>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</si>
  <si>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</si>
  <si>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</si>
  <si>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</si>
  <si>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</si>
  <si>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</si>
  <si>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</si>
  <si>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</si>
  <si>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</si>
  <si>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</si>
  <si>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</si>
  <si>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</si>
  <si>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</si>
  <si>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</si>
  <si>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</si>
  <si>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</si>
  <si>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</si>
  <si>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</si>
  <si>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</si>
  <si>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</si>
  <si>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</si>
  <si>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</si>
  <si>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</si>
  <si>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</si>
  <si>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</si>
  <si>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</si>
  <si>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</si>
  <si>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</si>
  <si>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</si>
  <si>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</si>
  <si>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</si>
  <si>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</si>
  <si>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Superior Navkar Builders
</t>
  </si>
  <si>
    <t>P51700053448</t>
  </si>
  <si>
    <t>Superior Exotica</t>
  </si>
  <si>
    <t>Plot No</t>
  </si>
  <si>
    <t>Airoli</t>
  </si>
  <si>
    <t>NRV/A-421/2024</t>
  </si>
  <si>
    <t>NMMC/TPO/ABP/421/2024</t>
  </si>
  <si>
    <t>G + 1st to 22nd Floor (Total Builtup Area = 7747.360 Sq. mtrs.)</t>
  </si>
  <si>
    <t>Shree Ganesh  Prem CHSL</t>
  </si>
  <si>
    <t>23 &amp; Sector No.07, Redevelopement of " Shree Ganesh  Prem CHSL "</t>
  </si>
  <si>
    <t>Rama Kalu Shahadkar Marg</t>
  </si>
  <si>
    <t>Om Arcade Building</t>
  </si>
  <si>
    <t>1.7 KM from Rabale Railway Station</t>
  </si>
  <si>
    <t>Rabale West</t>
  </si>
  <si>
    <t>Open Plot</t>
  </si>
  <si>
    <t>Ajay CHS</t>
  </si>
  <si>
    <t>https://maps.app.goo.gl/Hy89CLEXp2ouFixD8</t>
  </si>
  <si>
    <t>19.1446979,72.9960937</t>
  </si>
  <si>
    <t xml:space="preserve">G + 1st to 22nd Floor
</t>
  </si>
  <si>
    <t>G + 1st to 22nd Floor</t>
  </si>
  <si>
    <t>As per RERA - 31/12/2027</t>
  </si>
  <si>
    <t>Rooftop Recreation Area, Kids Play Area, Fitness Centre, Club House, Swimming Pool, Jogging Track, Senior Citizen Seating Area, etc.</t>
  </si>
  <si>
    <t>Shop</t>
  </si>
  <si>
    <t>Ground Floor For Commercial, Pump Room, Meter Room, Parking &amp; Lobby</t>
  </si>
  <si>
    <t>1st Floor For Commercial</t>
  </si>
  <si>
    <t>Office</t>
  </si>
  <si>
    <t xml:space="preserve">2nd Floor For Commercial, Fitness Centre, Creche &amp; Society Office </t>
  </si>
  <si>
    <t>3rd Floor For Residential</t>
  </si>
  <si>
    <t>2BHK</t>
  </si>
  <si>
    <t>Balcony Area</t>
  </si>
  <si>
    <t>4th to 7th, 9th to 11th &amp; 19th to 22nd Floor For Residential</t>
  </si>
  <si>
    <t>3BHK</t>
  </si>
  <si>
    <t>RERA Carpet area</t>
  </si>
  <si>
    <t>12th Floor For Residential</t>
  </si>
  <si>
    <t xml:space="preserve">13th Floor For Residential ( Refuge Area At Mid-Landing) </t>
  </si>
  <si>
    <t xml:space="preserve">14th to 17th Floor </t>
  </si>
  <si>
    <t>8th &amp; 18th Floor For Residential ( Refuge Area At Mid-Landing)</t>
  </si>
  <si>
    <t>Duplex With Ground Floor</t>
  </si>
  <si>
    <t>Shop (Duplex With 1st Floor)</t>
  </si>
  <si>
    <t>Shops</t>
  </si>
  <si>
    <t>Offices</t>
  </si>
  <si>
    <t>Flats</t>
  </si>
  <si>
    <t>We considered Gross carpet area = Net carpet + Balcony</t>
  </si>
  <si>
    <t>Flats -80, Shops -6, Offices -14</t>
  </si>
  <si>
    <t xml:space="preserve">Mr.Rakesh Limbare 9004860198
</t>
  </si>
  <si>
    <t>Garden</t>
  </si>
  <si>
    <t>Plot No.24</t>
  </si>
  <si>
    <t>Plot No.22</t>
  </si>
  <si>
    <t>15 M W Road</t>
  </si>
  <si>
    <t>Construction work is in process at the time of Visit.</t>
  </si>
  <si>
    <r>
      <t xml:space="preserve">Proposed Amenities :                                                                                                                                                                                                                         </t>
    </r>
    <r>
      <rPr>
        <b/>
        <sz val="12"/>
        <color theme="1"/>
        <rFont val="Times New Roman"/>
        <family val="1"/>
      </rPr>
      <t xml:space="preserve">                                               </t>
    </r>
  </si>
  <si>
    <r>
      <t xml:space="preserve">Shop No.
</t>
    </r>
    <r>
      <rPr>
        <b/>
        <sz val="11"/>
        <color theme="1"/>
        <rFont val="Times New Roman"/>
        <family val="1"/>
      </rPr>
      <t>(Approved Plan)</t>
    </r>
  </si>
  <si>
    <r>
      <t xml:space="preserve">Flat No.
</t>
    </r>
    <r>
      <rPr>
        <b/>
        <sz val="11"/>
        <color theme="1"/>
        <rFont val="Times New Roman"/>
        <family val="1"/>
      </rPr>
      <t>(Approved Plan)</t>
    </r>
  </si>
  <si>
    <t>Approved Plans, CC, Cost Sheet, Sale Plan.</t>
  </si>
  <si>
    <t>Society Formation Charges + Infrastructure + Maintenance</t>
  </si>
  <si>
    <t>304 terrace changed/2  by smith</t>
  </si>
  <si>
    <t>rate 15000 to 16000 &amp; 7L PK</t>
  </si>
  <si>
    <t>smith</t>
  </si>
  <si>
    <t xml:space="preserve">Recommended Rates of the Property have been revised on 22/04/2024.
</t>
  </si>
  <si>
    <t xml:space="preserve">Ms.Shraddha Patil 9619518770
</t>
  </si>
  <si>
    <t xml:space="preserve">Mr. Tiwari 976963033
</t>
  </si>
  <si>
    <t>Gaurav Panchal</t>
  </si>
  <si>
    <t>Tushar Mohite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</si>
</sst>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1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0"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6"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29" xfId="0" applyFont="1" applyFill="1" applyBorder="1"/>
    <xf numFmtId="0" fontId="23" fillId="0" borderId="30" xfId="0" applyFont="1" applyBorder="1"/>
    <xf numFmtId="0" fontId="23" fillId="0" borderId="1" xfId="0" applyFont="1" applyBorder="1"/>
    <xf numFmtId="0" fontId="23"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4" xfId="0" applyBorder="1"/>
    <xf numFmtId="0" fontId="0" fillId="0" borderId="7" xfId="0" applyBorder="1"/>
    <xf numFmtId="0" fontId="0" fillId="0" borderId="1" xfId="0" applyBorder="1" applyAlignment="1">
      <alignment vertical="top" wrapText="1"/>
    </xf>
    <xf numFmtId="1" fontId="6" fillId="0" borderId="1" xfId="1" applyNumberFormat="1" applyFont="1" applyBorder="1" applyAlignment="1">
      <alignment horizontal="center" vertical="center"/>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1" fontId="9" fillId="0" borderId="2" xfId="1" applyNumberFormat="1" applyFont="1" applyBorder="1" applyAlignment="1" applyProtection="1">
      <alignment horizontal="center" vertical="top" wrapText="1"/>
      <protection locked="0"/>
    </xf>
    <xf numFmtId="9" fontId="9" fillId="0" borderId="15" xfId="8" applyFont="1" applyFill="1" applyBorder="1" applyAlignment="1" applyProtection="1">
      <alignment horizontal="center" vertical="top" wrapText="1"/>
      <protection locked="0"/>
    </xf>
    <xf numFmtId="2" fontId="6" fillId="0" borderId="0" xfId="1" applyNumberFormat="1" applyFont="1" applyAlignment="1">
      <alignment horizontal="center" vertical="center"/>
    </xf>
    <xf numFmtId="0" fontId="6" fillId="0" borderId="3"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4" xfId="1" applyFont="1" applyBorder="1" applyAlignment="1" applyProtection="1">
      <alignment horizontal="center" vertical="top"/>
      <protection locked="0"/>
    </xf>
    <xf numFmtId="0" fontId="6" fillId="2" borderId="0" xfId="1" applyFont="1" applyFill="1" applyAlignment="1">
      <alignment horizontal="center" vertical="center"/>
    </xf>
    <xf numFmtId="0" fontId="6" fillId="2" borderId="0" xfId="1" applyFont="1" applyFill="1"/>
    <xf numFmtId="14" fontId="6" fillId="2" borderId="0" xfId="1" applyNumberFormat="1" applyFont="1" applyFill="1"/>
    <xf numFmtId="20" fontId="6" fillId="0" borderId="0" xfId="1" applyNumberFormat="1" applyFont="1"/>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24"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6" fillId="0" borderId="1"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6" fillId="0" borderId="7"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9" fillId="0" borderId="3"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21"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0" fontId="9" fillId="0" borderId="32" xfId="0" applyFont="1" applyBorder="1" applyAlignment="1" applyProtection="1">
      <alignment horizontal="center" vertical="center"/>
      <protection locked="0"/>
    </xf>
    <xf numFmtId="1" fontId="9" fillId="0" borderId="32" xfId="0" applyNumberFormat="1"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left" vertical="top" wrapText="1"/>
      <protection locked="0"/>
    </xf>
    <xf numFmtId="1" fontId="5" fillId="0" borderId="20" xfId="1" applyNumberFormat="1" applyFont="1" applyBorder="1" applyAlignment="1" applyProtection="1">
      <alignment horizontal="center" vertical="center" wrapText="1"/>
      <protection locked="0"/>
    </xf>
    <xf numFmtId="1" fontId="9" fillId="0" borderId="16"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1" fontId="9" fillId="0" borderId="2" xfId="0" applyNumberFormat="1"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9" fontId="6" fillId="0" borderId="16" xfId="8" applyFont="1" applyFill="1" applyBorder="1" applyAlignment="1" applyProtection="1">
      <alignment horizontal="center" vertical="center" wrapText="1"/>
      <protection locked="0"/>
    </xf>
    <xf numFmtId="9" fontId="6" fillId="0" borderId="17"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9" xfId="8" applyFont="1" applyFill="1" applyBorder="1" applyAlignment="1" applyProtection="1">
      <alignment horizontal="center" vertical="center" wrapText="1"/>
      <protection locked="0"/>
    </xf>
    <xf numFmtId="9" fontId="6" fillId="0" borderId="11" xfId="8"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1" fontId="28" fillId="0" borderId="2" xfId="1" applyNumberFormat="1" applyFont="1" applyBorder="1" applyAlignment="1" applyProtection="1">
      <alignment horizontal="center" vertical="top" wrapText="1"/>
      <protection locked="0"/>
    </xf>
    <xf numFmtId="1" fontId="28" fillId="0" borderId="15" xfId="1" applyNumberFormat="1"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0" fontId="24"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9" fillId="0" borderId="7" xfId="1" applyFont="1" applyBorder="1" applyAlignment="1" applyProtection="1">
      <alignment horizontal="left" vertical="top"/>
      <protection locked="0"/>
    </xf>
    <xf numFmtId="0" fontId="9" fillId="0" borderId="20"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0" fontId="9" fillId="0" borderId="12"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1" fontId="7" fillId="0" borderId="2"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8</xdr:col>
      <xdr:colOff>561976</xdr:colOff>
      <xdr:row>11</xdr:row>
      <xdr:rowOff>180975</xdr:rowOff>
    </xdr:from>
    <xdr:to>
      <xdr:col>12</xdr:col>
      <xdr:colOff>601728</xdr:colOff>
      <xdr:row>20</xdr:row>
      <xdr:rowOff>121650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77051" y="2762250"/>
          <a:ext cx="3592577" cy="2160000"/>
        </a:xfrm>
        <a:prstGeom prst="rect">
          <a:avLst/>
        </a:prstGeom>
      </xdr:spPr>
    </xdr:pic>
    <xdr:clientData/>
  </xdr:twoCellAnchor>
  <xdr:twoCellAnchor editAs="oneCell">
    <xdr:from>
      <xdr:col>1</xdr:col>
      <xdr:colOff>46776</xdr:colOff>
      <xdr:row>294</xdr:row>
      <xdr:rowOff>123825</xdr:rowOff>
    </xdr:from>
    <xdr:to>
      <xdr:col>6</xdr:col>
      <xdr:colOff>476915</xdr:colOff>
      <xdr:row>314</xdr:row>
      <xdr:rowOff>99060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831636" y="60969525"/>
          <a:ext cx="4621139" cy="3937635"/>
        </a:xfrm>
        <a:prstGeom prst="rect">
          <a:avLst/>
        </a:prstGeom>
        <a:ln>
          <a:solidFill>
            <a:schemeClr val="tx1"/>
          </a:solidFill>
        </a:ln>
      </xdr:spPr>
    </xdr:pic>
    <xdr:clientData/>
  </xdr:twoCellAnchor>
  <xdr:twoCellAnchor editAs="oneCell">
    <xdr:from>
      <xdr:col>0</xdr:col>
      <xdr:colOff>523875</xdr:colOff>
      <xdr:row>274</xdr:row>
      <xdr:rowOff>23272</xdr:rowOff>
    </xdr:from>
    <xdr:to>
      <xdr:col>7</xdr:col>
      <xdr:colOff>215438</xdr:colOff>
      <xdr:row>293</xdr:row>
      <xdr:rowOff>182797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523875" y="55011097"/>
          <a:ext cx="5273213" cy="3960000"/>
        </a:xfrm>
        <a:prstGeom prst="rect">
          <a:avLst/>
        </a:prstGeom>
        <a:ln>
          <a:solidFill>
            <a:schemeClr val="tx1"/>
          </a:solidFill>
        </a:ln>
      </xdr:spPr>
    </xdr:pic>
    <xdr:clientData/>
  </xdr:twoCellAnchor>
  <xdr:twoCellAnchor>
    <xdr:from>
      <xdr:col>3</xdr:col>
      <xdr:colOff>295275</xdr:colOff>
      <xdr:row>301</xdr:row>
      <xdr:rowOff>38100</xdr:rowOff>
    </xdr:from>
    <xdr:to>
      <xdr:col>4</xdr:col>
      <xdr:colOff>685800</xdr:colOff>
      <xdr:row>307</xdr:row>
      <xdr:rowOff>142875</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2705100" y="60426600"/>
          <a:ext cx="1304925" cy="130492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2</xdr:col>
      <xdr:colOff>47722</xdr:colOff>
      <xdr:row>250</xdr:row>
      <xdr:rowOff>161925</xdr:rowOff>
    </xdr:from>
    <xdr:to>
      <xdr:col>5</xdr:col>
      <xdr:colOff>426900</xdr:colOff>
      <xdr:row>272</xdr:row>
      <xdr:rowOff>81374</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1609822" y="52235100"/>
          <a:ext cx="2922353" cy="4320000"/>
        </a:xfrm>
        <a:prstGeom prst="rect">
          <a:avLst/>
        </a:prstGeom>
        <a:ln>
          <a:solidFill>
            <a:schemeClr val="tx1"/>
          </a:solidFill>
        </a:ln>
      </xdr:spPr>
    </xdr:pic>
    <xdr:clientData/>
  </xdr:twoCellAnchor>
  <xdr:twoCellAnchor editAs="oneCell">
    <xdr:from>
      <xdr:col>1</xdr:col>
      <xdr:colOff>657226</xdr:colOff>
      <xdr:row>232</xdr:row>
      <xdr:rowOff>21999</xdr:rowOff>
    </xdr:from>
    <xdr:to>
      <xdr:col>5</xdr:col>
      <xdr:colOff>540978</xdr:colOff>
      <xdr:row>250</xdr:row>
      <xdr:rowOff>21550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1419226" y="48494724"/>
          <a:ext cx="3227027" cy="3600000"/>
        </a:xfrm>
        <a:prstGeom prst="rect">
          <a:avLst/>
        </a:prstGeom>
        <a:ln>
          <a:solidFill>
            <a:schemeClr val="tx1"/>
          </a:solidFill>
        </a:ln>
      </xdr:spPr>
    </xdr:pic>
    <xdr:clientData/>
  </xdr:twoCellAnchor>
  <xdr:twoCellAnchor>
    <xdr:from>
      <xdr:col>8</xdr:col>
      <xdr:colOff>962026</xdr:colOff>
      <xdr:row>189</xdr:row>
      <xdr:rowOff>72389</xdr:rowOff>
    </xdr:from>
    <xdr:to>
      <xdr:col>16</xdr:col>
      <xdr:colOff>294018</xdr:colOff>
      <xdr:row>229</xdr:row>
      <xdr:rowOff>103551</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277101" y="40477439"/>
          <a:ext cx="6104267" cy="8022637"/>
          <a:chOff x="85726" y="40605074"/>
          <a:chExt cx="6148082" cy="8022637"/>
        </a:xfrm>
      </xdr:grpSpPr>
      <xdr:pic>
        <xdr:nvPicPr>
          <xdr:cNvPr id="16" name="Picture 15" descr="https://vsjcllp.vsjadon.com/upload/insp-220686-1525.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895726" y="46872524"/>
            <a:ext cx="2338082" cy="17551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20686-844.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95251" y="44667488"/>
            <a:ext cx="1579062" cy="21076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20686-847.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419475" y="44672250"/>
            <a:ext cx="2807546" cy="21076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20686-849.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85726" y="46872524"/>
            <a:ext cx="2338082" cy="17551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20686-861.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200400" y="40605074"/>
            <a:ext cx="2990114" cy="3990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20686-940.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752601" y="44667488"/>
            <a:ext cx="1579062" cy="21076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20686-925.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495550" y="46867762"/>
            <a:ext cx="1317761" cy="17551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20686-1512.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23825" y="40605074"/>
            <a:ext cx="2990114" cy="3990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379095</xdr:colOff>
      <xdr:row>189</xdr:row>
      <xdr:rowOff>148590</xdr:rowOff>
    </xdr:from>
    <xdr:to>
      <xdr:col>15</xdr:col>
      <xdr:colOff>190500</xdr:colOff>
      <xdr:row>228</xdr:row>
      <xdr:rowOff>95250</xdr:rowOff>
    </xdr:to>
    <xdr:grpSp>
      <xdr:nvGrpSpPr>
        <xdr:cNvPr id="5" name="Group 4">
          <a:extLst>
            <a:ext uri="{FF2B5EF4-FFF2-40B4-BE49-F238E27FC236}">
              <a16:creationId xmlns:a16="http://schemas.microsoft.com/office/drawing/2014/main" id="{70A76F0B-C7EB-EFBD-EB71-CF77D4A68E0A}"/>
            </a:ext>
          </a:extLst>
        </xdr:cNvPr>
        <xdr:cNvGrpSpPr/>
      </xdr:nvGrpSpPr>
      <xdr:grpSpPr>
        <a:xfrm>
          <a:off x="6694170" y="40553640"/>
          <a:ext cx="5802630" cy="7738110"/>
          <a:chOff x="434382" y="162240"/>
          <a:chExt cx="5943516" cy="8104188"/>
        </a:xfrm>
      </xdr:grpSpPr>
      <xdr:pic>
        <xdr:nvPicPr>
          <xdr:cNvPr id="6" name="Picture 5">
            <a:extLst>
              <a:ext uri="{FF2B5EF4-FFF2-40B4-BE49-F238E27FC236}">
                <a16:creationId xmlns:a16="http://schemas.microsoft.com/office/drawing/2014/main" id="{9161A494-C5E1-66E6-65CB-0AB0393CEE6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497898" y="6644927"/>
            <a:ext cx="2160000" cy="1621501"/>
          </a:xfrm>
          <a:prstGeom prst="rect">
            <a:avLst/>
          </a:prstGeom>
          <a:ln>
            <a:solidFill>
              <a:schemeClr val="tx1"/>
            </a:solidFill>
          </a:ln>
        </xdr:spPr>
      </xdr:pic>
      <xdr:pic>
        <xdr:nvPicPr>
          <xdr:cNvPr id="7" name="Picture 6">
            <a:extLst>
              <a:ext uri="{FF2B5EF4-FFF2-40B4-BE49-F238E27FC236}">
                <a16:creationId xmlns:a16="http://schemas.microsoft.com/office/drawing/2014/main" id="{484F27EE-3372-C937-2CEC-23468482B1B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34382" y="4244585"/>
            <a:ext cx="2880000" cy="2162002"/>
          </a:xfrm>
          <a:prstGeom prst="rect">
            <a:avLst/>
          </a:prstGeom>
          <a:ln>
            <a:solidFill>
              <a:schemeClr val="tx1"/>
            </a:solidFill>
          </a:ln>
        </xdr:spPr>
      </xdr:pic>
      <xdr:pic>
        <xdr:nvPicPr>
          <xdr:cNvPr id="13" name="Picture 12">
            <a:extLst>
              <a:ext uri="{FF2B5EF4-FFF2-40B4-BE49-F238E27FC236}">
                <a16:creationId xmlns:a16="http://schemas.microsoft.com/office/drawing/2014/main" id="{FBDCE7DA-4E6E-0108-1767-992AC491AD2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154382" y="6644927"/>
            <a:ext cx="2160000" cy="1621501"/>
          </a:xfrm>
          <a:prstGeom prst="rect">
            <a:avLst/>
          </a:prstGeom>
          <a:ln>
            <a:solidFill>
              <a:schemeClr val="tx1"/>
            </a:solidFill>
          </a:ln>
        </xdr:spPr>
      </xdr:pic>
      <xdr:pic>
        <xdr:nvPicPr>
          <xdr:cNvPr id="14" name="Picture 13">
            <a:extLst>
              <a:ext uri="{FF2B5EF4-FFF2-40B4-BE49-F238E27FC236}">
                <a16:creationId xmlns:a16="http://schemas.microsoft.com/office/drawing/2014/main" id="{447FFDCC-930C-CC80-ED2F-600FE9256FA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497898" y="4244585"/>
            <a:ext cx="2880000" cy="2162002"/>
          </a:xfrm>
          <a:prstGeom prst="rect">
            <a:avLst/>
          </a:prstGeom>
          <a:ln>
            <a:solidFill>
              <a:schemeClr val="tx1"/>
            </a:solidFill>
          </a:ln>
        </xdr:spPr>
      </xdr:pic>
      <xdr:pic>
        <xdr:nvPicPr>
          <xdr:cNvPr id="15" name="Picture 14">
            <a:extLst>
              <a:ext uri="{FF2B5EF4-FFF2-40B4-BE49-F238E27FC236}">
                <a16:creationId xmlns:a16="http://schemas.microsoft.com/office/drawing/2014/main" id="{F96D6759-6F57-92E4-D76E-D882E1D699B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34382" y="162240"/>
            <a:ext cx="2880000" cy="3844005"/>
          </a:xfrm>
          <a:prstGeom prst="rect">
            <a:avLst/>
          </a:prstGeom>
          <a:ln>
            <a:solidFill>
              <a:schemeClr val="tx1"/>
            </a:solidFill>
          </a:ln>
        </xdr:spPr>
      </xdr:pic>
      <xdr:pic>
        <xdr:nvPicPr>
          <xdr:cNvPr id="17" name="Picture 16">
            <a:extLst>
              <a:ext uri="{FF2B5EF4-FFF2-40B4-BE49-F238E27FC236}">
                <a16:creationId xmlns:a16="http://schemas.microsoft.com/office/drawing/2014/main" id="{BE4FCDBF-5E76-7FFC-CBF4-565BC210EB0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97898" y="162240"/>
            <a:ext cx="2880000" cy="3844005"/>
          </a:xfrm>
          <a:prstGeom prst="rect">
            <a:avLst/>
          </a:prstGeom>
          <a:ln>
            <a:solidFill>
              <a:schemeClr val="tx1"/>
            </a:solidFill>
          </a:ln>
        </xdr:spPr>
      </xdr:pic>
    </xdr:grpSp>
    <xdr:clientData/>
  </xdr:twoCellAnchor>
  <xdr:twoCellAnchor>
    <xdr:from>
      <xdr:col>0</xdr:col>
      <xdr:colOff>152401</xdr:colOff>
      <xdr:row>190</xdr:row>
      <xdr:rowOff>133349</xdr:rowOff>
    </xdr:from>
    <xdr:to>
      <xdr:col>7</xdr:col>
      <xdr:colOff>457201</xdr:colOff>
      <xdr:row>227</xdr:row>
      <xdr:rowOff>12336</xdr:rowOff>
    </xdr:to>
    <xdr:grpSp>
      <xdr:nvGrpSpPr>
        <xdr:cNvPr id="25" name="Group 24">
          <a:extLst>
            <a:ext uri="{FF2B5EF4-FFF2-40B4-BE49-F238E27FC236}">
              <a16:creationId xmlns:a16="http://schemas.microsoft.com/office/drawing/2014/main" id="{94ACB873-94F1-4029-838E-A99BB819EB9B}"/>
            </a:ext>
          </a:extLst>
        </xdr:cNvPr>
        <xdr:cNvGrpSpPr/>
      </xdr:nvGrpSpPr>
      <xdr:grpSpPr>
        <a:xfrm>
          <a:off x="152401" y="40738424"/>
          <a:ext cx="5886450" cy="7270387"/>
          <a:chOff x="-71535" y="322729"/>
          <a:chExt cx="6891289" cy="7889512"/>
        </a:xfrm>
      </xdr:grpSpPr>
      <xdr:pic>
        <xdr:nvPicPr>
          <xdr:cNvPr id="26" name="Picture 25">
            <a:extLst>
              <a:ext uri="{FF2B5EF4-FFF2-40B4-BE49-F238E27FC236}">
                <a16:creationId xmlns:a16="http://schemas.microsoft.com/office/drawing/2014/main" id="{1F731724-5A7A-4F1F-A3A2-9E83CF5E09B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71535" y="4087485"/>
            <a:ext cx="1618313" cy="2160000"/>
          </a:xfrm>
          <a:prstGeom prst="rect">
            <a:avLst/>
          </a:prstGeom>
          <a:ln>
            <a:solidFill>
              <a:schemeClr val="tx1"/>
            </a:solidFill>
          </a:ln>
        </xdr:spPr>
      </xdr:pic>
      <xdr:grpSp>
        <xdr:nvGrpSpPr>
          <xdr:cNvPr id="27" name="Group 26">
            <a:extLst>
              <a:ext uri="{FF2B5EF4-FFF2-40B4-BE49-F238E27FC236}">
                <a16:creationId xmlns:a16="http://schemas.microsoft.com/office/drawing/2014/main" id="{6B9A2EA7-4183-433D-88FB-279AEDF69EA8}"/>
              </a:ext>
            </a:extLst>
          </xdr:cNvPr>
          <xdr:cNvGrpSpPr/>
        </xdr:nvGrpSpPr>
        <xdr:grpSpPr>
          <a:xfrm>
            <a:off x="265916" y="322729"/>
            <a:ext cx="6553838" cy="7889512"/>
            <a:chOff x="265916" y="322729"/>
            <a:chExt cx="6553838" cy="7889512"/>
          </a:xfrm>
        </xdr:grpSpPr>
        <xdr:pic>
          <xdr:nvPicPr>
            <xdr:cNvPr id="28" name="Picture 27">
              <a:extLst>
                <a:ext uri="{FF2B5EF4-FFF2-40B4-BE49-F238E27FC236}">
                  <a16:creationId xmlns:a16="http://schemas.microsoft.com/office/drawing/2014/main" id="{44E2123C-1BF6-4F27-9BB6-94AD19CA58E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429000" y="322729"/>
              <a:ext cx="2697187" cy="3600000"/>
            </a:xfrm>
            <a:prstGeom prst="rect">
              <a:avLst/>
            </a:prstGeom>
            <a:ln>
              <a:solidFill>
                <a:schemeClr val="tx1"/>
              </a:solidFill>
            </a:ln>
          </xdr:spPr>
        </xdr:pic>
        <xdr:pic>
          <xdr:nvPicPr>
            <xdr:cNvPr id="29" name="Picture 28">
              <a:extLst>
                <a:ext uri="{FF2B5EF4-FFF2-40B4-BE49-F238E27FC236}">
                  <a16:creationId xmlns:a16="http://schemas.microsoft.com/office/drawing/2014/main" id="{7DB63A8F-EE6F-444F-AA12-75CA030EBC0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78222" y="322729"/>
              <a:ext cx="2697187" cy="3600000"/>
            </a:xfrm>
            <a:prstGeom prst="rect">
              <a:avLst/>
            </a:prstGeom>
            <a:ln>
              <a:solidFill>
                <a:schemeClr val="tx1"/>
              </a:solidFill>
            </a:ln>
          </xdr:spPr>
        </xdr:pic>
        <xdr:pic>
          <xdr:nvPicPr>
            <xdr:cNvPr id="30" name="Picture 29">
              <a:extLst>
                <a:ext uri="{FF2B5EF4-FFF2-40B4-BE49-F238E27FC236}">
                  <a16:creationId xmlns:a16="http://schemas.microsoft.com/office/drawing/2014/main" id="{4FAFA312-9C52-44ED-A902-EC5B41882FB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1686124" y="4087485"/>
              <a:ext cx="1618313" cy="2160000"/>
            </a:xfrm>
            <a:prstGeom prst="rect">
              <a:avLst/>
            </a:prstGeom>
            <a:ln>
              <a:solidFill>
                <a:schemeClr val="tx1"/>
              </a:solidFill>
            </a:ln>
          </xdr:spPr>
        </xdr:pic>
        <xdr:pic>
          <xdr:nvPicPr>
            <xdr:cNvPr id="32" name="Picture 31">
              <a:extLst>
                <a:ext uri="{FF2B5EF4-FFF2-40B4-BE49-F238E27FC236}">
                  <a16:creationId xmlns:a16="http://schemas.microsoft.com/office/drawing/2014/main" id="{D974C336-F040-4A32-9470-F1BD030F37E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443783" y="4087485"/>
              <a:ext cx="1618313" cy="2160000"/>
            </a:xfrm>
            <a:prstGeom prst="rect">
              <a:avLst/>
            </a:prstGeom>
            <a:ln>
              <a:solidFill>
                <a:schemeClr val="tx1"/>
              </a:solidFill>
            </a:ln>
          </xdr:spPr>
        </xdr:pic>
        <xdr:pic>
          <xdr:nvPicPr>
            <xdr:cNvPr id="33" name="Picture 32">
              <a:extLst>
                <a:ext uri="{FF2B5EF4-FFF2-40B4-BE49-F238E27FC236}">
                  <a16:creationId xmlns:a16="http://schemas.microsoft.com/office/drawing/2014/main" id="{3BAD4304-ECC6-4E16-8946-891651EF988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5201442" y="4087485"/>
              <a:ext cx="1618312" cy="2160000"/>
            </a:xfrm>
            <a:prstGeom prst="rect">
              <a:avLst/>
            </a:prstGeom>
            <a:ln>
              <a:solidFill>
                <a:schemeClr val="tx1"/>
              </a:solidFill>
            </a:ln>
          </xdr:spPr>
        </xdr:pic>
        <xdr:pic>
          <xdr:nvPicPr>
            <xdr:cNvPr id="34" name="Picture 33">
              <a:extLst>
                <a:ext uri="{FF2B5EF4-FFF2-40B4-BE49-F238E27FC236}">
                  <a16:creationId xmlns:a16="http://schemas.microsoft.com/office/drawing/2014/main" id="{FD237EB4-EA93-4706-91F3-F534FEC00FC7}"/>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2784019" y="6412241"/>
              <a:ext cx="1348594" cy="1800000"/>
            </a:xfrm>
            <a:prstGeom prst="rect">
              <a:avLst/>
            </a:prstGeom>
            <a:ln>
              <a:solidFill>
                <a:schemeClr val="tx1"/>
              </a:solidFill>
            </a:ln>
          </xdr:spPr>
        </xdr:pic>
        <xdr:pic>
          <xdr:nvPicPr>
            <xdr:cNvPr id="35" name="Picture 34">
              <a:extLst>
                <a:ext uri="{FF2B5EF4-FFF2-40B4-BE49-F238E27FC236}">
                  <a16:creationId xmlns:a16="http://schemas.microsoft.com/office/drawing/2014/main" id="{3E7319C1-0CC8-43EB-94FB-FCE8103A486D}"/>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4252939" y="6412241"/>
              <a:ext cx="2397778"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D6FB2119-CC1B-462E-B2BE-DBA6A4CFEE29}"/>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265916" y="6412241"/>
              <a:ext cx="2397778"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y89CLEXp2ouFixD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74"/>
  <sheetViews>
    <sheetView tabSelected="1" view="pageBreakPreview" topLeftCell="A202" zoomScaleNormal="100" zoomScaleSheetLayoutView="100" zoomScalePageLayoutView="85" workbookViewId="0">
      <selection activeCell="I7" sqref="I7"/>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69" t="s">
        <v>160</v>
      </c>
      <c r="B1" s="169"/>
      <c r="C1" s="169"/>
      <c r="D1" s="169"/>
      <c r="E1" s="169"/>
      <c r="F1" s="169"/>
      <c r="G1" s="169"/>
      <c r="H1" s="169"/>
    </row>
    <row r="2" spans="1:26" ht="16.5" customHeight="1" x14ac:dyDescent="0.25">
      <c r="A2" s="170" t="s">
        <v>0</v>
      </c>
      <c r="B2" s="170"/>
      <c r="C2" s="170"/>
      <c r="D2" s="170"/>
      <c r="E2" s="170"/>
      <c r="F2" s="170"/>
      <c r="G2" s="170"/>
      <c r="H2" s="170"/>
    </row>
    <row r="3" spans="1:26" x14ac:dyDescent="0.25">
      <c r="A3" s="69" t="s">
        <v>1</v>
      </c>
      <c r="B3" s="69"/>
      <c r="C3" s="69"/>
      <c r="D3" s="69"/>
      <c r="E3" s="69" t="str">
        <f ca="1">TEXT(TODAY(),"DD/MM/YYYY")</f>
        <v>19/09/2025</v>
      </c>
      <c r="F3" s="69"/>
      <c r="G3" s="69"/>
      <c r="H3" s="69"/>
      <c r="K3" s="48" t="s">
        <v>231</v>
      </c>
      <c r="L3" s="47" t="s">
        <v>229</v>
      </c>
      <c r="M3" s="47" t="s">
        <v>234</v>
      </c>
      <c r="N3" s="47" t="s">
        <v>232</v>
      </c>
      <c r="O3" s="47" t="s">
        <v>233</v>
      </c>
      <c r="P3" s="47" t="s">
        <v>235</v>
      </c>
    </row>
    <row r="4" spans="1:26" ht="15" customHeight="1" x14ac:dyDescent="0.25">
      <c r="A4" s="69" t="s">
        <v>228</v>
      </c>
      <c r="B4" s="69"/>
      <c r="C4" s="69"/>
      <c r="D4" s="69"/>
      <c r="E4" s="104" t="s">
        <v>229</v>
      </c>
      <c r="F4" s="104"/>
      <c r="G4" s="104"/>
      <c r="H4" s="104"/>
      <c r="K4" s="46" t="s">
        <v>230</v>
      </c>
      <c r="L4" s="47" t="s">
        <v>166</v>
      </c>
      <c r="M4" s="47" t="s">
        <v>239</v>
      </c>
      <c r="N4" s="47" t="s">
        <v>241</v>
      </c>
      <c r="O4" s="47" t="s">
        <v>243</v>
      </c>
      <c r="P4" s="47"/>
    </row>
    <row r="5" spans="1:26" ht="15" customHeight="1" x14ac:dyDescent="0.25">
      <c r="A5" s="69" t="s">
        <v>2</v>
      </c>
      <c r="B5" s="69"/>
      <c r="C5" s="69"/>
      <c r="D5" s="69"/>
      <c r="E5" s="104" t="s">
        <v>237</v>
      </c>
      <c r="F5" s="104"/>
      <c r="G5" s="104"/>
      <c r="H5" s="104"/>
      <c r="K5" s="46"/>
      <c r="L5" s="47" t="s">
        <v>236</v>
      </c>
      <c r="M5" s="47" t="s">
        <v>240</v>
      </c>
      <c r="N5" s="47" t="s">
        <v>242</v>
      </c>
      <c r="O5" s="47" t="s">
        <v>244</v>
      </c>
      <c r="P5" s="47"/>
    </row>
    <row r="6" spans="1:26" x14ac:dyDescent="0.25">
      <c r="A6" s="69" t="s">
        <v>3</v>
      </c>
      <c r="B6" s="69"/>
      <c r="C6" s="69"/>
      <c r="D6" s="69"/>
      <c r="E6" s="173">
        <v>45915</v>
      </c>
      <c r="F6" s="69"/>
      <c r="G6" s="69"/>
      <c r="H6" s="69"/>
      <c r="K6" s="46"/>
      <c r="L6" s="47" t="s">
        <v>237</v>
      </c>
      <c r="M6" s="47"/>
      <c r="N6" s="47"/>
      <c r="O6" s="47" t="s">
        <v>245</v>
      </c>
      <c r="P6" s="47"/>
    </row>
    <row r="7" spans="1:26" ht="16.5" customHeight="1" x14ac:dyDescent="0.25">
      <c r="A7" s="69" t="s">
        <v>4</v>
      </c>
      <c r="B7" s="69"/>
      <c r="C7" s="69"/>
      <c r="D7" s="69"/>
      <c r="E7" s="68" t="s">
        <v>294</v>
      </c>
      <c r="F7" s="69"/>
      <c r="G7" s="69"/>
      <c r="H7" s="69"/>
      <c r="K7" s="46"/>
      <c r="L7" s="47" t="s">
        <v>238</v>
      </c>
      <c r="M7" s="47"/>
      <c r="N7" s="47"/>
      <c r="O7" s="47" t="s">
        <v>245</v>
      </c>
      <c r="P7" s="47"/>
    </row>
    <row r="8" spans="1:26" ht="15" customHeight="1" x14ac:dyDescent="0.25">
      <c r="A8" s="69" t="s">
        <v>5</v>
      </c>
      <c r="B8" s="69"/>
      <c r="C8" s="69"/>
      <c r="D8" s="69"/>
      <c r="E8" s="69" t="str">
        <f>E7</f>
        <v xml:space="preserve">Superior Navkar Builders
</v>
      </c>
      <c r="F8" s="69"/>
      <c r="G8" s="69"/>
      <c r="H8" s="69"/>
      <c r="K8" s="46"/>
      <c r="L8" s="47"/>
      <c r="M8" s="47"/>
      <c r="N8" s="47"/>
      <c r="O8" s="47" t="s">
        <v>246</v>
      </c>
      <c r="P8" s="47"/>
    </row>
    <row r="9" spans="1:26" x14ac:dyDescent="0.25">
      <c r="A9" s="69" t="s">
        <v>6</v>
      </c>
      <c r="B9" s="69"/>
      <c r="C9" s="69"/>
      <c r="D9" s="69"/>
      <c r="E9" s="171" t="s">
        <v>296</v>
      </c>
      <c r="F9" s="172"/>
      <c r="G9" s="172"/>
      <c r="H9" s="172"/>
      <c r="K9" s="46"/>
      <c r="L9" s="47"/>
      <c r="M9" s="47"/>
      <c r="N9" s="47"/>
      <c r="O9" s="47" t="s">
        <v>247</v>
      </c>
      <c r="P9" s="47"/>
    </row>
    <row r="10" spans="1:26" x14ac:dyDescent="0.25">
      <c r="A10" s="69" t="s">
        <v>163</v>
      </c>
      <c r="B10" s="69"/>
      <c r="C10" s="69"/>
      <c r="D10" s="69"/>
      <c r="E10" s="68" t="s">
        <v>338</v>
      </c>
      <c r="F10" s="69"/>
      <c r="G10" s="69"/>
      <c r="H10" s="69"/>
      <c r="I10" s="67"/>
      <c r="J10" s="67"/>
      <c r="K10" s="46"/>
      <c r="L10" s="47"/>
      <c r="M10" s="47"/>
      <c r="N10" s="47"/>
      <c r="O10" s="47"/>
      <c r="P10" s="47"/>
    </row>
    <row r="11" spans="1:26" x14ac:dyDescent="0.25">
      <c r="A11" s="69" t="s">
        <v>164</v>
      </c>
      <c r="B11" s="69"/>
      <c r="C11" s="69"/>
      <c r="D11" s="69"/>
      <c r="E11" s="68" t="s">
        <v>354</v>
      </c>
      <c r="F11" s="69"/>
      <c r="G11" s="69"/>
      <c r="H11" s="69"/>
      <c r="I11" s="68" t="s">
        <v>353</v>
      </c>
      <c r="J11" s="69"/>
      <c r="K11" s="69"/>
      <c r="L11" s="69"/>
    </row>
    <row r="12" spans="1:26" x14ac:dyDescent="0.25">
      <c r="A12" s="69" t="s">
        <v>7</v>
      </c>
      <c r="B12" s="69"/>
      <c r="C12" s="69"/>
      <c r="D12" s="69"/>
      <c r="E12" s="69" t="s">
        <v>116</v>
      </c>
      <c r="F12" s="69"/>
      <c r="G12" s="69"/>
      <c r="H12" s="69"/>
    </row>
    <row r="13" spans="1:26" x14ac:dyDescent="0.25">
      <c r="A13" s="69" t="s">
        <v>167</v>
      </c>
      <c r="B13" s="69"/>
      <c r="C13" s="69"/>
      <c r="D13" s="69"/>
      <c r="E13" s="69" t="s">
        <v>302</v>
      </c>
      <c r="F13" s="69"/>
      <c r="G13" s="69"/>
      <c r="H13" s="69"/>
      <c r="S13" s="47" t="s">
        <v>175</v>
      </c>
      <c r="T13" s="47" t="s">
        <v>185</v>
      </c>
      <c r="U13" s="47" t="s">
        <v>168</v>
      </c>
      <c r="V13" s="47" t="s">
        <v>190</v>
      </c>
      <c r="W13" s="47" t="s">
        <v>208</v>
      </c>
      <c r="X13"/>
      <c r="Y13" t="s">
        <v>190</v>
      </c>
      <c r="Z13" t="e">
        <f ca="1">OFFSET($S$13,1,MATCH($G20,$S$13:$W$13,0)-1,15,1)</f>
        <v>#VALUE!</v>
      </c>
    </row>
    <row r="14" spans="1:26" x14ac:dyDescent="0.25">
      <c r="A14" s="86" t="s">
        <v>274</v>
      </c>
      <c r="B14" s="86"/>
      <c r="C14" s="86"/>
      <c r="D14" s="86"/>
      <c r="E14" s="154" t="s">
        <v>347</v>
      </c>
      <c r="F14" s="154"/>
      <c r="G14" s="154"/>
      <c r="H14" s="154"/>
      <c r="S14" s="47" t="s">
        <v>176</v>
      </c>
      <c r="T14" s="47" t="s">
        <v>183</v>
      </c>
      <c r="U14" s="47" t="s">
        <v>205</v>
      </c>
      <c r="V14" s="47" t="s">
        <v>191</v>
      </c>
      <c r="W14" s="47" t="s">
        <v>209</v>
      </c>
      <c r="X14"/>
      <c r="Y14"/>
      <c r="Z14"/>
    </row>
    <row r="15" spans="1:26" x14ac:dyDescent="0.25">
      <c r="A15" s="86" t="s">
        <v>8</v>
      </c>
      <c r="B15" s="86"/>
      <c r="C15" s="86"/>
      <c r="D15" s="86"/>
      <c r="E15" s="154" t="s">
        <v>295</v>
      </c>
      <c r="F15" s="104"/>
      <c r="G15" s="104"/>
      <c r="H15" s="104"/>
      <c r="I15" s="81" t="e">
        <f ca="1">OFFSET($D$5,1,MATCH($J13,$D$5:$H$5,0)-1,15,1)</f>
        <v>#N/A</v>
      </c>
      <c r="J15" s="82"/>
      <c r="K15" s="82"/>
      <c r="L15" s="82"/>
      <c r="M15" s="82"/>
      <c r="N15" s="82"/>
      <c r="O15" s="82"/>
      <c r="P15" s="82"/>
      <c r="S15" s="47" t="s">
        <v>177</v>
      </c>
      <c r="T15" s="47" t="s">
        <v>184</v>
      </c>
      <c r="U15" s="47" t="s">
        <v>206</v>
      </c>
      <c r="V15" s="47" t="s">
        <v>192</v>
      </c>
      <c r="W15" s="47" t="s">
        <v>222</v>
      </c>
      <c r="X15"/>
      <c r="Y15"/>
      <c r="Z15"/>
    </row>
    <row r="16" spans="1:26" ht="48.75" customHeight="1" x14ac:dyDescent="0.25">
      <c r="A16" s="93" t="s">
        <v>9</v>
      </c>
      <c r="B16" s="93"/>
      <c r="C16" s="93" t="str">
        <f>CONCATENATE((IF(OR(E9="",E9="NA"),"",E9)),", ",(IF(OR(A17="",A17="NA"),"",A17)),".",(IF(OR(C17="",C17="NA"),"",C17)),", near ",(IF(OR(C22="",C22="NA"),"",C22)),", ",(IF(OR(C19="",C19="NA"),"",C19)),", ",(IF(OR(C18="",C18="NA"),"",C18)),", ",(IF(OR(G19="",G19="NA"),"",G19)),", ",(IF(OR(C20="",C20="NA"),"",C20)),", ",(IF(OR(C21="",C21="NA"),"",C21)),", ",(IF(OR(G20="",G20="NA"),"",G20))," - ",(IF(OR(G21="",G21="NA"),"",G21)),".")</f>
        <v>Superior Exotica, Plot No.23 &amp; Sector No.07, Redevelopement of " Shree Ganesh  Prem CHSL ", near Ajay CHS, Rama Kalu Shahadkar Marg, Airoli, Airoli, Rabale West, Thane, Thane  - 400708.</v>
      </c>
      <c r="D16" s="93"/>
      <c r="E16" s="93"/>
      <c r="F16" s="93"/>
      <c r="G16" s="93"/>
      <c r="H16" s="93"/>
      <c r="S16" s="47" t="s">
        <v>178</v>
      </c>
      <c r="T16" s="47" t="s">
        <v>186</v>
      </c>
      <c r="U16" s="47" t="s">
        <v>207</v>
      </c>
      <c r="V16" s="47" t="s">
        <v>193</v>
      </c>
      <c r="W16" s="47" t="s">
        <v>210</v>
      </c>
      <c r="X16"/>
      <c r="Y16"/>
      <c r="Z16"/>
    </row>
    <row r="17" spans="1:26" x14ac:dyDescent="0.25">
      <c r="A17" s="154" t="s">
        <v>297</v>
      </c>
      <c r="B17" s="154"/>
      <c r="C17" s="154" t="s">
        <v>303</v>
      </c>
      <c r="D17" s="154"/>
      <c r="E17" s="154"/>
      <c r="F17" s="154"/>
      <c r="G17" s="154"/>
      <c r="H17" s="154"/>
      <c r="S17" s="47" t="s">
        <v>179</v>
      </c>
      <c r="T17" s="47" t="s">
        <v>187</v>
      </c>
      <c r="U17" s="47" t="s">
        <v>168</v>
      </c>
      <c r="V17" s="47" t="s">
        <v>194</v>
      </c>
      <c r="W17" s="47" t="s">
        <v>211</v>
      </c>
      <c r="X17"/>
      <c r="Y17"/>
      <c r="Z17"/>
    </row>
    <row r="18" spans="1:26" ht="15.75" customHeight="1" x14ac:dyDescent="0.25">
      <c r="A18" s="68" t="s">
        <v>158</v>
      </c>
      <c r="B18" s="68"/>
      <c r="C18" s="154" t="s">
        <v>298</v>
      </c>
      <c r="D18" s="154"/>
      <c r="E18" s="154"/>
      <c r="F18" s="154"/>
      <c r="G18" s="154"/>
      <c r="H18" s="154"/>
      <c r="S18" s="47" t="s">
        <v>180</v>
      </c>
      <c r="T18" s="47" t="s">
        <v>185</v>
      </c>
      <c r="U18" s="47"/>
      <c r="V18" s="47" t="s">
        <v>195</v>
      </c>
      <c r="W18" s="47" t="s">
        <v>212</v>
      </c>
      <c r="X18"/>
      <c r="Y18"/>
      <c r="Z18"/>
    </row>
    <row r="19" spans="1:26" ht="15.75" customHeight="1" x14ac:dyDescent="0.25">
      <c r="A19" s="93" t="s">
        <v>10</v>
      </c>
      <c r="B19" s="93"/>
      <c r="C19" s="104" t="s">
        <v>304</v>
      </c>
      <c r="D19" s="104"/>
      <c r="E19" s="154" t="s">
        <v>70</v>
      </c>
      <c r="F19" s="154"/>
      <c r="G19" s="154" t="s">
        <v>298</v>
      </c>
      <c r="H19" s="154"/>
      <c r="S19" s="47" t="s">
        <v>181</v>
      </c>
      <c r="T19" s="47" t="s">
        <v>188</v>
      </c>
      <c r="U19" s="47"/>
      <c r="V19" s="47" t="s">
        <v>196</v>
      </c>
      <c r="W19" s="47" t="s">
        <v>213</v>
      </c>
      <c r="X19"/>
      <c r="Y19"/>
      <c r="Z19"/>
    </row>
    <row r="20" spans="1:26" x14ac:dyDescent="0.25">
      <c r="A20" s="86" t="s">
        <v>12</v>
      </c>
      <c r="B20" s="86"/>
      <c r="C20" s="154" t="s">
        <v>307</v>
      </c>
      <c r="D20" s="154"/>
      <c r="E20" s="154" t="s">
        <v>11</v>
      </c>
      <c r="F20" s="154"/>
      <c r="G20" s="177" t="s">
        <v>175</v>
      </c>
      <c r="H20" s="177"/>
      <c r="S20" s="47" t="s">
        <v>182</v>
      </c>
      <c r="T20" s="47" t="s">
        <v>189</v>
      </c>
      <c r="U20" s="47"/>
      <c r="V20" s="47" t="s">
        <v>197</v>
      </c>
      <c r="W20" s="47" t="s">
        <v>214</v>
      </c>
      <c r="X20"/>
      <c r="Y20"/>
      <c r="Z20"/>
    </row>
    <row r="21" spans="1:26" x14ac:dyDescent="0.25">
      <c r="A21" s="86" t="s">
        <v>71</v>
      </c>
      <c r="B21" s="86"/>
      <c r="C21" s="154" t="s">
        <v>176</v>
      </c>
      <c r="D21" s="154"/>
      <c r="E21" s="154" t="s">
        <v>13</v>
      </c>
      <c r="F21" s="154"/>
      <c r="G21" s="154">
        <v>400708</v>
      </c>
      <c r="H21" s="154"/>
      <c r="S21" s="47"/>
      <c r="T21" s="47"/>
      <c r="U21" s="47"/>
      <c r="V21" s="47" t="s">
        <v>198</v>
      </c>
      <c r="W21" s="47" t="s">
        <v>215</v>
      </c>
      <c r="X21"/>
      <c r="Y21"/>
      <c r="Z21"/>
    </row>
    <row r="22" spans="1:26" ht="32.25" customHeight="1" x14ac:dyDescent="0.25">
      <c r="A22" s="86" t="s">
        <v>117</v>
      </c>
      <c r="B22" s="86"/>
      <c r="C22" s="154" t="s">
        <v>309</v>
      </c>
      <c r="D22" s="154"/>
      <c r="E22" s="154" t="s">
        <v>14</v>
      </c>
      <c r="F22" s="154"/>
      <c r="G22" s="154" t="s">
        <v>306</v>
      </c>
      <c r="H22" s="154"/>
      <c r="S22" s="47"/>
      <c r="T22" s="47"/>
      <c r="U22" s="47"/>
      <c r="V22" s="47" t="s">
        <v>199</v>
      </c>
      <c r="W22" s="47" t="s">
        <v>216</v>
      </c>
      <c r="X22"/>
      <c r="Y22"/>
      <c r="Z22"/>
    </row>
    <row r="23" spans="1:26" ht="15" customHeight="1" x14ac:dyDescent="0.25">
      <c r="A23" s="93" t="s">
        <v>73</v>
      </c>
      <c r="B23" s="93"/>
      <c r="C23" s="93"/>
      <c r="D23" s="93"/>
      <c r="E23" s="69" t="s">
        <v>15</v>
      </c>
      <c r="F23" s="69"/>
      <c r="G23" s="69"/>
      <c r="H23" s="69"/>
      <c r="S23" s="47"/>
      <c r="T23" s="47"/>
      <c r="U23" s="47"/>
      <c r="V23" s="47" t="s">
        <v>200</v>
      </c>
      <c r="W23" s="47" t="s">
        <v>217</v>
      </c>
      <c r="X23"/>
      <c r="Y23"/>
      <c r="Z23"/>
    </row>
    <row r="24" spans="1:26" ht="18.75" customHeight="1" x14ac:dyDescent="0.25">
      <c r="A24" s="93"/>
      <c r="B24" s="93"/>
      <c r="C24" s="93"/>
      <c r="D24" s="93"/>
      <c r="E24" s="69"/>
      <c r="F24" s="69"/>
      <c r="G24" s="69"/>
      <c r="H24" s="69"/>
      <c r="S24" s="47"/>
      <c r="T24" s="47"/>
      <c r="U24" s="47"/>
      <c r="V24" s="47" t="s">
        <v>201</v>
      </c>
      <c r="W24" s="47" t="s">
        <v>218</v>
      </c>
      <c r="X24"/>
      <c r="Y24"/>
      <c r="Z24"/>
    </row>
    <row r="25" spans="1:26" ht="15" customHeight="1" x14ac:dyDescent="0.25">
      <c r="A25" s="93" t="s">
        <v>16</v>
      </c>
      <c r="B25" s="93"/>
      <c r="C25" s="93"/>
      <c r="D25" s="93"/>
      <c r="E25" s="68" t="s">
        <v>17</v>
      </c>
      <c r="F25" s="68"/>
      <c r="G25" s="68"/>
      <c r="H25" s="68"/>
      <c r="S25" s="47"/>
      <c r="T25" s="47"/>
      <c r="U25" s="47"/>
      <c r="V25" s="47" t="s">
        <v>202</v>
      </c>
      <c r="W25" s="47" t="s">
        <v>219</v>
      </c>
      <c r="X25"/>
      <c r="Y25"/>
      <c r="Z25"/>
    </row>
    <row r="26" spans="1:26" ht="15" customHeight="1" x14ac:dyDescent="0.25">
      <c r="A26" s="86" t="s">
        <v>18</v>
      </c>
      <c r="B26" s="86"/>
      <c r="C26" s="86"/>
      <c r="D26" s="86"/>
      <c r="E26" s="68" t="str">
        <f>IF(AND(G20="Mumbai"),"Upper Class","Middle Class")</f>
        <v>Middle Class</v>
      </c>
      <c r="F26" s="68"/>
      <c r="G26" s="68"/>
      <c r="H26" s="68"/>
      <c r="S26" s="47"/>
      <c r="T26" s="47"/>
      <c r="U26" s="47"/>
      <c r="V26" s="47" t="s">
        <v>203</v>
      </c>
      <c r="W26" s="47" t="s">
        <v>220</v>
      </c>
      <c r="X26"/>
      <c r="Y26"/>
      <c r="Z26"/>
    </row>
    <row r="27" spans="1:26" x14ac:dyDescent="0.25">
      <c r="A27" s="86" t="s">
        <v>19</v>
      </c>
      <c r="B27" s="86"/>
      <c r="C27" s="86"/>
      <c r="D27" s="86"/>
      <c r="E27" s="68" t="s">
        <v>20</v>
      </c>
      <c r="F27" s="68"/>
      <c r="G27" s="68"/>
      <c r="H27" s="68"/>
      <c r="S27" s="47"/>
      <c r="T27" s="47"/>
      <c r="U27" s="47"/>
      <c r="V27" s="47" t="s">
        <v>204</v>
      </c>
      <c r="W27" s="47" t="s">
        <v>221</v>
      </c>
      <c r="X27"/>
      <c r="Y27"/>
      <c r="Z27"/>
    </row>
    <row r="28" spans="1:26" ht="15.75" customHeight="1" x14ac:dyDescent="0.25">
      <c r="A28" s="86" t="s">
        <v>21</v>
      </c>
      <c r="B28" s="86"/>
      <c r="C28" s="86"/>
      <c r="D28" s="86"/>
      <c r="E28" s="68" t="str">
        <f>IF(AND(G20="Mumbai"),"Developed","Developing")</f>
        <v>Developing</v>
      </c>
      <c r="F28" s="68"/>
      <c r="G28" s="68"/>
      <c r="H28" s="68"/>
    </row>
    <row r="29" spans="1:26" x14ac:dyDescent="0.25">
      <c r="A29" s="86" t="s">
        <v>22</v>
      </c>
      <c r="B29" s="86"/>
      <c r="C29" s="86"/>
      <c r="D29" s="86"/>
      <c r="E29" s="68" t="s">
        <v>23</v>
      </c>
      <c r="F29" s="68"/>
      <c r="G29" s="68"/>
      <c r="H29" s="68"/>
    </row>
    <row r="30" spans="1:26" ht="15.75" customHeight="1" x14ac:dyDescent="0.25">
      <c r="A30" s="86" t="s">
        <v>78</v>
      </c>
      <c r="B30" s="86"/>
      <c r="C30" s="86"/>
      <c r="D30" s="86"/>
      <c r="E30" s="68" t="s">
        <v>79</v>
      </c>
      <c r="F30" s="68"/>
      <c r="G30" s="68"/>
      <c r="H30" s="68"/>
    </row>
    <row r="31" spans="1:26" ht="15" customHeight="1" x14ac:dyDescent="0.25">
      <c r="A31" s="86" t="s">
        <v>30</v>
      </c>
      <c r="B31" s="86"/>
      <c r="C31" s="86"/>
      <c r="D31" s="86"/>
      <c r="E31" s="68" t="str">
        <f>IF(AND(ISNUMBER(SEARCH("Flat",D59)),ISNUMBER(SEARCH("Shop",D59)),ISNUMBER(SEARCH("Office",D59))),"Residential + Commercial",IF(AND(ISNUMBER(SEARCH("Flat",D59)),ISNUMBER(SEARCH("Shop",D59))),"Residential + Commercial",IF(AND(ISNUMBER(SEARCH("Flat",D59)),ISNUMBER(SEARCH("Office",D59))),"Residential + Commercial",IF(AND(ISNUMBER(SEARCH("Shop",D59)),ISNUMBER(SEARCH("Office",D59))),"Commercial",IF(ISNUMBER(SEARCH("Shop",D59)),"Commercial",IF(ISNUMBER(SEARCH("Office",D59)),"Commercial",IF(ISNUMBER(SEARCH("Flat",D59)),"Residential")))))))</f>
        <v>Residential + Commercial</v>
      </c>
      <c r="F31" s="68"/>
      <c r="G31" s="68"/>
      <c r="H31" s="68"/>
    </row>
    <row r="32" spans="1:26" ht="15.75" customHeight="1" x14ac:dyDescent="0.25">
      <c r="A32" s="86" t="s">
        <v>90</v>
      </c>
      <c r="B32" s="86"/>
      <c r="C32" s="86"/>
      <c r="D32" s="86"/>
      <c r="E32" s="68" t="s">
        <v>31</v>
      </c>
      <c r="F32" s="68"/>
      <c r="G32" s="68"/>
      <c r="H32" s="68"/>
    </row>
    <row r="33" spans="1:19" s="19" customFormat="1" x14ac:dyDescent="0.25">
      <c r="A33" s="182" t="s">
        <v>91</v>
      </c>
      <c r="B33" s="182"/>
      <c r="C33" s="179" t="s">
        <v>169</v>
      </c>
      <c r="D33" s="180"/>
      <c r="E33" s="181"/>
      <c r="F33" s="179" t="s">
        <v>29</v>
      </c>
      <c r="G33" s="180"/>
      <c r="H33" s="181"/>
      <c r="S33" s="19" t="e">
        <f ca="1">OFFSET($S$13,1,MATCH($G20,$S$13:$W$13,0)-1,15,1)</f>
        <v>#VALUE!</v>
      </c>
    </row>
    <row r="34" spans="1:19" s="19" customFormat="1" x14ac:dyDescent="0.25">
      <c r="A34" s="178" t="s">
        <v>24</v>
      </c>
      <c r="B34" s="178" t="s">
        <v>28</v>
      </c>
      <c r="C34" s="174" t="s">
        <v>340</v>
      </c>
      <c r="D34" s="175"/>
      <c r="E34" s="176"/>
      <c r="F34" s="174" t="s">
        <v>309</v>
      </c>
      <c r="G34" s="175"/>
      <c r="H34" s="176"/>
    </row>
    <row r="35" spans="1:19" x14ac:dyDescent="0.25">
      <c r="A35" s="178" t="s">
        <v>25</v>
      </c>
      <c r="B35" s="178" t="s">
        <v>28</v>
      </c>
      <c r="C35" s="174" t="s">
        <v>341</v>
      </c>
      <c r="D35" s="175"/>
      <c r="E35" s="176"/>
      <c r="F35" s="174" t="s">
        <v>305</v>
      </c>
      <c r="G35" s="175"/>
      <c r="H35" s="176"/>
    </row>
    <row r="36" spans="1:19" s="19" customFormat="1" x14ac:dyDescent="0.25">
      <c r="A36" s="178" t="s">
        <v>27</v>
      </c>
      <c r="B36" s="178" t="s">
        <v>28</v>
      </c>
      <c r="C36" s="174" t="s">
        <v>339</v>
      </c>
      <c r="D36" s="175"/>
      <c r="E36" s="176"/>
      <c r="F36" s="174" t="s">
        <v>308</v>
      </c>
      <c r="G36" s="175"/>
      <c r="H36" s="176"/>
    </row>
    <row r="37" spans="1:19" x14ac:dyDescent="0.25">
      <c r="A37" s="178" t="s">
        <v>26</v>
      </c>
      <c r="B37" s="178" t="s">
        <v>28</v>
      </c>
      <c r="C37" s="174" t="s">
        <v>342</v>
      </c>
      <c r="D37" s="175"/>
      <c r="E37" s="176"/>
      <c r="F37" s="174" t="s">
        <v>304</v>
      </c>
      <c r="G37" s="175"/>
      <c r="H37" s="176"/>
    </row>
    <row r="38" spans="1:19" x14ac:dyDescent="0.25">
      <c r="A38" s="86" t="s">
        <v>275</v>
      </c>
      <c r="B38" s="86"/>
      <c r="C38" s="86"/>
      <c r="D38" s="86"/>
      <c r="E38" s="86"/>
      <c r="F38" s="86"/>
      <c r="G38" s="86"/>
      <c r="H38" s="86"/>
    </row>
    <row r="39" spans="1:19" ht="15.75" customHeight="1" x14ac:dyDescent="0.25">
      <c r="A39" s="86" t="s">
        <v>161</v>
      </c>
      <c r="B39" s="86"/>
      <c r="C39" s="151" t="s">
        <v>311</v>
      </c>
      <c r="D39" s="151"/>
      <c r="E39" s="151"/>
      <c r="F39" s="151"/>
      <c r="G39" s="151"/>
      <c r="H39" s="151"/>
    </row>
    <row r="40" spans="1:19" x14ac:dyDescent="0.25">
      <c r="A40" s="86" t="s">
        <v>157</v>
      </c>
      <c r="B40" s="86"/>
      <c r="C40" s="194" t="s">
        <v>310</v>
      </c>
      <c r="D40" s="68"/>
      <c r="E40" s="68"/>
      <c r="F40" s="68"/>
      <c r="G40" s="68"/>
      <c r="H40" s="68"/>
    </row>
    <row r="41" spans="1:19" x14ac:dyDescent="0.25">
      <c r="A41" s="151" t="s">
        <v>32</v>
      </c>
      <c r="B41" s="151"/>
      <c r="C41" s="151"/>
      <c r="D41" s="151"/>
      <c r="E41" s="151"/>
      <c r="F41" s="151"/>
      <c r="G41" s="151"/>
      <c r="H41" s="151"/>
    </row>
    <row r="42" spans="1:19" x14ac:dyDescent="0.25">
      <c r="A42" s="86" t="s">
        <v>33</v>
      </c>
      <c r="B42" s="86"/>
      <c r="C42" s="86"/>
      <c r="D42" s="86"/>
      <c r="E42" s="183">
        <v>1598</v>
      </c>
      <c r="F42" s="183"/>
      <c r="G42" s="183"/>
      <c r="H42" s="183"/>
    </row>
    <row r="43" spans="1:19" x14ac:dyDescent="0.25">
      <c r="A43" s="86" t="s">
        <v>34</v>
      </c>
      <c r="B43" s="86"/>
      <c r="C43" s="86"/>
      <c r="D43" s="86"/>
      <c r="E43" s="95">
        <f>1757.8/E42</f>
        <v>1.0999999999999999</v>
      </c>
      <c r="F43" s="95"/>
      <c r="G43" s="95"/>
      <c r="H43" s="95"/>
    </row>
    <row r="44" spans="1:19" x14ac:dyDescent="0.25">
      <c r="A44" s="86" t="s">
        <v>35</v>
      </c>
      <c r="B44" s="86"/>
      <c r="C44" s="86"/>
      <c r="D44" s="86"/>
      <c r="E44" s="95">
        <f>E46/E42-E43</f>
        <v>3.7481602002503127</v>
      </c>
      <c r="F44" s="95"/>
      <c r="G44" s="95"/>
      <c r="H44" s="95"/>
    </row>
    <row r="45" spans="1:19" x14ac:dyDescent="0.25">
      <c r="A45" s="86" t="s">
        <v>36</v>
      </c>
      <c r="B45" s="86"/>
      <c r="C45" s="86"/>
      <c r="D45" s="86"/>
      <c r="E45" s="95">
        <f>E43+E44</f>
        <v>4.8481602002503124</v>
      </c>
      <c r="F45" s="95"/>
      <c r="G45" s="95"/>
      <c r="H45" s="95"/>
    </row>
    <row r="46" spans="1:19" x14ac:dyDescent="0.25">
      <c r="A46" s="86" t="s">
        <v>89</v>
      </c>
      <c r="B46" s="86"/>
      <c r="C46" s="86"/>
      <c r="D46" s="86"/>
      <c r="E46" s="186">
        <v>7747.36</v>
      </c>
      <c r="F46" s="186"/>
      <c r="G46" s="186"/>
      <c r="H46" s="186"/>
    </row>
    <row r="47" spans="1:19" x14ac:dyDescent="0.25">
      <c r="A47" s="69" t="s">
        <v>37</v>
      </c>
      <c r="B47" s="69"/>
      <c r="C47" s="69"/>
      <c r="D47" s="69"/>
      <c r="E47" s="104" t="s">
        <v>116</v>
      </c>
      <c r="F47" s="104"/>
      <c r="G47" s="104"/>
      <c r="H47" s="104"/>
    </row>
    <row r="48" spans="1:19" x14ac:dyDescent="0.25">
      <c r="A48" s="151" t="s">
        <v>38</v>
      </c>
      <c r="B48" s="151"/>
      <c r="C48" s="151"/>
      <c r="D48" s="151"/>
      <c r="E48" s="151"/>
      <c r="F48" s="151"/>
      <c r="G48" s="151"/>
      <c r="H48" s="151"/>
    </row>
    <row r="49" spans="1:24" ht="33.75" customHeight="1" x14ac:dyDescent="0.25">
      <c r="A49" s="98" t="s">
        <v>146</v>
      </c>
      <c r="B49" s="99"/>
      <c r="C49" s="201" t="s">
        <v>254</v>
      </c>
      <c r="D49" s="202"/>
      <c r="E49" s="202"/>
      <c r="F49" s="202"/>
      <c r="G49" s="202"/>
      <c r="H49" s="203"/>
      <c r="R49" t="s">
        <v>248</v>
      </c>
      <c r="S49" t="s">
        <v>168</v>
      </c>
      <c r="T49" t="s">
        <v>175</v>
      </c>
      <c r="U49" t="s">
        <v>190</v>
      </c>
      <c r="V49" t="s">
        <v>185</v>
      </c>
    </row>
    <row r="50" spans="1:24" ht="18" customHeight="1" x14ac:dyDescent="0.25">
      <c r="A50" s="98" t="s">
        <v>39</v>
      </c>
      <c r="B50" s="99"/>
      <c r="C50" s="98" t="s">
        <v>299</v>
      </c>
      <c r="D50" s="100"/>
      <c r="E50" s="99"/>
      <c r="F50" s="15" t="s">
        <v>40</v>
      </c>
      <c r="G50" s="101">
        <v>45345</v>
      </c>
      <c r="H50" s="102"/>
      <c r="R50"/>
      <c r="S50" t="s">
        <v>249</v>
      </c>
      <c r="T50" t="s">
        <v>254</v>
      </c>
      <c r="U50" t="s">
        <v>265</v>
      </c>
      <c r="V50" t="s">
        <v>270</v>
      </c>
    </row>
    <row r="51" spans="1:24" x14ac:dyDescent="0.25">
      <c r="A51" s="98" t="s">
        <v>41</v>
      </c>
      <c r="B51" s="99"/>
      <c r="C51" s="98" t="str">
        <f>C50</f>
        <v>NRV/A-421/2024</v>
      </c>
      <c r="D51" s="100"/>
      <c r="E51" s="99"/>
      <c r="F51" s="15" t="s">
        <v>40</v>
      </c>
      <c r="G51" s="101">
        <v>45345</v>
      </c>
      <c r="H51" s="102"/>
      <c r="R51"/>
      <c r="S51" t="s">
        <v>250</v>
      </c>
      <c r="T51" t="s">
        <v>255</v>
      </c>
      <c r="U51" t="s">
        <v>263</v>
      </c>
      <c r="V51" t="s">
        <v>271</v>
      </c>
    </row>
    <row r="52" spans="1:24" s="20" customFormat="1" ht="15.75" customHeight="1" x14ac:dyDescent="0.25">
      <c r="A52" s="111" t="s">
        <v>150</v>
      </c>
      <c r="B52" s="112"/>
      <c r="C52" s="98" t="s">
        <v>300</v>
      </c>
      <c r="D52" s="100"/>
      <c r="E52" s="99"/>
      <c r="F52" s="15" t="s">
        <v>40</v>
      </c>
      <c r="G52" s="101">
        <v>45345</v>
      </c>
      <c r="H52" s="102"/>
      <c r="R52"/>
      <c r="S52" t="s">
        <v>251</v>
      </c>
      <c r="T52" t="s">
        <v>256</v>
      </c>
      <c r="U52" t="s">
        <v>253</v>
      </c>
      <c r="V52" t="s">
        <v>272</v>
      </c>
    </row>
    <row r="53" spans="1:24" s="20" customFormat="1" x14ac:dyDescent="0.25">
      <c r="A53" s="113"/>
      <c r="B53" s="114"/>
      <c r="C53" s="98" t="s">
        <v>301</v>
      </c>
      <c r="D53" s="100"/>
      <c r="E53" s="100"/>
      <c r="F53" s="100"/>
      <c r="G53" s="100"/>
      <c r="H53" s="99"/>
      <c r="R53"/>
      <c r="S53" t="s">
        <v>252</v>
      </c>
      <c r="T53" t="s">
        <v>259</v>
      </c>
      <c r="U53" t="s">
        <v>266</v>
      </c>
    </row>
    <row r="54" spans="1:24" s="20" customFormat="1" hidden="1" x14ac:dyDescent="0.25">
      <c r="A54" s="107" t="s">
        <v>276</v>
      </c>
      <c r="B54" s="108"/>
      <c r="C54" s="98" t="str">
        <f>C53</f>
        <v>G + 1st to 22nd Floor (Total Builtup Area = 7747.360 Sq. mtrs.)</v>
      </c>
      <c r="D54" s="100"/>
      <c r="E54" s="99"/>
      <c r="F54" s="15" t="s">
        <v>40</v>
      </c>
      <c r="G54" s="98"/>
      <c r="H54" s="99"/>
      <c r="R54"/>
      <c r="S54" t="s">
        <v>251</v>
      </c>
      <c r="T54" t="s">
        <v>256</v>
      </c>
      <c r="U54" t="s">
        <v>253</v>
      </c>
      <c r="V54" t="s">
        <v>272</v>
      </c>
    </row>
    <row r="55" spans="1:24" s="20" customFormat="1" ht="32.25" hidden="1" customHeight="1" x14ac:dyDescent="0.25">
      <c r="A55" s="109"/>
      <c r="B55" s="110"/>
      <c r="C55" s="198"/>
      <c r="D55" s="199"/>
      <c r="E55" s="199"/>
      <c r="F55" s="199"/>
      <c r="G55" s="199"/>
      <c r="H55" s="200"/>
      <c r="R55"/>
      <c r="S55" t="s">
        <v>253</v>
      </c>
      <c r="T55" t="s">
        <v>257</v>
      </c>
      <c r="U55" t="s">
        <v>267</v>
      </c>
      <c r="V55" s="18"/>
      <c r="W55" s="18"/>
      <c r="X55" s="18"/>
    </row>
    <row r="56" spans="1:24" x14ac:dyDescent="0.25">
      <c r="A56" s="87" t="s">
        <v>42</v>
      </c>
      <c r="B56" s="88"/>
      <c r="C56" s="87" t="s">
        <v>102</v>
      </c>
      <c r="D56" s="89"/>
      <c r="E56" s="88"/>
      <c r="F56" s="40" t="s">
        <v>40</v>
      </c>
      <c r="G56" s="105" t="s">
        <v>28</v>
      </c>
      <c r="H56" s="106"/>
      <c r="R56"/>
      <c r="T56" t="s">
        <v>264</v>
      </c>
    </row>
    <row r="57" spans="1:24" x14ac:dyDescent="0.25">
      <c r="A57" s="103" t="s">
        <v>44</v>
      </c>
      <c r="B57" s="103"/>
      <c r="C57" s="103"/>
      <c r="D57" s="103"/>
      <c r="E57" s="103"/>
      <c r="F57" s="103"/>
      <c r="G57" s="103"/>
      <c r="H57" s="103"/>
      <c r="T57" t="s">
        <v>273</v>
      </c>
    </row>
    <row r="58" spans="1:24" x14ac:dyDescent="0.25">
      <c r="A58" s="93" t="s">
        <v>88</v>
      </c>
      <c r="B58" s="93"/>
      <c r="C58" s="93"/>
      <c r="D58" s="86">
        <f>E46</f>
        <v>7747.36</v>
      </c>
      <c r="E58" s="86"/>
      <c r="F58" s="86"/>
      <c r="G58" s="86"/>
      <c r="H58" s="86"/>
      <c r="R58"/>
    </row>
    <row r="59" spans="1:24" x14ac:dyDescent="0.25">
      <c r="A59" s="68" t="s">
        <v>45</v>
      </c>
      <c r="B59" s="69"/>
      <c r="C59" s="69"/>
      <c r="D59" s="104" t="s">
        <v>337</v>
      </c>
      <c r="E59" s="104"/>
      <c r="F59" s="104"/>
      <c r="G59" s="104"/>
      <c r="H59" s="104"/>
      <c r="I59" s="21"/>
      <c r="R59"/>
    </row>
    <row r="60" spans="1:24" ht="17.25" customHeight="1" x14ac:dyDescent="0.25">
      <c r="A60" s="115" t="s">
        <v>46</v>
      </c>
      <c r="B60" s="116"/>
      <c r="C60" s="189"/>
      <c r="D60" s="187" t="s">
        <v>312</v>
      </c>
      <c r="E60" s="188"/>
      <c r="F60" s="188"/>
      <c r="G60" s="188"/>
      <c r="H60" s="188"/>
      <c r="R60"/>
    </row>
    <row r="61" spans="1:24" ht="15.75" customHeight="1" x14ac:dyDescent="0.25">
      <c r="A61" s="115" t="s">
        <v>86</v>
      </c>
      <c r="B61" s="116"/>
      <c r="C61" s="116"/>
      <c r="D61" s="117" t="s">
        <v>313</v>
      </c>
      <c r="E61" s="118"/>
      <c r="F61" s="118"/>
      <c r="G61" s="118"/>
      <c r="H61" s="119"/>
      <c r="R61"/>
    </row>
    <row r="62" spans="1:24" ht="15.75" customHeight="1" x14ac:dyDescent="0.25">
      <c r="A62" s="86" t="s">
        <v>43</v>
      </c>
      <c r="B62" s="86"/>
      <c r="C62" s="86"/>
      <c r="D62" s="184" t="s">
        <v>314</v>
      </c>
      <c r="E62" s="184"/>
      <c r="F62" s="184"/>
      <c r="G62" s="184"/>
      <c r="H62" s="184"/>
      <c r="J62" s="22"/>
      <c r="K62" s="21"/>
      <c r="N62" s="21"/>
      <c r="S62"/>
    </row>
    <row r="63" spans="1:24" ht="15.75" customHeight="1" x14ac:dyDescent="0.25">
      <c r="A63" s="86" t="s">
        <v>84</v>
      </c>
      <c r="B63" s="86"/>
      <c r="C63" s="86"/>
      <c r="D63" s="185" t="str">
        <f>(IF(G56="NA","60 Years After Completion",IF(G56&lt;&gt;"NA",""&amp;60-ROUNDDOWN((E3-G56)/360,0)&amp;" Years"," ")))</f>
        <v>60 Years After Completion</v>
      </c>
      <c r="E63" s="185"/>
      <c r="F63" s="185"/>
      <c r="G63" s="185"/>
      <c r="H63" s="185"/>
      <c r="N63" s="21"/>
      <c r="S63"/>
    </row>
    <row r="64" spans="1:24" ht="15.75" customHeight="1" x14ac:dyDescent="0.25">
      <c r="A64" s="86" t="s">
        <v>85</v>
      </c>
      <c r="B64" s="86"/>
      <c r="C64" s="86"/>
      <c r="D64" s="93" t="s">
        <v>23</v>
      </c>
      <c r="E64" s="93"/>
      <c r="F64" s="93"/>
      <c r="G64" s="93"/>
      <c r="H64" s="93"/>
      <c r="J64" s="23"/>
      <c r="K64" s="23"/>
      <c r="S64"/>
    </row>
    <row r="65" spans="1:19" ht="47.25" customHeight="1" x14ac:dyDescent="0.25">
      <c r="A65" s="104" t="s">
        <v>344</v>
      </c>
      <c r="B65" s="104"/>
      <c r="C65" s="104"/>
      <c r="D65" s="154" t="s">
        <v>315</v>
      </c>
      <c r="E65" s="154"/>
      <c r="F65" s="154"/>
      <c r="G65" s="154"/>
      <c r="H65" s="154"/>
      <c r="S65"/>
    </row>
    <row r="66" spans="1:19" x14ac:dyDescent="0.25">
      <c r="A66" s="93" t="s">
        <v>143</v>
      </c>
      <c r="B66" s="93"/>
      <c r="C66" s="93"/>
      <c r="D66" s="93" t="s">
        <v>28</v>
      </c>
      <c r="E66" s="93"/>
      <c r="F66" s="93"/>
      <c r="G66" s="93"/>
      <c r="H66" s="93"/>
      <c r="I66" s="24"/>
      <c r="J66" s="24"/>
      <c r="K66" s="24"/>
      <c r="L66" s="24"/>
      <c r="M66" s="24"/>
      <c r="N66" s="24"/>
    </row>
    <row r="67" spans="1:19" ht="15.75" customHeight="1" x14ac:dyDescent="0.25">
      <c r="A67" s="94" t="s">
        <v>83</v>
      </c>
      <c r="B67" s="94"/>
      <c r="C67" s="94"/>
      <c r="D67" s="156" t="str">
        <f ca="1">(IF(G73&gt;95%,"Nothing",IF(G73&gt;0%,"Cement, Aggregate, Steel, etc",IF(G73=0%,"Work not yet Started"))))</f>
        <v>Cement, Aggregate, Steel, etc</v>
      </c>
      <c r="E67" s="156"/>
      <c r="F67" s="156"/>
      <c r="G67" s="156"/>
      <c r="H67" s="156"/>
      <c r="J67" s="23"/>
      <c r="S67"/>
    </row>
    <row r="68" spans="1:19" ht="33.75" customHeight="1" thickBot="1" x14ac:dyDescent="0.3">
      <c r="A68" s="155" t="s">
        <v>115</v>
      </c>
      <c r="B68" s="155"/>
      <c r="C68" s="155"/>
      <c r="D68" s="156" t="str">
        <f ca="1">(IF(D67="Nothing","Yes",IF(D67="Cement, Aggregate, Steel, etc","Under Construction",IF(D67="Work not yet Started","Work not yet Started"))))</f>
        <v>Under Construction</v>
      </c>
      <c r="E68" s="156"/>
      <c r="F68" s="156" t="str">
        <f ca="1">(IF(D67="Nothing","Yes",IF(D67="Cement, Aggregate, Steel, etc","Under Construction",IF(D67="Work not yet Started","Work not yet Started"))))</f>
        <v>Under Construction</v>
      </c>
      <c r="G68" s="156"/>
      <c r="H68" s="156"/>
      <c r="S68"/>
    </row>
    <row r="69" spans="1:19" ht="15.75" customHeight="1" x14ac:dyDescent="0.25">
      <c r="A69" s="122" t="s">
        <v>135</v>
      </c>
      <c r="B69" s="123"/>
      <c r="C69" s="205" t="str">
        <f>D61</f>
        <v>G + 1st to 22nd Floor</v>
      </c>
      <c r="D69" s="206"/>
      <c r="E69" s="206"/>
      <c r="F69" s="206"/>
      <c r="G69" s="206"/>
      <c r="H69" s="207"/>
      <c r="I69" s="42" t="str">
        <f ca="1">IF(D82=100%,"All work Completed. Possession granted to the Building.",IF(D81=100%,"All work Completed, Waiting for OC",I70&amp;""&amp;I71&amp;""&amp;J70&amp;""&amp;J69&amp;" "&amp;J71))</f>
        <v>Excavation, Plinth, RCC Slab, Brickwork, Internal Plaster Completed, External Plaster upto 19 Floor, Flooring upto 15 Floor Completed</v>
      </c>
      <c r="J69" s="43" t="str">
        <f ca="1">(IF(C75=(D70+F70+H70),"",IF(C75&gt;0,", RCC upto "&amp;C75&amp;" Slab","")))&amp;(IF(C76=H70,"",IF(C76&gt;0,", Brickwork upto "&amp;C76&amp;" Floor","")))&amp;(IF(C77=H70,"",IF(C77&gt;0,", Internal Plaster upto "&amp;C77&amp;" Floor","")))&amp;(IF(C78=H70,"",IF(C78&gt;0,", External Plaster upto "&amp;C78&amp;" Floor","")))&amp;(IF(C79=H70,"",IF(C79&gt;0,", Flooring upto "&amp;C79&amp;" Floor","")))&amp;(IF(C80=H70,"",IF(C80&gt;0,", Painting upto "&amp;C80&amp;" Floor","")))&amp;(IF(C81=H70,"",IF(C81&gt;0,", Finishing upto "&amp;C81&amp;" Floor","")))&amp;(IF(C82=H70,"",IF(C82&gt;0,", Possession upto "&amp;C82&amp;" Floor","")))</f>
        <v>, External Plaster upto 19 Floor, Flooring upto 15 Floor</v>
      </c>
      <c r="S69"/>
    </row>
    <row r="70" spans="1:19" x14ac:dyDescent="0.25">
      <c r="A70" s="61" t="s">
        <v>137</v>
      </c>
      <c r="B70" s="62">
        <f>IF(AND(ISNUMBER(SEARCH("1B",C69))),1,IF(AND(ISNUMBER(SEARCH("2B",C69))),2,IF(AND(ISNUMBER(SEARCH("3B",C69))),3,IF(AND(ISNUMBER(SEARCH("4B",C69))),4,IF(ISNUMBER(SEARCH("5B",C69)),5,0)))))</f>
        <v>0</v>
      </c>
      <c r="C70" s="62" t="s">
        <v>69</v>
      </c>
      <c r="D70" s="62">
        <v>1</v>
      </c>
      <c r="E70" s="62" t="s">
        <v>68</v>
      </c>
      <c r="F70" s="62">
        <v>0</v>
      </c>
      <c r="G70" s="62" t="s">
        <v>77</v>
      </c>
      <c r="H70" s="63">
        <f ca="1">--TRIM(RIGHT(SUBSTITUTE(LEFT(C69,_xlfn.AGGREGATE(16,6,FIND({0,1,2,3,4,5,6,7,8,9},C69,ROW(INDIRECT("1:"&amp;LEN(C69)))),1))," ",REPT(" ",LEN(C69))),LEN(C69)))</f>
        <v>22</v>
      </c>
      <c r="I70" s="44" t="str">
        <f ca="1">IF(D73=100%,"Excavation","")&amp;IF(D74=100%,", Plinth","")&amp;IF(D75=100%,", RCC Slab","")&amp;IF(D76=100%,", Brickwork","")&amp;IF(D77=100%,", Internal Plaster","")&amp;IF(D78=100%,", External Plaster","")&amp;IF(D79=100%,", Flooring","")&amp;IF(D80=100%,", Painting","")&amp;IF(D81=100%,", Building common Amenities","")</f>
        <v>Excavation, Plinth, RCC Slab, Brickwork, Internal Plaster</v>
      </c>
      <c r="J70" s="45" t="str">
        <f ca="1">(IF(C73=0,"Work not yet Started.",IF(D73=25%,"Piling work in process",IF(D73=50%,"Excavation work in process",IF(D73=100%,"","0")))))&amp;(IF(C74=0%,"",IF(C74=J75,", Footing work is process",IF(C74=J76,", Footing work Completed",IF(C74=J77,", 1st Basement Completed",IF(C74=J78,", 1st &amp; 2nd Basement Completed",IF(C74=J79,", 1st to 3rd Basement Completed",IF(C74=J80,", 1st to 4th Basement Completed",IF(C74=J81,", Plinth work is process",IF(C74=J82,"","0"))))))))))</f>
        <v/>
      </c>
      <c r="S70"/>
    </row>
    <row r="71" spans="1:19" ht="32.450000000000003" customHeight="1" x14ac:dyDescent="0.25">
      <c r="A71" s="120" t="s">
        <v>87</v>
      </c>
      <c r="B71" s="121"/>
      <c r="C71" s="152" t="str">
        <f ca="1">I69</f>
        <v>Excavation, Plinth, RCC Slab, Brickwork, Internal Plaster Completed, External Plaster upto 19 Floor, Flooring upto 15 Floor Completed</v>
      </c>
      <c r="D71" s="152"/>
      <c r="E71" s="152"/>
      <c r="F71" s="152"/>
      <c r="G71" s="152"/>
      <c r="H71" s="153"/>
      <c r="I71" s="44" t="str">
        <f ca="1">IF(I70&lt;&gt;""," Completed","")</f>
        <v xml:space="preserve"> Completed</v>
      </c>
      <c r="J71" s="45" t="str">
        <f ca="1">IF(J69&lt;&gt;"","Completed","")</f>
        <v>Completed</v>
      </c>
      <c r="S71"/>
    </row>
    <row r="72" spans="1:19" ht="15.75" customHeight="1" x14ac:dyDescent="0.25">
      <c r="A72" s="96" t="s">
        <v>47</v>
      </c>
      <c r="B72" s="97"/>
      <c r="C72" s="56" t="s">
        <v>134</v>
      </c>
      <c r="D72" s="56" t="s">
        <v>80</v>
      </c>
      <c r="E72" s="97" t="s">
        <v>82</v>
      </c>
      <c r="F72" s="97"/>
      <c r="G72" s="97" t="s">
        <v>81</v>
      </c>
      <c r="H72" s="157"/>
      <c r="I72" s="13" t="s">
        <v>136</v>
      </c>
      <c r="J72" s="25">
        <f ca="1">H70*25%</f>
        <v>5.5</v>
      </c>
      <c r="S72"/>
    </row>
    <row r="73" spans="1:19" x14ac:dyDescent="0.25">
      <c r="A73" s="96" t="s">
        <v>123</v>
      </c>
      <c r="B73" s="97"/>
      <c r="C73" s="56">
        <f ca="1">J74</f>
        <v>22</v>
      </c>
      <c r="D73" s="16">
        <f ca="1">((100/H70)*C73)/100</f>
        <v>1.0000000000000002</v>
      </c>
      <c r="E73" s="158">
        <f ca="1">(((C74/H70*10)+(40/(D70+F70+H70)*C75)+(7.5/(H70)*C76)+(7.5/(H70)*C77)+(10/H70*C78)+(10/H70*C79)+(5/H70*C80)+(5/H70*C81)+(5/H70*C82))/100)</f>
        <v>0.80454545454545456</v>
      </c>
      <c r="F73" s="159"/>
      <c r="G73" s="158">
        <f ca="1">((((C73/H70)*20)+((C74/H70)*25)+(30/(H70+F70+D70)*C75)+(5/H70*C76)+(5/H70*C77)+(5/H70*C78)+(5/H70*C79)+(0/H70*C80)+(0/H70*C81)+(5/H70*C82))/100)</f>
        <v>0.92727272727272725</v>
      </c>
      <c r="H73" s="164"/>
      <c r="I73" s="13" t="s">
        <v>97</v>
      </c>
      <c r="J73" s="26">
        <f ca="1">H70*50%</f>
        <v>11</v>
      </c>
    </row>
    <row r="74" spans="1:19" x14ac:dyDescent="0.25">
      <c r="A74" s="96" t="s">
        <v>48</v>
      </c>
      <c r="B74" s="97"/>
      <c r="C74" s="56">
        <f ca="1">J82</f>
        <v>22</v>
      </c>
      <c r="D74" s="16">
        <f ca="1">((100/H70)*C74)/100</f>
        <v>1.0000000000000002</v>
      </c>
      <c r="E74" s="160"/>
      <c r="F74" s="161"/>
      <c r="G74" s="160"/>
      <c r="H74" s="165"/>
      <c r="I74" s="13" t="s">
        <v>98</v>
      </c>
      <c r="J74" s="26">
        <f ca="1">H70</f>
        <v>22</v>
      </c>
      <c r="S74"/>
    </row>
    <row r="75" spans="1:19" ht="15.75" customHeight="1" x14ac:dyDescent="0.25">
      <c r="A75" s="96" t="s">
        <v>124</v>
      </c>
      <c r="B75" s="97"/>
      <c r="C75" s="56">
        <v>23</v>
      </c>
      <c r="D75" s="16">
        <f ca="1">((100/(D70+F70+H70))*C75)/100</f>
        <v>1</v>
      </c>
      <c r="E75" s="160"/>
      <c r="F75" s="161"/>
      <c r="G75" s="160"/>
      <c r="H75" s="165"/>
      <c r="I75" s="13" t="s">
        <v>99</v>
      </c>
      <c r="J75" s="27">
        <f ca="1">(IF(B70&gt;1,(H70/(B70+2)),H70/4))</f>
        <v>5.5</v>
      </c>
      <c r="S75"/>
    </row>
    <row r="76" spans="1:19" ht="15.75" customHeight="1" x14ac:dyDescent="0.25">
      <c r="A76" s="96" t="s">
        <v>131</v>
      </c>
      <c r="B76" s="97" t="s">
        <v>125</v>
      </c>
      <c r="C76" s="56">
        <v>22</v>
      </c>
      <c r="D76" s="16">
        <f ca="1">((100/H70)*C76)/100</f>
        <v>1.0000000000000002</v>
      </c>
      <c r="E76" s="160"/>
      <c r="F76" s="161"/>
      <c r="G76" s="160"/>
      <c r="H76" s="165"/>
      <c r="I76" s="13" t="s">
        <v>100</v>
      </c>
      <c r="J76" s="27">
        <f ca="1">(IF(B70&gt;1,(H70/(B70+2)+J75),H70/4+J75))</f>
        <v>11</v>
      </c>
    </row>
    <row r="77" spans="1:19" ht="15.75" customHeight="1" x14ac:dyDescent="0.25">
      <c r="A77" s="96" t="s">
        <v>132</v>
      </c>
      <c r="B77" s="97" t="s">
        <v>125</v>
      </c>
      <c r="C77" s="56">
        <v>22</v>
      </c>
      <c r="D77" s="16">
        <f ca="1">((100/H70)*C77)/100</f>
        <v>1.0000000000000002</v>
      </c>
      <c r="E77" s="160"/>
      <c r="F77" s="161"/>
      <c r="G77" s="160"/>
      <c r="H77" s="165"/>
      <c r="I77" s="13" t="s">
        <v>141</v>
      </c>
      <c r="J77" s="27">
        <f>(IF(B70&gt;1,(H70/(B70+2)+J76),0))</f>
        <v>0</v>
      </c>
    </row>
    <row r="78" spans="1:19" ht="15" customHeight="1" x14ac:dyDescent="0.25">
      <c r="A78" s="96" t="s">
        <v>130</v>
      </c>
      <c r="B78" s="97" t="s">
        <v>127</v>
      </c>
      <c r="C78" s="56">
        <v>19</v>
      </c>
      <c r="D78" s="16">
        <f ca="1">((100/(H70))*C78)/100</f>
        <v>0.86363636363636376</v>
      </c>
      <c r="E78" s="160"/>
      <c r="F78" s="161"/>
      <c r="G78" s="160"/>
      <c r="H78" s="165"/>
      <c r="I78" s="13" t="s">
        <v>138</v>
      </c>
      <c r="J78" s="27">
        <f>(IF(B70&gt;2,(H70/(B70+2)+J77),0))</f>
        <v>0</v>
      </c>
    </row>
    <row r="79" spans="1:19" ht="15.75" customHeight="1" x14ac:dyDescent="0.25">
      <c r="A79" s="96" t="s">
        <v>126</v>
      </c>
      <c r="B79" s="97" t="s">
        <v>126</v>
      </c>
      <c r="C79" s="56">
        <v>15</v>
      </c>
      <c r="D79" s="16">
        <f ca="1">((100/H70)*C79)/100</f>
        <v>0.68181818181818188</v>
      </c>
      <c r="E79" s="160"/>
      <c r="F79" s="161"/>
      <c r="G79" s="160"/>
      <c r="H79" s="165"/>
      <c r="I79" s="13" t="s">
        <v>139</v>
      </c>
      <c r="J79" s="28">
        <f>(IF(B70&gt;3,(H70/(B70+2)+J78),0))</f>
        <v>0</v>
      </c>
    </row>
    <row r="80" spans="1:19" ht="15.75" customHeight="1" x14ac:dyDescent="0.25">
      <c r="A80" s="96" t="s">
        <v>133</v>
      </c>
      <c r="B80" s="97"/>
      <c r="C80" s="56">
        <v>0</v>
      </c>
      <c r="D80" s="16">
        <f ca="1">((100/H70)*C80)/100</f>
        <v>0</v>
      </c>
      <c r="E80" s="160"/>
      <c r="F80" s="161"/>
      <c r="G80" s="160"/>
      <c r="H80" s="165"/>
      <c r="I80" s="13" t="s">
        <v>140</v>
      </c>
      <c r="J80" s="27">
        <f>(IF(B70&gt;4,(H70/(B70+2)+J79),0))</f>
        <v>0</v>
      </c>
    </row>
    <row r="81" spans="1:22" ht="15.75" customHeight="1" x14ac:dyDescent="0.25">
      <c r="A81" s="96" t="s">
        <v>128</v>
      </c>
      <c r="B81" s="97" t="s">
        <v>128</v>
      </c>
      <c r="C81" s="56">
        <v>0</v>
      </c>
      <c r="D81" s="16">
        <f ca="1">((100/(H70))*C81)/100</f>
        <v>0</v>
      </c>
      <c r="E81" s="160"/>
      <c r="F81" s="161"/>
      <c r="G81" s="160"/>
      <c r="H81" s="165"/>
      <c r="I81" s="13" t="s">
        <v>142</v>
      </c>
      <c r="J81" s="27">
        <f ca="1">(IF(B70=1,(H70/(B70+3)+J76),IF(B70=0,(H70/4+J76),IF(B70&gt;1,0))))</f>
        <v>16.5</v>
      </c>
    </row>
    <row r="82" spans="1:22" ht="16.5" thickBot="1" x14ac:dyDescent="0.3">
      <c r="A82" s="167" t="s">
        <v>129</v>
      </c>
      <c r="B82" s="168"/>
      <c r="C82" s="57">
        <v>0</v>
      </c>
      <c r="D82" s="17">
        <f ca="1">((100/(H70))*C82)/100</f>
        <v>0</v>
      </c>
      <c r="E82" s="162"/>
      <c r="F82" s="163"/>
      <c r="G82" s="162"/>
      <c r="H82" s="166"/>
      <c r="I82" s="14" t="s">
        <v>101</v>
      </c>
      <c r="J82" s="29">
        <f ca="1">(IF(B70&gt;1.5,(H70/(B70+2)+J76+MAX(0,J77-J76)+MAX(0,J78-J77)+MAX(0,J79-J78)+MAX(0,J80-J79)+MAX(0,J81-J80)),IF(B70=1,(H70/(B70+3)+J81),IF(B70=0,H70/4+J81))))</f>
        <v>22</v>
      </c>
    </row>
    <row r="83" spans="1:22" x14ac:dyDescent="0.25">
      <c r="A83" s="204" t="s">
        <v>152</v>
      </c>
      <c r="B83" s="204"/>
      <c r="C83" s="204"/>
      <c r="D83" s="204"/>
      <c r="E83" s="204"/>
      <c r="F83" s="193" t="s">
        <v>156</v>
      </c>
      <c r="G83" s="193"/>
      <c r="H83" s="193"/>
      <c r="R83" t="s">
        <v>248</v>
      </c>
      <c r="S83" t="s">
        <v>168</v>
      </c>
      <c r="T83" t="s">
        <v>175</v>
      </c>
      <c r="U83" t="s">
        <v>190</v>
      </c>
      <c r="V83" t="s">
        <v>185</v>
      </c>
    </row>
    <row r="84" spans="1:22" x14ac:dyDescent="0.25">
      <c r="A84" s="86" t="s">
        <v>154</v>
      </c>
      <c r="B84" s="86"/>
      <c r="C84" s="86"/>
      <c r="D84" s="86"/>
      <c r="E84" s="86"/>
      <c r="F84" s="83">
        <v>16000</v>
      </c>
      <c r="G84" s="83"/>
      <c r="H84" s="83"/>
      <c r="J84" s="65" t="s">
        <v>350</v>
      </c>
      <c r="K84" s="65"/>
      <c r="L84" s="66">
        <v>45404</v>
      </c>
      <c r="M84" s="65" t="s">
        <v>351</v>
      </c>
      <c r="R84"/>
      <c r="S84">
        <v>800000</v>
      </c>
      <c r="T84">
        <v>150000</v>
      </c>
      <c r="U84">
        <v>100000</v>
      </c>
      <c r="V84">
        <v>100000</v>
      </c>
    </row>
    <row r="85" spans="1:22" x14ac:dyDescent="0.25">
      <c r="A85" s="86" t="s">
        <v>153</v>
      </c>
      <c r="B85" s="86"/>
      <c r="C85" s="86"/>
      <c r="D85" s="86"/>
      <c r="E85" s="86"/>
      <c r="F85" s="83">
        <v>20000</v>
      </c>
      <c r="G85" s="83"/>
      <c r="H85" s="83"/>
      <c r="R85"/>
      <c r="S85">
        <v>900000</v>
      </c>
      <c r="T85">
        <v>200000</v>
      </c>
      <c r="U85">
        <v>150000</v>
      </c>
      <c r="V85">
        <v>150000</v>
      </c>
    </row>
    <row r="86" spans="1:22" x14ac:dyDescent="0.25">
      <c r="A86" s="86" t="s">
        <v>155</v>
      </c>
      <c r="B86" s="86"/>
      <c r="C86" s="86"/>
      <c r="D86" s="86"/>
      <c r="E86" s="86"/>
      <c r="F86" s="83">
        <v>18000</v>
      </c>
      <c r="G86" s="83"/>
      <c r="H86" s="83"/>
      <c r="R86"/>
      <c r="S86">
        <v>1000000</v>
      </c>
      <c r="T86">
        <v>250000</v>
      </c>
      <c r="U86">
        <v>200000</v>
      </c>
      <c r="V86">
        <v>200000</v>
      </c>
    </row>
    <row r="87" spans="1:22" s="30" customFormat="1" hidden="1" x14ac:dyDescent="0.25">
      <c r="A87" s="86" t="s">
        <v>171</v>
      </c>
      <c r="B87" s="86"/>
      <c r="C87" s="86"/>
      <c r="D87" s="86"/>
      <c r="E87" s="86"/>
      <c r="F87" s="83"/>
      <c r="G87" s="83"/>
      <c r="H87" s="83"/>
      <c r="R87"/>
      <c r="S87">
        <v>1100000</v>
      </c>
      <c r="T87">
        <v>300000</v>
      </c>
      <c r="U87">
        <v>250000</v>
      </c>
      <c r="V87" s="20">
        <v>250000</v>
      </c>
    </row>
    <row r="88" spans="1:22" s="30" customFormat="1" x14ac:dyDescent="0.25">
      <c r="A88" s="86" t="s">
        <v>92</v>
      </c>
      <c r="B88" s="86"/>
      <c r="C88" s="86"/>
      <c r="D88" s="86"/>
      <c r="E88" s="86"/>
      <c r="F88" s="83">
        <v>300000</v>
      </c>
      <c r="G88" s="83"/>
      <c r="H88" s="83"/>
      <c r="R88"/>
      <c r="S88">
        <v>1200000</v>
      </c>
      <c r="T88">
        <v>350000</v>
      </c>
      <c r="U88">
        <v>300000</v>
      </c>
      <c r="V88">
        <v>300000</v>
      </c>
    </row>
    <row r="89" spans="1:22" s="30" customFormat="1" x14ac:dyDescent="0.25">
      <c r="A89" s="86" t="s">
        <v>93</v>
      </c>
      <c r="B89" s="86"/>
      <c r="C89" s="86"/>
      <c r="D89" s="86"/>
      <c r="E89" s="86"/>
      <c r="F89" s="83">
        <v>250000</v>
      </c>
      <c r="G89" s="83"/>
      <c r="H89" s="83"/>
      <c r="R89"/>
      <c r="S89">
        <v>1300000</v>
      </c>
      <c r="T89">
        <v>400000</v>
      </c>
      <c r="U89">
        <v>350000</v>
      </c>
      <c r="V89" s="20">
        <v>400000</v>
      </c>
    </row>
    <row r="90" spans="1:22" s="30" customFormat="1" hidden="1" x14ac:dyDescent="0.25">
      <c r="A90" s="86" t="s">
        <v>94</v>
      </c>
      <c r="B90" s="86"/>
      <c r="C90" s="86"/>
      <c r="D90" s="86"/>
      <c r="E90" s="86"/>
      <c r="F90" s="83"/>
      <c r="G90" s="83"/>
      <c r="H90" s="83"/>
      <c r="R90"/>
      <c r="S90">
        <v>1400000</v>
      </c>
      <c r="T90">
        <v>500000</v>
      </c>
      <c r="U90">
        <v>400000</v>
      </c>
      <c r="V90"/>
    </row>
    <row r="91" spans="1:22" s="30" customFormat="1" hidden="1" x14ac:dyDescent="0.25">
      <c r="A91" s="86" t="s">
        <v>95</v>
      </c>
      <c r="B91" s="86"/>
      <c r="C91" s="86"/>
      <c r="D91" s="86"/>
      <c r="E91" s="86"/>
      <c r="F91" s="83"/>
      <c r="G91" s="83"/>
      <c r="H91" s="83"/>
      <c r="R91"/>
      <c r="S91">
        <v>1500000</v>
      </c>
      <c r="T91">
        <v>600000</v>
      </c>
      <c r="U91">
        <v>500000</v>
      </c>
      <c r="V91" s="20"/>
    </row>
    <row r="92" spans="1:22" s="30" customFormat="1" x14ac:dyDescent="0.25">
      <c r="A92" s="86" t="s">
        <v>348</v>
      </c>
      <c r="B92" s="86"/>
      <c r="C92" s="86"/>
      <c r="D92" s="86"/>
      <c r="E92" s="86"/>
      <c r="F92" s="83">
        <v>150000</v>
      </c>
      <c r="G92" s="83"/>
      <c r="H92" s="83"/>
      <c r="R92"/>
      <c r="S92">
        <v>1600000</v>
      </c>
      <c r="T92">
        <v>700000</v>
      </c>
      <c r="U92">
        <v>600000</v>
      </c>
      <c r="V92"/>
    </row>
    <row r="93" spans="1:22" s="30" customFormat="1" hidden="1" x14ac:dyDescent="0.25">
      <c r="A93" s="86" t="s">
        <v>96</v>
      </c>
      <c r="B93" s="86"/>
      <c r="C93" s="86"/>
      <c r="D93" s="86"/>
      <c r="E93" s="86"/>
      <c r="F93" s="83"/>
      <c r="G93" s="83"/>
      <c r="H93" s="83"/>
      <c r="R93"/>
      <c r="S93">
        <v>1700000</v>
      </c>
      <c r="T93">
        <v>800000</v>
      </c>
      <c r="U93"/>
      <c r="V93" s="20"/>
    </row>
    <row r="94" spans="1:22" x14ac:dyDescent="0.25">
      <c r="A94" s="86" t="s">
        <v>49</v>
      </c>
      <c r="B94" s="86"/>
      <c r="C94" s="86"/>
      <c r="D94" s="86"/>
      <c r="E94" s="86"/>
      <c r="F94" s="150">
        <v>700000</v>
      </c>
      <c r="G94" s="150"/>
      <c r="H94" s="150"/>
      <c r="R94"/>
      <c r="S94">
        <v>1800000</v>
      </c>
      <c r="T94">
        <v>900000</v>
      </c>
      <c r="U94"/>
    </row>
    <row r="95" spans="1:22" s="31" customFormat="1" x14ac:dyDescent="0.25">
      <c r="A95" s="151" t="s">
        <v>50</v>
      </c>
      <c r="B95" s="151"/>
      <c r="C95" s="151"/>
      <c r="D95" s="151"/>
      <c r="E95" s="151"/>
      <c r="F95" s="83">
        <f>F84*0.8</f>
        <v>12800</v>
      </c>
      <c r="G95" s="83"/>
      <c r="H95" s="83"/>
      <c r="R95" s="18"/>
      <c r="S95" s="18"/>
      <c r="T95">
        <v>1000000</v>
      </c>
      <c r="U95"/>
      <c r="V95" s="18"/>
    </row>
    <row r="96" spans="1:22" s="32" customFormat="1" ht="15.75" customHeight="1" x14ac:dyDescent="0.25">
      <c r="A96" s="149" t="s">
        <v>72</v>
      </c>
      <c r="B96" s="149"/>
      <c r="C96" s="149"/>
      <c r="D96" s="149"/>
      <c r="E96" s="149"/>
      <c r="F96" s="149"/>
      <c r="G96" s="149"/>
      <c r="H96" s="149"/>
      <c r="R96"/>
      <c r="S96" s="18"/>
      <c r="T96"/>
      <c r="U96"/>
      <c r="V96" s="18"/>
    </row>
    <row r="97" spans="1:22" s="32" customFormat="1" ht="15.75" customHeight="1" x14ac:dyDescent="0.25">
      <c r="A97" s="85" t="s">
        <v>51</v>
      </c>
      <c r="B97" s="85"/>
      <c r="C97" s="92" t="s">
        <v>75</v>
      </c>
      <c r="D97" s="92"/>
      <c r="E97" s="90" t="s">
        <v>52</v>
      </c>
      <c r="F97" s="90"/>
      <c r="G97" s="85" t="s">
        <v>53</v>
      </c>
      <c r="H97" s="85"/>
      <c r="R97"/>
      <c r="S97" s="18"/>
      <c r="T97"/>
      <c r="U97" s="18"/>
      <c r="V97" s="18"/>
    </row>
    <row r="98" spans="1:22" s="32" customFormat="1" x14ac:dyDescent="0.25">
      <c r="A98" s="91" t="s">
        <v>333</v>
      </c>
      <c r="B98" s="91"/>
      <c r="C98" s="190">
        <f>COUNT(D111:D116)</f>
        <v>6</v>
      </c>
      <c r="D98" s="195"/>
      <c r="E98" s="190">
        <f>SUM(F111:F116)</f>
        <v>3768.9123419999996</v>
      </c>
      <c r="F98" s="195"/>
      <c r="G98" s="190">
        <f>SUM(H111:H116)</f>
        <v>5653.3685129999994</v>
      </c>
      <c r="H98" s="195"/>
      <c r="R98"/>
      <c r="S98" s="18"/>
      <c r="T98"/>
      <c r="U98" s="18"/>
      <c r="V98" s="18"/>
    </row>
    <row r="99" spans="1:22" s="32" customFormat="1" x14ac:dyDescent="0.25">
      <c r="A99" s="91" t="s">
        <v>334</v>
      </c>
      <c r="B99" s="91"/>
      <c r="C99" s="190">
        <f>COUNT(D118:D122)+COUNT(D125:D133)</f>
        <v>14</v>
      </c>
      <c r="D99" s="195"/>
      <c r="E99" s="190">
        <f>SUM(F118:F122)+SUM(F125:F133)</f>
        <v>3003.2636399999992</v>
      </c>
      <c r="F99" s="195"/>
      <c r="G99" s="190">
        <f>SUM(H118:H122)+SUM(H125:H133)</f>
        <v>4596.8469299999997</v>
      </c>
      <c r="H99" s="195"/>
      <c r="R99"/>
      <c r="S99" s="18"/>
      <c r="T99"/>
      <c r="U99" s="18"/>
      <c r="V99" s="18"/>
    </row>
    <row r="100" spans="1:22" s="32" customFormat="1" x14ac:dyDescent="0.25">
      <c r="A100" s="149" t="s">
        <v>145</v>
      </c>
      <c r="B100" s="149"/>
      <c r="C100" s="209">
        <f>SUM(C98:C99)</f>
        <v>20</v>
      </c>
      <c r="D100" s="90"/>
      <c r="E100" s="209">
        <f>SUM(E98:E99)</f>
        <v>6772.1759819999988</v>
      </c>
      <c r="F100" s="90"/>
      <c r="G100" s="209">
        <f>SUM(G98:G99)</f>
        <v>10250.215442999999</v>
      </c>
      <c r="H100" s="90"/>
      <c r="R100"/>
      <c r="S100" s="18"/>
      <c r="T100"/>
      <c r="U100" s="18"/>
      <c r="V100" s="18"/>
    </row>
    <row r="101" spans="1:22" s="32" customFormat="1" x14ac:dyDescent="0.25">
      <c r="A101" s="149" t="s">
        <v>67</v>
      </c>
      <c r="B101" s="149"/>
      <c r="C101" s="149"/>
      <c r="D101" s="149"/>
      <c r="E101" s="149"/>
      <c r="F101" s="149"/>
      <c r="G101" s="149"/>
      <c r="H101" s="149"/>
      <c r="T101"/>
    </row>
    <row r="102" spans="1:22" s="32" customFormat="1" ht="15.75" customHeight="1" x14ac:dyDescent="0.25">
      <c r="A102" s="85" t="s">
        <v>51</v>
      </c>
      <c r="B102" s="85"/>
      <c r="C102" s="92" t="s">
        <v>75</v>
      </c>
      <c r="D102" s="92"/>
      <c r="E102" s="90" t="s">
        <v>52</v>
      </c>
      <c r="F102" s="90"/>
      <c r="G102" s="85" t="s">
        <v>53</v>
      </c>
      <c r="H102" s="85"/>
      <c r="T102"/>
    </row>
    <row r="103" spans="1:22" s="32" customFormat="1" x14ac:dyDescent="0.25">
      <c r="A103" s="91" t="s">
        <v>335</v>
      </c>
      <c r="B103" s="91"/>
      <c r="C103" s="190">
        <f>COUNT(D138:D141)+COUNT(D143:D146)*11+COUNT(D148:D151)*2+COUNT(D153:D156)+COUNT(D158:D161)+COUNT(D163:D166)*4</f>
        <v>80</v>
      </c>
      <c r="D103" s="190"/>
      <c r="E103" s="190">
        <f>SUM(F138:F141)+SUM(F143:F146)*11+SUM(F148:F151)*2+SUM(F153:F156)+SUM(F158:F161)+SUM(F163:F166)*4</f>
        <v>55754.290800000002</v>
      </c>
      <c r="F103" s="190"/>
      <c r="G103" s="190">
        <f>SUM(H138:H141)+SUM(H143:H146)*11+SUM(H148:H151)*2+SUM(H153:H156)+SUM(H158:H161)+SUM(H163:H166)*4</f>
        <v>84281.635620000001</v>
      </c>
      <c r="H103" s="190"/>
      <c r="T103"/>
    </row>
    <row r="104" spans="1:22" s="32" customFormat="1" ht="16.5" thickBot="1" x14ac:dyDescent="0.3">
      <c r="A104" s="208" t="s">
        <v>145</v>
      </c>
      <c r="B104" s="208"/>
      <c r="C104" s="144">
        <f>SUM(C103)</f>
        <v>80</v>
      </c>
      <c r="D104" s="145"/>
      <c r="E104" s="144">
        <f>SUM(E103)</f>
        <v>55754.290800000002</v>
      </c>
      <c r="F104" s="145"/>
      <c r="G104" s="144">
        <f>SUM(G103)</f>
        <v>84281.635620000001</v>
      </c>
      <c r="H104" s="145"/>
      <c r="T104"/>
    </row>
    <row r="105" spans="1:22" s="32" customFormat="1" ht="16.5" thickBot="1" x14ac:dyDescent="0.3">
      <c r="A105" s="127" t="s">
        <v>162</v>
      </c>
      <c r="B105" s="128"/>
      <c r="C105" s="129">
        <f>C100+C104</f>
        <v>100</v>
      </c>
      <c r="D105" s="129"/>
      <c r="E105" s="130">
        <f>E100+E104</f>
        <v>62526.466782000003</v>
      </c>
      <c r="F105" s="130"/>
      <c r="G105" s="196">
        <f>G100+G104</f>
        <v>94531.851062999995</v>
      </c>
      <c r="H105" s="197"/>
      <c r="T105"/>
    </row>
    <row r="106" spans="1:22" s="31" customFormat="1" x14ac:dyDescent="0.25">
      <c r="A106" s="193" t="s">
        <v>54</v>
      </c>
      <c r="B106" s="193"/>
      <c r="C106" s="193"/>
      <c r="D106" s="193"/>
      <c r="E106" s="193"/>
      <c r="F106" s="193"/>
      <c r="G106" s="193"/>
      <c r="H106" s="193"/>
      <c r="T106" s="32"/>
    </row>
    <row r="107" spans="1:22" x14ac:dyDescent="0.25">
      <c r="A107" s="84" t="s">
        <v>170</v>
      </c>
      <c r="B107" s="84"/>
      <c r="C107" s="84"/>
      <c r="D107" s="84"/>
      <c r="E107" s="84"/>
      <c r="F107" s="84"/>
      <c r="G107" s="84"/>
      <c r="H107" s="84"/>
      <c r="T107" s="32"/>
    </row>
    <row r="108" spans="1:22" ht="47.25" customHeight="1" x14ac:dyDescent="0.25">
      <c r="A108" s="137" t="s">
        <v>345</v>
      </c>
      <c r="B108" s="137" t="s">
        <v>172</v>
      </c>
      <c r="C108" s="137" t="s">
        <v>55</v>
      </c>
      <c r="D108" s="137" t="s">
        <v>326</v>
      </c>
      <c r="E108" s="191" t="s">
        <v>151</v>
      </c>
      <c r="F108" s="137" t="s">
        <v>56</v>
      </c>
      <c r="G108" s="191" t="s">
        <v>57</v>
      </c>
      <c r="H108" s="58" t="s">
        <v>144</v>
      </c>
      <c r="T108" s="32"/>
    </row>
    <row r="109" spans="1:22" s="34" customFormat="1" x14ac:dyDescent="0.25">
      <c r="A109" s="138"/>
      <c r="B109" s="138"/>
      <c r="C109" s="138"/>
      <c r="D109" s="138"/>
      <c r="E109" s="192"/>
      <c r="F109" s="138"/>
      <c r="G109" s="192"/>
      <c r="H109" s="59">
        <v>0.5</v>
      </c>
      <c r="T109" s="32"/>
    </row>
    <row r="110" spans="1:22" s="34" customFormat="1" x14ac:dyDescent="0.25">
      <c r="A110" s="77" t="s">
        <v>317</v>
      </c>
      <c r="B110" s="78"/>
      <c r="C110" s="78"/>
      <c r="D110" s="78"/>
      <c r="E110" s="78"/>
      <c r="F110" s="78"/>
      <c r="G110" s="78"/>
      <c r="H110" s="79"/>
      <c r="J110" s="33"/>
      <c r="T110" s="32"/>
    </row>
    <row r="111" spans="1:22" s="34" customFormat="1" ht="15.75" customHeight="1" x14ac:dyDescent="0.25">
      <c r="A111" s="75">
        <v>1</v>
      </c>
      <c r="B111" s="76"/>
      <c r="C111" s="39" t="s">
        <v>316</v>
      </c>
      <c r="D111" s="55">
        <f>(21.36)*(10.764)</f>
        <v>229.91903999999997</v>
      </c>
      <c r="E111" s="55">
        <f>(3.2*2.25)*(10.764)</f>
        <v>77.500799999999998</v>
      </c>
      <c r="F111" s="39">
        <f>D111+(IF(E111&lt;201,E111,IF(E111&lt;301,E111/2,E111/3)))</f>
        <v>307.41983999999997</v>
      </c>
      <c r="G111" s="39">
        <v>0</v>
      </c>
      <c r="H111" s="39">
        <f t="shared" ref="H111:H116" si="0">(F111+(IF(G111&lt;101,G111,IF(G111&lt;201,G111/2,IF(G111&lt;=301,G111/3,G111/4)))))*(($H$109)+1)</f>
        <v>461.12975999999992</v>
      </c>
      <c r="I111" s="33"/>
      <c r="J111" s="55">
        <f>10.764</f>
        <v>10.763999999999999</v>
      </c>
      <c r="L111" s="70"/>
      <c r="M111" s="70"/>
      <c r="N111" s="33"/>
      <c r="T111" s="32"/>
    </row>
    <row r="112" spans="1:22" s="34" customFormat="1" ht="15.75" customHeight="1" x14ac:dyDescent="0.25">
      <c r="A112" s="75">
        <f>A111+1</f>
        <v>2</v>
      </c>
      <c r="B112" s="76"/>
      <c r="C112" s="39" t="s">
        <v>316</v>
      </c>
      <c r="D112" s="55">
        <f>(38.08)*(10.764)</f>
        <v>409.89311999999995</v>
      </c>
      <c r="E112" s="55">
        <f>(4.6*2.625)*(10.764)</f>
        <v>129.97529999999998</v>
      </c>
      <c r="F112" s="39">
        <f t="shared" ref="F112:F116" si="1">D112+(IF(E112&lt;201,E112,IF(E112&lt;301,E112/2,E112/3)))</f>
        <v>539.8684199999999</v>
      </c>
      <c r="G112" s="39">
        <v>0</v>
      </c>
      <c r="H112" s="39">
        <f t="shared" si="0"/>
        <v>809.80262999999991</v>
      </c>
      <c r="I112" s="33"/>
      <c r="L112" s="70"/>
      <c r="M112" s="70"/>
      <c r="N112" s="33"/>
      <c r="T112" s="31"/>
    </row>
    <row r="113" spans="1:20" s="34" customFormat="1" ht="15.75" customHeight="1" x14ac:dyDescent="0.25">
      <c r="A113" s="75">
        <f>A112+1</f>
        <v>3</v>
      </c>
      <c r="B113" s="76"/>
      <c r="C113" s="39" t="s">
        <v>316</v>
      </c>
      <c r="D113" s="55">
        <f>(22.97)*(10.764)</f>
        <v>247.24907999999996</v>
      </c>
      <c r="E113" s="55">
        <f>(2.8*2.44)*(10.764)</f>
        <v>73.539648</v>
      </c>
      <c r="F113" s="39">
        <f t="shared" si="1"/>
        <v>320.78872799999999</v>
      </c>
      <c r="G113" s="39">
        <v>0</v>
      </c>
      <c r="H113" s="39">
        <f t="shared" si="0"/>
        <v>481.18309199999999</v>
      </c>
      <c r="I113" s="33">
        <f>2.44*8.1+1.425*1.315+0.9*1.2</f>
        <v>22.717874999999999</v>
      </c>
      <c r="L113" s="70"/>
      <c r="M113" s="70"/>
      <c r="N113" s="33"/>
      <c r="T113" s="18"/>
    </row>
    <row r="114" spans="1:20" s="34" customFormat="1" ht="15.75" customHeight="1" x14ac:dyDescent="0.25">
      <c r="A114" s="75">
        <f>A113+1</f>
        <v>4</v>
      </c>
      <c r="B114" s="76"/>
      <c r="C114" s="39" t="s">
        <v>316</v>
      </c>
      <c r="D114" s="55">
        <f>(26.3)*(10.764)</f>
        <v>283.09319999999997</v>
      </c>
      <c r="E114" s="55">
        <f>(2.885*2.4+2*1.1)*(10.764)</f>
        <v>98.210735999999983</v>
      </c>
      <c r="F114" s="39">
        <f t="shared" si="1"/>
        <v>381.30393599999996</v>
      </c>
      <c r="G114" s="39">
        <v>0</v>
      </c>
      <c r="H114" s="39">
        <f t="shared" si="0"/>
        <v>571.95590399999992</v>
      </c>
      <c r="I114" s="33"/>
      <c r="L114" s="70"/>
      <c r="M114" s="70"/>
      <c r="N114" s="33"/>
      <c r="T114" s="18"/>
    </row>
    <row r="115" spans="1:20" s="34" customFormat="1" ht="15.75" customHeight="1" x14ac:dyDescent="0.25">
      <c r="A115" s="75">
        <f t="shared" ref="A115:A116" si="2">A114+1</f>
        <v>5</v>
      </c>
      <c r="B115" s="76"/>
      <c r="C115" s="39" t="s">
        <v>316</v>
      </c>
      <c r="D115" s="55">
        <f>(24.61)*(10.764)</f>
        <v>264.90204</v>
      </c>
      <c r="E115" s="55">
        <f>(2.885*2.7)*(10.764)</f>
        <v>83.846177999999995</v>
      </c>
      <c r="F115" s="39">
        <f t="shared" si="1"/>
        <v>348.74821800000001</v>
      </c>
      <c r="G115" s="39">
        <v>0</v>
      </c>
      <c r="H115" s="39">
        <f t="shared" si="0"/>
        <v>523.12232700000004</v>
      </c>
      <c r="I115" s="33">
        <f>2.885*7.215+1.87*1.315+0.9*1.2</f>
        <v>24.354325000000003</v>
      </c>
      <c r="N115" s="33"/>
      <c r="T115" s="18"/>
    </row>
    <row r="116" spans="1:20" s="34" customFormat="1" ht="48" customHeight="1" x14ac:dyDescent="0.25">
      <c r="A116" s="75">
        <f t="shared" si="2"/>
        <v>6</v>
      </c>
      <c r="B116" s="76"/>
      <c r="C116" s="39" t="s">
        <v>332</v>
      </c>
      <c r="D116" s="55">
        <f>(95.65+78.15)*(10.764)</f>
        <v>1870.7832000000001</v>
      </c>
      <c r="E116" s="55">
        <v>0</v>
      </c>
      <c r="F116" s="39">
        <f t="shared" si="1"/>
        <v>1870.7832000000001</v>
      </c>
      <c r="G116" s="39">
        <v>0</v>
      </c>
      <c r="H116" s="39">
        <f t="shared" si="0"/>
        <v>2806.1748000000002</v>
      </c>
      <c r="I116" s="33"/>
      <c r="N116" s="33"/>
      <c r="T116" s="18"/>
    </row>
    <row r="117" spans="1:20" s="34" customFormat="1" ht="15.75" customHeight="1" x14ac:dyDescent="0.25">
      <c r="A117" s="77" t="s">
        <v>318</v>
      </c>
      <c r="B117" s="78"/>
      <c r="C117" s="78"/>
      <c r="D117" s="78"/>
      <c r="E117" s="78"/>
      <c r="F117" s="78"/>
      <c r="G117" s="78"/>
      <c r="H117" s="79"/>
      <c r="I117" s="33"/>
      <c r="L117" s="70"/>
      <c r="M117" s="70"/>
    </row>
    <row r="118" spans="1:20" s="34" customFormat="1" x14ac:dyDescent="0.25">
      <c r="A118" s="71">
        <f>LEFT(A117,SUM(LEN(A117)-LEN(SUBSTITUTE(A117,{"0","1","2","3","4","5","6","7","8","9"},""))))*100+1</f>
        <v>101</v>
      </c>
      <c r="B118" s="71"/>
      <c r="C118" s="39" t="s">
        <v>319</v>
      </c>
      <c r="D118" s="55">
        <f>(30.24)*(10.764)</f>
        <v>325.50335999999999</v>
      </c>
      <c r="E118" s="55">
        <f>0*(10.764)</f>
        <v>0</v>
      </c>
      <c r="F118" s="39">
        <f>D118+E118</f>
        <v>325.50335999999999</v>
      </c>
      <c r="G118" s="55">
        <f>(11.39)*(10.764)</f>
        <v>122.60196000000001</v>
      </c>
      <c r="H118" s="39">
        <f t="shared" ref="H118:H123" si="3">(F118+(IF(G118&lt;101,G118,IF(G118&lt;201,G118/2,IF(G118&lt;=301,G118/3,G118/4)))))*(($H$109)+1)</f>
        <v>580.20650999999998</v>
      </c>
      <c r="I118" s="33"/>
      <c r="N118" s="33"/>
    </row>
    <row r="119" spans="1:20" s="34" customFormat="1" x14ac:dyDescent="0.25">
      <c r="A119" s="71">
        <f>A118+1</f>
        <v>102</v>
      </c>
      <c r="B119" s="71"/>
      <c r="C119" s="39" t="s">
        <v>319</v>
      </c>
      <c r="D119" s="55">
        <f>(17.97)*(10.764)</f>
        <v>193.42907999999997</v>
      </c>
      <c r="E119" s="55">
        <f>0*(10.764)</f>
        <v>0</v>
      </c>
      <c r="F119" s="39">
        <f>D119+E119</f>
        <v>193.42907999999997</v>
      </c>
      <c r="G119" s="39">
        <v>0</v>
      </c>
      <c r="H119" s="39">
        <f t="shared" si="3"/>
        <v>290.14361999999994</v>
      </c>
      <c r="I119" s="33">
        <f>2.625*5.455+1.61*1.315+0.9*1.2</f>
        <v>17.516525000000001</v>
      </c>
      <c r="N119" s="33"/>
    </row>
    <row r="120" spans="1:20" s="34" customFormat="1" x14ac:dyDescent="0.25">
      <c r="A120" s="71">
        <f>A119+1</f>
        <v>103</v>
      </c>
      <c r="B120" s="71"/>
      <c r="C120" s="39" t="s">
        <v>319</v>
      </c>
      <c r="D120" s="55">
        <f>(16.68)*(10.764)</f>
        <v>179.54351999999997</v>
      </c>
      <c r="E120" s="55">
        <f>0*(10.764)</f>
        <v>0</v>
      </c>
      <c r="F120" s="39">
        <f>D120+E120</f>
        <v>179.54351999999997</v>
      </c>
      <c r="G120" s="39">
        <v>0</v>
      </c>
      <c r="H120" s="39">
        <f t="shared" si="3"/>
        <v>269.31527999999997</v>
      </c>
      <c r="I120" s="33"/>
      <c r="N120" s="33"/>
    </row>
    <row r="121" spans="1:20" s="34" customFormat="1" x14ac:dyDescent="0.25">
      <c r="A121" s="71">
        <f>A120+1</f>
        <v>104</v>
      </c>
      <c r="B121" s="71"/>
      <c r="C121" s="39" t="s">
        <v>319</v>
      </c>
      <c r="D121" s="55">
        <f>(19.71)*(10.764)</f>
        <v>212.15843999999998</v>
      </c>
      <c r="E121" s="55">
        <f>0*(10.764)</f>
        <v>0</v>
      </c>
      <c r="F121" s="39">
        <f>D121+E121</f>
        <v>212.15843999999998</v>
      </c>
      <c r="G121" s="39">
        <v>0</v>
      </c>
      <c r="H121" s="39">
        <f t="shared" si="3"/>
        <v>318.23766000000001</v>
      </c>
      <c r="I121" s="33"/>
      <c r="N121" s="33"/>
    </row>
    <row r="122" spans="1:20" s="34" customFormat="1" x14ac:dyDescent="0.25">
      <c r="A122" s="71">
        <f>A121+1</f>
        <v>105</v>
      </c>
      <c r="B122" s="71"/>
      <c r="C122" s="39" t="s">
        <v>319</v>
      </c>
      <c r="D122" s="55">
        <f>(19.71)*(10.764)</f>
        <v>212.15843999999998</v>
      </c>
      <c r="E122" s="55">
        <f>0*(10.764)</f>
        <v>0</v>
      </c>
      <c r="F122" s="39">
        <f>D122+E123</f>
        <v>212.15843999999998</v>
      </c>
      <c r="G122" s="39">
        <v>0</v>
      </c>
      <c r="H122" s="39">
        <f t="shared" si="3"/>
        <v>318.23766000000001</v>
      </c>
      <c r="I122" s="33">
        <f>2.885*5.455+1.87*1.315+0.9*1.2</f>
        <v>19.276724999999999</v>
      </c>
      <c r="N122" s="33"/>
    </row>
    <row r="123" spans="1:20" s="34" customFormat="1" x14ac:dyDescent="0.25">
      <c r="A123" s="71">
        <f>A122+1</f>
        <v>106</v>
      </c>
      <c r="B123" s="71"/>
      <c r="C123" s="39" t="s">
        <v>316</v>
      </c>
      <c r="D123" s="72" t="s">
        <v>331</v>
      </c>
      <c r="E123" s="73"/>
      <c r="F123" s="73"/>
      <c r="G123" s="74"/>
      <c r="H123" s="39">
        <f t="shared" si="3"/>
        <v>0</v>
      </c>
      <c r="I123" s="33"/>
      <c r="L123" s="70"/>
      <c r="M123" s="70"/>
    </row>
    <row r="124" spans="1:20" s="34" customFormat="1" ht="15.75" customHeight="1" x14ac:dyDescent="0.25">
      <c r="A124" s="77" t="s">
        <v>320</v>
      </c>
      <c r="B124" s="78"/>
      <c r="C124" s="78"/>
      <c r="D124" s="78"/>
      <c r="E124" s="78"/>
      <c r="F124" s="78"/>
      <c r="G124" s="78"/>
      <c r="H124" s="79"/>
      <c r="I124" s="33"/>
      <c r="N124" s="33"/>
    </row>
    <row r="125" spans="1:20" s="34" customFormat="1" x14ac:dyDescent="0.25">
      <c r="A125" s="71">
        <f>LEFT(A124,SUM(LEN(A124)-LEN(SUBSTITUTE(A124,{"0","1","2","3","4","5","6","7","8","9"},""))))*100+1</f>
        <v>201</v>
      </c>
      <c r="B125" s="71"/>
      <c r="C125" s="39" t="s">
        <v>319</v>
      </c>
      <c r="D125" s="55">
        <f>(30.1)*(10.764)</f>
        <v>323.99639999999999</v>
      </c>
      <c r="E125" s="55">
        <f t="shared" ref="E125:E133" si="4">0*(10.764)</f>
        <v>0</v>
      </c>
      <c r="F125" s="39">
        <f>D125+E125</f>
        <v>323.99639999999999</v>
      </c>
      <c r="G125" s="39">
        <v>0</v>
      </c>
      <c r="H125" s="39">
        <f t="shared" ref="H125:H133" si="5">(F125+(IF(G125&lt;101,G125,IF(G125&lt;201,G125/2,IF(G125&lt;=301,G125/3,G125/4)))))*(($H$109)+1)</f>
        <v>485.99459999999999</v>
      </c>
      <c r="I125" s="33"/>
      <c r="N125" s="33"/>
    </row>
    <row r="126" spans="1:20" s="34" customFormat="1" x14ac:dyDescent="0.25">
      <c r="A126" s="71">
        <f>A125+1</f>
        <v>202</v>
      </c>
      <c r="B126" s="71"/>
      <c r="C126" s="39" t="s">
        <v>319</v>
      </c>
      <c r="D126" s="55">
        <f>(17.97)*(10.764)</f>
        <v>193.42907999999997</v>
      </c>
      <c r="E126" s="55">
        <f t="shared" si="4"/>
        <v>0</v>
      </c>
      <c r="F126" s="39">
        <f>D126+E126</f>
        <v>193.42907999999997</v>
      </c>
      <c r="G126" s="39">
        <v>0</v>
      </c>
      <c r="H126" s="39">
        <f t="shared" si="5"/>
        <v>290.14361999999994</v>
      </c>
      <c r="I126" s="33"/>
      <c r="N126" s="33"/>
    </row>
    <row r="127" spans="1:20" s="34" customFormat="1" x14ac:dyDescent="0.25">
      <c r="A127" s="71">
        <f>A126+1</f>
        <v>203</v>
      </c>
      <c r="B127" s="71"/>
      <c r="C127" s="39" t="s">
        <v>319</v>
      </c>
      <c r="D127" s="55">
        <f>(16.68)*(10.764)</f>
        <v>179.54351999999997</v>
      </c>
      <c r="E127" s="55">
        <f t="shared" si="4"/>
        <v>0</v>
      </c>
      <c r="F127" s="39">
        <f>D127+E127</f>
        <v>179.54351999999997</v>
      </c>
      <c r="G127" s="39">
        <v>0</v>
      </c>
      <c r="H127" s="39">
        <f t="shared" si="5"/>
        <v>269.31527999999997</v>
      </c>
      <c r="I127" s="33">
        <f>2.44*5.455+1.425*1.315+0.9*1.2</f>
        <v>16.264074999999998</v>
      </c>
      <c r="N127" s="33"/>
    </row>
    <row r="128" spans="1:20" s="34" customFormat="1" x14ac:dyDescent="0.25">
      <c r="A128" s="71">
        <f>A127+1</f>
        <v>204</v>
      </c>
      <c r="B128" s="71"/>
      <c r="C128" s="39" t="s">
        <v>319</v>
      </c>
      <c r="D128" s="55">
        <f>(19.71)*(10.764)</f>
        <v>212.15843999999998</v>
      </c>
      <c r="E128" s="55">
        <f t="shared" si="4"/>
        <v>0</v>
      </c>
      <c r="F128" s="39">
        <f>D128+E128</f>
        <v>212.15843999999998</v>
      </c>
      <c r="G128" s="39">
        <v>0</v>
      </c>
      <c r="H128" s="39">
        <f t="shared" si="5"/>
        <v>318.23766000000001</v>
      </c>
      <c r="I128" s="33">
        <f>2.885*5.455+1.87*1.315+0.9*1.2</f>
        <v>19.276724999999999</v>
      </c>
      <c r="N128" s="33"/>
    </row>
    <row r="129" spans="1:20" s="34" customFormat="1" x14ac:dyDescent="0.25">
      <c r="A129" s="71">
        <f>A128+1</f>
        <v>205</v>
      </c>
      <c r="B129" s="71"/>
      <c r="C129" s="39" t="s">
        <v>319</v>
      </c>
      <c r="D129" s="55">
        <f>(19.71)*(10.764)</f>
        <v>212.15843999999998</v>
      </c>
      <c r="E129" s="55">
        <f t="shared" si="4"/>
        <v>0</v>
      </c>
      <c r="F129" s="39">
        <f>D129+E129</f>
        <v>212.15843999999998</v>
      </c>
      <c r="G129" s="39">
        <v>0</v>
      </c>
      <c r="H129" s="39">
        <f t="shared" si="5"/>
        <v>318.23766000000001</v>
      </c>
      <c r="I129" s="33"/>
      <c r="N129" s="33"/>
    </row>
    <row r="130" spans="1:20" s="34" customFormat="1" x14ac:dyDescent="0.25">
      <c r="A130" s="71">
        <f t="shared" ref="A130:A133" si="6">A129+1</f>
        <v>206</v>
      </c>
      <c r="B130" s="71"/>
      <c r="C130" s="39" t="s">
        <v>319</v>
      </c>
      <c r="D130" s="55">
        <f>(17.33)*(10.764)</f>
        <v>186.54011999999997</v>
      </c>
      <c r="E130" s="55">
        <f t="shared" si="4"/>
        <v>0</v>
      </c>
      <c r="F130" s="39">
        <f t="shared" ref="F130:F133" si="7">D130+E130</f>
        <v>186.54011999999997</v>
      </c>
      <c r="G130" s="39">
        <v>0</v>
      </c>
      <c r="H130" s="39">
        <f t="shared" si="5"/>
        <v>279.81017999999995</v>
      </c>
      <c r="I130" s="33"/>
      <c r="N130" s="33"/>
    </row>
    <row r="131" spans="1:20" s="34" customFormat="1" x14ac:dyDescent="0.25">
      <c r="A131" s="71">
        <f t="shared" si="6"/>
        <v>207</v>
      </c>
      <c r="B131" s="71"/>
      <c r="C131" s="39" t="s">
        <v>319</v>
      </c>
      <c r="D131" s="55">
        <f>(17.33)*(10.764)</f>
        <v>186.54011999999997</v>
      </c>
      <c r="E131" s="55">
        <f t="shared" si="4"/>
        <v>0</v>
      </c>
      <c r="F131" s="39">
        <f t="shared" si="7"/>
        <v>186.54011999999997</v>
      </c>
      <c r="G131" s="39">
        <v>0</v>
      </c>
      <c r="H131" s="39">
        <f t="shared" si="5"/>
        <v>279.81017999999995</v>
      </c>
      <c r="I131" s="33"/>
      <c r="N131" s="33"/>
    </row>
    <row r="132" spans="1:20" s="34" customFormat="1" x14ac:dyDescent="0.25">
      <c r="A132" s="71">
        <f t="shared" si="6"/>
        <v>208</v>
      </c>
      <c r="B132" s="71"/>
      <c r="C132" s="39" t="s">
        <v>319</v>
      </c>
      <c r="D132" s="55">
        <f>(21.11)*(10.764)</f>
        <v>227.22803999999999</v>
      </c>
      <c r="E132" s="55">
        <f t="shared" si="4"/>
        <v>0</v>
      </c>
      <c r="F132" s="39">
        <f t="shared" si="7"/>
        <v>227.22803999999999</v>
      </c>
      <c r="G132" s="39">
        <v>0</v>
      </c>
      <c r="H132" s="39">
        <f t="shared" si="5"/>
        <v>340.84206</v>
      </c>
      <c r="I132" s="33"/>
      <c r="N132" s="33"/>
    </row>
    <row r="133" spans="1:20" s="34" customFormat="1" x14ac:dyDescent="0.25">
      <c r="A133" s="71">
        <f t="shared" si="6"/>
        <v>209</v>
      </c>
      <c r="B133" s="71"/>
      <c r="C133" s="39" t="s">
        <v>319</v>
      </c>
      <c r="D133" s="55">
        <f>(14.76)*(10.764)</f>
        <v>158.87663999999998</v>
      </c>
      <c r="E133" s="55">
        <f t="shared" si="4"/>
        <v>0</v>
      </c>
      <c r="F133" s="39">
        <f t="shared" si="7"/>
        <v>158.87663999999998</v>
      </c>
      <c r="G133" s="39">
        <v>0</v>
      </c>
      <c r="H133" s="39">
        <f t="shared" si="5"/>
        <v>238.31495999999999</v>
      </c>
      <c r="I133" s="33"/>
      <c r="N133" s="33"/>
    </row>
    <row r="134" spans="1:20" x14ac:dyDescent="0.25">
      <c r="A134" s="75"/>
      <c r="B134" s="141"/>
      <c r="C134" s="141"/>
      <c r="D134" s="141"/>
      <c r="E134" s="141"/>
      <c r="F134" s="141"/>
      <c r="G134" s="141"/>
      <c r="H134" s="76"/>
      <c r="I134" s="33"/>
      <c r="T134" s="34"/>
    </row>
    <row r="135" spans="1:20" s="34" customFormat="1" ht="47.25" x14ac:dyDescent="0.25">
      <c r="A135" s="142" t="s">
        <v>346</v>
      </c>
      <c r="B135" s="137" t="s">
        <v>173</v>
      </c>
      <c r="C135" s="137" t="s">
        <v>55</v>
      </c>
      <c r="D135" s="137" t="s">
        <v>326</v>
      </c>
      <c r="E135" s="137" t="s">
        <v>323</v>
      </c>
      <c r="F135" s="137" t="s">
        <v>56</v>
      </c>
      <c r="G135" s="191" t="s">
        <v>57</v>
      </c>
      <c r="H135" s="58" t="s">
        <v>144</v>
      </c>
      <c r="I135" s="33"/>
    </row>
    <row r="136" spans="1:20" s="34" customFormat="1" x14ac:dyDescent="0.25">
      <c r="A136" s="143"/>
      <c r="B136" s="138"/>
      <c r="C136" s="138"/>
      <c r="D136" s="138"/>
      <c r="E136" s="138"/>
      <c r="F136" s="138"/>
      <c r="G136" s="192"/>
      <c r="H136" s="59">
        <v>0.5</v>
      </c>
      <c r="J136" s="33"/>
    </row>
    <row r="137" spans="1:20" s="34" customFormat="1" x14ac:dyDescent="0.25">
      <c r="A137" s="80" t="s">
        <v>321</v>
      </c>
      <c r="B137" s="80"/>
      <c r="C137" s="80"/>
      <c r="D137" s="80"/>
      <c r="E137" s="80"/>
      <c r="F137" s="80"/>
      <c r="G137" s="80"/>
      <c r="H137" s="80"/>
      <c r="I137" s="33"/>
      <c r="K137" s="34">
        <v>15000</v>
      </c>
      <c r="N137" s="33"/>
    </row>
    <row r="138" spans="1:20" s="34" customFormat="1" x14ac:dyDescent="0.25">
      <c r="A138" s="71">
        <f>LEFT(A137,SUM(LEN(A137)-LEN(SUBSTITUTE(A137,{"0","1","2","3","4","5","6","7","8","9"},""))))*100+1</f>
        <v>301</v>
      </c>
      <c r="B138" s="71"/>
      <c r="C138" s="39" t="s">
        <v>322</v>
      </c>
      <c r="D138" s="55">
        <f>(61.43)*(10.764)</f>
        <v>661.23251999999991</v>
      </c>
      <c r="E138" s="55">
        <f>0*(10.764)</f>
        <v>0</v>
      </c>
      <c r="F138" s="39">
        <f>D138+E138</f>
        <v>661.23251999999991</v>
      </c>
      <c r="G138" s="55">
        <f>(34.58)*(10.764)</f>
        <v>372.21911999999998</v>
      </c>
      <c r="H138" s="39">
        <f>F138*(($H$136)+1)+(IF(G138&lt;101,G138,IF(G138&lt;201,G138/2,IF(G138&lt;=301,G138/3,G138/4))))</f>
        <v>1084.9035599999997</v>
      </c>
      <c r="I138" s="33">
        <f>(4.9*3.15+1.2*1.35+2.885*2.4+2.1*3+3*3+3.005*4+2.135*1.2+2.135*1.2+1*2.5)</f>
        <v>58.922999999999988</v>
      </c>
      <c r="J138" s="33">
        <f>2.12+7.48+24.99</f>
        <v>34.590000000000003</v>
      </c>
      <c r="K138" s="34">
        <f>K$137*H138</f>
        <v>16273553.399999997</v>
      </c>
      <c r="L138" s="34">
        <f>K138+500000</f>
        <v>16773553.399999997</v>
      </c>
      <c r="N138" s="33"/>
    </row>
    <row r="139" spans="1:20" s="34" customFormat="1" x14ac:dyDescent="0.25">
      <c r="A139" s="71">
        <f>A138+1</f>
        <v>302</v>
      </c>
      <c r="B139" s="71"/>
      <c r="C139" s="39" t="s">
        <v>322</v>
      </c>
      <c r="D139" s="55">
        <f>(58.04)*(10.764)</f>
        <v>624.74255999999991</v>
      </c>
      <c r="E139" s="55">
        <f>1.8*(10.764)</f>
        <v>19.3752</v>
      </c>
      <c r="F139" s="39">
        <f>D139+E139</f>
        <v>644.11775999999986</v>
      </c>
      <c r="G139" s="55">
        <f>(0)*(10.764)</f>
        <v>0</v>
      </c>
      <c r="H139" s="39">
        <f>F139*(($H$136)+1)+(IF(G139&lt;101,G139,IF(G139&lt;201,G139/2,IF(G139&lt;=301,G139/3,G139/4))))</f>
        <v>966.17663999999979</v>
      </c>
      <c r="I139" s="33">
        <f>(4.9*3.15+1.2*1.31+2.885*1.3+2.1*3+3*3+3.005*4+2.135*1.2+2.135*1.2+1*2.8)</f>
        <v>56.001499999999993</v>
      </c>
      <c r="J139" s="60">
        <f>0.75*2.4</f>
        <v>1.7999999999999998</v>
      </c>
      <c r="K139" s="34">
        <f t="shared" ref="K139:K157" si="8">K$137*H139</f>
        <v>14492649.599999998</v>
      </c>
      <c r="L139" s="34">
        <f t="shared" ref="L139:L156" si="9">K139+500000</f>
        <v>14992649.599999998</v>
      </c>
      <c r="N139" s="33"/>
    </row>
    <row r="140" spans="1:20" s="34" customFormat="1" x14ac:dyDescent="0.25">
      <c r="A140" s="71">
        <f>A139+1</f>
        <v>303</v>
      </c>
      <c r="B140" s="71"/>
      <c r="C140" s="39" t="s">
        <v>325</v>
      </c>
      <c r="D140" s="55">
        <f>(70.24)*(10.764)</f>
        <v>756.06335999999988</v>
      </c>
      <c r="E140" s="55">
        <f>0*(10.764)</f>
        <v>0</v>
      </c>
      <c r="F140" s="39">
        <f>D140+E140</f>
        <v>756.06335999999988</v>
      </c>
      <c r="G140" s="55">
        <f>(17.11)*(10.764)</f>
        <v>184.17203999999998</v>
      </c>
      <c r="H140" s="39">
        <f>F140*(($H$136)+1)+(IF(G140&lt;101,G140,IF(G140&lt;201,G140/2,IF(G140&lt;=301,G140/3,G140/4))))</f>
        <v>1226.1810599999997</v>
      </c>
      <c r="I140" s="33"/>
      <c r="K140" s="34">
        <f t="shared" si="8"/>
        <v>18392715.899999995</v>
      </c>
      <c r="L140" s="34">
        <f t="shared" si="9"/>
        <v>18892715.899999995</v>
      </c>
      <c r="N140" s="33"/>
    </row>
    <row r="141" spans="1:20" s="34" customFormat="1" x14ac:dyDescent="0.25">
      <c r="A141" s="71">
        <f>A140+1</f>
        <v>304</v>
      </c>
      <c r="B141" s="71"/>
      <c r="C141" s="39" t="s">
        <v>325</v>
      </c>
      <c r="D141" s="55">
        <f>(73.58)*(10.764)</f>
        <v>792.01511999999991</v>
      </c>
      <c r="E141" s="55">
        <f>0*(10.764)</f>
        <v>0</v>
      </c>
      <c r="F141" s="39">
        <f>D141+E141</f>
        <v>792.01511999999991</v>
      </c>
      <c r="G141" s="55">
        <f>(35.41)*(10.764)</f>
        <v>381.15323999999993</v>
      </c>
      <c r="H141" s="39">
        <f>F141*(($H$136)+1)+G141/2</f>
        <v>1378.5992999999999</v>
      </c>
      <c r="I141" s="33"/>
      <c r="J141" s="64"/>
      <c r="K141" s="64" t="s">
        <v>349</v>
      </c>
      <c r="L141" s="64"/>
      <c r="N141" s="33"/>
    </row>
    <row r="142" spans="1:20" s="34" customFormat="1" ht="15.75" customHeight="1" x14ac:dyDescent="0.25">
      <c r="A142" s="77" t="s">
        <v>324</v>
      </c>
      <c r="B142" s="78"/>
      <c r="C142" s="78"/>
      <c r="D142" s="78"/>
      <c r="E142" s="78"/>
      <c r="F142" s="78"/>
      <c r="G142" s="78"/>
      <c r="H142" s="79"/>
      <c r="I142" s="33"/>
      <c r="K142" s="34">
        <f t="shared" si="8"/>
        <v>0</v>
      </c>
      <c r="L142" s="34">
        <f t="shared" si="9"/>
        <v>500000</v>
      </c>
    </row>
    <row r="143" spans="1:20" s="34" customFormat="1" ht="15.75" customHeight="1" x14ac:dyDescent="0.25">
      <c r="A143" s="75" t="str">
        <f ca="1">(SUMPRODUCT(MID(0&amp;(LEFT(A142,SUM(LEN(A142)-LEN(SUBSTITUTE(A142,{"0","1","2"},""))))), LARGE(INDEX(ISNUMBER(--MID((LEFT(A142,SUM(LEN(A142)-LEN(SUBSTITUTE(A142,{"0","1","2"},""))))), ROW(INDIRECT("1:"&amp;LEN((LEFT(A142,SUM(LEN(A142)-LEN(SUBSTITUTE(A142,{"0","1","2"},"")))))))), 1)) * ROW(INDIRECT("1:"&amp;LEN((LEFT(A142,SUM(LEN(A142)-LEN(SUBSTITUTE(A142,{"0","1","2"},"")))))))), 0), ROW(INDIRECT("1:"&amp;LEN((LEFT(A142,SUM(LEN(A142)-LEN(SUBSTITUTE(A142,{"0","1","2"},"")))))))))+1, 1) * 10^ROW(INDIRECT("1:"&amp;LEN((LEFT(A142,SUM(LEN(A142)-LEN(SUBSTITUTE(A142,{"0","1","2"},""))))))))/10))*100+1&amp;""&amp;" ,.., "&amp;""&amp;(SUMPRODUCT(MID(0&amp;(--TRIM(RIGHT(SUBSTITUTE(LEFT(A142,_xlfn.AGGREGATE(16,6,FIND({0,1,2,3,4,5,6,7,8,9},A142,ROW(INDIRECT("1:"&amp;LEN(A142)))),1))," ",REPT(" ",LEN(A142))),LEN(A142)))), LARGE(INDEX(ISNUMBER(--MID((--TRIM(RIGHT(SUBSTITUTE(LEFT(A142,_xlfn.AGGREGATE(16,6,FIND({0,1,2,3,4,5,6,7,8,9},A142,ROW(INDIRECT("1:"&amp;LEN(A142)))),1))," ",REPT(" ",LEN(A142))),LEN(A142)))), ROW(INDIRECT("1:"&amp;LEN((--TRIM(RIGHT(SUBSTITUTE(LEFT(A142,_xlfn.AGGREGATE(16,6,FIND({0,1,2,3,4,5,6,7,8,9},A142,ROW(INDIRECT("1:"&amp;LEN(A142)))),1))," ",REPT(" ",LEN(A142))),LEN(A142))))))), 1)) * ROW(INDIRECT("1:"&amp;LEN((--TRIM(RIGHT(SUBSTITUTE(LEFT(A142,_xlfn.AGGREGATE(16,6,FIND({0,1,2,3,4,5,6,7,8,9},A142,ROW(INDIRECT("1:"&amp;LEN(A142)))),1))," ",REPT(" ",LEN(A142))),LEN(A142))))))), 0), ROW(INDIRECT("1:"&amp;LEN((--TRIM(RIGHT(SUBSTITUTE(LEFT(A142,_xlfn.AGGREGATE(16,6,FIND({0,1,2,3,4,5,6,7,8,9},A142,ROW(INDIRECT("1:"&amp;LEN(A142)))),1))," ",REPT(" ",LEN(A142))),LEN(A142))))))))+1, 1) * 10^ROW(INDIRECT("1:"&amp;LEN((--TRIM(RIGHT(SUBSTITUTE(LEFT(A142,_xlfn.AGGREGATE(16,6,FIND({0,1,2,3,4,5,6,7,8,9},A142,ROW(INDIRECT("1:"&amp;LEN(A142)))),1))," ",REPT(" ",LEN(A142))),LEN(A142)))))))/10))*100+1</f>
        <v>401 ,.., 2201</v>
      </c>
      <c r="B143" s="76"/>
      <c r="C143" s="39" t="s">
        <v>322</v>
      </c>
      <c r="D143" s="55">
        <f>(61.43)*(10.764)</f>
        <v>661.23251999999991</v>
      </c>
      <c r="E143" s="55">
        <f>(1.8)*(10.764)</f>
        <v>19.3752</v>
      </c>
      <c r="F143" s="39">
        <f>D143+E143</f>
        <v>680.60771999999986</v>
      </c>
      <c r="G143" s="39">
        <v>0</v>
      </c>
      <c r="H143" s="39">
        <f>F143*(($H$136)+1)+(IF(G143&lt;101,G143,IF(G143&lt;201,G143/2,IF(G143&lt;=301,G143/3,G143/4))))</f>
        <v>1020.9115799999997</v>
      </c>
      <c r="I143" s="33"/>
      <c r="K143" s="34">
        <f t="shared" si="8"/>
        <v>15313673.699999996</v>
      </c>
      <c r="L143" s="34">
        <f t="shared" si="9"/>
        <v>15813673.699999996</v>
      </c>
    </row>
    <row r="144" spans="1:20" s="34" customFormat="1" ht="15.75" customHeight="1" x14ac:dyDescent="0.25">
      <c r="A144" s="75"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10^ROW(INDIRECT("1:"&amp;LEN((LEFT(A143,SUM(LEN(A143)-LEN(SUBSTITUTE(A143,{"0","1","2"},""))))))))/10))*1+1&amp;""&amp;" ,..,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",LEN(A143))),LEN(A143)))))))/10))*1+1</f>
        <v>402 ,.., 2202</v>
      </c>
      <c r="B144" s="76"/>
      <c r="C144" s="39" t="s">
        <v>322</v>
      </c>
      <c r="D144" s="55">
        <f>(58.04)*(10.764)</f>
        <v>624.74255999999991</v>
      </c>
      <c r="E144" s="55">
        <f>(1.8)*(10.764)</f>
        <v>19.3752</v>
      </c>
      <c r="F144" s="39">
        <f>D144+E144</f>
        <v>644.11775999999986</v>
      </c>
      <c r="G144" s="39">
        <v>0</v>
      </c>
      <c r="H144" s="39">
        <f>F144*(($H$136)+1)+(IF(G144&lt;101,G144,IF(G144&lt;201,G144/2,IF(G144&lt;=301,G144/3,G144/4))))</f>
        <v>966.17663999999979</v>
      </c>
      <c r="I144" s="33"/>
      <c r="K144" s="34">
        <f t="shared" si="8"/>
        <v>14492649.599999998</v>
      </c>
      <c r="L144" s="34">
        <f t="shared" si="9"/>
        <v>14992649.599999998</v>
      </c>
    </row>
    <row r="145" spans="1:14" s="34" customFormat="1" ht="15.75" customHeight="1" x14ac:dyDescent="0.25">
      <c r="A145" s="75"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403 ,.., 2203</v>
      </c>
      <c r="B145" s="76"/>
      <c r="C145" s="39" t="s">
        <v>325</v>
      </c>
      <c r="D145" s="55">
        <f>(70.24)*(10.764)</f>
        <v>756.06335999999988</v>
      </c>
      <c r="E145" s="55">
        <f>0*(10.764)</f>
        <v>0</v>
      </c>
      <c r="F145" s="39">
        <f>D145+E145</f>
        <v>756.06335999999988</v>
      </c>
      <c r="G145" s="39">
        <v>0</v>
      </c>
      <c r="H145" s="39">
        <f>F145*(($H$136)+1)+(IF(G145&lt;101,G145,IF(G145&lt;201,G145/2,IF(G145&lt;=301,G145/3,G145/4))))</f>
        <v>1134.0950399999997</v>
      </c>
      <c r="I145" s="33">
        <f>(4.9*3.15+1.2*1.35+2.885*1.3+2.1*3+3*3+3.005*4+2.775*3.35+2.055*1.2+2.135*1.2+2.135*1.2+1*2.5)</f>
        <v>67.511750000000006</v>
      </c>
      <c r="K145" s="34">
        <f t="shared" si="8"/>
        <v>17011425.599999994</v>
      </c>
      <c r="L145" s="34">
        <f t="shared" si="9"/>
        <v>17511425.599999994</v>
      </c>
    </row>
    <row r="146" spans="1:14" s="34" customFormat="1" ht="15.75" customHeight="1" x14ac:dyDescent="0.25">
      <c r="A146" s="75"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404 ,.., 2204</v>
      </c>
      <c r="B146" s="76"/>
      <c r="C146" s="39" t="s">
        <v>325</v>
      </c>
      <c r="D146" s="55">
        <f>(73.58)*(10.764)</f>
        <v>792.01511999999991</v>
      </c>
      <c r="E146" s="55">
        <f>0*(10.764)</f>
        <v>0</v>
      </c>
      <c r="F146" s="39">
        <f>D146+E146</f>
        <v>792.01511999999991</v>
      </c>
      <c r="G146" s="39">
        <v>0</v>
      </c>
      <c r="H146" s="39">
        <f>F146*(($H$136)+1)+(IF(G146&lt;101,G146,IF(G146&lt;201,G146/2,IF(G146&lt;=301,G146/3,G146/4))))</f>
        <v>1188.0226799999998</v>
      </c>
      <c r="I146" s="33"/>
      <c r="K146" s="34">
        <f t="shared" si="8"/>
        <v>17820340.199999996</v>
      </c>
      <c r="L146" s="34">
        <f t="shared" si="9"/>
        <v>18320340.199999996</v>
      </c>
    </row>
    <row r="147" spans="1:14" s="34" customFormat="1" ht="15.75" customHeight="1" x14ac:dyDescent="0.25">
      <c r="A147" s="77" t="s">
        <v>330</v>
      </c>
      <c r="B147" s="78"/>
      <c r="C147" s="78"/>
      <c r="D147" s="78"/>
      <c r="E147" s="78"/>
      <c r="F147" s="78"/>
      <c r="G147" s="78"/>
      <c r="H147" s="79"/>
      <c r="I147" s="33"/>
      <c r="K147" s="34">
        <f t="shared" si="8"/>
        <v>0</v>
      </c>
      <c r="L147" s="34">
        <f t="shared" si="9"/>
        <v>500000</v>
      </c>
    </row>
    <row r="148" spans="1:14" s="34" customFormat="1" ht="15.75" customHeight="1" x14ac:dyDescent="0.25">
      <c r="A148" s="75"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10^ROW(INDIRECT("1:"&amp;LEN((LEFT(A147,SUM(LEN(A147)-LEN(SUBSTITUTE(A147,{"0","1","2"},""))))))))/10))*100+1&amp;""&amp;" &amp;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",LEN(A147))),LEN(A147)))))))/10))*100+1</f>
        <v>801 &amp; 1801</v>
      </c>
      <c r="B148" s="76"/>
      <c r="C148" s="39" t="s">
        <v>322</v>
      </c>
      <c r="D148" s="55">
        <f>(61.43)*(10.764)</f>
        <v>661.23251999999991</v>
      </c>
      <c r="E148" s="55">
        <f>(1.8)*(10.764)</f>
        <v>19.3752</v>
      </c>
      <c r="F148" s="39">
        <f>D148+E148</f>
        <v>680.60771999999986</v>
      </c>
      <c r="G148" s="39">
        <v>0</v>
      </c>
      <c r="H148" s="39">
        <f>F148*(($H$136)+1)+(IF(G148&lt;101,G148,IF(G148&lt;201,G148/2,IF(G148&lt;=301,G148/3,G148/4))))</f>
        <v>1020.9115799999997</v>
      </c>
      <c r="I148" s="33"/>
      <c r="K148" s="34">
        <f t="shared" si="8"/>
        <v>15313673.699999996</v>
      </c>
      <c r="L148" s="34">
        <f t="shared" si="9"/>
        <v>15813673.699999996</v>
      </c>
    </row>
    <row r="149" spans="1:14" s="34" customFormat="1" ht="15.75" customHeight="1" x14ac:dyDescent="0.25">
      <c r="A149" s="75"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&amp;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802 &amp; 1802</v>
      </c>
      <c r="B149" s="76"/>
      <c r="C149" s="39" t="s">
        <v>322</v>
      </c>
      <c r="D149" s="55">
        <f>(58.04)*(10.764)</f>
        <v>624.74255999999991</v>
      </c>
      <c r="E149" s="55">
        <f>(1.8)*(10.764)</f>
        <v>19.3752</v>
      </c>
      <c r="F149" s="39">
        <f>D149+E149</f>
        <v>644.11775999999986</v>
      </c>
      <c r="G149" s="39">
        <v>0</v>
      </c>
      <c r="H149" s="39">
        <f>F149*(($H$136)+1)+(IF(G149&lt;101,G149,IF(G149&lt;201,G149/2,IF(G149&lt;=301,G149/3,G149/4))))</f>
        <v>966.17663999999979</v>
      </c>
      <c r="I149" s="33"/>
      <c r="K149" s="34">
        <f t="shared" si="8"/>
        <v>14492649.599999998</v>
      </c>
      <c r="L149" s="34">
        <f t="shared" si="9"/>
        <v>14992649.599999998</v>
      </c>
    </row>
    <row r="150" spans="1:14" s="34" customFormat="1" ht="15.75" customHeight="1" x14ac:dyDescent="0.25">
      <c r="A150" s="75"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&amp;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803 &amp; 1803</v>
      </c>
      <c r="B150" s="76"/>
      <c r="C150" s="39" t="s">
        <v>325</v>
      </c>
      <c r="D150" s="55">
        <f>(70.24)*(10.764)</f>
        <v>756.06335999999988</v>
      </c>
      <c r="E150" s="55">
        <f>0*(10.764)</f>
        <v>0</v>
      </c>
      <c r="F150" s="39">
        <f>D150+E150</f>
        <v>756.06335999999988</v>
      </c>
      <c r="G150" s="39">
        <v>0</v>
      </c>
      <c r="H150" s="39">
        <f>F150*(($H$136)+1)+(IF(G150&lt;101,G150,IF(G150&lt;201,G150/2,IF(G150&lt;=301,G150/3,G150/4))))</f>
        <v>1134.0950399999997</v>
      </c>
      <c r="I150" s="33"/>
      <c r="K150" s="34">
        <f>K$137*H150</f>
        <v>17011425.599999994</v>
      </c>
      <c r="L150" s="34">
        <f t="shared" si="9"/>
        <v>17511425.599999994</v>
      </c>
    </row>
    <row r="151" spans="1:14" s="34" customFormat="1" ht="15.75" customHeight="1" x14ac:dyDescent="0.25">
      <c r="A151" s="75"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&amp;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804 &amp; 1804</v>
      </c>
      <c r="B151" s="76"/>
      <c r="C151" s="39" t="s">
        <v>325</v>
      </c>
      <c r="D151" s="55">
        <f>(73.58)*(10.764)</f>
        <v>792.01511999999991</v>
      </c>
      <c r="E151" s="55">
        <f>0*(10.764)</f>
        <v>0</v>
      </c>
      <c r="F151" s="39">
        <f>D151+E151</f>
        <v>792.01511999999991</v>
      </c>
      <c r="G151" s="39">
        <v>0</v>
      </c>
      <c r="H151" s="39">
        <f>F151*(($H$136)+1)+(IF(G151&lt;101,G151,IF(G151&lt;201,G151/2,IF(G151&lt;=301,G151/3,G151/4))))</f>
        <v>1188.0226799999998</v>
      </c>
      <c r="I151" s="33"/>
      <c r="K151" s="34">
        <f t="shared" si="8"/>
        <v>17820340.199999996</v>
      </c>
      <c r="L151" s="34">
        <f t="shared" si="9"/>
        <v>18320340.199999996</v>
      </c>
    </row>
    <row r="152" spans="1:14" s="34" customFormat="1" x14ac:dyDescent="0.25">
      <c r="A152" s="80" t="s">
        <v>327</v>
      </c>
      <c r="B152" s="80"/>
      <c r="C152" s="80"/>
      <c r="D152" s="80"/>
      <c r="E152" s="80"/>
      <c r="F152" s="80"/>
      <c r="G152" s="80"/>
      <c r="H152" s="80"/>
      <c r="I152" s="33"/>
      <c r="K152" s="34">
        <f t="shared" si="8"/>
        <v>0</v>
      </c>
      <c r="L152" s="34">
        <f t="shared" si="9"/>
        <v>500000</v>
      </c>
      <c r="N152" s="33"/>
    </row>
    <row r="153" spans="1:14" s="34" customFormat="1" x14ac:dyDescent="0.25">
      <c r="A153" s="71">
        <f>LEFT(A152,SUM(LEN(A152)-LEN(SUBSTITUTE(A152,{"0","1","2","3","4","5","6","7","8","9"},""))))*100+1</f>
        <v>1201</v>
      </c>
      <c r="B153" s="71"/>
      <c r="C153" s="39" t="s">
        <v>322</v>
      </c>
      <c r="D153" s="55">
        <f>(54.15)*(10.764)</f>
        <v>582.87059999999997</v>
      </c>
      <c r="E153" s="55">
        <f>0*(10.764)</f>
        <v>0</v>
      </c>
      <c r="F153" s="39">
        <f>D153+E153</f>
        <v>582.87059999999997</v>
      </c>
      <c r="G153" s="55">
        <f>(8.9)*(10.764)</f>
        <v>95.799599999999998</v>
      </c>
      <c r="H153" s="39">
        <f>F153*(($H$136)+1)+(IF(G153&lt;101,G153,IF(G153&lt;201,G153/2,IF(G153&lt;=301,G153/3,G153/4))))</f>
        <v>970.10549999999989</v>
      </c>
      <c r="I153" s="33">
        <f>4.9*3.15+1.2*1.35+2.1*3+3*3+3.005*4+2.135*1.2+2.135*1.2+1*2.5</f>
        <v>51.998999999999995</v>
      </c>
      <c r="J153" s="33">
        <f>1.8+7.1</f>
        <v>8.9</v>
      </c>
      <c r="K153" s="34">
        <f t="shared" si="8"/>
        <v>14551582.499999998</v>
      </c>
      <c r="L153" s="34">
        <f t="shared" si="9"/>
        <v>15051582.499999998</v>
      </c>
      <c r="N153" s="33"/>
    </row>
    <row r="154" spans="1:14" s="34" customFormat="1" x14ac:dyDescent="0.25">
      <c r="A154" s="71">
        <f>A153+1</f>
        <v>1202</v>
      </c>
      <c r="B154" s="71"/>
      <c r="C154" s="39" t="s">
        <v>322</v>
      </c>
      <c r="D154" s="55">
        <f>(54.09)*(10.764)</f>
        <v>582.22475999999995</v>
      </c>
      <c r="E154" s="55">
        <f>0*(10.764)</f>
        <v>0</v>
      </c>
      <c r="F154" s="39">
        <f>D154+E154</f>
        <v>582.22475999999995</v>
      </c>
      <c r="G154" s="55">
        <f>(5.65)*(10.764)</f>
        <v>60.816600000000001</v>
      </c>
      <c r="H154" s="39">
        <f>F154*(($H$136)+1)+(IF(G154&lt;101,G154,IF(G154&lt;201,G154/2,IF(G154&lt;=301,G154/3,G154/4))))</f>
        <v>934.15373999999986</v>
      </c>
      <c r="I154" s="33"/>
      <c r="J154" s="33"/>
      <c r="K154" s="34">
        <f t="shared" si="8"/>
        <v>14012306.099999998</v>
      </c>
      <c r="L154" s="34">
        <f>K154+500000</f>
        <v>14512306.099999998</v>
      </c>
      <c r="N154" s="33"/>
    </row>
    <row r="155" spans="1:14" s="34" customFormat="1" x14ac:dyDescent="0.25">
      <c r="A155" s="71">
        <f>A154+1</f>
        <v>1203</v>
      </c>
      <c r="B155" s="71"/>
      <c r="C155" s="39" t="s">
        <v>325</v>
      </c>
      <c r="D155" s="55">
        <f>(66.3)*(10.764)</f>
        <v>713.65319999999997</v>
      </c>
      <c r="E155" s="55">
        <f>0*(10.764)</f>
        <v>0</v>
      </c>
      <c r="F155" s="39">
        <f>D155+E155</f>
        <v>713.65319999999997</v>
      </c>
      <c r="G155" s="55">
        <f>(3.85)*(10.764)</f>
        <v>41.441400000000002</v>
      </c>
      <c r="H155" s="39">
        <f>F155*(($H$136)+1)+(IF(G155&lt;101,G155,IF(G155&lt;201,G155/2,IF(G155&lt;=301,G155/3,G155/4))))</f>
        <v>1111.9212</v>
      </c>
      <c r="I155" s="33"/>
      <c r="K155" s="34">
        <f t="shared" si="8"/>
        <v>16678818</v>
      </c>
      <c r="L155" s="34">
        <f t="shared" si="9"/>
        <v>17178818</v>
      </c>
      <c r="N155" s="33"/>
    </row>
    <row r="156" spans="1:14" s="34" customFormat="1" x14ac:dyDescent="0.25">
      <c r="A156" s="71">
        <f>A155+1</f>
        <v>1204</v>
      </c>
      <c r="B156" s="71"/>
      <c r="C156" s="39" t="s">
        <v>325</v>
      </c>
      <c r="D156" s="55">
        <f>(66.3)*(10.764)</f>
        <v>713.65319999999997</v>
      </c>
      <c r="E156" s="55">
        <f>0*(10.764)</f>
        <v>0</v>
      </c>
      <c r="F156" s="39">
        <f>D156+E156</f>
        <v>713.65319999999997</v>
      </c>
      <c r="G156" s="55">
        <f>(7.1)*(10.764)</f>
        <v>76.424399999999991</v>
      </c>
      <c r="H156" s="39">
        <f>F156*(($H$136)+1)+(IF(G156&lt;101,G156,IF(G156&lt;201,G156/2,IF(G156&lt;=301,G156/3,G156/4))))</f>
        <v>1146.9041999999999</v>
      </c>
      <c r="I156" s="33">
        <f>(4.9*3.15+1.035*1.35+2.1*3+3*3+3.005*4+2.775*3.35+2.055*1.2+2.135*1.2+2.135*1.2+1*2.5)</f>
        <v>63.538499999999992</v>
      </c>
      <c r="J156" s="34">
        <f>7.1</f>
        <v>7.1</v>
      </c>
      <c r="K156" s="34">
        <f t="shared" si="8"/>
        <v>17203563</v>
      </c>
      <c r="L156" s="34">
        <f t="shared" si="9"/>
        <v>17703563</v>
      </c>
      <c r="N156" s="33"/>
    </row>
    <row r="157" spans="1:14" s="34" customFormat="1" x14ac:dyDescent="0.25">
      <c r="A157" s="80" t="s">
        <v>328</v>
      </c>
      <c r="B157" s="80"/>
      <c r="C157" s="80"/>
      <c r="D157" s="80"/>
      <c r="E157" s="80"/>
      <c r="F157" s="80"/>
      <c r="G157" s="80"/>
      <c r="H157" s="80"/>
      <c r="I157" s="33"/>
      <c r="K157" s="34">
        <f t="shared" si="8"/>
        <v>0</v>
      </c>
      <c r="N157" s="33"/>
    </row>
    <row r="158" spans="1:14" s="34" customFormat="1" x14ac:dyDescent="0.25">
      <c r="A158" s="71">
        <f>LEFT(A157,SUM(LEN(A157)-LEN(SUBSTITUTE(A157,{"0","1","2","3","4","5","6","7","8","9"},""))))*100+1</f>
        <v>1301</v>
      </c>
      <c r="B158" s="71"/>
      <c r="C158" s="39" t="s">
        <v>322</v>
      </c>
      <c r="D158" s="55">
        <f>(54.15)*(10.764)</f>
        <v>582.87059999999997</v>
      </c>
      <c r="E158" s="55">
        <f>0*(10.764)</f>
        <v>0</v>
      </c>
      <c r="F158" s="39">
        <f>D158+E158</f>
        <v>582.87059999999997</v>
      </c>
      <c r="G158" s="39">
        <v>0</v>
      </c>
      <c r="H158" s="39">
        <f>F158*(($H$136)+1)+(IF(G158&lt;101,G158,IF(G158&lt;201,G158/2,IF(G158&lt;=301,G158/3,G158/4))))</f>
        <v>874.30589999999995</v>
      </c>
      <c r="I158" s="33">
        <f>4.9*3.15+1.2*1.35+2.1*3+3*3+3.005*4+2.135*1.2+2.135*1.2+1*2.5</f>
        <v>51.998999999999995</v>
      </c>
      <c r="J158" s="33">
        <f>1.8+7.1</f>
        <v>8.9</v>
      </c>
      <c r="N158" s="33"/>
    </row>
    <row r="159" spans="1:14" s="34" customFormat="1" x14ac:dyDescent="0.25">
      <c r="A159" s="71">
        <f>A158+1</f>
        <v>1302</v>
      </c>
      <c r="B159" s="71"/>
      <c r="C159" s="39" t="s">
        <v>322</v>
      </c>
      <c r="D159" s="55">
        <f>(54.09)*(10.764)</f>
        <v>582.22475999999995</v>
      </c>
      <c r="E159" s="55">
        <f>0*(10.764)</f>
        <v>0</v>
      </c>
      <c r="F159" s="39">
        <f>D159+E159</f>
        <v>582.22475999999995</v>
      </c>
      <c r="G159" s="39">
        <v>0</v>
      </c>
      <c r="H159" s="39">
        <f>F159*(($H$136)+1)+(IF(G159&lt;101,G159,IF(G159&lt;201,G159/2,IF(G159&lt;=301,G159/3,G159/4))))</f>
        <v>873.33713999999986</v>
      </c>
      <c r="I159" s="33"/>
      <c r="J159" s="33"/>
      <c r="N159" s="33"/>
    </row>
    <row r="160" spans="1:14" s="34" customFormat="1" x14ac:dyDescent="0.25">
      <c r="A160" s="71">
        <f>A159+1</f>
        <v>1303</v>
      </c>
      <c r="B160" s="71"/>
      <c r="C160" s="39" t="s">
        <v>325</v>
      </c>
      <c r="D160" s="55">
        <f>(66.3)*(10.764)</f>
        <v>713.65319999999997</v>
      </c>
      <c r="E160" s="55">
        <f>0*(10.764)</f>
        <v>0</v>
      </c>
      <c r="F160" s="39">
        <f>D160+E160</f>
        <v>713.65319999999997</v>
      </c>
      <c r="G160" s="39">
        <v>0</v>
      </c>
      <c r="H160" s="39">
        <f>F160*(($H$136)+1)+(IF(G160&lt;101,G160,IF(G160&lt;201,G160/2,IF(G160&lt;=301,G160/3,G160/4))))</f>
        <v>1070.4798000000001</v>
      </c>
      <c r="I160" s="33"/>
      <c r="K160" s="34">
        <f>18100000/H160</f>
        <v>16908.305976441592</v>
      </c>
      <c r="N160" s="33"/>
    </row>
    <row r="161" spans="1:20" s="34" customFormat="1" x14ac:dyDescent="0.25">
      <c r="A161" s="71">
        <f>A160+1</f>
        <v>1304</v>
      </c>
      <c r="B161" s="71"/>
      <c r="C161" s="39" t="s">
        <v>325</v>
      </c>
      <c r="D161" s="55">
        <f>(66.3)*(10.764)</f>
        <v>713.65319999999997</v>
      </c>
      <c r="E161" s="55">
        <f>0*(10.764)</f>
        <v>0</v>
      </c>
      <c r="F161" s="39">
        <f>D161+E161</f>
        <v>713.65319999999997</v>
      </c>
      <c r="G161" s="39">
        <v>0</v>
      </c>
      <c r="H161" s="39">
        <f>F161*(($H$136)+1)+(IF(G161&lt;101,G161,IF(G161&lt;201,G161/2,IF(G161&lt;=301,G161/3,G161/4))))</f>
        <v>1070.4798000000001</v>
      </c>
      <c r="I161" s="33">
        <f>(4.9*3.15+1.035*1.35+2.1*3+3*3+3.005*4+2.775*3.35+2.135*1.2+2.135*1.2+1*2.5)</f>
        <v>61.072499999999991</v>
      </c>
      <c r="J161" s="34">
        <f>7.1</f>
        <v>7.1</v>
      </c>
      <c r="N161" s="33"/>
    </row>
    <row r="162" spans="1:20" s="34" customFormat="1" ht="15.75" customHeight="1" x14ac:dyDescent="0.25">
      <c r="A162" s="77" t="s">
        <v>329</v>
      </c>
      <c r="B162" s="78"/>
      <c r="C162" s="78"/>
      <c r="D162" s="78"/>
      <c r="E162" s="78"/>
      <c r="F162" s="78"/>
      <c r="G162" s="78"/>
      <c r="H162" s="79"/>
      <c r="I162" s="33"/>
    </row>
    <row r="163" spans="1:20" s="34" customFormat="1" ht="15.75" customHeight="1" x14ac:dyDescent="0.25">
      <c r="A163" s="75"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10^ROW(INDIRECT("1:"&amp;LEN((LEFT(A162,SUM(LEN(A162)-LEN(SUBSTITUTE(A162,{"0","1","2"},""))))))))/10))*100+1&amp;""&amp;" to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",LEN(A162))),LEN(A162)))))))/10))*100+1</f>
        <v>1401 to 1701</v>
      </c>
      <c r="B163" s="76"/>
      <c r="C163" s="39" t="s">
        <v>322</v>
      </c>
      <c r="D163" s="55">
        <f>(54.15)*(10.764)</f>
        <v>582.87059999999997</v>
      </c>
      <c r="E163" s="39">
        <v>0</v>
      </c>
      <c r="F163" s="39">
        <f>D163+E163</f>
        <v>582.87059999999997</v>
      </c>
      <c r="G163" s="39">
        <v>0</v>
      </c>
      <c r="H163" s="39">
        <f>F163*(($H$136)+1)+(IF(G163&lt;101,G163,IF(G163&lt;201,G163/2,IF(G163&lt;=301,G163/3,G163/4))))</f>
        <v>874.30589999999995</v>
      </c>
      <c r="I163" s="33"/>
    </row>
    <row r="164" spans="1:20" s="34" customFormat="1" ht="15.75" customHeight="1" x14ac:dyDescent="0.25">
      <c r="A164" s="75"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to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1402 to 1702</v>
      </c>
      <c r="B164" s="76"/>
      <c r="C164" s="39" t="s">
        <v>322</v>
      </c>
      <c r="D164" s="55">
        <f>(54.09)*(10.764)</f>
        <v>582.22475999999995</v>
      </c>
      <c r="E164" s="39">
        <v>0</v>
      </c>
      <c r="F164" s="39">
        <f>D164+E164</f>
        <v>582.22475999999995</v>
      </c>
      <c r="G164" s="39">
        <v>0</v>
      </c>
      <c r="H164" s="39">
        <f>F164*(($H$136)+1)+(IF(G164&lt;101,G164,IF(G164&lt;201,G164/2,IF(G164&lt;=301,G164/3,G164/4))))</f>
        <v>873.33713999999986</v>
      </c>
      <c r="I164" s="33"/>
    </row>
    <row r="165" spans="1:20" s="34" customFormat="1" ht="15.75" customHeight="1" x14ac:dyDescent="0.25">
      <c r="A165" s="75"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10^ROW(INDIRECT("1:"&amp;LEN((LEFT(A164,SUM(LEN(A164)-LEN(SUBSTITUTE(A164,{"0","1","2"},""))))))))/10))*1+1&amp;""&amp;" to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",LEN(A164))),LEN(A164)))))))/10))*1+1</f>
        <v>1403 to 1703</v>
      </c>
      <c r="B165" s="76"/>
      <c r="C165" s="39" t="s">
        <v>325</v>
      </c>
      <c r="D165" s="55">
        <f>(66.3)*(10.764)</f>
        <v>713.65319999999997</v>
      </c>
      <c r="E165" s="39">
        <v>0</v>
      </c>
      <c r="F165" s="39">
        <f>D165+E165</f>
        <v>713.65319999999997</v>
      </c>
      <c r="G165" s="39">
        <v>0</v>
      </c>
      <c r="H165" s="39">
        <f>F165*(($H$136)+1)+(IF(G165&lt;101,G165,IF(G165&lt;201,G165/2,IF(G165&lt;=301,G165/3,G165/4))))</f>
        <v>1070.4798000000001</v>
      </c>
      <c r="I165" s="33"/>
    </row>
    <row r="166" spans="1:20" s="34" customFormat="1" ht="15.75" customHeight="1" x14ac:dyDescent="0.25">
      <c r="A166" s="75"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10^ROW(INDIRECT("1:"&amp;LEN((LEFT(A165,SUM(LEN(A165)-LEN(SUBSTITUTE(A165,{"0","1","2"},""))))))))/10))*1+1&amp;""&amp;" to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",LEN(A165))),LEN(A165)))))))/10))*1+1</f>
        <v>1404 to 1704</v>
      </c>
      <c r="B166" s="76"/>
      <c r="C166" s="39" t="s">
        <v>325</v>
      </c>
      <c r="D166" s="55">
        <f>(66.3)*(10.764)</f>
        <v>713.65319999999997</v>
      </c>
      <c r="E166" s="39">
        <v>0</v>
      </c>
      <c r="F166" s="39">
        <f>D166+E166</f>
        <v>713.65319999999997</v>
      </c>
      <c r="G166" s="39">
        <v>0</v>
      </c>
      <c r="H166" s="39">
        <f>F166*(($H$136)+1)+(IF(G166&lt;101,G166,IF(G166&lt;201,G166/2,IF(G166&lt;=301,G166/3,G166/4))))</f>
        <v>1070.4798000000001</v>
      </c>
      <c r="I166" s="33"/>
    </row>
    <row r="167" spans="1:20" s="32" customFormat="1" x14ac:dyDescent="0.25">
      <c r="A167" s="140" t="s">
        <v>65</v>
      </c>
      <c r="B167" s="140"/>
      <c r="C167" s="140"/>
      <c r="D167" s="140"/>
      <c r="E167" s="140"/>
      <c r="F167" s="140"/>
      <c r="G167" s="140"/>
      <c r="H167" s="140"/>
      <c r="T167" s="34"/>
    </row>
    <row r="168" spans="1:20" s="32" customFormat="1" x14ac:dyDescent="0.25">
      <c r="A168" s="41" t="s">
        <v>148</v>
      </c>
      <c r="B168" s="124" t="s">
        <v>343</v>
      </c>
      <c r="C168" s="125"/>
      <c r="D168" s="125"/>
      <c r="E168" s="125"/>
      <c r="F168" s="125"/>
      <c r="G168" s="125"/>
      <c r="H168" s="126"/>
      <c r="T168" s="34"/>
    </row>
    <row r="169" spans="1:20" s="32" customFormat="1" x14ac:dyDescent="0.25">
      <c r="A169" s="41" t="s">
        <v>148</v>
      </c>
      <c r="B169" s="134" t="str">
        <f>(IF(H135="Saleable area Loading :","We have considered Saleable area of Flats as per our Calculation.","We considered Saleable area of Flat as per Builder area Sheet."))</f>
        <v>We have considered Saleable area of Flats as per our Calculation.</v>
      </c>
      <c r="C169" s="135"/>
      <c r="D169" s="135"/>
      <c r="E169" s="135"/>
      <c r="F169" s="135"/>
      <c r="G169" s="135"/>
      <c r="H169" s="136"/>
      <c r="T169" s="34"/>
    </row>
    <row r="170" spans="1:20" s="32" customFormat="1" x14ac:dyDescent="0.25">
      <c r="A170" s="41" t="s">
        <v>148</v>
      </c>
      <c r="B170" s="134" t="str">
        <f>(IF(H108="Saleable area Loading :","We have considered Saleable area of Commercial as per our Calculation.","We considered Saleable area of Commercial as per Builder area Sheet."))</f>
        <v>We have considered Saleable area of Commercial as per our Calculation.</v>
      </c>
      <c r="C170" s="135"/>
      <c r="D170" s="135"/>
      <c r="E170" s="135"/>
      <c r="F170" s="135"/>
      <c r="G170" s="135"/>
      <c r="H170" s="136"/>
      <c r="T170" s="34"/>
    </row>
    <row r="171" spans="1:20" s="32" customFormat="1" x14ac:dyDescent="0.25">
      <c r="A171" s="41" t="s">
        <v>148</v>
      </c>
      <c r="B171" s="131" t="s">
        <v>118</v>
      </c>
      <c r="C171" s="132"/>
      <c r="D171" s="132"/>
      <c r="E171" s="132"/>
      <c r="F171" s="132"/>
      <c r="G171" s="132"/>
      <c r="H171" s="133"/>
      <c r="T171" s="34"/>
    </row>
    <row r="172" spans="1:20" s="32" customFormat="1" x14ac:dyDescent="0.25">
      <c r="A172" s="41" t="s">
        <v>148</v>
      </c>
      <c r="B172" s="131" t="s">
        <v>336</v>
      </c>
      <c r="C172" s="132"/>
      <c r="D172" s="132"/>
      <c r="E172" s="132"/>
      <c r="F172" s="132"/>
      <c r="G172" s="132"/>
      <c r="H172" s="133"/>
    </row>
    <row r="173" spans="1:20" s="32" customFormat="1" x14ac:dyDescent="0.25">
      <c r="A173" s="41" t="s">
        <v>148</v>
      </c>
      <c r="B173" s="131" t="s">
        <v>147</v>
      </c>
      <c r="C173" s="132"/>
      <c r="D173" s="132"/>
      <c r="E173" s="132"/>
      <c r="F173" s="132"/>
      <c r="G173" s="132"/>
      <c r="H173" s="133"/>
    </row>
    <row r="174" spans="1:20" s="32" customFormat="1" x14ac:dyDescent="0.25">
      <c r="A174" s="41" t="s">
        <v>148</v>
      </c>
      <c r="B174" s="131" t="s">
        <v>119</v>
      </c>
      <c r="C174" s="132"/>
      <c r="D174" s="132"/>
      <c r="E174" s="132"/>
      <c r="F174" s="132"/>
      <c r="G174" s="132"/>
      <c r="H174" s="133"/>
    </row>
    <row r="175" spans="1:20" s="32" customFormat="1" x14ac:dyDescent="0.25">
      <c r="A175" s="41" t="s">
        <v>148</v>
      </c>
      <c r="B175" s="131" t="s">
        <v>149</v>
      </c>
      <c r="C175" s="132"/>
      <c r="D175" s="132"/>
      <c r="E175" s="132"/>
      <c r="F175" s="132"/>
      <c r="G175" s="132"/>
      <c r="H175" s="133"/>
    </row>
    <row r="176" spans="1:20" s="32" customFormat="1" x14ac:dyDescent="0.25">
      <c r="A176" s="41" t="s">
        <v>148</v>
      </c>
      <c r="B176" s="131" t="s">
        <v>120</v>
      </c>
      <c r="C176" s="132"/>
      <c r="D176" s="132"/>
      <c r="E176" s="132"/>
      <c r="F176" s="132"/>
      <c r="G176" s="132"/>
      <c r="H176" s="133"/>
    </row>
    <row r="177" spans="1:20" s="32" customFormat="1" ht="33" customHeight="1" x14ac:dyDescent="0.25">
      <c r="A177" s="41" t="s">
        <v>148</v>
      </c>
      <c r="B177" s="124" t="s">
        <v>174</v>
      </c>
      <c r="C177" s="125"/>
      <c r="D177" s="125"/>
      <c r="E177" s="125"/>
      <c r="F177" s="125"/>
      <c r="G177" s="125"/>
      <c r="H177" s="126"/>
    </row>
    <row r="178" spans="1:20" x14ac:dyDescent="0.25">
      <c r="A178" s="41" t="s">
        <v>148</v>
      </c>
      <c r="B178" s="124" t="s">
        <v>352</v>
      </c>
      <c r="C178" s="125"/>
      <c r="D178" s="125"/>
      <c r="E178" s="125"/>
      <c r="F178" s="125"/>
      <c r="G178" s="125"/>
      <c r="H178" s="126"/>
      <c r="T178" s="32"/>
    </row>
    <row r="179" spans="1:20" x14ac:dyDescent="0.25">
      <c r="A179" s="103" t="s">
        <v>58</v>
      </c>
      <c r="B179" s="103"/>
      <c r="C179" s="103"/>
      <c r="D179" s="103"/>
      <c r="E179" s="103"/>
      <c r="F179" s="103"/>
      <c r="G179" s="103"/>
      <c r="H179" s="103"/>
      <c r="T179" s="32"/>
    </row>
    <row r="180" spans="1:20" ht="15.75" customHeight="1" x14ac:dyDescent="0.25">
      <c r="A180" s="86" t="s">
        <v>59</v>
      </c>
      <c r="B180" s="86"/>
      <c r="C180" s="86"/>
      <c r="D180" s="86"/>
      <c r="E180" s="86"/>
      <c r="F180" s="86"/>
      <c r="G180" s="86"/>
      <c r="H180" s="86"/>
      <c r="T180" s="32"/>
    </row>
    <row r="181" spans="1:20" x14ac:dyDescent="0.25">
      <c r="A181" s="139" t="s">
        <v>60</v>
      </c>
      <c r="B181" s="139"/>
      <c r="C181" s="139"/>
      <c r="D181" s="139"/>
      <c r="E181" s="139"/>
      <c r="F181" s="139"/>
      <c r="G181" s="139"/>
      <c r="H181" s="139"/>
      <c r="T181" s="32"/>
    </row>
    <row r="182" spans="1:20" x14ac:dyDescent="0.25">
      <c r="A182" s="86" t="s">
        <v>61</v>
      </c>
      <c r="B182" s="86"/>
      <c r="C182" s="86"/>
      <c r="D182" s="86"/>
      <c r="E182" s="86"/>
      <c r="F182" s="86"/>
      <c r="G182" s="86"/>
      <c r="H182" s="86"/>
      <c r="T182" s="32"/>
    </row>
    <row r="183" spans="1:20" x14ac:dyDescent="0.25">
      <c r="A183" s="86" t="s">
        <v>62</v>
      </c>
      <c r="B183" s="86"/>
      <c r="C183" s="86"/>
      <c r="D183" s="86"/>
      <c r="E183" s="86"/>
      <c r="F183" s="86"/>
      <c r="G183" s="86"/>
      <c r="H183" s="86"/>
      <c r="T183" s="32"/>
    </row>
    <row r="184" spans="1:20" ht="33.950000000000003" customHeight="1" x14ac:dyDescent="0.25">
      <c r="A184" s="86" t="s">
        <v>121</v>
      </c>
      <c r="B184" s="86"/>
      <c r="C184" s="86"/>
      <c r="D184" s="86"/>
      <c r="E184" s="86"/>
      <c r="F184" s="86"/>
      <c r="G184" s="86"/>
      <c r="H184" s="86"/>
    </row>
    <row r="185" spans="1:20" x14ac:dyDescent="0.25">
      <c r="A185" s="93" t="s">
        <v>122</v>
      </c>
      <c r="B185" s="93"/>
      <c r="C185" s="93"/>
      <c r="D185" s="93"/>
      <c r="E185" s="93"/>
      <c r="F185" s="93"/>
      <c r="G185" s="93"/>
      <c r="H185" s="93"/>
    </row>
    <row r="186" spans="1:20" x14ac:dyDescent="0.25">
      <c r="A186" s="147" t="s">
        <v>74</v>
      </c>
      <c r="B186" s="147"/>
      <c r="C186" s="148" t="s">
        <v>356</v>
      </c>
      <c r="D186" s="148"/>
      <c r="E186" s="147" t="s">
        <v>103</v>
      </c>
      <c r="F186" s="147"/>
      <c r="G186" s="148" t="s">
        <v>355</v>
      </c>
      <c r="H186" s="148"/>
    </row>
    <row r="187" spans="1:20" x14ac:dyDescent="0.25">
      <c r="A187" s="146" t="s">
        <v>76</v>
      </c>
      <c r="B187" s="146"/>
      <c r="C187" s="146"/>
      <c r="D187" s="146"/>
      <c r="E187" s="146"/>
      <c r="F187" s="146"/>
      <c r="G187" s="146"/>
      <c r="H187" s="146"/>
    </row>
    <row r="188" spans="1:20" x14ac:dyDescent="0.25">
      <c r="A188" s="146"/>
      <c r="B188" s="146"/>
      <c r="C188" s="146"/>
      <c r="D188" s="146"/>
      <c r="E188" s="146"/>
      <c r="F188" s="146"/>
      <c r="G188" s="146"/>
      <c r="H188" s="146"/>
    </row>
    <row r="189" spans="1:20" x14ac:dyDescent="0.25">
      <c r="A189" s="146"/>
      <c r="B189" s="146"/>
      <c r="C189" s="146"/>
      <c r="D189" s="146"/>
      <c r="E189" s="146"/>
      <c r="F189" s="146"/>
      <c r="G189" s="146"/>
      <c r="H189" s="146"/>
    </row>
    <row r="190" spans="1:20" x14ac:dyDescent="0.25">
      <c r="A190" s="35" t="s">
        <v>63</v>
      </c>
      <c r="B190" s="36"/>
      <c r="C190" s="36"/>
      <c r="D190" s="35" t="str">
        <f>E9</f>
        <v>Superior Exotica</v>
      </c>
      <c r="F190" s="36"/>
      <c r="G190" s="36"/>
      <c r="H190" s="36"/>
    </row>
    <row r="191" spans="1:20" x14ac:dyDescent="0.25">
      <c r="A191" s="36"/>
      <c r="B191" s="36"/>
      <c r="C191" s="36"/>
      <c r="D191" s="36"/>
      <c r="E191" s="36"/>
      <c r="F191" s="36"/>
      <c r="G191" s="36"/>
      <c r="H191" s="36"/>
    </row>
    <row r="192" spans="1:20" ht="15" customHeight="1" x14ac:dyDescent="0.25">
      <c r="A192" s="36"/>
      <c r="B192" s="36"/>
      <c r="C192" s="36"/>
      <c r="D192" s="36"/>
      <c r="E192" s="36"/>
      <c r="F192" s="36"/>
      <c r="G192" s="36"/>
      <c r="H192" s="36"/>
    </row>
    <row r="232" spans="1:1" x14ac:dyDescent="0.25">
      <c r="A232" s="38" t="s">
        <v>159</v>
      </c>
    </row>
    <row r="274" spans="1:1" x14ac:dyDescent="0.25">
      <c r="A274" s="38" t="s">
        <v>64</v>
      </c>
    </row>
  </sheetData>
  <mergeCells count="327">
    <mergeCell ref="A88:E88"/>
    <mergeCell ref="A104:B104"/>
    <mergeCell ref="E104:F104"/>
    <mergeCell ref="A93:E93"/>
    <mergeCell ref="G104:H104"/>
    <mergeCell ref="C99:D99"/>
    <mergeCell ref="E99:F99"/>
    <mergeCell ref="G99:H99"/>
    <mergeCell ref="A100:B100"/>
    <mergeCell ref="C100:D100"/>
    <mergeCell ref="E100:F100"/>
    <mergeCell ref="G100:H100"/>
    <mergeCell ref="G98:H98"/>
    <mergeCell ref="F90:H90"/>
    <mergeCell ref="C97:D97"/>
    <mergeCell ref="C40:H40"/>
    <mergeCell ref="F108:F109"/>
    <mergeCell ref="C98:D98"/>
    <mergeCell ref="E98:F98"/>
    <mergeCell ref="B108:B109"/>
    <mergeCell ref="A108:A109"/>
    <mergeCell ref="C135:C136"/>
    <mergeCell ref="G135:G136"/>
    <mergeCell ref="G105:H105"/>
    <mergeCell ref="C55:H55"/>
    <mergeCell ref="A72:B72"/>
    <mergeCell ref="A49:B49"/>
    <mergeCell ref="C49:H49"/>
    <mergeCell ref="F85:H85"/>
    <mergeCell ref="A85:E85"/>
    <mergeCell ref="D108:D109"/>
    <mergeCell ref="A87:E87"/>
    <mergeCell ref="A83:E83"/>
    <mergeCell ref="F87:H87"/>
    <mergeCell ref="G108:G109"/>
    <mergeCell ref="A75:B75"/>
    <mergeCell ref="C69:H69"/>
    <mergeCell ref="A77:B77"/>
    <mergeCell ref="A64:C64"/>
    <mergeCell ref="L114:M114"/>
    <mergeCell ref="L113:M113"/>
    <mergeCell ref="L112:M112"/>
    <mergeCell ref="L111:M111"/>
    <mergeCell ref="A80:B80"/>
    <mergeCell ref="C103:D103"/>
    <mergeCell ref="E103:F103"/>
    <mergeCell ref="G103:H103"/>
    <mergeCell ref="A84:E84"/>
    <mergeCell ref="A110:H110"/>
    <mergeCell ref="E108:E109"/>
    <mergeCell ref="F83:H83"/>
    <mergeCell ref="F88:H88"/>
    <mergeCell ref="A114:B114"/>
    <mergeCell ref="A113:B113"/>
    <mergeCell ref="A89:E89"/>
    <mergeCell ref="F89:H89"/>
    <mergeCell ref="A91:E91"/>
    <mergeCell ref="F86:H86"/>
    <mergeCell ref="A90:E90"/>
    <mergeCell ref="E102:F102"/>
    <mergeCell ref="A106:H106"/>
    <mergeCell ref="A86:E86"/>
    <mergeCell ref="F84:H84"/>
    <mergeCell ref="A38:H38"/>
    <mergeCell ref="A37:B37"/>
    <mergeCell ref="C37:E37"/>
    <mergeCell ref="A42:D42"/>
    <mergeCell ref="E42:H42"/>
    <mergeCell ref="A41:H41"/>
    <mergeCell ref="A62:C62"/>
    <mergeCell ref="A63:C63"/>
    <mergeCell ref="D62:H62"/>
    <mergeCell ref="D63:H63"/>
    <mergeCell ref="A44:D44"/>
    <mergeCell ref="E44:H44"/>
    <mergeCell ref="E45:H45"/>
    <mergeCell ref="E46:H46"/>
    <mergeCell ref="E47:H47"/>
    <mergeCell ref="A39:B39"/>
    <mergeCell ref="C39:H39"/>
    <mergeCell ref="A46:D46"/>
    <mergeCell ref="A47:D47"/>
    <mergeCell ref="A48:H48"/>
    <mergeCell ref="D60:H60"/>
    <mergeCell ref="A60:C60"/>
    <mergeCell ref="A45:D45"/>
    <mergeCell ref="A40:B40"/>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4:B74"/>
    <mergeCell ref="A76:B76"/>
    <mergeCell ref="E72:F72"/>
    <mergeCell ref="A65:C65"/>
    <mergeCell ref="D65:H65"/>
    <mergeCell ref="A68:C68"/>
    <mergeCell ref="D68:H68"/>
    <mergeCell ref="A66:C66"/>
    <mergeCell ref="D67:H67"/>
    <mergeCell ref="A73:B73"/>
    <mergeCell ref="G72:H72"/>
    <mergeCell ref="E73:F82"/>
    <mergeCell ref="G73:H82"/>
    <mergeCell ref="A81:B81"/>
    <mergeCell ref="A82:B82"/>
    <mergeCell ref="A79:B79"/>
    <mergeCell ref="A187:H189"/>
    <mergeCell ref="A186:B186"/>
    <mergeCell ref="E186:F186"/>
    <mergeCell ref="C186:D186"/>
    <mergeCell ref="G186:H186"/>
    <mergeCell ref="A96:H96"/>
    <mergeCell ref="A94:E94"/>
    <mergeCell ref="F94:H94"/>
    <mergeCell ref="A95:E95"/>
    <mergeCell ref="F95:H95"/>
    <mergeCell ref="A137:H137"/>
    <mergeCell ref="A103:B103"/>
    <mergeCell ref="A145:B145"/>
    <mergeCell ref="A98:B98"/>
    <mergeCell ref="A182:H182"/>
    <mergeCell ref="A101:H101"/>
    <mergeCell ref="A185:H185"/>
    <mergeCell ref="A183:H183"/>
    <mergeCell ref="A179:H179"/>
    <mergeCell ref="G102:H102"/>
    <mergeCell ref="C108:C109"/>
    <mergeCell ref="B135:B136"/>
    <mergeCell ref="A180:H180"/>
    <mergeCell ref="A139:B139"/>
    <mergeCell ref="A184:H184"/>
    <mergeCell ref="A181:H181"/>
    <mergeCell ref="A138:B138"/>
    <mergeCell ref="A102:B102"/>
    <mergeCell ref="D135:D136"/>
    <mergeCell ref="E135:E136"/>
    <mergeCell ref="A161:B161"/>
    <mergeCell ref="A155:B155"/>
    <mergeCell ref="B178:H178"/>
    <mergeCell ref="B173:H173"/>
    <mergeCell ref="B175:H175"/>
    <mergeCell ref="A165:B165"/>
    <mergeCell ref="A164:B164"/>
    <mergeCell ref="B172:H172"/>
    <mergeCell ref="A167:H167"/>
    <mergeCell ref="A166:B166"/>
    <mergeCell ref="A162:H162"/>
    <mergeCell ref="A142:H142"/>
    <mergeCell ref="A134:H134"/>
    <mergeCell ref="A135:A136"/>
    <mergeCell ref="C104:D104"/>
    <mergeCell ref="A146:B146"/>
    <mergeCell ref="A116:B116"/>
    <mergeCell ref="A111:B111"/>
    <mergeCell ref="B177:H177"/>
    <mergeCell ref="A105:B105"/>
    <mergeCell ref="C105:D105"/>
    <mergeCell ref="E105:F105"/>
    <mergeCell ref="B176:H176"/>
    <mergeCell ref="B174:H174"/>
    <mergeCell ref="B170:H170"/>
    <mergeCell ref="B168:H168"/>
    <mergeCell ref="B169:H169"/>
    <mergeCell ref="B171:H171"/>
    <mergeCell ref="A121:B121"/>
    <mergeCell ref="A122:B122"/>
    <mergeCell ref="A124:H124"/>
    <mergeCell ref="A157:H157"/>
    <mergeCell ref="A158:B158"/>
    <mergeCell ref="A159:B159"/>
    <mergeCell ref="A160:B160"/>
    <mergeCell ref="F135:F136"/>
    <mergeCell ref="A140:B140"/>
    <mergeCell ref="A163:B163"/>
    <mergeCell ref="G51:H51"/>
    <mergeCell ref="A52:B53"/>
    <mergeCell ref="C53:H53"/>
    <mergeCell ref="C52:E52"/>
    <mergeCell ref="A61:C61"/>
    <mergeCell ref="D61:H61"/>
    <mergeCell ref="C51:E51"/>
    <mergeCell ref="A71:B71"/>
    <mergeCell ref="A69:B69"/>
    <mergeCell ref="D64:H64"/>
    <mergeCell ref="C71:H71"/>
    <mergeCell ref="D58:H58"/>
    <mergeCell ref="F92:H92"/>
    <mergeCell ref="E97:F97"/>
    <mergeCell ref="A97:B97"/>
    <mergeCell ref="A99:B99"/>
    <mergeCell ref="C102:D102"/>
    <mergeCell ref="D66:H66"/>
    <mergeCell ref="A67:C67"/>
    <mergeCell ref="E43:H43"/>
    <mergeCell ref="A43:D43"/>
    <mergeCell ref="A78:B78"/>
    <mergeCell ref="A50:B50"/>
    <mergeCell ref="C50:E50"/>
    <mergeCell ref="G50:H50"/>
    <mergeCell ref="G52:H52"/>
    <mergeCell ref="A51:B51"/>
    <mergeCell ref="A57:H57"/>
    <mergeCell ref="A58:C58"/>
    <mergeCell ref="A59:C59"/>
    <mergeCell ref="D59:H59"/>
    <mergeCell ref="G56:H56"/>
    <mergeCell ref="A54:B55"/>
    <mergeCell ref="C54:E54"/>
    <mergeCell ref="G54:H54"/>
    <mergeCell ref="A156:B156"/>
    <mergeCell ref="A130:B130"/>
    <mergeCell ref="A131:B131"/>
    <mergeCell ref="A132:B132"/>
    <mergeCell ref="A133:B133"/>
    <mergeCell ref="A144:B144"/>
    <mergeCell ref="A143:B143"/>
    <mergeCell ref="A141:B141"/>
    <mergeCell ref="A147:H147"/>
    <mergeCell ref="A148:B148"/>
    <mergeCell ref="A149:B149"/>
    <mergeCell ref="A150:B150"/>
    <mergeCell ref="A151:B151"/>
    <mergeCell ref="A152:H152"/>
    <mergeCell ref="A153:B153"/>
    <mergeCell ref="A154:B154"/>
    <mergeCell ref="I11:L11"/>
    <mergeCell ref="L123:M123"/>
    <mergeCell ref="A125:B125"/>
    <mergeCell ref="A126:B126"/>
    <mergeCell ref="A127:B127"/>
    <mergeCell ref="A128:B128"/>
    <mergeCell ref="A129:B129"/>
    <mergeCell ref="A123:B123"/>
    <mergeCell ref="D123:G123"/>
    <mergeCell ref="L117:M117"/>
    <mergeCell ref="A118:B118"/>
    <mergeCell ref="A115:B115"/>
    <mergeCell ref="A117:H117"/>
    <mergeCell ref="A119:B119"/>
    <mergeCell ref="A120:B120"/>
    <mergeCell ref="I15:P15"/>
    <mergeCell ref="F93:H93"/>
    <mergeCell ref="F91:H91"/>
    <mergeCell ref="A107:H107"/>
    <mergeCell ref="G97:H97"/>
    <mergeCell ref="A92:E92"/>
    <mergeCell ref="A112:B112"/>
    <mergeCell ref="A56:B56"/>
    <mergeCell ref="C56:E56"/>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08:E109" xr:uid="{00000000-0002-0000-0000-000003000000}">
      <formula1>"Attached Loft area,Attached Otla area,Attached Mezzanine area"</formula1>
    </dataValidation>
    <dataValidation type="list" allowBlank="1" showInputMessage="1" showErrorMessage="1" sqref="G186:H186" xr:uid="{00000000-0002-0000-0000-000004000000}">
      <formula1>"Gaurav Panchal, Kunal Kadam,Pranita Mhatre,Shruti Fule,Pooja Kawale,Neha Dhokale,Shruti Tathare, Hitakshi Mhatre, Sachin Sawant"</formula1>
    </dataValidation>
    <dataValidation type="list" allowBlank="1" showInputMessage="1" showErrorMessage="1" sqref="F83:H83" xr:uid="{00000000-0002-0000-0000-000005000000}">
      <formula1>"On Saleable Area,On Builtup Area,On Carpet Area,On Plot Area"</formula1>
    </dataValidation>
    <dataValidation type="list" allowBlank="1" showInputMessage="1" showErrorMessage="1" sqref="F94:H94" xr:uid="{00000000-0002-0000-0000-000006000000}">
      <formula1>OFFSET($S$83,1,MATCH($G20,$S$83:$W$83,0)-1,15,1)</formula1>
    </dataValidation>
    <dataValidation type="list" allowBlank="1" showInputMessage="1" showErrorMessage="1" sqref="B108:B109" xr:uid="{00000000-0002-0000-0000-000007000000}">
      <formula1>"Shop No. (Sale Plan),Sale / Rehab,Sale / Mhada"</formula1>
    </dataValidation>
    <dataValidation type="list" allowBlank="1" showInputMessage="1" showErrorMessage="1" sqref="B135:B136"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35:E136" xr:uid="{00000000-0002-0000-0000-00000B000000}">
      <formula1>"Fungible area,Balcony Area,Chajja Area,Cornice Area,AP Area,WS Area"</formula1>
    </dataValidation>
    <dataValidation type="list" allowBlank="1" showInputMessage="1" showErrorMessage="1" sqref="H109 H136"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78" xr:uid="{00000000-0002-0000-0000-00000F000000}">
      <formula1>0</formula1>
      <formula2>H70</formula2>
    </dataValidation>
    <dataValidation type="list" allowBlank="1" showInputMessage="1" showErrorMessage="1" sqref="H108 H135" xr:uid="{00000000-0002-0000-0000-000010000000}">
      <formula1>"Saleable area Loading :,Builder Saleable Area"</formula1>
    </dataValidation>
    <dataValidation type="list" allowBlank="1" showInputMessage="1" showErrorMessage="1" sqref="D108:D109 D135:D136"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68" max="16383" man="1"/>
    <brk id="189" max="7" man="1"/>
    <brk id="231" max="7" man="1"/>
    <brk id="273"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0" t="s">
        <v>104</v>
      </c>
      <c r="C3" s="210"/>
      <c r="D3" s="210"/>
      <c r="E3" s="210"/>
      <c r="F3" s="210"/>
      <c r="G3" s="210"/>
      <c r="H3" s="210"/>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6"/>
      <c r="C4" s="46" t="s">
        <v>11</v>
      </c>
      <c r="D4" s="47" t="s">
        <v>175</v>
      </c>
      <c r="E4" s="47" t="s">
        <v>185</v>
      </c>
      <c r="F4" s="47" t="s">
        <v>168</v>
      </c>
      <c r="G4" s="47" t="s">
        <v>190</v>
      </c>
      <c r="H4" s="47" t="s">
        <v>208</v>
      </c>
      <c r="J4" t="s">
        <v>190</v>
      </c>
      <c r="K4" t="s">
        <v>206</v>
      </c>
    </row>
    <row r="5" spans="2:11" x14ac:dyDescent="0.25">
      <c r="B5" s="46"/>
      <c r="C5" s="46"/>
      <c r="D5" s="47" t="s">
        <v>176</v>
      </c>
      <c r="E5" s="47" t="s">
        <v>183</v>
      </c>
      <c r="F5" s="47" t="s">
        <v>205</v>
      </c>
      <c r="G5" s="47" t="s">
        <v>191</v>
      </c>
      <c r="H5" s="47" t="s">
        <v>209</v>
      </c>
    </row>
    <row r="6" spans="2:11" x14ac:dyDescent="0.25">
      <c r="B6" s="46"/>
      <c r="C6" s="46"/>
      <c r="D6" s="47" t="s">
        <v>177</v>
      </c>
      <c r="E6" s="47" t="s">
        <v>184</v>
      </c>
      <c r="F6" s="47" t="s">
        <v>206</v>
      </c>
      <c r="G6" s="47" t="s">
        <v>192</v>
      </c>
      <c r="H6" s="47" t="s">
        <v>222</v>
      </c>
    </row>
    <row r="7" spans="2:11" x14ac:dyDescent="0.25">
      <c r="B7" s="46"/>
      <c r="C7" s="46"/>
      <c r="D7" s="47" t="s">
        <v>178</v>
      </c>
      <c r="E7" s="47" t="s">
        <v>186</v>
      </c>
      <c r="F7" s="47" t="s">
        <v>207</v>
      </c>
      <c r="G7" s="47" t="s">
        <v>193</v>
      </c>
      <c r="H7" s="47" t="s">
        <v>210</v>
      </c>
    </row>
    <row r="8" spans="2:11" x14ac:dyDescent="0.25">
      <c r="B8" s="46"/>
      <c r="C8" s="46"/>
      <c r="D8" s="47" t="s">
        <v>179</v>
      </c>
      <c r="E8" s="47" t="s">
        <v>187</v>
      </c>
      <c r="F8" s="47"/>
      <c r="G8" s="47" t="s">
        <v>194</v>
      </c>
      <c r="H8" s="47" t="s">
        <v>211</v>
      </c>
    </row>
    <row r="9" spans="2:11" x14ac:dyDescent="0.25">
      <c r="B9" s="46"/>
      <c r="C9" s="46"/>
      <c r="D9" s="47" t="s">
        <v>180</v>
      </c>
      <c r="E9" s="47" t="s">
        <v>185</v>
      </c>
      <c r="F9" s="47"/>
      <c r="G9" s="47" t="s">
        <v>195</v>
      </c>
      <c r="H9" s="47" t="s">
        <v>212</v>
      </c>
    </row>
    <row r="10" spans="2:11" x14ac:dyDescent="0.25">
      <c r="B10" s="46"/>
      <c r="C10" s="46"/>
      <c r="D10" s="47" t="s">
        <v>181</v>
      </c>
      <c r="E10" s="47" t="s">
        <v>188</v>
      </c>
      <c r="F10" s="47"/>
      <c r="G10" s="47" t="s">
        <v>196</v>
      </c>
      <c r="H10" s="47" t="s">
        <v>213</v>
      </c>
    </row>
    <row r="11" spans="2:11" x14ac:dyDescent="0.25">
      <c r="B11" s="46"/>
      <c r="C11" s="46"/>
      <c r="D11" s="47" t="s">
        <v>182</v>
      </c>
      <c r="E11" s="47" t="s">
        <v>189</v>
      </c>
      <c r="F11" s="47"/>
      <c r="G11" s="47" t="s">
        <v>197</v>
      </c>
      <c r="H11" s="47" t="s">
        <v>214</v>
      </c>
    </row>
    <row r="12" spans="2:11" x14ac:dyDescent="0.25">
      <c r="B12" s="46"/>
      <c r="C12" s="46"/>
      <c r="D12" s="47"/>
      <c r="E12" s="47"/>
      <c r="F12" s="47"/>
      <c r="G12" s="47" t="s">
        <v>198</v>
      </c>
      <c r="H12" s="47" t="s">
        <v>215</v>
      </c>
    </row>
    <row r="13" spans="2:11" x14ac:dyDescent="0.25">
      <c r="B13" s="46"/>
      <c r="C13" s="46"/>
      <c r="D13" s="47"/>
      <c r="E13" s="47"/>
      <c r="F13" s="47"/>
      <c r="G13" s="47" t="s">
        <v>199</v>
      </c>
      <c r="H13" s="47" t="s">
        <v>216</v>
      </c>
    </row>
    <row r="14" spans="2:11" x14ac:dyDescent="0.25">
      <c r="B14" s="46"/>
      <c r="C14" s="46"/>
      <c r="D14" s="47"/>
      <c r="E14" s="47"/>
      <c r="F14" s="47"/>
      <c r="G14" s="47" t="s">
        <v>200</v>
      </c>
      <c r="H14" s="47" t="s">
        <v>217</v>
      </c>
    </row>
    <row r="15" spans="2:11" x14ac:dyDescent="0.25">
      <c r="B15" s="46"/>
      <c r="C15" s="46"/>
      <c r="D15" s="47"/>
      <c r="E15" s="47"/>
      <c r="F15" s="47"/>
      <c r="G15" s="47" t="s">
        <v>201</v>
      </c>
      <c r="H15" s="47" t="s">
        <v>218</v>
      </c>
    </row>
    <row r="16" spans="2:11" x14ac:dyDescent="0.25">
      <c r="B16" s="46"/>
      <c r="C16" s="46"/>
      <c r="D16" s="47"/>
      <c r="E16" s="47"/>
      <c r="F16" s="47"/>
      <c r="G16" s="47" t="s">
        <v>202</v>
      </c>
      <c r="H16" s="47" t="s">
        <v>219</v>
      </c>
    </row>
    <row r="17" spans="2:8" x14ac:dyDescent="0.25">
      <c r="B17" s="46"/>
      <c r="C17" s="46"/>
      <c r="D17" s="47"/>
      <c r="E17" s="47"/>
      <c r="F17" s="47"/>
      <c r="G17" s="47" t="s">
        <v>203</v>
      </c>
      <c r="H17" s="47" t="s">
        <v>220</v>
      </c>
    </row>
    <row r="18" spans="2:8" x14ac:dyDescent="0.25">
      <c r="B18" s="46"/>
      <c r="C18" s="46"/>
      <c r="D18" s="47"/>
      <c r="E18" s="47"/>
      <c r="F18" s="47"/>
      <c r="G18" s="47" t="s">
        <v>204</v>
      </c>
      <c r="H18" s="47" t="s">
        <v>221</v>
      </c>
    </row>
    <row r="24" spans="2:8" x14ac:dyDescent="0.25">
      <c r="C24" t="s">
        <v>165</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165</v>
      </c>
    </row>
    <row r="33" spans="3:11" x14ac:dyDescent="0.25">
      <c r="J33">
        <v>1</v>
      </c>
      <c r="K33">
        <v>2</v>
      </c>
    </row>
    <row r="34" spans="3:11" x14ac:dyDescent="0.25">
      <c r="C34" s="48" t="s">
        <v>231</v>
      </c>
      <c r="D34" s="47" t="s">
        <v>229</v>
      </c>
      <c r="E34" s="47" t="s">
        <v>234</v>
      </c>
      <c r="F34" s="47" t="s">
        <v>232</v>
      </c>
      <c r="G34" s="47" t="s">
        <v>233</v>
      </c>
      <c r="H34" s="47" t="s">
        <v>235</v>
      </c>
      <c r="J34" t="s">
        <v>190</v>
      </c>
      <c r="K34" t="s">
        <v>206</v>
      </c>
    </row>
    <row r="35" spans="3:11" x14ac:dyDescent="0.25">
      <c r="C35" s="46" t="s">
        <v>230</v>
      </c>
      <c r="D35" s="47" t="s">
        <v>166</v>
      </c>
      <c r="E35" s="47" t="s">
        <v>239</v>
      </c>
      <c r="F35" s="47" t="s">
        <v>241</v>
      </c>
      <c r="G35" s="47" t="s">
        <v>243</v>
      </c>
      <c r="H35" s="47"/>
    </row>
    <row r="36" spans="3:11" x14ac:dyDescent="0.25">
      <c r="C36" s="46"/>
      <c r="D36" s="47" t="s">
        <v>236</v>
      </c>
      <c r="E36" s="47" t="s">
        <v>240</v>
      </c>
      <c r="F36" s="47" t="s">
        <v>242</v>
      </c>
      <c r="G36" s="47" t="s">
        <v>244</v>
      </c>
      <c r="H36" s="47"/>
    </row>
    <row r="37" spans="3:11" x14ac:dyDescent="0.25">
      <c r="C37" s="46"/>
      <c r="D37" s="47" t="s">
        <v>237</v>
      </c>
      <c r="E37" s="47"/>
      <c r="F37" s="47"/>
      <c r="G37" s="47" t="s">
        <v>245</v>
      </c>
      <c r="H37" s="47"/>
    </row>
    <row r="38" spans="3:11" x14ac:dyDescent="0.25">
      <c r="C38" s="46"/>
      <c r="D38" s="47" t="s">
        <v>238</v>
      </c>
      <c r="E38" s="47"/>
      <c r="F38" s="47"/>
      <c r="G38" s="47" t="s">
        <v>245</v>
      </c>
      <c r="H38" s="47"/>
    </row>
    <row r="39" spans="3:11" x14ac:dyDescent="0.25">
      <c r="C39" s="46"/>
      <c r="D39" s="47"/>
      <c r="E39" s="47"/>
      <c r="F39" s="47"/>
      <c r="G39" s="47" t="s">
        <v>246</v>
      </c>
      <c r="H39" s="47"/>
    </row>
    <row r="40" spans="3:11" x14ac:dyDescent="0.25">
      <c r="C40" s="46"/>
      <c r="D40" s="47"/>
      <c r="E40" s="47"/>
      <c r="F40" s="47"/>
      <c r="G40" s="47" t="s">
        <v>247</v>
      </c>
      <c r="H40" s="47"/>
    </row>
    <row r="41" spans="3:11" x14ac:dyDescent="0.25">
      <c r="C41" s="46"/>
      <c r="D41" s="47"/>
      <c r="E41" s="47"/>
      <c r="F41" s="47"/>
      <c r="G41" s="47"/>
      <c r="H41" s="47"/>
    </row>
    <row r="43" spans="3:11" x14ac:dyDescent="0.25">
      <c r="C43" t="s">
        <v>248</v>
      </c>
    </row>
    <row r="44" spans="3:11" x14ac:dyDescent="0.25">
      <c r="C44" t="s">
        <v>168</v>
      </c>
      <c r="D44" t="s">
        <v>249</v>
      </c>
    </row>
    <row r="45" spans="3:11" x14ac:dyDescent="0.25">
      <c r="D45" t="s">
        <v>250</v>
      </c>
    </row>
    <row r="46" spans="3:11" x14ac:dyDescent="0.25">
      <c r="D46" t="s">
        <v>251</v>
      </c>
    </row>
    <row r="47" spans="3:11" x14ac:dyDescent="0.25">
      <c r="D47" t="s">
        <v>252</v>
      </c>
    </row>
    <row r="48" spans="3:11" x14ac:dyDescent="0.25">
      <c r="D48" t="s">
        <v>253</v>
      </c>
    </row>
    <row r="49" spans="3:4" x14ac:dyDescent="0.25">
      <c r="C49" t="s">
        <v>175</v>
      </c>
      <c r="D49" t="s">
        <v>254</v>
      </c>
    </row>
    <row r="50" spans="3:4" x14ac:dyDescent="0.25">
      <c r="D50" t="s">
        <v>255</v>
      </c>
    </row>
    <row r="51" spans="3:4" x14ac:dyDescent="0.25">
      <c r="D51" t="s">
        <v>256</v>
      </c>
    </row>
    <row r="52" spans="3:4" x14ac:dyDescent="0.25">
      <c r="D52" t="s">
        <v>259</v>
      </c>
    </row>
    <row r="53" spans="3:4" x14ac:dyDescent="0.25">
      <c r="D53" t="s">
        <v>257</v>
      </c>
    </row>
    <row r="54" spans="3:4" x14ac:dyDescent="0.25">
      <c r="D54" t="s">
        <v>258</v>
      </c>
    </row>
    <row r="55" spans="3:4" x14ac:dyDescent="0.25">
      <c r="D55" t="s">
        <v>260</v>
      </c>
    </row>
    <row r="56" spans="3:4" x14ac:dyDescent="0.25">
      <c r="D56" t="s">
        <v>261</v>
      </c>
    </row>
    <row r="57" spans="3:4" x14ac:dyDescent="0.25">
      <c r="D57" t="s">
        <v>262</v>
      </c>
    </row>
    <row r="58" spans="3:4" x14ac:dyDescent="0.25">
      <c r="D58" t="s">
        <v>264</v>
      </c>
    </row>
    <row r="59" spans="3:4" x14ac:dyDescent="0.25">
      <c r="D59" t="s">
        <v>273</v>
      </c>
    </row>
    <row r="60" spans="3:4" x14ac:dyDescent="0.25">
      <c r="C60" t="s">
        <v>190</v>
      </c>
      <c r="D60" t="s">
        <v>265</v>
      </c>
    </row>
    <row r="61" spans="3:4" x14ac:dyDescent="0.25">
      <c r="D61" t="s">
        <v>263</v>
      </c>
    </row>
    <row r="62" spans="3:4" x14ac:dyDescent="0.25">
      <c r="D62" t="s">
        <v>253</v>
      </c>
    </row>
    <row r="63" spans="3:4" x14ac:dyDescent="0.25">
      <c r="D63" t="s">
        <v>266</v>
      </c>
    </row>
    <row r="64" spans="3:4" x14ac:dyDescent="0.25">
      <c r="D64" t="s">
        <v>267</v>
      </c>
    </row>
    <row r="65" spans="3:4" x14ac:dyDescent="0.25">
      <c r="D65" t="s">
        <v>268</v>
      </c>
    </row>
    <row r="66" spans="3:4" x14ac:dyDescent="0.25">
      <c r="D66" t="s">
        <v>269</v>
      </c>
    </row>
    <row r="67" spans="3:4" x14ac:dyDescent="0.25">
      <c r="C67" t="s">
        <v>185</v>
      </c>
      <c r="D67" t="s">
        <v>270</v>
      </c>
    </row>
    <row r="68" spans="3:4" x14ac:dyDescent="0.25">
      <c r="D68" t="s">
        <v>271</v>
      </c>
    </row>
    <row r="69" spans="3:4" x14ac:dyDescent="0.25">
      <c r="D69" t="s">
        <v>272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49">
        <v>1</v>
      </c>
      <c r="C2" s="51" t="s">
        <v>277</v>
      </c>
    </row>
    <row r="3" spans="2:3" x14ac:dyDescent="0.25">
      <c r="B3" s="49">
        <v>2</v>
      </c>
      <c r="C3" s="50" t="s">
        <v>278</v>
      </c>
    </row>
    <row r="4" spans="2:3" x14ac:dyDescent="0.25">
      <c r="B4" s="49">
        <v>3</v>
      </c>
      <c r="C4" s="49" t="s">
        <v>279</v>
      </c>
    </row>
    <row r="5" spans="2:3" ht="30" x14ac:dyDescent="0.25">
      <c r="B5" s="49">
        <v>4</v>
      </c>
      <c r="C5" s="50" t="s">
        <v>280</v>
      </c>
    </row>
    <row r="6" spans="2:3" x14ac:dyDescent="0.25">
      <c r="B6" s="49">
        <v>5</v>
      </c>
      <c r="C6" s="49" t="s">
        <v>281</v>
      </c>
    </row>
    <row r="7" spans="2:3" ht="30" x14ac:dyDescent="0.25">
      <c r="B7" s="49">
        <v>6</v>
      </c>
      <c r="C7" s="50" t="s">
        <v>282</v>
      </c>
    </row>
    <row r="8" spans="2:3" ht="90" x14ac:dyDescent="0.25">
      <c r="B8" s="49">
        <v>7</v>
      </c>
      <c r="C8" s="50" t="s">
        <v>283</v>
      </c>
    </row>
    <row r="9" spans="2:3" x14ac:dyDescent="0.25">
      <c r="B9" s="49">
        <v>8</v>
      </c>
      <c r="C9" s="49" t="s">
        <v>284</v>
      </c>
    </row>
    <row r="10" spans="2:3" x14ac:dyDescent="0.25">
      <c r="B10" s="49">
        <v>9</v>
      </c>
      <c r="C10" s="49" t="s">
        <v>285</v>
      </c>
    </row>
    <row r="11" spans="2:3" x14ac:dyDescent="0.25">
      <c r="B11" s="49">
        <v>10</v>
      </c>
      <c r="C11" s="49" t="s">
        <v>286</v>
      </c>
    </row>
    <row r="12" spans="2:3" x14ac:dyDescent="0.25">
      <c r="B12" s="49">
        <v>11</v>
      </c>
      <c r="C12" s="49" t="s">
        <v>287</v>
      </c>
    </row>
    <row r="13" spans="2:3" x14ac:dyDescent="0.25">
      <c r="B13" s="49">
        <v>12</v>
      </c>
      <c r="C13" s="49" t="s">
        <v>288</v>
      </c>
    </row>
    <row r="14" spans="2:3" x14ac:dyDescent="0.25">
      <c r="B14" s="49">
        <v>13</v>
      </c>
      <c r="C14" s="49" t="s">
        <v>289</v>
      </c>
    </row>
    <row r="15" spans="2:3" x14ac:dyDescent="0.25">
      <c r="B15" s="49">
        <v>14</v>
      </c>
      <c r="C15" s="49" t="s">
        <v>279</v>
      </c>
    </row>
    <row r="16" spans="2:3" x14ac:dyDescent="0.25">
      <c r="B16" s="49">
        <v>15</v>
      </c>
      <c r="C16" s="49" t="s">
        <v>290</v>
      </c>
    </row>
    <row r="17" spans="2:3" ht="31.5" customHeight="1" x14ac:dyDescent="0.25">
      <c r="B17" s="52">
        <v>16</v>
      </c>
      <c r="C17" s="54" t="s">
        <v>291</v>
      </c>
    </row>
    <row r="18" spans="2:3" x14ac:dyDescent="0.25">
      <c r="B18" s="53">
        <v>17</v>
      </c>
      <c r="C18" s="54" t="s">
        <v>292</v>
      </c>
    </row>
    <row r="19" spans="2:3" x14ac:dyDescent="0.25">
      <c r="B19" s="52">
        <v>18</v>
      </c>
      <c r="C19" s="49" t="s">
        <v>293</v>
      </c>
    </row>
    <row r="20" spans="2:3" x14ac:dyDescent="0.25">
      <c r="B20" s="53">
        <v>19</v>
      </c>
      <c r="C20" s="49"/>
    </row>
    <row r="21" spans="2:3" x14ac:dyDescent="0.25">
      <c r="B21" s="49">
        <v>20</v>
      </c>
      <c r="C21" s="49"/>
    </row>
    <row r="22" spans="2:3" x14ac:dyDescent="0.25">
      <c r="B22" s="49"/>
      <c r="C22" s="49"/>
    </row>
    <row r="23" spans="2:3" x14ac:dyDescent="0.25">
      <c r="B23" s="49"/>
      <c r="C23" s="49"/>
    </row>
    <row r="24" spans="2:3" x14ac:dyDescent="0.25">
      <c r="B24" s="49"/>
      <c r="C24" s="49"/>
    </row>
    <row r="25" spans="2:3" x14ac:dyDescent="0.25">
      <c r="B25" s="49"/>
      <c r="C25" s="49"/>
    </row>
    <row r="26" spans="2:3" x14ac:dyDescent="0.25">
      <c r="B26" s="49"/>
      <c r="C26" s="4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2025-09-19T11:04:22Z</cp:lastPrinted>
  <dcterms:created xsi:type="dcterms:W3CDTF">2019-07-16T09:29:46Z</dcterms:created>
  <dcterms:modified xsi:type="dcterms:W3CDTF">2025-09-19T11:05:25Z</dcterms:modified>
</cp:coreProperties>
</file>