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2A165F38-25DA-4E78-85ED-A4DA3E051488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9" i="1" l="1"/>
  <c r="A250" i="1" s="1"/>
  <c r="A251" i="1" s="1"/>
  <c r="A252" i="1" s="1"/>
  <c r="A253" i="1" s="1"/>
  <c r="A254" i="1" s="1"/>
  <c r="A255" i="1" s="1"/>
  <c r="A256" i="1" s="1"/>
  <c r="A257" i="1" s="1"/>
  <c r="A258" i="1" s="1"/>
  <c r="A260" i="1" s="1"/>
  <c r="A248" i="1"/>
  <c r="J111" i="1"/>
  <c r="J110" i="1"/>
  <c r="J109" i="1"/>
  <c r="J108" i="1"/>
  <c r="C50" i="1"/>
  <c r="H99" i="1"/>
  <c r="J105" i="1" l="1"/>
  <c r="C104" i="1" s="1"/>
  <c r="D104" i="1" s="1"/>
  <c r="J103" i="1"/>
  <c r="D113" i="1"/>
  <c r="I98" i="1" s="1"/>
  <c r="C100" i="1" s="1"/>
  <c r="D109" i="1"/>
  <c r="D107" i="1"/>
  <c r="D110" i="1"/>
  <c r="D112" i="1"/>
  <c r="D108" i="1"/>
  <c r="J104" i="1"/>
  <c r="D111" i="1"/>
  <c r="J98" i="1"/>
  <c r="J100" i="1" s="1"/>
  <c r="J106" i="1"/>
  <c r="J107" i="1" s="1"/>
  <c r="J112" i="1" s="1"/>
  <c r="J113" i="1" s="1"/>
  <c r="C105" i="1" s="1"/>
  <c r="D106" i="1"/>
  <c r="E241" i="1"/>
  <c r="D241" i="1"/>
  <c r="E245" i="1"/>
  <c r="D245" i="1"/>
  <c r="E244" i="1"/>
  <c r="D244" i="1"/>
  <c r="E243" i="1"/>
  <c r="D243" i="1"/>
  <c r="E242" i="1"/>
  <c r="D242" i="1"/>
  <c r="G240" i="1"/>
  <c r="E240" i="1"/>
  <c r="D240" i="1"/>
  <c r="E236" i="1"/>
  <c r="D237" i="1"/>
  <c r="D236" i="1"/>
  <c r="E238" i="1"/>
  <c r="D238" i="1"/>
  <c r="E237" i="1"/>
  <c r="E235" i="1"/>
  <c r="D235" i="1"/>
  <c r="E234" i="1"/>
  <c r="D234" i="1"/>
  <c r="G233" i="1"/>
  <c r="E233" i="1"/>
  <c r="D233" i="1"/>
  <c r="E229" i="1"/>
  <c r="D229" i="1"/>
  <c r="E216" i="1"/>
  <c r="D216" i="1"/>
  <c r="E231" i="1"/>
  <c r="E230" i="1"/>
  <c r="D231" i="1"/>
  <c r="D230" i="1"/>
  <c r="D224" i="1"/>
  <c r="G228" i="1"/>
  <c r="E228" i="1"/>
  <c r="D228" i="1"/>
  <c r="E224" i="1"/>
  <c r="D209" i="1"/>
  <c r="D223" i="1"/>
  <c r="E226" i="1"/>
  <c r="D226" i="1"/>
  <c r="E225" i="1"/>
  <c r="D225" i="1"/>
  <c r="E223" i="1"/>
  <c r="G222" i="1"/>
  <c r="E222" i="1"/>
  <c r="D222" i="1"/>
  <c r="I216" i="1"/>
  <c r="E220" i="1"/>
  <c r="D220" i="1"/>
  <c r="E219" i="1"/>
  <c r="D219" i="1"/>
  <c r="E218" i="1"/>
  <c r="D218" i="1"/>
  <c r="E217" i="1"/>
  <c r="D217" i="1"/>
  <c r="G215" i="1"/>
  <c r="E215" i="1"/>
  <c r="D215" i="1"/>
  <c r="E210" i="1"/>
  <c r="D210" i="1"/>
  <c r="E209" i="1"/>
  <c r="I209" i="1"/>
  <c r="D213" i="1"/>
  <c r="D212" i="1"/>
  <c r="D211" i="1"/>
  <c r="D208" i="1"/>
  <c r="J186" i="1"/>
  <c r="D206" i="1"/>
  <c r="D205" i="1"/>
  <c r="D204" i="1"/>
  <c r="D203" i="1"/>
  <c r="D202" i="1"/>
  <c r="D201" i="1"/>
  <c r="D200" i="1"/>
  <c r="D196" i="1"/>
  <c r="D195" i="1"/>
  <c r="D194" i="1"/>
  <c r="J188" i="1"/>
  <c r="D190" i="1"/>
  <c r="D189" i="1"/>
  <c r="D188" i="1"/>
  <c r="D193" i="1"/>
  <c r="E104" i="1" l="1"/>
  <c r="D105" i="1"/>
  <c r="I99" i="1" s="1"/>
  <c r="I100" i="1" s="1"/>
  <c r="J99" i="1"/>
  <c r="G104" i="1"/>
  <c r="F234" i="1"/>
  <c r="F243" i="1"/>
  <c r="F245" i="1"/>
  <c r="F242" i="1"/>
  <c r="F222" i="1"/>
  <c r="C151" i="1"/>
  <c r="F244" i="1"/>
  <c r="F238" i="1"/>
  <c r="F241" i="1"/>
  <c r="F225" i="1"/>
  <c r="F235" i="1"/>
  <c r="F240" i="1"/>
  <c r="E151" i="1"/>
  <c r="F236" i="1"/>
  <c r="F228" i="1"/>
  <c r="F233" i="1"/>
  <c r="F219" i="1"/>
  <c r="F237" i="1"/>
  <c r="F216" i="1"/>
  <c r="F229" i="1"/>
  <c r="F230" i="1"/>
  <c r="F231" i="1"/>
  <c r="F215" i="1"/>
  <c r="F220" i="1"/>
  <c r="F223" i="1"/>
  <c r="F217" i="1"/>
  <c r="F226" i="1"/>
  <c r="F218" i="1"/>
  <c r="F224" i="1"/>
  <c r="D192" i="1"/>
  <c r="D187" i="1"/>
  <c r="D186" i="1"/>
  <c r="E187" i="1"/>
  <c r="D55" i="1"/>
  <c r="G50" i="1"/>
  <c r="E41" i="1"/>
  <c r="C150" i="1" l="1"/>
  <c r="E150" i="1"/>
  <c r="D167" i="1"/>
  <c r="G208" i="1" l="1"/>
  <c r="F210" i="1"/>
  <c r="E213" i="1"/>
  <c r="E212" i="1"/>
  <c r="E211" i="1"/>
  <c r="E208" i="1"/>
  <c r="E202" i="1"/>
  <c r="E206" i="1"/>
  <c r="E205" i="1"/>
  <c r="F209" i="1" l="1"/>
  <c r="F206" i="1"/>
  <c r="F208" i="1"/>
  <c r="F213" i="1"/>
  <c r="F212" i="1"/>
  <c r="F211" i="1"/>
  <c r="F205" i="1"/>
  <c r="D168" i="1"/>
  <c r="E204" i="1"/>
  <c r="E203" i="1"/>
  <c r="F202" i="1"/>
  <c r="E201" i="1"/>
  <c r="G200" i="1"/>
  <c r="E200" i="1"/>
  <c r="E196" i="1"/>
  <c r="E195" i="1"/>
  <c r="E194" i="1"/>
  <c r="E193" i="1"/>
  <c r="F193" i="1" s="1"/>
  <c r="G192" i="1"/>
  <c r="E192" i="1"/>
  <c r="E190" i="1"/>
  <c r="E189" i="1"/>
  <c r="E188" i="1"/>
  <c r="G186" i="1"/>
  <c r="E186" i="1"/>
  <c r="E168" i="1"/>
  <c r="E167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A178" i="1"/>
  <c r="A179" i="1" s="1"/>
  <c r="A180" i="1" s="1"/>
  <c r="A181" i="1" s="1"/>
  <c r="A182" i="1" s="1"/>
  <c r="G177" i="1"/>
  <c r="F177" i="1" l="1"/>
  <c r="F181" i="1"/>
  <c r="F178" i="1"/>
  <c r="F182" i="1"/>
  <c r="F194" i="1"/>
  <c r="F204" i="1"/>
  <c r="F186" i="1"/>
  <c r="F200" i="1"/>
  <c r="E149" i="1"/>
  <c r="C149" i="1"/>
  <c r="F180" i="1"/>
  <c r="F188" i="1"/>
  <c r="F201" i="1"/>
  <c r="F190" i="1"/>
  <c r="F192" i="1"/>
  <c r="F195" i="1"/>
  <c r="F196" i="1"/>
  <c r="F189" i="1"/>
  <c r="F203" i="1"/>
  <c r="F179" i="1"/>
  <c r="I179" i="1" s="1"/>
  <c r="F187" i="1"/>
  <c r="I167" i="1"/>
  <c r="F175" i="1"/>
  <c r="I171" i="1"/>
  <c r="J171" i="1"/>
  <c r="G151" i="1" l="1"/>
  <c r="I186" i="1"/>
  <c r="G150" i="1"/>
  <c r="C152" i="1"/>
  <c r="E152" i="1"/>
  <c r="K171" i="1"/>
  <c r="C14" i="1"/>
  <c r="E29" i="1" l="1"/>
  <c r="F168" i="1" l="1"/>
  <c r="F167" i="1"/>
  <c r="A168" i="1"/>
  <c r="G167" i="1"/>
  <c r="F141" i="1" l="1"/>
  <c r="F159" i="1" l="1"/>
  <c r="F160" i="1"/>
  <c r="F161" i="1"/>
  <c r="F158" i="1"/>
  <c r="B248" i="1" l="1"/>
  <c r="F174" i="1" l="1"/>
  <c r="F173" i="1"/>
  <c r="F171" i="1"/>
  <c r="F170" i="1"/>
  <c r="F172" i="1"/>
  <c r="I172" i="1" s="1"/>
  <c r="G149" i="1" l="1"/>
  <c r="G152" i="1" s="1"/>
  <c r="B24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3" i="1"/>
  <c r="G170" i="1"/>
  <c r="A171" i="1"/>
  <c r="A172" i="1" s="1"/>
  <c r="A173" i="1" s="1"/>
  <c r="A174" i="1" s="1"/>
  <c r="A175" i="1" s="1"/>
  <c r="A159" i="1"/>
  <c r="A160" i="1" s="1"/>
  <c r="A161" i="1" s="1"/>
  <c r="G158" i="1"/>
  <c r="G159" i="1" s="1"/>
  <c r="G160" i="1" s="1"/>
  <c r="G161" i="1" s="1"/>
  <c r="J125" i="1"/>
  <c r="J124" i="1"/>
  <c r="J123" i="1"/>
  <c r="J122" i="1"/>
  <c r="J95" i="1"/>
  <c r="J94" i="1"/>
  <c r="J93" i="1"/>
  <c r="J92" i="1"/>
  <c r="C84" i="1"/>
  <c r="J81" i="1"/>
  <c r="J80" i="1"/>
  <c r="J79" i="1"/>
  <c r="J78" i="1"/>
  <c r="E42" i="1"/>
  <c r="E43" i="1" s="1"/>
  <c r="E26" i="1"/>
  <c r="E24" i="1"/>
  <c r="E7" i="1"/>
  <c r="E3" i="1"/>
  <c r="H115" i="1"/>
  <c r="H69" i="1"/>
  <c r="H85" i="1"/>
  <c r="D95" i="1" l="1"/>
  <c r="D96" i="1"/>
  <c r="D97" i="1"/>
  <c r="D91" i="1"/>
  <c r="D92" i="1"/>
  <c r="D93" i="1"/>
  <c r="D94" i="1"/>
  <c r="J84" i="1"/>
  <c r="J86" i="1" s="1"/>
  <c r="D83" i="1"/>
  <c r="D81" i="1"/>
  <c r="D80" i="1"/>
  <c r="D79" i="1"/>
  <c r="D77" i="1"/>
  <c r="J68" i="1"/>
  <c r="D82" i="1"/>
  <c r="D78" i="1"/>
  <c r="J74" i="1"/>
  <c r="J75" i="1"/>
  <c r="C74" i="1" s="1"/>
  <c r="J73" i="1"/>
  <c r="J76" i="1"/>
  <c r="J77" i="1" s="1"/>
  <c r="J82" i="1" s="1"/>
  <c r="J83" i="1" s="1"/>
  <c r="C75" i="1" s="1"/>
  <c r="J114" i="1"/>
  <c r="J116" i="1" s="1"/>
  <c r="J118" i="1"/>
  <c r="D127" i="1"/>
  <c r="D125" i="1"/>
  <c r="D123" i="1"/>
  <c r="D121" i="1"/>
  <c r="J119" i="1"/>
  <c r="C118" i="1" s="1"/>
  <c r="J117" i="1"/>
  <c r="J120" i="1"/>
  <c r="J121" i="1" s="1"/>
  <c r="J126" i="1" s="1"/>
  <c r="J127" i="1" s="1"/>
  <c r="C119" i="1" s="1"/>
  <c r="D126" i="1"/>
  <c r="D124" i="1"/>
  <c r="D122" i="1"/>
  <c r="J90" i="1"/>
  <c r="J88" i="1"/>
  <c r="J89" i="1"/>
  <c r="C88" i="1" s="1"/>
  <c r="J87" i="1"/>
  <c r="J91" i="1" l="1"/>
  <c r="J96" i="1" s="1"/>
  <c r="J97" i="1" s="1"/>
  <c r="C89" i="1" s="1"/>
  <c r="D89" i="1" s="1"/>
  <c r="D120" i="1"/>
  <c r="D118" i="1"/>
  <c r="D90" i="1"/>
  <c r="D76" i="1"/>
  <c r="J70" i="1"/>
  <c r="E74" i="1"/>
  <c r="D75" i="1"/>
  <c r="G74" i="1"/>
  <c r="D74" i="1"/>
  <c r="D88" i="1"/>
  <c r="E118" i="1"/>
  <c r="D119" i="1"/>
  <c r="G118" i="1"/>
  <c r="D66" i="1" s="1"/>
  <c r="J85" i="1" l="1"/>
  <c r="G88" i="1"/>
  <c r="D67" i="1" s="1"/>
  <c r="E88" i="1"/>
  <c r="I69" i="1"/>
  <c r="J69" i="1"/>
  <c r="I115" i="1"/>
  <c r="J115" i="1"/>
  <c r="I85" i="1"/>
  <c r="F67" i="1" l="1"/>
  <c r="I70" i="1"/>
  <c r="I68" i="1" s="1"/>
  <c r="I116" i="1"/>
  <c r="I114" i="1" s="1"/>
  <c r="C116" i="1" s="1"/>
  <c r="I86" i="1"/>
  <c r="I84" i="1" s="1"/>
</calcChain>
</file>

<file path=xl/sharedStrings.xml><?xml version="1.0" encoding="utf-8"?>
<sst xmlns="http://schemas.openxmlformats.org/spreadsheetml/2006/main" count="466" uniqueCount="252">
  <si>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</si>
  <si>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</si>
  <si>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</si>
  <si>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</si>
  <si>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</si>
  <si>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</si>
  <si>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</si>
  <si>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</si>
  <si>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</si>
  <si>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</si>
  <si>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</si>
  <si>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</si>
  <si>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</si>
  <si>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</si>
  <si>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</si>
  <si>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</si>
  <si>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</si>
  <si>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</si>
  <si>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</si>
  <si>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</si>
  <si>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</si>
  <si>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</si>
  <si>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</si>
  <si>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</si>
  <si>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</si>
  <si>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</si>
  <si>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</si>
  <si>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</si>
  <si>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</si>
  <si>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</si>
  <si>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</si>
  <si>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</si>
  <si>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</si>
  <si>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</si>
  <si>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</si>
  <si>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</si>
  <si>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</si>
  <si>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</si>
  <si>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</si>
  <si>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</si>
  <si>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</si>
  <si>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</si>
  <si>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</si>
  <si>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</si>
  <si>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</si>
  <si>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</si>
  <si>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</si>
  <si>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</si>
  <si>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</si>
  <si>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</si>
  <si>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</si>
  <si>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</si>
  <si>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</si>
  <si>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</si>
  <si>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</si>
  <si>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</si>
  <si>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</si>
  <si>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</si>
  <si>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</si>
  <si>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</si>
  <si>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</si>
  <si>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</si>
  <si>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</si>
  <si>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</si>
  <si>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</si>
  <si>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</si>
  <si>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</si>
  <si>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</si>
  <si>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</si>
  <si>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</si>
  <si>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</si>
  <si>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</si>
  <si>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</si>
  <si>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</si>
  <si>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</si>
  <si>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</si>
  <si>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</si>
  <si>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</si>
  <si>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</si>
  <si>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</si>
  <si>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</si>
  <si>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</si>
  <si>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</si>
  <si>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</si>
  <si>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</si>
  <si>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</si>
  <si>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</si>
  <si>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</si>
  <si>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</si>
  <si>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</si>
  <si>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</si>
  <si>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</si>
  <si>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</si>
  <si>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</si>
  <si>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</si>
  <si>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</si>
  <si>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</si>
  <si>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</si>
  <si>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</si>
  <si>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</si>
  <si>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</si>
  <si>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</si>
  <si>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</si>
  <si>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</si>
  <si>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</si>
  <si>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</si>
  <si>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</si>
  <si>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</si>
  <si>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</si>
  <si>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</si>
  <si>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</si>
  <si>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</si>
  <si>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</si>
  <si>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</si>
  <si>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</si>
  <si>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</si>
  <si>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</si>
  <si>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</si>
  <si>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</si>
  <si>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</si>
  <si>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</si>
  <si>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</si>
  <si>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</si>
  <si>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</si>
  <si>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</si>
  <si>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</si>
  <si>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</si>
  <si>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</si>
  <si>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</si>
  <si>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</si>
  <si>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</si>
  <si>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</si>
  <si>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</si>
  <si>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</si>
  <si>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</si>
  <si>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</si>
  <si>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</si>
  <si>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</si>
  <si>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</si>
  <si>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</si>
  <si>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</si>
  <si>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</si>
  <si>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</si>
  <si>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</si>
  <si>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</si>
  <si>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</si>
  <si>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</si>
  <si>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</si>
  <si>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</si>
  <si>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</si>
  <si>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</si>
  <si>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</si>
  <si>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</si>
  <si>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</si>
  <si>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</si>
  <si>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</si>
  <si>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</si>
  <si>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</si>
  <si>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</si>
  <si>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</si>
  <si>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</si>
  <si>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</si>
  <si>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</si>
  <si>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</si>
  <si>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</si>
  <si>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</si>
  <si>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</si>
  <si>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</si>
  <si>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Badlapur</t>
  </si>
  <si>
    <t>P51700031861</t>
  </si>
  <si>
    <t>Techcons Constructional Engineering Co</t>
  </si>
  <si>
    <t>Techcons Basera</t>
  </si>
  <si>
    <t>Survey No</t>
  </si>
  <si>
    <t>287/2</t>
  </si>
  <si>
    <t>Murbad</t>
  </si>
  <si>
    <t>Thane</t>
  </si>
  <si>
    <t>Dyandeep Nagar</t>
  </si>
  <si>
    <t>Row Houses</t>
  </si>
  <si>
    <t>Vaishya Samaj Hall</t>
  </si>
  <si>
    <t>As per RERA - 31/12/2025</t>
  </si>
  <si>
    <t>1BHK</t>
  </si>
  <si>
    <t>2BHK</t>
  </si>
  <si>
    <t>2nd, 4th &amp; 6th Floor</t>
  </si>
  <si>
    <t>Attached Terrace/ Otla area</t>
  </si>
  <si>
    <t>1RK</t>
  </si>
  <si>
    <t>Wing A, B &amp; C = Gr + 1st to 7th Floor</t>
  </si>
  <si>
    <t>Wing A, B &amp; C</t>
  </si>
  <si>
    <t>Hari Rup Appartment</t>
  </si>
  <si>
    <t>0.950KM from Murbad Bus Depot</t>
  </si>
  <si>
    <t>Saduru Krupa Building</t>
  </si>
  <si>
    <t>Internal Road</t>
  </si>
  <si>
    <t>Wing B = Gr + 1st to 7th Floor</t>
  </si>
  <si>
    <t>Wing A = Gr + 1st to 7th Floor</t>
  </si>
  <si>
    <t>Wing C = Gr + 1st to 7th Floor</t>
  </si>
  <si>
    <t>Wing A</t>
  </si>
  <si>
    <t>Wing B</t>
  </si>
  <si>
    <t>Wing C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</si>
  <si>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</si>
  <si>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3400 to 3500</t>
  </si>
  <si>
    <t xml:space="preserve">Rushikesh </t>
  </si>
  <si>
    <t>Verbal</t>
  </si>
  <si>
    <t xml:space="preserve">Recommended Rates of the Property have been revised on 19/12/2023.
</t>
  </si>
  <si>
    <t>Latitude, Longitude</t>
  </si>
  <si>
    <t>As per Layout</t>
  </si>
  <si>
    <t>19.252417,73.389361</t>
  </si>
  <si>
    <t>https://maps.app.goo.gl/SXrxzzW8v3DEN8jQ9</t>
  </si>
  <si>
    <t>Other Plot</t>
  </si>
  <si>
    <t>Hiss No.1</t>
  </si>
  <si>
    <t>4.5 M Pathway/Wing E</t>
  </si>
  <si>
    <t>Proposed 7.5 M Internal Road</t>
  </si>
  <si>
    <t xml:space="preserve">Murbad Nagarpanchayat, Murbad
</t>
  </si>
  <si>
    <t>MNP/PRV/10/2024-25</t>
  </si>
  <si>
    <t>BS/Rekhakan/BP/M. Murbad/T.
Murbad/SSTN/122</t>
  </si>
  <si>
    <t>MNP/NRV/BP/10/2024-2025</t>
  </si>
  <si>
    <t>Wing A, B &amp; C = Gr+ 1st to 7th Floor</t>
  </si>
  <si>
    <t>Approved Builtup Area of Wing A, B &amp; C (Sq.Mt)</t>
  </si>
  <si>
    <t>Ground Floor For Residential &amp; Parking</t>
  </si>
  <si>
    <t xml:space="preserve">1st, 3rd, 5th &amp; 7th Floor For Residential </t>
  </si>
  <si>
    <t>Ground Floor For Meter Room &amp; Parking</t>
  </si>
  <si>
    <t>1st, 3rd, 5th &amp; 7th Floor For Residential</t>
  </si>
  <si>
    <t>1st Floor For Residential</t>
  </si>
  <si>
    <t>2nd Floor</t>
  </si>
  <si>
    <t>2.5BHK</t>
  </si>
  <si>
    <t>3rd Floor</t>
  </si>
  <si>
    <t>4th Floor</t>
  </si>
  <si>
    <t>5th Floor</t>
  </si>
  <si>
    <t>6th Floor</t>
  </si>
  <si>
    <t>7th Floor</t>
  </si>
  <si>
    <t>We considered Gross carpet area = Net carpet + Balcony Area + Otla Area.</t>
  </si>
  <si>
    <t>Building Details Floor Wise</t>
  </si>
  <si>
    <t xml:space="preserve">Details of Residential in Building   </t>
  </si>
  <si>
    <t>All work completed. Provide OC</t>
  </si>
  <si>
    <t>Flats -119</t>
  </si>
  <si>
    <t xml:space="preserve">Approved Floor plan No. (Wing A)  </t>
  </si>
  <si>
    <t xml:space="preserve">Approved Floor plan No. (Wing B &amp; C)  </t>
  </si>
  <si>
    <t>We have updated Revised approved CC &amp; appoved plans for Wing B &amp; C on 16/05/2024</t>
  </si>
  <si>
    <t>03 Wings</t>
  </si>
  <si>
    <t>Approved Plans &amp; CC</t>
  </si>
  <si>
    <t>Earlier approved plans &amp; CC (dtd 12/01/2021) were provided of town planning thane authority, as now provided approved plans &amp; CC are of Murbad Nagarpanchayat, Murbad for B &amp; C Wings. Please check transfer authority letter.</t>
  </si>
  <si>
    <t>With ref to above remark, bank officials has sent document on whatsapp which is attached below on 06/07/2024.</t>
  </si>
  <si>
    <t>Mr. Mohit 9834959928</t>
  </si>
  <si>
    <t>Mr. Rahul 9096911385</t>
  </si>
  <si>
    <t>M.N.P/NRV/72/2025
Approved upto : Wing B = Gr + 1st to 7th Floor</t>
  </si>
  <si>
    <t>We have updated OC for Wing B (on 27/06/2025).</t>
  </si>
  <si>
    <t>60 Years After Completion</t>
  </si>
  <si>
    <t>Remark changed on basis of mail</t>
  </si>
  <si>
    <t>The builder has provided architecture letter regarding transfer of authorities for the project Techcons Basera. (Document attached below)</t>
  </si>
  <si>
    <t>Remark No. 12 Architecture Letter</t>
  </si>
  <si>
    <t>Mr. Nitesh Gaikwad 9822954320</t>
  </si>
  <si>
    <t>Wing A = All work completed. Provide OC
Wing B = All work completed. OC Received.
Wing C = Construction work is in process at the time of Visit. (Slow Speed)</t>
  </si>
  <si>
    <t>Gaurav Panchal</t>
  </si>
  <si>
    <t>Mangesh Laxman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</si>
</sst>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25" fillId="0" borderId="0" xfId="0" applyFont="1"/>
    <xf numFmtId="0" fontId="25" fillId="0" borderId="9" xfId="0" applyFont="1" applyBorder="1"/>
    <xf numFmtId="0" fontId="15" fillId="2" borderId="0" xfId="1" applyFont="1" applyFill="1" applyAlignment="1">
      <alignment horizontal="left" wrapText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9" fontId="13" fillId="0" borderId="16" xfId="1" applyNumberFormat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13" fillId="0" borderId="18" xfId="1" applyFont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6" xfId="1" applyNumberFormat="1" applyFont="1" applyBorder="1" applyAlignment="1" applyProtection="1">
      <alignment horizontal="center" vertical="center"/>
      <protection locked="0"/>
    </xf>
    <xf numFmtId="1" fontId="6" fillId="0" borderId="17" xfId="1" applyNumberFormat="1" applyFont="1" applyBorder="1" applyAlignment="1" applyProtection="1">
      <alignment horizontal="center" vertical="center"/>
      <protection locked="0"/>
    </xf>
    <xf numFmtId="1" fontId="6" fillId="0" borderId="24" xfId="1" applyNumberFormat="1" applyFont="1" applyBorder="1" applyAlignment="1" applyProtection="1">
      <alignment horizontal="center" vertical="center"/>
      <protection locked="0"/>
    </xf>
    <xf numFmtId="1" fontId="6" fillId="0" borderId="25" xfId="1" applyNumberFormat="1" applyFont="1" applyBorder="1" applyAlignment="1" applyProtection="1">
      <alignment horizontal="center" vertical="center"/>
      <protection locked="0"/>
    </xf>
    <xf numFmtId="1" fontId="6" fillId="0" borderId="18" xfId="1" applyNumberFormat="1" applyFont="1" applyBorder="1" applyAlignment="1" applyProtection="1">
      <alignment horizontal="center" vertical="center"/>
      <protection locked="0"/>
    </xf>
    <xf numFmtId="1" fontId="6" fillId="0" borderId="19" xfId="1" applyNumberFormat="1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  <xf numFmtId="20" fontId="7" fillId="0" borderId="0" xfId="1" applyNumberFormat="1" applyFont="1"/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1304DA"/>
      <color rgb="FF08DFF6"/>
      <color rgb="FFCB17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" Type="http://schemas.microsoft.com/office/2007/relationships/hdphoto" Target="../media/hdphoto1.wdp"/><Relationship Id="rId21" Type="http://schemas.openxmlformats.org/officeDocument/2006/relationships/image" Target="../media/image19.jpeg"/><Relationship Id="rId7" Type="http://schemas.openxmlformats.org/officeDocument/2006/relationships/image" Target="../media/image5.emf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29" Type="http://schemas.openxmlformats.org/officeDocument/2006/relationships/image" Target="../media/image27.jpe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5" Type="http://schemas.microsoft.com/office/2007/relationships/hdphoto" Target="../media/hdphoto2.wdp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" Type="http://schemas.openxmlformats.org/officeDocument/2006/relationships/image" Target="../media/image3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image" Target="../media/image20.pn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760637</xdr:colOff>
      <xdr:row>398</xdr:row>
      <xdr:rowOff>38201</xdr:rowOff>
    </xdr:from>
    <xdr:to>
      <xdr:col>5</xdr:col>
      <xdr:colOff>598715</xdr:colOff>
      <xdr:row>416</xdr:row>
      <xdr:rowOff>181404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2637" y="60181772"/>
          <a:ext cx="3199042" cy="381713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190500</xdr:colOff>
      <xdr:row>356</xdr:row>
      <xdr:rowOff>104656</xdr:rowOff>
    </xdr:from>
    <xdr:to>
      <xdr:col>6</xdr:col>
      <xdr:colOff>506937</xdr:colOff>
      <xdr:row>372</xdr:row>
      <xdr:rowOff>190501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r="-1214"/>
        <a:stretch/>
      </xdr:blipFill>
      <xdr:spPr>
        <a:xfrm>
          <a:off x="952500" y="54154701"/>
          <a:ext cx="4455482" cy="34109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343899</xdr:colOff>
      <xdr:row>373</xdr:row>
      <xdr:rowOff>151427</xdr:rowOff>
    </xdr:from>
    <xdr:to>
      <xdr:col>6</xdr:col>
      <xdr:colOff>304800</xdr:colOff>
      <xdr:row>395</xdr:row>
      <xdr:rowOff>121920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105899" y="69522002"/>
          <a:ext cx="4113801" cy="4371043"/>
          <a:chOff x="1122778" y="55659035"/>
          <a:chExt cx="4079756" cy="4851067"/>
        </a:xfrm>
      </xdr:grpSpPr>
      <xdr:pic>
        <xdr:nvPicPr>
          <xdr:cNvPr id="85" name="Picture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biLevel thresh="75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artisticPhotocopy/>
                    </a14:imgEffect>
                    <a14:imgEffect>
                      <a14:colorTemperature colorTemp="47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22778" y="55659035"/>
            <a:ext cx="4079756" cy="485106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 rot="21444961">
            <a:off x="1904921" y="58269718"/>
            <a:ext cx="846189" cy="29922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1">
                <a:ln>
                  <a:noFill/>
                </a:ln>
                <a:solidFill>
                  <a:srgbClr val="1304DA"/>
                </a:solidFill>
              </a:rPr>
              <a:t> Wing B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 rot="20158616">
            <a:off x="1444198" y="56866008"/>
            <a:ext cx="642451" cy="985036"/>
          </a:xfrm>
          <a:prstGeom prst="rect">
            <a:avLst/>
          </a:prstGeom>
          <a:noFill/>
          <a:ln w="28575">
            <a:solidFill>
              <a:srgbClr val="1304DA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ln>
                <a:noFill/>
              </a:ln>
            </a:endParaRPr>
          </a:p>
        </xdr:txBody>
      </xdr:sp>
      <xdr:sp macro="" textlink="">
        <xdr:nvSpPr>
          <xdr:cNvPr id="86" name="Rectangle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2654287" y="57803084"/>
            <a:ext cx="785895" cy="928816"/>
          </a:xfrm>
          <a:prstGeom prst="rect">
            <a:avLst/>
          </a:prstGeom>
          <a:noFill/>
          <a:ln w="28575">
            <a:solidFill>
              <a:srgbClr val="1304DA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ln>
                <a:noFill/>
              </a:ln>
            </a:endParaRPr>
          </a:p>
        </xdr:txBody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698764" y="57669734"/>
            <a:ext cx="931283" cy="701123"/>
          </a:xfrm>
          <a:custGeom>
            <a:avLst/>
            <a:gdLst>
              <a:gd name="connsiteX0" fmla="*/ 581025 w 962025"/>
              <a:gd name="connsiteY0" fmla="*/ 0 h 704850"/>
              <a:gd name="connsiteX1" fmla="*/ 704850 w 962025"/>
              <a:gd name="connsiteY1" fmla="*/ 190500 h 704850"/>
              <a:gd name="connsiteX2" fmla="*/ 942975 w 962025"/>
              <a:gd name="connsiteY2" fmla="*/ 190500 h 704850"/>
              <a:gd name="connsiteX3" fmla="*/ 962025 w 962025"/>
              <a:gd name="connsiteY3" fmla="*/ 676275 h 704850"/>
              <a:gd name="connsiteX4" fmla="*/ 314325 w 962025"/>
              <a:gd name="connsiteY4" fmla="*/ 704850 h 704850"/>
              <a:gd name="connsiteX5" fmla="*/ 152400 w 962025"/>
              <a:gd name="connsiteY5" fmla="*/ 561975 h 704850"/>
              <a:gd name="connsiteX6" fmla="*/ 0 w 962025"/>
              <a:gd name="connsiteY6" fmla="*/ 257175 h 704850"/>
              <a:gd name="connsiteX7" fmla="*/ 581025 w 962025"/>
              <a:gd name="connsiteY7" fmla="*/ 0 h 7048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962025" h="704850">
                <a:moveTo>
                  <a:pt x="581025" y="0"/>
                </a:moveTo>
                <a:lnTo>
                  <a:pt x="704850" y="190500"/>
                </a:lnTo>
                <a:lnTo>
                  <a:pt x="942975" y="190500"/>
                </a:lnTo>
                <a:lnTo>
                  <a:pt x="962025" y="676275"/>
                </a:lnTo>
                <a:lnTo>
                  <a:pt x="314325" y="704850"/>
                </a:lnTo>
                <a:lnTo>
                  <a:pt x="152400" y="561975"/>
                </a:lnTo>
                <a:lnTo>
                  <a:pt x="0" y="257175"/>
                </a:lnTo>
                <a:lnTo>
                  <a:pt x="581025" y="0"/>
                </a:lnTo>
                <a:close/>
              </a:path>
            </a:pathLst>
          </a:custGeom>
          <a:noFill/>
          <a:ln w="28575">
            <a:solidFill>
              <a:srgbClr val="1304DA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 rot="3858071">
            <a:off x="1755834" y="57118440"/>
            <a:ext cx="846189" cy="29922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1">
                <a:ln>
                  <a:noFill/>
                </a:ln>
                <a:solidFill>
                  <a:srgbClr val="1304DA"/>
                </a:solidFill>
              </a:rPr>
              <a:t> Wing A</a:t>
            </a:r>
          </a:p>
        </xdr:txBody>
      </xdr:sp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 rot="21444961">
            <a:off x="2716616" y="57565694"/>
            <a:ext cx="846189" cy="29922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1">
                <a:ln>
                  <a:noFill/>
                </a:ln>
                <a:solidFill>
                  <a:srgbClr val="1304DA"/>
                </a:solidFill>
              </a:rPr>
              <a:t> Wing C</a:t>
            </a:r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2803374" y="58763867"/>
            <a:ext cx="774713" cy="788090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ln>
                <a:noFill/>
              </a:ln>
            </a:endParaRPr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 rot="21444961">
            <a:off x="3437204" y="59329890"/>
            <a:ext cx="846189" cy="29922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0">
                <a:ln>
                  <a:noFill/>
                </a:ln>
                <a:solidFill>
                  <a:srgbClr val="FF0000"/>
                </a:solidFill>
              </a:rPr>
              <a:t> Wing D</a:t>
            </a:r>
          </a:p>
        </xdr:txBody>
      </xdr:sp>
      <xdr:sp macro="" textlink="">
        <xdr:nvSpPr>
          <xdr:cNvPr id="93" name="Rectangle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 rot="682598">
            <a:off x="2358716" y="56704208"/>
            <a:ext cx="1312516" cy="645706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ln>
                <a:noFill/>
              </a:ln>
            </a:endParaRPr>
          </a:p>
        </xdr:txBody>
      </xdr:sp>
      <xdr:sp macro="" textlink="">
        <xdr:nvSpPr>
          <xdr:cNvPr id="94" name="Rectangle 9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 rot="755033">
            <a:off x="2517835" y="57250955"/>
            <a:ext cx="846189" cy="29922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0">
                <a:ln>
                  <a:noFill/>
                </a:ln>
                <a:solidFill>
                  <a:srgbClr val="FF0000"/>
                </a:solidFill>
              </a:rPr>
              <a:t> Wing E</a:t>
            </a:r>
          </a:p>
        </xdr:txBody>
      </xdr:sp>
    </xdr:grpSp>
    <xdr:clientData/>
  </xdr:twoCellAnchor>
  <xdr:twoCellAnchor>
    <xdr:from>
      <xdr:col>0</xdr:col>
      <xdr:colOff>387803</xdr:colOff>
      <xdr:row>417</xdr:row>
      <xdr:rowOff>163285</xdr:rowOff>
    </xdr:from>
    <xdr:to>
      <xdr:col>7</xdr:col>
      <xdr:colOff>381000</xdr:colOff>
      <xdr:row>438</xdr:row>
      <xdr:rowOff>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387803" y="78334960"/>
          <a:ext cx="5689147" cy="4037240"/>
          <a:chOff x="387803" y="65594432"/>
          <a:chExt cx="5696991" cy="4169769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87803" y="65594432"/>
            <a:ext cx="5696991" cy="416976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304964" y="66685343"/>
            <a:ext cx="1617095" cy="1642956"/>
          </a:xfrm>
          <a:custGeom>
            <a:avLst/>
            <a:gdLst>
              <a:gd name="connsiteX0" fmla="*/ 0 w 1707173"/>
              <a:gd name="connsiteY0" fmla="*/ 227135 h 1714500"/>
              <a:gd name="connsiteX1" fmla="*/ 439615 w 1707173"/>
              <a:gd name="connsiteY1" fmla="*/ 0 h 1714500"/>
              <a:gd name="connsiteX2" fmla="*/ 762000 w 1707173"/>
              <a:gd name="connsiteY2" fmla="*/ 901212 h 1714500"/>
              <a:gd name="connsiteX3" fmla="*/ 1238250 w 1707173"/>
              <a:gd name="connsiteY3" fmla="*/ 908539 h 1714500"/>
              <a:gd name="connsiteX4" fmla="*/ 1663211 w 1707173"/>
              <a:gd name="connsiteY4" fmla="*/ 893885 h 1714500"/>
              <a:gd name="connsiteX5" fmla="*/ 1707173 w 1707173"/>
              <a:gd name="connsiteY5" fmla="*/ 1648558 h 1714500"/>
              <a:gd name="connsiteX6" fmla="*/ 1121019 w 1707173"/>
              <a:gd name="connsiteY6" fmla="*/ 1714500 h 1714500"/>
              <a:gd name="connsiteX7" fmla="*/ 1106365 w 1707173"/>
              <a:gd name="connsiteY7" fmla="*/ 1304192 h 1714500"/>
              <a:gd name="connsiteX8" fmla="*/ 556846 w 1707173"/>
              <a:gd name="connsiteY8" fmla="*/ 1333500 h 1714500"/>
              <a:gd name="connsiteX9" fmla="*/ 0 w 1707173"/>
              <a:gd name="connsiteY9" fmla="*/ 227135 h 1714500"/>
              <a:gd name="connsiteX0" fmla="*/ 0 w 1707173"/>
              <a:gd name="connsiteY0" fmla="*/ 227135 h 1714500"/>
              <a:gd name="connsiteX1" fmla="*/ 439615 w 1707173"/>
              <a:gd name="connsiteY1" fmla="*/ 0 h 1714500"/>
              <a:gd name="connsiteX2" fmla="*/ 762000 w 1707173"/>
              <a:gd name="connsiteY2" fmla="*/ 901212 h 1714500"/>
              <a:gd name="connsiteX3" fmla="*/ 1238250 w 1707173"/>
              <a:gd name="connsiteY3" fmla="*/ 908539 h 1714500"/>
              <a:gd name="connsiteX4" fmla="*/ 1663211 w 1707173"/>
              <a:gd name="connsiteY4" fmla="*/ 893885 h 1714500"/>
              <a:gd name="connsiteX5" fmla="*/ 1707173 w 1707173"/>
              <a:gd name="connsiteY5" fmla="*/ 1648558 h 1714500"/>
              <a:gd name="connsiteX6" fmla="*/ 1121019 w 1707173"/>
              <a:gd name="connsiteY6" fmla="*/ 1714500 h 1714500"/>
              <a:gd name="connsiteX7" fmla="*/ 1106365 w 1707173"/>
              <a:gd name="connsiteY7" fmla="*/ 1304192 h 1714500"/>
              <a:gd name="connsiteX8" fmla="*/ 483577 w 1707173"/>
              <a:gd name="connsiteY8" fmla="*/ 1355481 h 1714500"/>
              <a:gd name="connsiteX9" fmla="*/ 0 w 1707173"/>
              <a:gd name="connsiteY9" fmla="*/ 227135 h 1714500"/>
              <a:gd name="connsiteX0" fmla="*/ 0 w 1707173"/>
              <a:gd name="connsiteY0" fmla="*/ 168520 h 1655885"/>
              <a:gd name="connsiteX1" fmla="*/ 439615 w 1707173"/>
              <a:gd name="connsiteY1" fmla="*/ 0 h 1655885"/>
              <a:gd name="connsiteX2" fmla="*/ 762000 w 1707173"/>
              <a:gd name="connsiteY2" fmla="*/ 842597 h 1655885"/>
              <a:gd name="connsiteX3" fmla="*/ 1238250 w 1707173"/>
              <a:gd name="connsiteY3" fmla="*/ 849924 h 1655885"/>
              <a:gd name="connsiteX4" fmla="*/ 1663211 w 1707173"/>
              <a:gd name="connsiteY4" fmla="*/ 835270 h 1655885"/>
              <a:gd name="connsiteX5" fmla="*/ 1707173 w 1707173"/>
              <a:gd name="connsiteY5" fmla="*/ 1589943 h 1655885"/>
              <a:gd name="connsiteX6" fmla="*/ 1121019 w 1707173"/>
              <a:gd name="connsiteY6" fmla="*/ 1655885 h 1655885"/>
              <a:gd name="connsiteX7" fmla="*/ 1106365 w 1707173"/>
              <a:gd name="connsiteY7" fmla="*/ 1245577 h 1655885"/>
              <a:gd name="connsiteX8" fmla="*/ 483577 w 1707173"/>
              <a:gd name="connsiteY8" fmla="*/ 1296866 h 1655885"/>
              <a:gd name="connsiteX9" fmla="*/ 0 w 1707173"/>
              <a:gd name="connsiteY9" fmla="*/ 168520 h 1655885"/>
              <a:gd name="connsiteX0" fmla="*/ 0 w 1707173"/>
              <a:gd name="connsiteY0" fmla="*/ 168520 h 1611924"/>
              <a:gd name="connsiteX1" fmla="*/ 439615 w 1707173"/>
              <a:gd name="connsiteY1" fmla="*/ 0 h 1611924"/>
              <a:gd name="connsiteX2" fmla="*/ 762000 w 1707173"/>
              <a:gd name="connsiteY2" fmla="*/ 842597 h 1611924"/>
              <a:gd name="connsiteX3" fmla="*/ 1238250 w 1707173"/>
              <a:gd name="connsiteY3" fmla="*/ 849924 h 1611924"/>
              <a:gd name="connsiteX4" fmla="*/ 1663211 w 1707173"/>
              <a:gd name="connsiteY4" fmla="*/ 835270 h 1611924"/>
              <a:gd name="connsiteX5" fmla="*/ 1707173 w 1707173"/>
              <a:gd name="connsiteY5" fmla="*/ 1589943 h 1611924"/>
              <a:gd name="connsiteX6" fmla="*/ 1128346 w 1707173"/>
              <a:gd name="connsiteY6" fmla="*/ 1611924 h 1611924"/>
              <a:gd name="connsiteX7" fmla="*/ 1106365 w 1707173"/>
              <a:gd name="connsiteY7" fmla="*/ 1245577 h 1611924"/>
              <a:gd name="connsiteX8" fmla="*/ 483577 w 1707173"/>
              <a:gd name="connsiteY8" fmla="*/ 1296866 h 1611924"/>
              <a:gd name="connsiteX9" fmla="*/ 0 w 1707173"/>
              <a:gd name="connsiteY9" fmla="*/ 168520 h 1611924"/>
              <a:gd name="connsiteX0" fmla="*/ 0 w 1707173"/>
              <a:gd name="connsiteY0" fmla="*/ 168520 h 1611924"/>
              <a:gd name="connsiteX1" fmla="*/ 439615 w 1707173"/>
              <a:gd name="connsiteY1" fmla="*/ 0 h 1611924"/>
              <a:gd name="connsiteX2" fmla="*/ 762000 w 1707173"/>
              <a:gd name="connsiteY2" fmla="*/ 842597 h 1611924"/>
              <a:gd name="connsiteX3" fmla="*/ 1238250 w 1707173"/>
              <a:gd name="connsiteY3" fmla="*/ 849924 h 1611924"/>
              <a:gd name="connsiteX4" fmla="*/ 1560634 w 1707173"/>
              <a:gd name="connsiteY4" fmla="*/ 835270 h 1611924"/>
              <a:gd name="connsiteX5" fmla="*/ 1707173 w 1707173"/>
              <a:gd name="connsiteY5" fmla="*/ 1589943 h 1611924"/>
              <a:gd name="connsiteX6" fmla="*/ 1128346 w 1707173"/>
              <a:gd name="connsiteY6" fmla="*/ 1611924 h 1611924"/>
              <a:gd name="connsiteX7" fmla="*/ 1106365 w 1707173"/>
              <a:gd name="connsiteY7" fmla="*/ 1245577 h 1611924"/>
              <a:gd name="connsiteX8" fmla="*/ 483577 w 1707173"/>
              <a:gd name="connsiteY8" fmla="*/ 1296866 h 1611924"/>
              <a:gd name="connsiteX9" fmla="*/ 0 w 1707173"/>
              <a:gd name="connsiteY9" fmla="*/ 168520 h 1611924"/>
              <a:gd name="connsiteX0" fmla="*/ 0 w 1670538"/>
              <a:gd name="connsiteY0" fmla="*/ 168520 h 1611924"/>
              <a:gd name="connsiteX1" fmla="*/ 439615 w 1670538"/>
              <a:gd name="connsiteY1" fmla="*/ 0 h 1611924"/>
              <a:gd name="connsiteX2" fmla="*/ 762000 w 1670538"/>
              <a:gd name="connsiteY2" fmla="*/ 842597 h 1611924"/>
              <a:gd name="connsiteX3" fmla="*/ 1238250 w 1670538"/>
              <a:gd name="connsiteY3" fmla="*/ 849924 h 1611924"/>
              <a:gd name="connsiteX4" fmla="*/ 1560634 w 1670538"/>
              <a:gd name="connsiteY4" fmla="*/ 835270 h 1611924"/>
              <a:gd name="connsiteX5" fmla="*/ 1670538 w 1670538"/>
              <a:gd name="connsiteY5" fmla="*/ 1589943 h 1611924"/>
              <a:gd name="connsiteX6" fmla="*/ 1128346 w 1670538"/>
              <a:gd name="connsiteY6" fmla="*/ 1611924 h 1611924"/>
              <a:gd name="connsiteX7" fmla="*/ 1106365 w 1670538"/>
              <a:gd name="connsiteY7" fmla="*/ 1245577 h 1611924"/>
              <a:gd name="connsiteX8" fmla="*/ 483577 w 1670538"/>
              <a:gd name="connsiteY8" fmla="*/ 1296866 h 1611924"/>
              <a:gd name="connsiteX9" fmla="*/ 0 w 1670538"/>
              <a:gd name="connsiteY9" fmla="*/ 168520 h 1611924"/>
              <a:gd name="connsiteX0" fmla="*/ 0 w 1619250"/>
              <a:gd name="connsiteY0" fmla="*/ 168520 h 1611924"/>
              <a:gd name="connsiteX1" fmla="*/ 439615 w 1619250"/>
              <a:gd name="connsiteY1" fmla="*/ 0 h 1611924"/>
              <a:gd name="connsiteX2" fmla="*/ 762000 w 1619250"/>
              <a:gd name="connsiteY2" fmla="*/ 842597 h 1611924"/>
              <a:gd name="connsiteX3" fmla="*/ 1238250 w 1619250"/>
              <a:gd name="connsiteY3" fmla="*/ 849924 h 1611924"/>
              <a:gd name="connsiteX4" fmla="*/ 1560634 w 1619250"/>
              <a:gd name="connsiteY4" fmla="*/ 835270 h 1611924"/>
              <a:gd name="connsiteX5" fmla="*/ 1619250 w 1619250"/>
              <a:gd name="connsiteY5" fmla="*/ 1589943 h 1611924"/>
              <a:gd name="connsiteX6" fmla="*/ 1128346 w 1619250"/>
              <a:gd name="connsiteY6" fmla="*/ 1611924 h 1611924"/>
              <a:gd name="connsiteX7" fmla="*/ 1106365 w 1619250"/>
              <a:gd name="connsiteY7" fmla="*/ 1245577 h 1611924"/>
              <a:gd name="connsiteX8" fmla="*/ 483577 w 1619250"/>
              <a:gd name="connsiteY8" fmla="*/ 1296866 h 1611924"/>
              <a:gd name="connsiteX9" fmla="*/ 0 w 1619250"/>
              <a:gd name="connsiteY9" fmla="*/ 168520 h 16119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1619250" h="1611924">
                <a:moveTo>
                  <a:pt x="0" y="168520"/>
                </a:moveTo>
                <a:lnTo>
                  <a:pt x="439615" y="0"/>
                </a:lnTo>
                <a:lnTo>
                  <a:pt x="762000" y="842597"/>
                </a:lnTo>
                <a:lnTo>
                  <a:pt x="1238250" y="849924"/>
                </a:lnTo>
                <a:lnTo>
                  <a:pt x="1560634" y="835270"/>
                </a:lnTo>
                <a:lnTo>
                  <a:pt x="1619250" y="1589943"/>
                </a:lnTo>
                <a:lnTo>
                  <a:pt x="1128346" y="1611924"/>
                </a:lnTo>
                <a:lnTo>
                  <a:pt x="1106365" y="1245577"/>
                </a:lnTo>
                <a:lnTo>
                  <a:pt x="483577" y="1296866"/>
                </a:lnTo>
                <a:lnTo>
                  <a:pt x="0" y="168520"/>
                </a:lnTo>
                <a:close/>
              </a:path>
            </a:pathLst>
          </a:cu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 rot="1923463">
            <a:off x="2566147" y="67044793"/>
            <a:ext cx="1792941" cy="4594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Techcons Basera</a:t>
            </a:r>
          </a:p>
        </xdr:txBody>
      </xdr:sp>
    </xdr:grpSp>
    <xdr:clientData/>
  </xdr:twoCellAnchor>
  <xdr:twoCellAnchor>
    <xdr:from>
      <xdr:col>10</xdr:col>
      <xdr:colOff>1365251</xdr:colOff>
      <xdr:row>271</xdr:row>
      <xdr:rowOff>184150</xdr:rowOff>
    </xdr:from>
    <xdr:to>
      <xdr:col>11</xdr:col>
      <xdr:colOff>38100</xdr:colOff>
      <xdr:row>273</xdr:row>
      <xdr:rowOff>184150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H="1">
          <a:off x="10229851" y="48945800"/>
          <a:ext cx="349249" cy="393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68316</xdr:colOff>
      <xdr:row>270</xdr:row>
      <xdr:rowOff>95250</xdr:rowOff>
    </xdr:from>
    <xdr:ext cx="596574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1345916" y="48660050"/>
          <a:ext cx="596574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</a:t>
          </a:r>
          <a:r>
            <a:rPr lang="en-IN" sz="1100" b="0" cap="none" spc="0" baseline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C</a:t>
          </a:r>
          <a:endParaRPr lang="en-IN" sz="11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12</xdr:col>
      <xdr:colOff>349250</xdr:colOff>
      <xdr:row>271</xdr:row>
      <xdr:rowOff>184150</xdr:rowOff>
    </xdr:from>
    <xdr:to>
      <xdr:col>12</xdr:col>
      <xdr:colOff>685800</xdr:colOff>
      <xdr:row>274</xdr:row>
      <xdr:rowOff>76200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11626850" y="48945800"/>
          <a:ext cx="336550" cy="4826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381000</xdr:colOff>
      <xdr:row>315</xdr:row>
      <xdr:rowOff>9525</xdr:rowOff>
    </xdr:from>
    <xdr:to>
      <xdr:col>7</xdr:col>
      <xdr:colOff>188747</xdr:colOff>
      <xdr:row>353</xdr:row>
      <xdr:rowOff>103562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58654950"/>
          <a:ext cx="5503697" cy="76949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1371600</xdr:colOff>
      <xdr:row>270</xdr:row>
      <xdr:rowOff>63500</xdr:rowOff>
    </xdr:from>
    <xdr:ext cx="596574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236200" y="48768000"/>
          <a:ext cx="596574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</a:t>
          </a:r>
          <a:r>
            <a:rPr lang="en-IN" sz="1100" b="0" cap="none" spc="0" baseline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</a:t>
          </a:r>
          <a:endParaRPr lang="en-IN" sz="11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10</xdr:col>
      <xdr:colOff>1553543</xdr:colOff>
      <xdr:row>271</xdr:row>
      <xdr:rowOff>131210</xdr:rowOff>
    </xdr:from>
    <xdr:to>
      <xdr:col>10</xdr:col>
      <xdr:colOff>1669887</xdr:colOff>
      <xdr:row>273</xdr:row>
      <xdr:rowOff>101600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stCxn id="36" idx="2"/>
        </xdr:cNvCxnSpPr>
      </xdr:nvCxnSpPr>
      <xdr:spPr>
        <a:xfrm flipH="1">
          <a:off x="10418143" y="49032560"/>
          <a:ext cx="116344" cy="3640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54942</xdr:colOff>
      <xdr:row>271</xdr:row>
      <xdr:rowOff>88900</xdr:rowOff>
    </xdr:from>
    <xdr:to>
      <xdr:col>10</xdr:col>
      <xdr:colOff>279400</xdr:colOff>
      <xdr:row>273</xdr:row>
      <xdr:rowOff>31750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H="1">
          <a:off x="8919542" y="48990250"/>
          <a:ext cx="224458" cy="336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529590</xdr:colOff>
      <xdr:row>272</xdr:row>
      <xdr:rowOff>177165</xdr:rowOff>
    </xdr:from>
    <xdr:to>
      <xdr:col>15</xdr:col>
      <xdr:colOff>286033</xdr:colOff>
      <xdr:row>312</xdr:row>
      <xdr:rowOff>105457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054215" y="49345215"/>
          <a:ext cx="6414418" cy="7929292"/>
          <a:chOff x="133350" y="49977675"/>
          <a:chExt cx="6313453" cy="8327437"/>
        </a:xfrm>
      </xdr:grpSpPr>
      <xdr:pic>
        <xdr:nvPicPr>
          <xdr:cNvPr id="40" name="Picture 39" descr="https://vsjcllp.vsjadon.com/upload/insp-220680-1525.jpg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00550" y="56769000"/>
            <a:ext cx="2046253" cy="15361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20680-843.jp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90650" y="54135264"/>
            <a:ext cx="1914525" cy="25553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20680-849.jp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81375" y="54144789"/>
            <a:ext cx="1914525" cy="25553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 descr="https://vsjcllp.vsjadon.com/upload/insp-220680-871.jpg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76475" y="56769000"/>
            <a:ext cx="2046253" cy="15361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20680-874.jpg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350" y="56769000"/>
            <a:ext cx="2046253" cy="15361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247650" y="49977675"/>
            <a:ext cx="3054341" cy="4076700"/>
            <a:chOff x="247650" y="49977675"/>
            <a:chExt cx="3054341" cy="4076700"/>
          </a:xfrm>
        </xdr:grpSpPr>
        <xdr:pic>
          <xdr:nvPicPr>
            <xdr:cNvPr id="55" name="Picture 54" descr="https://vsjcllp.vsjadon.com/upload/insp-220680-862.jpg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7650" y="49977675"/>
              <a:ext cx="3054341" cy="40767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 txBox="1"/>
          </xdr:nvSpPr>
          <xdr:spPr>
            <a:xfrm>
              <a:off x="714374" y="50091974"/>
              <a:ext cx="857251" cy="40957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N" sz="1800" b="1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Wing</a:t>
              </a:r>
              <a:r>
                <a:rPr lang="en-IN" sz="1800" b="1" cap="none" spc="0" baseline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 B</a:t>
              </a:r>
              <a:endParaRPr lang="en-IN" sz="18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endParaRPr>
            </a:p>
          </xdr:txBody>
        </xdr:sp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3381375" y="49987200"/>
            <a:ext cx="3054341" cy="4076700"/>
            <a:chOff x="3381375" y="49987200"/>
            <a:chExt cx="3054341" cy="4076700"/>
          </a:xfrm>
        </xdr:grpSpPr>
        <xdr:pic>
          <xdr:nvPicPr>
            <xdr:cNvPr id="54" name="Picture 53" descr="https://vsjcllp.vsjadon.com/upload/insp-220680-861.jpg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81375" y="49987200"/>
              <a:ext cx="3054341" cy="40767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 txBox="1"/>
          </xdr:nvSpPr>
          <xdr:spPr>
            <a:xfrm>
              <a:off x="3590925" y="50063400"/>
              <a:ext cx="857251" cy="40957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N" sz="1800" b="1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Wing</a:t>
              </a:r>
              <a:r>
                <a:rPr lang="en-IN" sz="1800" b="1" cap="none" spc="0" baseline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 C</a:t>
              </a:r>
              <a:endParaRPr lang="en-IN" sz="18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endParaRPr>
            </a:p>
          </xdr:txBody>
        </xdr:sp>
      </xdr:grpSp>
    </xdr:grpSp>
    <xdr:clientData/>
  </xdr:twoCellAnchor>
  <xdr:twoCellAnchor>
    <xdr:from>
      <xdr:col>8</xdr:col>
      <xdr:colOff>487680</xdr:colOff>
      <xdr:row>273</xdr:row>
      <xdr:rowOff>169545</xdr:rowOff>
    </xdr:from>
    <xdr:to>
      <xdr:col>14</xdr:col>
      <xdr:colOff>481287</xdr:colOff>
      <xdr:row>309</xdr:row>
      <xdr:rowOff>141309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21DD20D1-DD72-8CBB-AA51-01DEDA0DD1B3}"/>
            </a:ext>
          </a:extLst>
        </xdr:cNvPr>
        <xdr:cNvGrpSpPr/>
      </xdr:nvGrpSpPr>
      <xdr:grpSpPr>
        <a:xfrm>
          <a:off x="7012305" y="49537620"/>
          <a:ext cx="5994357" cy="7172664"/>
          <a:chOff x="357525" y="209006"/>
          <a:chExt cx="6142947" cy="7105989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186786E6-3B6E-D698-B9AC-524FC0C5295C}"/>
              </a:ext>
            </a:extLst>
          </xdr:cNvPr>
          <xdr:cNvGrpSpPr/>
        </xdr:nvGrpSpPr>
        <xdr:grpSpPr>
          <a:xfrm>
            <a:off x="1421253" y="2854850"/>
            <a:ext cx="4015490" cy="2520000"/>
            <a:chOff x="1637684" y="3076918"/>
            <a:chExt cx="4015490" cy="252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C63DAD41-F992-F6EC-B7AD-9924F11668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37684" y="307691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D0E6E797-6C52-0FA8-4A0F-F4089A85AC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65143" y="307691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E78C8E67-AC59-5026-5F05-C3980128DF5D}"/>
              </a:ext>
            </a:extLst>
          </xdr:cNvPr>
          <xdr:cNvGrpSpPr/>
        </xdr:nvGrpSpPr>
        <xdr:grpSpPr>
          <a:xfrm>
            <a:off x="1957878" y="5514995"/>
            <a:ext cx="2942241" cy="1800000"/>
            <a:chOff x="2171496" y="5801088"/>
            <a:chExt cx="2942241" cy="180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B723B1EF-7EB6-5A67-E483-77B006F7CF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65143" y="580108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BF5E6B10-B925-9F68-A1DC-055FFA25C8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71496" y="5801088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7E669E77-2E23-DF37-7206-620E429F8CC8}"/>
              </a:ext>
            </a:extLst>
          </xdr:cNvPr>
          <xdr:cNvGrpSpPr/>
        </xdr:nvGrpSpPr>
        <xdr:grpSpPr>
          <a:xfrm>
            <a:off x="357525" y="209006"/>
            <a:ext cx="6142947" cy="2520000"/>
            <a:chOff x="357525" y="209006"/>
            <a:chExt cx="6142947" cy="252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77D68FB9-2255-EF66-0E06-0D05AE967C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12441" y="20900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3F5B0873-47DB-7A51-409F-FD19E91529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7525" y="20900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9D4BEA77-1A10-3F41-76DB-C81CCE6877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4983" y="20900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 editAs="oneCell">
    <xdr:from>
      <xdr:col>9</xdr:col>
      <xdr:colOff>883920</xdr:colOff>
      <xdr:row>259</xdr:row>
      <xdr:rowOff>99060</xdr:rowOff>
    </xdr:from>
    <xdr:to>
      <xdr:col>13</xdr:col>
      <xdr:colOff>369120</xdr:colOff>
      <xdr:row>271</xdr:row>
      <xdr:rowOff>123212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3AD60E-772B-5ED8-7328-2BFB11A6C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78240" y="46664880"/>
          <a:ext cx="3600000" cy="2005352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273</xdr:row>
      <xdr:rowOff>95249</xdr:rowOff>
    </xdr:from>
    <xdr:to>
      <xdr:col>7</xdr:col>
      <xdr:colOff>733425</xdr:colOff>
      <xdr:row>309</xdr:row>
      <xdr:rowOff>77474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06A750F3-CBB1-4EBD-B577-A005E95FA938}"/>
            </a:ext>
          </a:extLst>
        </xdr:cNvPr>
        <xdr:cNvGrpSpPr/>
      </xdr:nvGrpSpPr>
      <xdr:grpSpPr>
        <a:xfrm>
          <a:off x="95250" y="49463324"/>
          <a:ext cx="6334125" cy="7183125"/>
          <a:chOff x="-114300" y="420300"/>
          <a:chExt cx="7086600" cy="7554600"/>
        </a:xfrm>
      </xdr:grpSpPr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39903ACD-B2D3-4101-81A6-768C048DFA1B}"/>
              </a:ext>
            </a:extLst>
          </xdr:cNvPr>
          <xdr:cNvGrpSpPr/>
        </xdr:nvGrpSpPr>
        <xdr:grpSpPr>
          <a:xfrm>
            <a:off x="-114300" y="420300"/>
            <a:ext cx="7086600" cy="7554600"/>
            <a:chOff x="-114300" y="420300"/>
            <a:chExt cx="7086600" cy="7554600"/>
          </a:xfrm>
        </xdr:grpSpPr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098F5AFC-377E-418F-8C3C-6F514ACDCC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79691" y="420300"/>
              <a:ext cx="2292609" cy="30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772DCB88-032A-49BE-80FD-7D8415FBAE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14300" y="420300"/>
              <a:ext cx="2292609" cy="30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8" name="Picture 67">
              <a:extLst>
                <a:ext uri="{FF2B5EF4-FFF2-40B4-BE49-F238E27FC236}">
                  <a16:creationId xmlns:a16="http://schemas.microsoft.com/office/drawing/2014/main" id="{0CAEDF6F-BB60-464F-A4F3-D15D0590CF8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82695" y="420300"/>
              <a:ext cx="2292609" cy="30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9" name="Picture 68">
              <a:extLst>
                <a:ext uri="{FF2B5EF4-FFF2-40B4-BE49-F238E27FC236}">
                  <a16:creationId xmlns:a16="http://schemas.microsoft.com/office/drawing/2014/main" id="{6A436E9A-4119-45A1-A5CA-140076132F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0" y="365760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id="{65B578BD-B6C3-4F11-B590-EB030E8001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72320" y="365760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1" name="Picture 70">
              <a:extLst>
                <a:ext uri="{FF2B5EF4-FFF2-40B4-BE49-F238E27FC236}">
                  <a16:creationId xmlns:a16="http://schemas.microsoft.com/office/drawing/2014/main" id="{43F77522-9FC4-4394-8E63-5F0E70FEF6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44640" y="365760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98E583FA-D175-4EB1-A2B9-5EE62E97DC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16960" y="365760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3" name="Picture 72">
              <a:extLst>
                <a:ext uri="{FF2B5EF4-FFF2-40B4-BE49-F238E27FC236}">
                  <a16:creationId xmlns:a16="http://schemas.microsoft.com/office/drawing/2014/main" id="{B2D49621-4CD6-45B6-8C24-71A1CD8EC2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07179" y="599490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4" name="Picture 73">
              <a:extLst>
                <a:ext uri="{FF2B5EF4-FFF2-40B4-BE49-F238E27FC236}">
                  <a16:creationId xmlns:a16="http://schemas.microsoft.com/office/drawing/2014/main" id="{266CFC7A-791A-4CFE-BCE9-D98CF33B63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44640" y="599490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63" name="TextBox 30">
            <a:extLst>
              <a:ext uri="{FF2B5EF4-FFF2-40B4-BE49-F238E27FC236}">
                <a16:creationId xmlns:a16="http://schemas.microsoft.com/office/drawing/2014/main" id="{339591C4-8D20-44F2-82D6-4D17236FD65D}"/>
              </a:ext>
            </a:extLst>
          </xdr:cNvPr>
          <xdr:cNvSpPr txBox="1"/>
        </xdr:nvSpPr>
        <xdr:spPr>
          <a:xfrm>
            <a:off x="710781" y="529460"/>
            <a:ext cx="986531" cy="3934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64" name="TextBox 31">
            <a:extLst>
              <a:ext uri="{FF2B5EF4-FFF2-40B4-BE49-F238E27FC236}">
                <a16:creationId xmlns:a16="http://schemas.microsoft.com/office/drawing/2014/main" id="{3D350362-360C-41CE-8410-A80FF0D898E2}"/>
              </a:ext>
            </a:extLst>
          </xdr:cNvPr>
          <xdr:cNvSpPr txBox="1"/>
        </xdr:nvSpPr>
        <xdr:spPr>
          <a:xfrm>
            <a:off x="2965440" y="430318"/>
            <a:ext cx="970575" cy="3934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  <xdr:sp macro="" textlink="">
        <xdr:nvSpPr>
          <xdr:cNvPr id="65" name="TextBox 32">
            <a:extLst>
              <a:ext uri="{FF2B5EF4-FFF2-40B4-BE49-F238E27FC236}">
                <a16:creationId xmlns:a16="http://schemas.microsoft.com/office/drawing/2014/main" id="{7311DB8C-4493-4B55-B040-CFCD28C33DC2}"/>
              </a:ext>
            </a:extLst>
          </xdr:cNvPr>
          <xdr:cNvSpPr txBox="1"/>
        </xdr:nvSpPr>
        <xdr:spPr>
          <a:xfrm>
            <a:off x="4670487" y="557091"/>
            <a:ext cx="992023" cy="3934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C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SXrxzzW8v3DEN8jQ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98"/>
  <sheetViews>
    <sheetView tabSelected="1" showWhiteSpace="0" view="pageBreakPreview" topLeftCell="A283" zoomScaleNormal="100" zoomScaleSheetLayoutView="100" workbookViewId="0">
      <selection activeCell="I297" sqref="I297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9" customWidth="1"/>
    <col min="10" max="10" width="13.5703125" style="19" customWidth="1"/>
    <col min="11" max="11" width="24" style="19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12" ht="46.5" customHeight="1" x14ac:dyDescent="0.25">
      <c r="A1" s="168" t="s">
        <v>197</v>
      </c>
      <c r="B1" s="168"/>
      <c r="C1" s="168"/>
      <c r="D1" s="168"/>
      <c r="E1" s="168"/>
      <c r="F1" s="168"/>
      <c r="G1" s="168"/>
      <c r="H1" s="168"/>
    </row>
    <row r="2" spans="1:12" ht="16.5" customHeight="1" x14ac:dyDescent="0.25">
      <c r="A2" s="148" t="s">
        <v>0</v>
      </c>
      <c r="B2" s="148"/>
      <c r="C2" s="148"/>
      <c r="D2" s="148"/>
      <c r="E2" s="148"/>
      <c r="F2" s="148"/>
      <c r="G2" s="148"/>
      <c r="H2" s="148"/>
    </row>
    <row r="3" spans="1:12" x14ac:dyDescent="0.25">
      <c r="A3" s="95" t="s">
        <v>1</v>
      </c>
      <c r="B3" s="95"/>
      <c r="C3" s="95"/>
      <c r="D3" s="95"/>
      <c r="E3" s="95" t="str">
        <f ca="1">TEXT(TODAY(),"DD/MM/YYYY")</f>
        <v>12/09/2025</v>
      </c>
      <c r="F3" s="95"/>
      <c r="G3" s="95"/>
      <c r="H3" s="95"/>
    </row>
    <row r="4" spans="1:12" ht="15" customHeight="1" x14ac:dyDescent="0.25">
      <c r="A4" s="95" t="s">
        <v>2</v>
      </c>
      <c r="B4" s="95"/>
      <c r="C4" s="95"/>
      <c r="D4" s="95"/>
      <c r="E4" s="95" t="s">
        <v>168</v>
      </c>
      <c r="F4" s="95"/>
      <c r="G4" s="95"/>
      <c r="H4" s="95"/>
    </row>
    <row r="5" spans="1:12" x14ac:dyDescent="0.25">
      <c r="A5" s="95" t="s">
        <v>3</v>
      </c>
      <c r="B5" s="95"/>
      <c r="C5" s="95"/>
      <c r="D5" s="95"/>
      <c r="E5" s="169">
        <v>45908</v>
      </c>
      <c r="F5" s="95"/>
      <c r="G5" s="95"/>
      <c r="H5" s="95"/>
    </row>
    <row r="6" spans="1:12" ht="16.5" customHeight="1" x14ac:dyDescent="0.25">
      <c r="A6" s="95" t="s">
        <v>4</v>
      </c>
      <c r="B6" s="95"/>
      <c r="C6" s="95"/>
      <c r="D6" s="95"/>
      <c r="E6" s="95" t="s">
        <v>170</v>
      </c>
      <c r="F6" s="95"/>
      <c r="G6" s="95"/>
      <c r="H6" s="95"/>
    </row>
    <row r="7" spans="1:12" ht="15" customHeight="1" x14ac:dyDescent="0.25">
      <c r="A7" s="95" t="s">
        <v>5</v>
      </c>
      <c r="B7" s="95"/>
      <c r="C7" s="95"/>
      <c r="D7" s="95"/>
      <c r="E7" s="95" t="str">
        <f>E6</f>
        <v>Techcons Constructional Engineering Co</v>
      </c>
      <c r="F7" s="95"/>
      <c r="G7" s="95"/>
      <c r="H7" s="95"/>
    </row>
    <row r="8" spans="1:12" x14ac:dyDescent="0.25">
      <c r="A8" s="95" t="s">
        <v>6</v>
      </c>
      <c r="B8" s="95"/>
      <c r="C8" s="95"/>
      <c r="D8" s="95"/>
      <c r="E8" s="100" t="s">
        <v>171</v>
      </c>
      <c r="F8" s="100"/>
      <c r="G8" s="100"/>
      <c r="H8" s="100"/>
    </row>
    <row r="9" spans="1:12" x14ac:dyDescent="0.25">
      <c r="A9" s="95" t="s">
        <v>165</v>
      </c>
      <c r="B9" s="95"/>
      <c r="C9" s="95"/>
      <c r="D9" s="95"/>
      <c r="E9" s="95" t="s">
        <v>241</v>
      </c>
      <c r="F9" s="95"/>
      <c r="G9" s="95"/>
      <c r="H9" s="95"/>
    </row>
    <row r="10" spans="1:12" x14ac:dyDescent="0.25">
      <c r="A10" s="95" t="s">
        <v>166</v>
      </c>
      <c r="B10" s="95"/>
      <c r="C10" s="95"/>
      <c r="D10" s="95"/>
      <c r="E10" s="95" t="s">
        <v>248</v>
      </c>
      <c r="F10" s="95"/>
      <c r="G10" s="95"/>
      <c r="H10" s="95"/>
      <c r="I10" s="95" t="s">
        <v>240</v>
      </c>
      <c r="J10" s="95"/>
      <c r="K10" s="95"/>
      <c r="L10" s="95"/>
    </row>
    <row r="11" spans="1:12" x14ac:dyDescent="0.25">
      <c r="A11" s="95" t="s">
        <v>7</v>
      </c>
      <c r="B11" s="95"/>
      <c r="C11" s="95"/>
      <c r="D11" s="95"/>
      <c r="E11" s="95" t="s">
        <v>186</v>
      </c>
      <c r="F11" s="95"/>
      <c r="G11" s="95"/>
      <c r="H11" s="95"/>
      <c r="K11" s="204"/>
      <c r="L11" s="204"/>
    </row>
    <row r="12" spans="1:12" x14ac:dyDescent="0.25">
      <c r="A12" s="70" t="s">
        <v>8</v>
      </c>
      <c r="B12" s="70"/>
      <c r="C12" s="70"/>
      <c r="D12" s="70"/>
      <c r="E12" s="69" t="s">
        <v>237</v>
      </c>
      <c r="F12" s="69"/>
      <c r="G12" s="69"/>
      <c r="H12" s="69"/>
      <c r="L12" s="204"/>
    </row>
    <row r="13" spans="1:12" x14ac:dyDescent="0.25">
      <c r="A13" s="70" t="s">
        <v>9</v>
      </c>
      <c r="B13" s="70"/>
      <c r="C13" s="70"/>
      <c r="D13" s="70"/>
      <c r="E13" s="69" t="s">
        <v>169</v>
      </c>
      <c r="F13" s="95"/>
      <c r="G13" s="95"/>
      <c r="H13" s="95"/>
    </row>
    <row r="14" spans="1:12" ht="33" customHeight="1" x14ac:dyDescent="0.25">
      <c r="A14" s="166" t="s">
        <v>10</v>
      </c>
      <c r="B14" s="166"/>
      <c r="C14" s="16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Techcons Basera, Survey No.287/2, near Hari Rup Appartment, Internal Road, Dyandeep Nagar, Murbad, Murbad, Murbad, Thane - 421401.</v>
      </c>
      <c r="D14" s="166"/>
      <c r="E14" s="166"/>
      <c r="F14" s="166"/>
      <c r="G14" s="166"/>
      <c r="H14" s="166"/>
    </row>
    <row r="15" spans="1:12" x14ac:dyDescent="0.25">
      <c r="A15" s="69" t="s">
        <v>172</v>
      </c>
      <c r="B15" s="69"/>
      <c r="C15" s="69" t="s">
        <v>173</v>
      </c>
      <c r="D15" s="69"/>
      <c r="E15" s="69"/>
      <c r="F15" s="69"/>
      <c r="G15" s="69"/>
      <c r="H15" s="69"/>
    </row>
    <row r="16" spans="1:12" ht="15.75" customHeight="1" x14ac:dyDescent="0.25">
      <c r="A16" s="69" t="s">
        <v>164</v>
      </c>
      <c r="B16" s="69"/>
      <c r="C16" s="69" t="s">
        <v>176</v>
      </c>
      <c r="D16" s="69"/>
      <c r="E16" s="69"/>
      <c r="F16" s="69"/>
      <c r="G16" s="69"/>
      <c r="H16" s="69"/>
    </row>
    <row r="17" spans="1:8" ht="15.75" customHeight="1" x14ac:dyDescent="0.25">
      <c r="A17" s="166" t="s">
        <v>11</v>
      </c>
      <c r="B17" s="166"/>
      <c r="C17" s="95" t="s">
        <v>190</v>
      </c>
      <c r="D17" s="95"/>
      <c r="E17" s="166" t="s">
        <v>70</v>
      </c>
      <c r="F17" s="166"/>
      <c r="G17" s="69" t="s">
        <v>174</v>
      </c>
      <c r="H17" s="69"/>
    </row>
    <row r="18" spans="1:8" x14ac:dyDescent="0.25">
      <c r="A18" s="70" t="s">
        <v>13</v>
      </c>
      <c r="B18" s="70"/>
      <c r="C18" s="69" t="s">
        <v>174</v>
      </c>
      <c r="D18" s="69"/>
      <c r="E18" s="166" t="s">
        <v>12</v>
      </c>
      <c r="F18" s="166"/>
      <c r="G18" s="167" t="s">
        <v>175</v>
      </c>
      <c r="H18" s="167"/>
    </row>
    <row r="19" spans="1:8" x14ac:dyDescent="0.25">
      <c r="A19" s="70" t="s">
        <v>71</v>
      </c>
      <c r="B19" s="70"/>
      <c r="C19" s="69" t="s">
        <v>174</v>
      </c>
      <c r="D19" s="69"/>
      <c r="E19" s="166" t="s">
        <v>14</v>
      </c>
      <c r="F19" s="166"/>
      <c r="G19" s="69">
        <v>421401</v>
      </c>
      <c r="H19" s="69"/>
    </row>
    <row r="20" spans="1:8" ht="32.25" customHeight="1" x14ac:dyDescent="0.25">
      <c r="A20" s="70" t="s">
        <v>121</v>
      </c>
      <c r="B20" s="70"/>
      <c r="C20" s="69" t="s">
        <v>187</v>
      </c>
      <c r="D20" s="69"/>
      <c r="E20" s="166" t="s">
        <v>15</v>
      </c>
      <c r="F20" s="166"/>
      <c r="G20" s="69" t="s">
        <v>188</v>
      </c>
      <c r="H20" s="69"/>
    </row>
    <row r="21" spans="1:8" ht="15" customHeight="1" x14ac:dyDescent="0.25">
      <c r="A21" s="166" t="s">
        <v>74</v>
      </c>
      <c r="B21" s="166"/>
      <c r="C21" s="166"/>
      <c r="D21" s="166"/>
      <c r="E21" s="95" t="s">
        <v>16</v>
      </c>
      <c r="F21" s="95"/>
      <c r="G21" s="95"/>
      <c r="H21" s="95"/>
    </row>
    <row r="22" spans="1:8" ht="18.75" customHeight="1" x14ac:dyDescent="0.25">
      <c r="A22" s="166"/>
      <c r="B22" s="166"/>
      <c r="C22" s="166"/>
      <c r="D22" s="166"/>
      <c r="E22" s="95"/>
      <c r="F22" s="95"/>
      <c r="G22" s="95"/>
      <c r="H22" s="95"/>
    </row>
    <row r="23" spans="1:8" ht="15" customHeight="1" x14ac:dyDescent="0.25">
      <c r="A23" s="166" t="s">
        <v>17</v>
      </c>
      <c r="B23" s="166"/>
      <c r="C23" s="166"/>
      <c r="D23" s="166"/>
      <c r="E23" s="69" t="s">
        <v>18</v>
      </c>
      <c r="F23" s="69"/>
      <c r="G23" s="69"/>
      <c r="H23" s="69"/>
    </row>
    <row r="24" spans="1:8" ht="15" customHeight="1" x14ac:dyDescent="0.25">
      <c r="A24" s="70" t="s">
        <v>19</v>
      </c>
      <c r="B24" s="70"/>
      <c r="C24" s="70"/>
      <c r="D24" s="70"/>
      <c r="E24" s="69" t="str">
        <f>IF(AND(G18="Mumbai"),"Upper Class","Middle Class")</f>
        <v>Middle Class</v>
      </c>
      <c r="F24" s="69"/>
      <c r="G24" s="69"/>
      <c r="H24" s="69"/>
    </row>
    <row r="25" spans="1:8" x14ac:dyDescent="0.25">
      <c r="A25" s="70" t="s">
        <v>20</v>
      </c>
      <c r="B25" s="70"/>
      <c r="C25" s="70"/>
      <c r="D25" s="70"/>
      <c r="E25" s="69" t="s">
        <v>21</v>
      </c>
      <c r="F25" s="69"/>
      <c r="G25" s="69"/>
      <c r="H25" s="69"/>
    </row>
    <row r="26" spans="1:8" ht="15.75" customHeight="1" x14ac:dyDescent="0.25">
      <c r="A26" s="70" t="s">
        <v>22</v>
      </c>
      <c r="B26" s="70"/>
      <c r="C26" s="70"/>
      <c r="D26" s="70"/>
      <c r="E26" s="69" t="str">
        <f>IF(AND(G18="Mumbai"),"Developed","Developing")</f>
        <v>Developing</v>
      </c>
      <c r="F26" s="69"/>
      <c r="G26" s="69"/>
      <c r="H26" s="69"/>
    </row>
    <row r="27" spans="1:8" x14ac:dyDescent="0.25">
      <c r="A27" s="70" t="s">
        <v>23</v>
      </c>
      <c r="B27" s="70"/>
      <c r="C27" s="70"/>
      <c r="D27" s="70"/>
      <c r="E27" s="69" t="s">
        <v>24</v>
      </c>
      <c r="F27" s="69"/>
      <c r="G27" s="69"/>
      <c r="H27" s="69"/>
    </row>
    <row r="28" spans="1:8" ht="15.75" customHeight="1" x14ac:dyDescent="0.25">
      <c r="A28" s="70" t="s">
        <v>79</v>
      </c>
      <c r="B28" s="70"/>
      <c r="C28" s="70"/>
      <c r="D28" s="70"/>
      <c r="E28" s="69" t="s">
        <v>80</v>
      </c>
      <c r="F28" s="69"/>
      <c r="G28" s="69"/>
      <c r="H28" s="69"/>
    </row>
    <row r="29" spans="1:8" ht="15" customHeight="1" x14ac:dyDescent="0.25">
      <c r="A29" s="70" t="s">
        <v>32</v>
      </c>
      <c r="B29" s="70"/>
      <c r="C29" s="70"/>
      <c r="D29" s="70"/>
      <c r="E29" s="6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69"/>
      <c r="G29" s="69"/>
      <c r="H29" s="69"/>
    </row>
    <row r="30" spans="1:8" ht="15.75" customHeight="1" x14ac:dyDescent="0.25">
      <c r="A30" s="70" t="s">
        <v>90</v>
      </c>
      <c r="B30" s="70"/>
      <c r="C30" s="70"/>
      <c r="D30" s="70"/>
      <c r="E30" s="69" t="s">
        <v>33</v>
      </c>
      <c r="F30" s="69"/>
      <c r="G30" s="69"/>
      <c r="H30" s="69"/>
    </row>
    <row r="31" spans="1:8" s="20" customFormat="1" x14ac:dyDescent="0.25">
      <c r="A31" s="165" t="s">
        <v>91</v>
      </c>
      <c r="B31" s="165"/>
      <c r="C31" s="164" t="s">
        <v>203</v>
      </c>
      <c r="D31" s="164"/>
      <c r="E31" s="164"/>
      <c r="F31" s="164" t="s">
        <v>30</v>
      </c>
      <c r="G31" s="164"/>
      <c r="H31" s="164"/>
    </row>
    <row r="32" spans="1:8" s="20" customFormat="1" x14ac:dyDescent="0.25">
      <c r="A32" s="153" t="s">
        <v>25</v>
      </c>
      <c r="B32" s="153" t="s">
        <v>29</v>
      </c>
      <c r="C32" s="154" t="s">
        <v>209</v>
      </c>
      <c r="D32" s="154"/>
      <c r="E32" s="154"/>
      <c r="F32" s="154" t="s">
        <v>177</v>
      </c>
      <c r="G32" s="154"/>
      <c r="H32" s="154"/>
    </row>
    <row r="33" spans="1:8" x14ac:dyDescent="0.25">
      <c r="A33" s="153" t="s">
        <v>26</v>
      </c>
      <c r="B33" s="153" t="s">
        <v>29</v>
      </c>
      <c r="C33" s="154" t="s">
        <v>207</v>
      </c>
      <c r="D33" s="154"/>
      <c r="E33" s="154"/>
      <c r="F33" s="154" t="s">
        <v>189</v>
      </c>
      <c r="G33" s="154"/>
      <c r="H33" s="154"/>
    </row>
    <row r="34" spans="1:8" s="20" customFormat="1" x14ac:dyDescent="0.25">
      <c r="A34" s="153" t="s">
        <v>28</v>
      </c>
      <c r="B34" s="153" t="s">
        <v>29</v>
      </c>
      <c r="C34" s="154" t="s">
        <v>208</v>
      </c>
      <c r="D34" s="154"/>
      <c r="E34" s="154"/>
      <c r="F34" s="154" t="s">
        <v>190</v>
      </c>
      <c r="G34" s="154"/>
      <c r="H34" s="154"/>
    </row>
    <row r="35" spans="1:8" x14ac:dyDescent="0.25">
      <c r="A35" s="153" t="s">
        <v>27</v>
      </c>
      <c r="B35" s="153" t="s">
        <v>29</v>
      </c>
      <c r="C35" s="154" t="s">
        <v>206</v>
      </c>
      <c r="D35" s="154"/>
      <c r="E35" s="154"/>
      <c r="F35" s="154" t="s">
        <v>178</v>
      </c>
      <c r="G35" s="154"/>
      <c r="H35" s="154"/>
    </row>
    <row r="36" spans="1:8" x14ac:dyDescent="0.25">
      <c r="A36" s="70" t="s">
        <v>31</v>
      </c>
      <c r="B36" s="70"/>
      <c r="C36" s="70"/>
      <c r="D36" s="70"/>
      <c r="E36" s="70"/>
      <c r="F36" s="70"/>
      <c r="G36" s="70"/>
      <c r="H36" s="70"/>
    </row>
    <row r="37" spans="1:8" ht="15.75" customHeight="1" x14ac:dyDescent="0.25">
      <c r="A37" s="155" t="s">
        <v>202</v>
      </c>
      <c r="B37" s="155"/>
      <c r="C37" s="161" t="s">
        <v>204</v>
      </c>
      <c r="D37" s="162"/>
      <c r="E37" s="162"/>
      <c r="F37" s="162"/>
      <c r="G37" s="162"/>
      <c r="H37" s="163"/>
    </row>
    <row r="38" spans="1:8" x14ac:dyDescent="0.25">
      <c r="A38" s="155" t="s">
        <v>163</v>
      </c>
      <c r="B38" s="155"/>
      <c r="C38" s="68" t="s">
        <v>205</v>
      </c>
      <c r="D38" s="69"/>
      <c r="E38" s="69"/>
      <c r="F38" s="69"/>
      <c r="G38" s="69"/>
      <c r="H38" s="69"/>
    </row>
    <row r="39" spans="1:8" x14ac:dyDescent="0.25">
      <c r="A39" s="155" t="s">
        <v>34</v>
      </c>
      <c r="B39" s="155"/>
      <c r="C39" s="155"/>
      <c r="D39" s="155"/>
      <c r="E39" s="155"/>
      <c r="F39" s="155"/>
      <c r="G39" s="155"/>
      <c r="H39" s="155"/>
    </row>
    <row r="40" spans="1:8" x14ac:dyDescent="0.25">
      <c r="A40" s="70" t="s">
        <v>35</v>
      </c>
      <c r="B40" s="70"/>
      <c r="C40" s="70"/>
      <c r="D40" s="70"/>
      <c r="E40" s="71">
        <v>4800</v>
      </c>
      <c r="F40" s="71"/>
      <c r="G40" s="71"/>
      <c r="H40" s="71"/>
    </row>
    <row r="41" spans="1:8" x14ac:dyDescent="0.25">
      <c r="A41" s="70" t="s">
        <v>36</v>
      </c>
      <c r="B41" s="70"/>
      <c r="C41" s="70"/>
      <c r="D41" s="70"/>
      <c r="E41" s="157">
        <f>5280/E40</f>
        <v>1.1000000000000001</v>
      </c>
      <c r="F41" s="157"/>
      <c r="G41" s="157"/>
      <c r="H41" s="157"/>
    </row>
    <row r="42" spans="1:8" x14ac:dyDescent="0.25">
      <c r="A42" s="70" t="s">
        <v>37</v>
      </c>
      <c r="B42" s="70"/>
      <c r="C42" s="70"/>
      <c r="D42" s="70"/>
      <c r="E42" s="157">
        <f>E44/E40-E41</f>
        <v>1.2559916666666666</v>
      </c>
      <c r="F42" s="157"/>
      <c r="G42" s="157"/>
      <c r="H42" s="157"/>
    </row>
    <row r="43" spans="1:8" x14ac:dyDescent="0.25">
      <c r="A43" s="70" t="s">
        <v>38</v>
      </c>
      <c r="B43" s="70"/>
      <c r="C43" s="70"/>
      <c r="D43" s="70"/>
      <c r="E43" s="157">
        <f>E41+E42</f>
        <v>2.3559916666666667</v>
      </c>
      <c r="F43" s="157"/>
      <c r="G43" s="157"/>
      <c r="H43" s="157"/>
    </row>
    <row r="44" spans="1:8" x14ac:dyDescent="0.25">
      <c r="A44" s="70" t="s">
        <v>89</v>
      </c>
      <c r="B44" s="70"/>
      <c r="C44" s="70"/>
      <c r="D44" s="70"/>
      <c r="E44" s="158">
        <v>11308.76</v>
      </c>
      <c r="F44" s="158"/>
      <c r="G44" s="158"/>
      <c r="H44" s="158"/>
    </row>
    <row r="45" spans="1:8" x14ac:dyDescent="0.25">
      <c r="A45" s="95" t="s">
        <v>39</v>
      </c>
      <c r="B45" s="95"/>
      <c r="C45" s="95"/>
      <c r="D45" s="95"/>
      <c r="E45" s="95" t="s">
        <v>236</v>
      </c>
      <c r="F45" s="95"/>
      <c r="G45" s="95"/>
      <c r="H45" s="95"/>
    </row>
    <row r="46" spans="1:8" x14ac:dyDescent="0.25">
      <c r="A46" s="155" t="s">
        <v>40</v>
      </c>
      <c r="B46" s="155"/>
      <c r="C46" s="155"/>
      <c r="D46" s="155"/>
      <c r="E46" s="155"/>
      <c r="F46" s="155"/>
      <c r="G46" s="155"/>
      <c r="H46" s="155"/>
    </row>
    <row r="47" spans="1:8" ht="33.75" customHeight="1" x14ac:dyDescent="0.25">
      <c r="A47" s="118" t="s">
        <v>151</v>
      </c>
      <c r="B47" s="76"/>
      <c r="C47" s="119" t="s">
        <v>210</v>
      </c>
      <c r="D47" s="120"/>
      <c r="E47" s="120"/>
      <c r="F47" s="120"/>
      <c r="G47" s="120"/>
      <c r="H47" s="121"/>
    </row>
    <row r="48" spans="1:8" x14ac:dyDescent="0.25">
      <c r="A48" s="118" t="s">
        <v>41</v>
      </c>
      <c r="B48" s="76"/>
      <c r="C48" s="118" t="s">
        <v>211</v>
      </c>
      <c r="D48" s="186"/>
      <c r="E48" s="76"/>
      <c r="F48" s="18" t="s">
        <v>42</v>
      </c>
      <c r="G48" s="75">
        <v>45405</v>
      </c>
      <c r="H48" s="76"/>
    </row>
    <row r="49" spans="1:14" ht="30.75" customHeight="1" x14ac:dyDescent="0.25">
      <c r="A49" s="118" t="s">
        <v>233</v>
      </c>
      <c r="B49" s="76"/>
      <c r="C49" s="118" t="s">
        <v>212</v>
      </c>
      <c r="D49" s="186"/>
      <c r="E49" s="76"/>
      <c r="F49" s="18" t="s">
        <v>42</v>
      </c>
      <c r="G49" s="75">
        <v>44208</v>
      </c>
      <c r="H49" s="76"/>
    </row>
    <row r="50" spans="1:14" ht="30.75" customHeight="1" x14ac:dyDescent="0.25">
      <c r="A50" s="118" t="s">
        <v>234</v>
      </c>
      <c r="B50" s="76"/>
      <c r="C50" s="118" t="str">
        <f>C48</f>
        <v>MNP/PRV/10/2024-25</v>
      </c>
      <c r="D50" s="186"/>
      <c r="E50" s="76"/>
      <c r="F50" s="18" t="s">
        <v>42</v>
      </c>
      <c r="G50" s="75">
        <f>G48</f>
        <v>45405</v>
      </c>
      <c r="H50" s="76"/>
    </row>
    <row r="51" spans="1:14" s="21" customFormat="1" x14ac:dyDescent="0.25">
      <c r="A51" s="192" t="s">
        <v>154</v>
      </c>
      <c r="B51" s="193"/>
      <c r="C51" s="118" t="s">
        <v>213</v>
      </c>
      <c r="D51" s="186"/>
      <c r="E51" s="76"/>
      <c r="F51" s="18" t="s">
        <v>42</v>
      </c>
      <c r="G51" s="75">
        <v>45405</v>
      </c>
      <c r="H51" s="76"/>
    </row>
    <row r="52" spans="1:14" s="21" customFormat="1" x14ac:dyDescent="0.25">
      <c r="A52" s="194"/>
      <c r="B52" s="195"/>
      <c r="C52" s="118" t="s">
        <v>214</v>
      </c>
      <c r="D52" s="186"/>
      <c r="E52" s="186"/>
      <c r="F52" s="186"/>
      <c r="G52" s="186"/>
      <c r="H52" s="76"/>
    </row>
    <row r="53" spans="1:14" ht="49.15" customHeight="1" x14ac:dyDescent="0.25">
      <c r="A53" s="187" t="s">
        <v>43</v>
      </c>
      <c r="B53" s="188"/>
      <c r="C53" s="187" t="s">
        <v>242</v>
      </c>
      <c r="D53" s="189"/>
      <c r="E53" s="188"/>
      <c r="F53" s="41" t="s">
        <v>42</v>
      </c>
      <c r="G53" s="190">
        <v>45783</v>
      </c>
      <c r="H53" s="191"/>
    </row>
    <row r="54" spans="1:14" x14ac:dyDescent="0.25">
      <c r="A54" s="176" t="s">
        <v>45</v>
      </c>
      <c r="B54" s="176"/>
      <c r="C54" s="176"/>
      <c r="D54" s="176"/>
      <c r="E54" s="176"/>
      <c r="F54" s="176"/>
      <c r="G54" s="176"/>
      <c r="H54" s="176"/>
    </row>
    <row r="55" spans="1:14" ht="34.5" customHeight="1" x14ac:dyDescent="0.25">
      <c r="A55" s="166" t="s">
        <v>215</v>
      </c>
      <c r="B55" s="166"/>
      <c r="C55" s="166"/>
      <c r="D55" s="70">
        <f>2345.04+1890.54+2300.68</f>
        <v>6536.26</v>
      </c>
      <c r="E55" s="70"/>
      <c r="F55" s="70"/>
      <c r="G55" s="70"/>
      <c r="H55" s="70"/>
    </row>
    <row r="56" spans="1:14" x14ac:dyDescent="0.25">
      <c r="A56" s="69" t="s">
        <v>46</v>
      </c>
      <c r="B56" s="95"/>
      <c r="C56" s="95"/>
      <c r="D56" s="181" t="s">
        <v>232</v>
      </c>
      <c r="E56" s="181"/>
      <c r="F56" s="181"/>
      <c r="G56" s="181"/>
      <c r="H56" s="181"/>
      <c r="I56" s="22"/>
    </row>
    <row r="57" spans="1:14" x14ac:dyDescent="0.25">
      <c r="A57" s="72" t="s">
        <v>47</v>
      </c>
      <c r="B57" s="73"/>
      <c r="C57" s="74"/>
      <c r="D57" s="159" t="s">
        <v>185</v>
      </c>
      <c r="E57" s="160"/>
      <c r="F57" s="160"/>
      <c r="G57" s="160"/>
      <c r="H57" s="160"/>
    </row>
    <row r="58" spans="1:14" ht="15.75" customHeight="1" x14ac:dyDescent="0.25">
      <c r="A58" s="69" t="s">
        <v>87</v>
      </c>
      <c r="B58" s="69"/>
      <c r="C58" s="69"/>
      <c r="D58" s="95" t="s">
        <v>192</v>
      </c>
      <c r="E58" s="95"/>
      <c r="F58" s="95"/>
      <c r="G58" s="95"/>
      <c r="H58" s="95"/>
    </row>
    <row r="59" spans="1:14" ht="15.75" customHeight="1" x14ac:dyDescent="0.25">
      <c r="A59" s="69"/>
      <c r="B59" s="69"/>
      <c r="C59" s="69"/>
      <c r="D59" s="95" t="s">
        <v>191</v>
      </c>
      <c r="E59" s="95"/>
      <c r="F59" s="95"/>
      <c r="G59" s="95"/>
      <c r="H59" s="95"/>
    </row>
    <row r="60" spans="1:14" ht="15.75" customHeight="1" x14ac:dyDescent="0.25">
      <c r="A60" s="69"/>
      <c r="B60" s="69"/>
      <c r="C60" s="69"/>
      <c r="D60" s="95" t="s">
        <v>193</v>
      </c>
      <c r="E60" s="95"/>
      <c r="F60" s="95"/>
      <c r="G60" s="95"/>
      <c r="H60" s="95"/>
    </row>
    <row r="61" spans="1:14" ht="15.75" customHeight="1" x14ac:dyDescent="0.25">
      <c r="A61" s="70" t="s">
        <v>44</v>
      </c>
      <c r="B61" s="70"/>
      <c r="C61" s="70"/>
      <c r="D61" s="69" t="s">
        <v>179</v>
      </c>
      <c r="E61" s="69"/>
      <c r="F61" s="69"/>
      <c r="G61" s="69"/>
      <c r="H61" s="69"/>
      <c r="J61" s="23"/>
      <c r="K61" s="22"/>
      <c r="N61" s="22"/>
    </row>
    <row r="62" spans="1:14" ht="15.75" customHeight="1" x14ac:dyDescent="0.25">
      <c r="A62" s="70" t="s">
        <v>85</v>
      </c>
      <c r="B62" s="70"/>
      <c r="C62" s="70"/>
      <c r="D62" s="156" t="s">
        <v>244</v>
      </c>
      <c r="E62" s="156"/>
      <c r="F62" s="156"/>
      <c r="G62" s="156"/>
      <c r="H62" s="156"/>
      <c r="N62" s="22"/>
    </row>
    <row r="63" spans="1:14" ht="15.75" customHeight="1" x14ac:dyDescent="0.25">
      <c r="A63" s="70" t="s">
        <v>86</v>
      </c>
      <c r="B63" s="70"/>
      <c r="C63" s="70"/>
      <c r="D63" s="166" t="s">
        <v>24</v>
      </c>
      <c r="E63" s="166"/>
      <c r="F63" s="166"/>
      <c r="G63" s="166"/>
      <c r="H63" s="166"/>
      <c r="J63" s="24"/>
      <c r="K63" s="24"/>
    </row>
    <row r="64" spans="1:14" ht="15" hidden="1" customHeight="1" x14ac:dyDescent="0.25">
      <c r="A64" s="70" t="s">
        <v>72</v>
      </c>
      <c r="B64" s="70"/>
      <c r="C64" s="70"/>
      <c r="D64" s="69" t="s">
        <v>147</v>
      </c>
      <c r="E64" s="166"/>
      <c r="F64" s="166"/>
      <c r="G64" s="166"/>
      <c r="H64" s="166"/>
    </row>
    <row r="65" spans="1:14" x14ac:dyDescent="0.25">
      <c r="A65" s="166" t="s">
        <v>148</v>
      </c>
      <c r="B65" s="166"/>
      <c r="C65" s="166"/>
      <c r="D65" s="166" t="s">
        <v>29</v>
      </c>
      <c r="E65" s="166"/>
      <c r="F65" s="166"/>
      <c r="G65" s="166"/>
      <c r="H65" s="166"/>
      <c r="I65" s="25"/>
      <c r="J65" s="25"/>
      <c r="K65" s="25"/>
      <c r="L65" s="25"/>
      <c r="M65" s="25"/>
      <c r="N65" s="25"/>
    </row>
    <row r="66" spans="1:14" ht="15.75" customHeight="1" x14ac:dyDescent="0.25">
      <c r="A66" s="184" t="s">
        <v>84</v>
      </c>
      <c r="B66" s="184"/>
      <c r="C66" s="184"/>
      <c r="D66" s="159" t="str">
        <f ca="1">(IF(G118&gt;95%,"Nothing",IF(G118&gt;0%,"Cement, Aggregate, Steel, etc",IF(G118=0%,"Work not yet Started"))))</f>
        <v>Cement, Aggregate, Steel, etc</v>
      </c>
      <c r="E66" s="159"/>
      <c r="F66" s="159"/>
      <c r="G66" s="159"/>
      <c r="H66" s="159"/>
      <c r="J66" s="24"/>
    </row>
    <row r="67" spans="1:14" ht="33.75" customHeight="1" thickBot="1" x14ac:dyDescent="0.3">
      <c r="A67" s="185" t="s">
        <v>115</v>
      </c>
      <c r="B67" s="185"/>
      <c r="C67" s="185"/>
      <c r="D67" s="159" t="str">
        <f ca="1">(IF(D66="Nothing","Yes",IF(D66="Cement, Aggregate, Steel, etc","Under Construction",IF(D66="Work not yet Started","Work not yet Started"))))</f>
        <v>Under Construction</v>
      </c>
      <c r="E67" s="159"/>
      <c r="F67" s="159" t="str">
        <f ca="1">(IF(D66="Nothing","Yes",IF(D66="Cement, Aggregate, Steel, etc","Under Construction",IF(D66="Work not yet Started","Work not yet Started"))))</f>
        <v>Under Construction</v>
      </c>
      <c r="G67" s="159"/>
      <c r="H67" s="159"/>
    </row>
    <row r="68" spans="1:14" ht="15.75" customHeight="1" x14ac:dyDescent="0.25">
      <c r="A68" s="137" t="s">
        <v>139</v>
      </c>
      <c r="B68" s="138"/>
      <c r="C68" s="139" t="s">
        <v>192</v>
      </c>
      <c r="D68" s="140"/>
      <c r="E68" s="140"/>
      <c r="F68" s="140"/>
      <c r="G68" s="140"/>
      <c r="H68" s="141"/>
      <c r="I68" s="44" t="str">
        <f ca="1">IF(D83=100%,"All work Completed. Possession granted to the Building.",IF(D82=100%,"All work Completed, Waiting for OC",I69&amp;""&amp;I70&amp;""&amp;J69&amp;""&amp;J68&amp;" "&amp;J70))</f>
        <v>All work Completed. Possession granted to the Building.</v>
      </c>
      <c r="J68" s="45" t="str">
        <f ca="1">(IF(C76=(D69+F69+H69),"",IF(C76&gt;0,", RCC upto "&amp;C76&amp;" Slab","")))&amp;(IF(C77=H69,"",IF(C77&gt;0,", Brickwork upto "&amp;C77&amp;" Floor","")))&amp;(IF(C78=H69,"",IF(C78&gt;0,", Internal Plaster upto "&amp;C78&amp;" Floor","")))&amp;(IF(C79=H69,"",IF(C79&gt;0,", External Plaster upto "&amp;C79&amp;" Floor","")))&amp;(IF(C80=H69,"",IF(C80&gt;0,", Flooring upto "&amp;C80&amp;" Floor","")))&amp;(IF(C81=H69,"",IF(C81&gt;0,", Painting upto "&amp;C81&amp;" Floor","")))&amp;(IF(C82=H69,"",IF(C82&gt;0,", Finishing upto "&amp;C82&amp;" Floor","")))&amp;(IF(C83=H69,"",IF(C83&gt;0,", Possession upto "&amp;C83&amp;" Floor","")))</f>
        <v/>
      </c>
    </row>
    <row r="69" spans="1:14" x14ac:dyDescent="0.25">
      <c r="A69" s="16" t="s">
        <v>141</v>
      </c>
      <c r="B69" s="49">
        <v>0</v>
      </c>
      <c r="C69" s="49" t="s">
        <v>69</v>
      </c>
      <c r="D69" s="49">
        <v>1</v>
      </c>
      <c r="E69" s="49" t="s">
        <v>68</v>
      </c>
      <c r="F69" s="49">
        <v>0</v>
      </c>
      <c r="G69" s="49" t="s">
        <v>78</v>
      </c>
      <c r="H69" s="17">
        <f ca="1">--TRIM(RIGHT(SUBSTITUTE(LEFT(C68,_xlfn.AGGREGATE(16,6,FIND({0,1,2,3,4,5,6,7,8,9},C68,ROW(INDIRECT("1:"&amp;LEN(C68)))),1))," ",REPT(" ",LEN(C68))),LEN(C68)))</f>
        <v>7</v>
      </c>
      <c r="I69" s="46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Plaster, External Plaster, Flooring, Painting, Building common Amenities</v>
      </c>
      <c r="J69" s="47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0" spans="1:14" x14ac:dyDescent="0.25">
      <c r="A70" s="99" t="s">
        <v>88</v>
      </c>
      <c r="B70" s="100"/>
      <c r="C70" s="101" t="s">
        <v>231</v>
      </c>
      <c r="D70" s="101"/>
      <c r="E70" s="101"/>
      <c r="F70" s="101"/>
      <c r="G70" s="101"/>
      <c r="H70" s="102"/>
      <c r="I70" s="46" t="str">
        <f ca="1">IF(I69&lt;&gt;""," Completed","")</f>
        <v xml:space="preserve"> Completed</v>
      </c>
      <c r="J70" s="47" t="str">
        <f ca="1">IF(J68&lt;&gt;"","Completed","")</f>
        <v/>
      </c>
    </row>
    <row r="71" spans="1:14" hidden="1" x14ac:dyDescent="0.25">
      <c r="A71" s="77" t="s">
        <v>83</v>
      </c>
      <c r="B71" s="78"/>
      <c r="C71" s="81">
        <v>1</v>
      </c>
      <c r="D71" s="82"/>
      <c r="E71" s="85" t="s">
        <v>82</v>
      </c>
      <c r="F71" s="82"/>
      <c r="G71" s="81">
        <v>1</v>
      </c>
      <c r="H71" s="82"/>
      <c r="I71" s="56"/>
      <c r="J71" s="57"/>
    </row>
    <row r="72" spans="1:14" hidden="1" x14ac:dyDescent="0.25">
      <c r="A72" s="79"/>
      <c r="B72" s="80"/>
      <c r="C72" s="83"/>
      <c r="D72" s="84"/>
      <c r="E72" s="83"/>
      <c r="F72" s="84"/>
      <c r="G72" s="83"/>
      <c r="H72" s="84"/>
      <c r="I72" s="56"/>
      <c r="J72" s="57"/>
    </row>
    <row r="73" spans="1:14" ht="15.75" customHeight="1" x14ac:dyDescent="0.25">
      <c r="A73" s="86" t="s">
        <v>48</v>
      </c>
      <c r="B73" s="87"/>
      <c r="C73" s="50" t="s">
        <v>138</v>
      </c>
      <c r="D73" s="50" t="s">
        <v>81</v>
      </c>
      <c r="E73" s="87" t="s">
        <v>83</v>
      </c>
      <c r="F73" s="87"/>
      <c r="G73" s="87" t="s">
        <v>82</v>
      </c>
      <c r="H73" s="98"/>
      <c r="I73" s="14" t="s">
        <v>140</v>
      </c>
      <c r="J73" s="26">
        <f ca="1">H69*25%</f>
        <v>1.75</v>
      </c>
    </row>
    <row r="74" spans="1:14" x14ac:dyDescent="0.25">
      <c r="A74" s="86" t="s">
        <v>127</v>
      </c>
      <c r="B74" s="87"/>
      <c r="C74" s="50">
        <f ca="1">J75</f>
        <v>7</v>
      </c>
      <c r="D74" s="51">
        <f ca="1">((100/H69)*C74)/100</f>
        <v>1</v>
      </c>
      <c r="E74" s="88">
        <f ca="1">(((C75/H69*10)+(40/(D69+F69+H69)*C76)+(7.5/(H69)*C77)+(7.5/(H69)*C78)+(10/H69*C79)+(10/H69*C80)+(5/H69*C81)+(5/H69*C82)+(5/H69*C83))/100)</f>
        <v>1</v>
      </c>
      <c r="F74" s="131"/>
      <c r="G74" s="88">
        <f ca="1">((((C74/H69)*20)+((C75/H69)*25)+(30/(H69+F69+D69)*C76)+(5/H69*C77)+(5/H69*C78)+(5/H69*C79)+(5/H69*C80)+(0/H69*C81)+(0/H69*C82)+(5/H69*C83))/100)</f>
        <v>1</v>
      </c>
      <c r="H74" s="89"/>
      <c r="I74" s="14" t="s">
        <v>98</v>
      </c>
      <c r="J74" s="27">
        <f ca="1">H69*50%</f>
        <v>3.5</v>
      </c>
    </row>
    <row r="75" spans="1:14" x14ac:dyDescent="0.25">
      <c r="A75" s="86" t="s">
        <v>49</v>
      </c>
      <c r="B75" s="87"/>
      <c r="C75" s="50">
        <f ca="1">J83</f>
        <v>7</v>
      </c>
      <c r="D75" s="51">
        <f ca="1">((100/H69)*C75)/100</f>
        <v>1</v>
      </c>
      <c r="E75" s="90"/>
      <c r="F75" s="132"/>
      <c r="G75" s="90"/>
      <c r="H75" s="91"/>
      <c r="I75" s="14" t="s">
        <v>99</v>
      </c>
      <c r="J75" s="27">
        <f ca="1">H69</f>
        <v>7</v>
      </c>
    </row>
    <row r="76" spans="1:14" ht="15.75" customHeight="1" x14ac:dyDescent="0.25">
      <c r="A76" s="86" t="s">
        <v>128</v>
      </c>
      <c r="B76" s="87"/>
      <c r="C76" s="50">
        <v>8</v>
      </c>
      <c r="D76" s="51">
        <f ca="1">((100/(D69+F69+H69))*C76)/100</f>
        <v>1</v>
      </c>
      <c r="E76" s="90"/>
      <c r="F76" s="132"/>
      <c r="G76" s="90"/>
      <c r="H76" s="91"/>
      <c r="I76" s="14" t="s">
        <v>100</v>
      </c>
      <c r="J76" s="28">
        <f ca="1">(IF(B69&gt;1,(H69/(B69+2)),H69/4))</f>
        <v>1.75</v>
      </c>
    </row>
    <row r="77" spans="1:14" ht="15.75" customHeight="1" x14ac:dyDescent="0.25">
      <c r="A77" s="86" t="s">
        <v>135</v>
      </c>
      <c r="B77" s="87" t="s">
        <v>129</v>
      </c>
      <c r="C77" s="50">
        <v>7</v>
      </c>
      <c r="D77" s="51">
        <f ca="1">((100/H69)*C77)/100</f>
        <v>1</v>
      </c>
      <c r="E77" s="90"/>
      <c r="F77" s="132"/>
      <c r="G77" s="90"/>
      <c r="H77" s="91"/>
      <c r="I77" s="14" t="s">
        <v>101</v>
      </c>
      <c r="J77" s="28">
        <f ca="1">(IF(B69&gt;1,(H69/(B69+2)+J76),H69/4+J76))</f>
        <v>3.5</v>
      </c>
    </row>
    <row r="78" spans="1:14" ht="15.75" customHeight="1" x14ac:dyDescent="0.25">
      <c r="A78" s="86" t="s">
        <v>136</v>
      </c>
      <c r="B78" s="87" t="s">
        <v>129</v>
      </c>
      <c r="C78" s="50">
        <v>7</v>
      </c>
      <c r="D78" s="51">
        <f ca="1">((100/H69)*C78)/100</f>
        <v>1</v>
      </c>
      <c r="E78" s="90"/>
      <c r="F78" s="132"/>
      <c r="G78" s="90"/>
      <c r="H78" s="91"/>
      <c r="I78" s="14" t="s">
        <v>145</v>
      </c>
      <c r="J78" s="28">
        <f>(IF(B69&gt;1,(H69/(B69+2)+J77),0))</f>
        <v>0</v>
      </c>
    </row>
    <row r="79" spans="1:14" ht="15" customHeight="1" x14ac:dyDescent="0.25">
      <c r="A79" s="86" t="s">
        <v>134</v>
      </c>
      <c r="B79" s="87" t="s">
        <v>131</v>
      </c>
      <c r="C79" s="50">
        <v>7</v>
      </c>
      <c r="D79" s="51">
        <f ca="1">((100/(H69))*C79)/100</f>
        <v>1</v>
      </c>
      <c r="E79" s="90"/>
      <c r="F79" s="132"/>
      <c r="G79" s="90"/>
      <c r="H79" s="91"/>
      <c r="I79" s="14" t="s">
        <v>142</v>
      </c>
      <c r="J79" s="28">
        <f>(IF(B69&gt;2,(H69/(B69+2)+J78),0))</f>
        <v>0</v>
      </c>
    </row>
    <row r="80" spans="1:14" ht="15.75" customHeight="1" x14ac:dyDescent="0.25">
      <c r="A80" s="86" t="s">
        <v>130</v>
      </c>
      <c r="B80" s="87" t="s">
        <v>130</v>
      </c>
      <c r="C80" s="50">
        <v>7</v>
      </c>
      <c r="D80" s="51">
        <f ca="1">((100/H69)*C80)/100</f>
        <v>1</v>
      </c>
      <c r="E80" s="90"/>
      <c r="F80" s="132"/>
      <c r="G80" s="90"/>
      <c r="H80" s="91"/>
      <c r="I80" s="14" t="s">
        <v>143</v>
      </c>
      <c r="J80" s="29">
        <f>(IF(B69&gt;3,(H69/(B69+2)+J79),0))</f>
        <v>0</v>
      </c>
    </row>
    <row r="81" spans="1:10" ht="15.75" customHeight="1" x14ac:dyDescent="0.25">
      <c r="A81" s="86" t="s">
        <v>137</v>
      </c>
      <c r="B81" s="87"/>
      <c r="C81" s="50">
        <v>7</v>
      </c>
      <c r="D81" s="51">
        <f ca="1">((100/H69)*C81)/100</f>
        <v>1</v>
      </c>
      <c r="E81" s="90"/>
      <c r="F81" s="132"/>
      <c r="G81" s="90"/>
      <c r="H81" s="91"/>
      <c r="I81" s="14" t="s">
        <v>144</v>
      </c>
      <c r="J81" s="28">
        <f>(IF(B69&gt;4,(H69/(B69+2)+J80),0))</f>
        <v>0</v>
      </c>
    </row>
    <row r="82" spans="1:10" ht="15.75" customHeight="1" x14ac:dyDescent="0.25">
      <c r="A82" s="86" t="s">
        <v>132</v>
      </c>
      <c r="B82" s="87" t="s">
        <v>132</v>
      </c>
      <c r="C82" s="50">
        <v>7</v>
      </c>
      <c r="D82" s="51">
        <f ca="1">((100/(H69))*C82)/100</f>
        <v>1</v>
      </c>
      <c r="E82" s="90"/>
      <c r="F82" s="132"/>
      <c r="G82" s="90"/>
      <c r="H82" s="91"/>
      <c r="I82" s="14" t="s">
        <v>146</v>
      </c>
      <c r="J82" s="28">
        <f ca="1">(IF(B69=1,(H69/(B69+3)+J77),IF(B69=0,(H69/4+J77),IF(B69&gt;1,0))))</f>
        <v>5.25</v>
      </c>
    </row>
    <row r="83" spans="1:10" ht="16.5" thickBot="1" x14ac:dyDescent="0.3">
      <c r="A83" s="134" t="s">
        <v>133</v>
      </c>
      <c r="B83" s="135"/>
      <c r="C83" s="53">
        <v>7</v>
      </c>
      <c r="D83" s="54">
        <f ca="1">((100/(H69))*C83)/100</f>
        <v>1</v>
      </c>
      <c r="E83" s="92"/>
      <c r="F83" s="133"/>
      <c r="G83" s="92"/>
      <c r="H83" s="93"/>
      <c r="I83" s="15" t="s">
        <v>102</v>
      </c>
      <c r="J83" s="30">
        <f ca="1">(IF(B69&gt;1.5,(H69/(B69+2)+J77+MAX(0,J78-J77)+MAX(0,J79-J78)+MAX(0,J80-J79)+MAX(0,J81-J80)+MAX(0,J82-J81)),IF(B69=1,(H69/(B69+3)+J82),IF(B69=0,H69/4+J82))))</f>
        <v>7</v>
      </c>
    </row>
    <row r="84" spans="1:10" ht="15.75" hidden="1" customHeight="1" x14ac:dyDescent="0.25">
      <c r="A84" s="137" t="s">
        <v>139</v>
      </c>
      <c r="B84" s="138"/>
      <c r="C84" s="139" t="str">
        <f>D59</f>
        <v>Wing B = Gr + 1st to 7th Floor</v>
      </c>
      <c r="D84" s="140"/>
      <c r="E84" s="140"/>
      <c r="F84" s="140"/>
      <c r="G84" s="140"/>
      <c r="H84" s="141"/>
      <c r="I84" s="44" t="str">
        <f ca="1">IF(D97=100%,"All work Completed. Possession granted to the Building.",IF(D96=100%,"All work Completed, Waiting for OC",I85&amp;""&amp;I86&amp;""&amp;J85&amp;""&amp;J84&amp;" "&amp;J86))</f>
        <v>All work Completed. Possession granted to the Building.</v>
      </c>
      <c r="J84" s="45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/>
      </c>
    </row>
    <row r="85" spans="1:10" hidden="1" x14ac:dyDescent="0.25">
      <c r="A85" s="16" t="s">
        <v>141</v>
      </c>
      <c r="B85" s="49">
        <v>0</v>
      </c>
      <c r="C85" s="49" t="s">
        <v>69</v>
      </c>
      <c r="D85" s="49">
        <v>1</v>
      </c>
      <c r="E85" s="49" t="s">
        <v>68</v>
      </c>
      <c r="F85" s="49">
        <v>0</v>
      </c>
      <c r="G85" s="49" t="s">
        <v>78</v>
      </c>
      <c r="H85" s="17">
        <f ca="1">--TRIM(RIGHT(SUBSTITUTE(LEFT(C84,_xlfn.AGGREGATE(16,6,FIND({0,1,2,3,4,5,6,7,8,9},C84,ROW(INDIRECT("1:"&amp;LEN(C84)))),1))," ",REPT(" ",LEN(C84))),LEN(C84)))</f>
        <v>7</v>
      </c>
      <c r="I85" s="46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Plinth, RCC Slab, Brickwork, Internal Plaster, External Plaster, Flooring, Painting, Building common Amenities</v>
      </c>
      <c r="J85" s="47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0" hidden="1" x14ac:dyDescent="0.25">
      <c r="A86" s="99" t="s">
        <v>88</v>
      </c>
      <c r="B86" s="100"/>
      <c r="C86" s="101" t="s">
        <v>231</v>
      </c>
      <c r="D86" s="101"/>
      <c r="E86" s="101"/>
      <c r="F86" s="101"/>
      <c r="G86" s="101"/>
      <c r="H86" s="102"/>
      <c r="I86" s="46" t="str">
        <f ca="1">IF(I85&lt;&gt;""," Completed","")</f>
        <v xml:space="preserve"> Completed</v>
      </c>
      <c r="J86" s="47" t="str">
        <f ca="1">IF(J84&lt;&gt;"","Completed","")</f>
        <v/>
      </c>
    </row>
    <row r="87" spans="1:10" ht="15.75" hidden="1" customHeight="1" x14ac:dyDescent="0.25">
      <c r="A87" s="86" t="s">
        <v>48</v>
      </c>
      <c r="B87" s="87"/>
      <c r="C87" s="50" t="s">
        <v>138</v>
      </c>
      <c r="D87" s="50" t="s">
        <v>81</v>
      </c>
      <c r="E87" s="87" t="s">
        <v>83</v>
      </c>
      <c r="F87" s="87"/>
      <c r="G87" s="87" t="s">
        <v>82</v>
      </c>
      <c r="H87" s="98"/>
      <c r="I87" s="14" t="s">
        <v>140</v>
      </c>
      <c r="J87" s="26">
        <f ca="1">H85*25%</f>
        <v>1.75</v>
      </c>
    </row>
    <row r="88" spans="1:10" hidden="1" x14ac:dyDescent="0.25">
      <c r="A88" s="86" t="s">
        <v>127</v>
      </c>
      <c r="B88" s="87"/>
      <c r="C88" s="50">
        <f ca="1">J89</f>
        <v>7</v>
      </c>
      <c r="D88" s="51">
        <f ca="1">((100/H85)*C88)/100</f>
        <v>1</v>
      </c>
      <c r="E88" s="88">
        <f ca="1">(((C89/H85*10)+(40/(D85+F85+H85)*C90)+(7.5/(H85)*C91)+(7.5/(H85)*C92)+(10/H85*C93)+(10/H85*C94)+(5/H85*C95)+(5/H85*C96)+(5/H85*C97))/100)</f>
        <v>1</v>
      </c>
      <c r="F88" s="131"/>
      <c r="G88" s="88">
        <f ca="1">((((C88/H85)*20)+((C89/H85)*25)+(30/(H85+F85+D85)*C90)+(5/H85*C91)+(5/H85*C92)+(5/H85*C93)+(5/H85*C94)+(0/H85*C95)+(0/H85*C96)+(5/H85*C97))/100)</f>
        <v>1</v>
      </c>
      <c r="H88" s="89"/>
      <c r="I88" s="14" t="s">
        <v>98</v>
      </c>
      <c r="J88" s="27">
        <f ca="1">H85*50%</f>
        <v>3.5</v>
      </c>
    </row>
    <row r="89" spans="1:10" hidden="1" x14ac:dyDescent="0.25">
      <c r="A89" s="86" t="s">
        <v>49</v>
      </c>
      <c r="B89" s="87"/>
      <c r="C89" s="52">
        <f ca="1">J97</f>
        <v>7</v>
      </c>
      <c r="D89" s="51">
        <f ca="1">((100/H85)*C89)/100</f>
        <v>1</v>
      </c>
      <c r="E89" s="90"/>
      <c r="F89" s="132"/>
      <c r="G89" s="90"/>
      <c r="H89" s="91"/>
      <c r="I89" s="14" t="s">
        <v>99</v>
      </c>
      <c r="J89" s="27">
        <f ca="1">H85</f>
        <v>7</v>
      </c>
    </row>
    <row r="90" spans="1:10" ht="15.75" hidden="1" customHeight="1" x14ac:dyDescent="0.25">
      <c r="A90" s="86" t="s">
        <v>128</v>
      </c>
      <c r="B90" s="87"/>
      <c r="C90" s="50">
        <v>8</v>
      </c>
      <c r="D90" s="51">
        <f ca="1">((100/(D85+F85+H85))*C90)/100</f>
        <v>1</v>
      </c>
      <c r="E90" s="90"/>
      <c r="F90" s="132"/>
      <c r="G90" s="90"/>
      <c r="H90" s="91"/>
      <c r="I90" s="14" t="s">
        <v>100</v>
      </c>
      <c r="J90" s="28">
        <f ca="1">(IF(B85&gt;1,(H85/(B85+2)),H85/4))</f>
        <v>1.75</v>
      </c>
    </row>
    <row r="91" spans="1:10" ht="15.75" hidden="1" customHeight="1" x14ac:dyDescent="0.25">
      <c r="A91" s="86" t="s">
        <v>135</v>
      </c>
      <c r="B91" s="87" t="s">
        <v>129</v>
      </c>
      <c r="C91" s="50">
        <v>7</v>
      </c>
      <c r="D91" s="51">
        <f ca="1">((100/H85)*C91)/100</f>
        <v>1</v>
      </c>
      <c r="E91" s="90"/>
      <c r="F91" s="132"/>
      <c r="G91" s="90"/>
      <c r="H91" s="91"/>
      <c r="I91" s="14" t="s">
        <v>101</v>
      </c>
      <c r="J91" s="28">
        <f ca="1">(IF(B85&gt;1,(H85/(B85+2)+J90),H85/4+J90))</f>
        <v>3.5</v>
      </c>
    </row>
    <row r="92" spans="1:10" ht="15.75" hidden="1" customHeight="1" x14ac:dyDescent="0.25">
      <c r="A92" s="86" t="s">
        <v>136</v>
      </c>
      <c r="B92" s="87" t="s">
        <v>129</v>
      </c>
      <c r="C92" s="50">
        <v>7</v>
      </c>
      <c r="D92" s="51">
        <f ca="1">((100/H85)*C92)/100</f>
        <v>1</v>
      </c>
      <c r="E92" s="90"/>
      <c r="F92" s="132"/>
      <c r="G92" s="90"/>
      <c r="H92" s="91"/>
      <c r="I92" s="14" t="s">
        <v>145</v>
      </c>
      <c r="J92" s="28">
        <f>(IF(B85&gt;1,(H85/(B85+2)+J91),0))</f>
        <v>0</v>
      </c>
    </row>
    <row r="93" spans="1:10" ht="15" hidden="1" customHeight="1" x14ac:dyDescent="0.25">
      <c r="A93" s="86" t="s">
        <v>134</v>
      </c>
      <c r="B93" s="87" t="s">
        <v>131</v>
      </c>
      <c r="C93" s="50">
        <v>7</v>
      </c>
      <c r="D93" s="51">
        <f ca="1">((100/(H85))*C93)/100</f>
        <v>1</v>
      </c>
      <c r="E93" s="90"/>
      <c r="F93" s="132"/>
      <c r="G93" s="90"/>
      <c r="H93" s="91"/>
      <c r="I93" s="14" t="s">
        <v>142</v>
      </c>
      <c r="J93" s="28">
        <f>(IF(B85&gt;2,(H85/(B85+2)+J92),0))</f>
        <v>0</v>
      </c>
    </row>
    <row r="94" spans="1:10" ht="15.75" hidden="1" customHeight="1" x14ac:dyDescent="0.25">
      <c r="A94" s="86" t="s">
        <v>130</v>
      </c>
      <c r="B94" s="87" t="s">
        <v>130</v>
      </c>
      <c r="C94" s="50">
        <v>7</v>
      </c>
      <c r="D94" s="51">
        <f ca="1">((100/H85)*C94)/100</f>
        <v>1</v>
      </c>
      <c r="E94" s="90"/>
      <c r="F94" s="132"/>
      <c r="G94" s="90"/>
      <c r="H94" s="91"/>
      <c r="I94" s="14" t="s">
        <v>143</v>
      </c>
      <c r="J94" s="29">
        <f>(IF(B85&gt;3,(H85/(B85+2)+J93),0))</f>
        <v>0</v>
      </c>
    </row>
    <row r="95" spans="1:10" ht="15.75" hidden="1" customHeight="1" x14ac:dyDescent="0.25">
      <c r="A95" s="86" t="s">
        <v>137</v>
      </c>
      <c r="B95" s="87"/>
      <c r="C95" s="50">
        <v>7</v>
      </c>
      <c r="D95" s="51">
        <f ca="1">((100/H85)*C95)/100</f>
        <v>1</v>
      </c>
      <c r="E95" s="90"/>
      <c r="F95" s="132"/>
      <c r="G95" s="90"/>
      <c r="H95" s="91"/>
      <c r="I95" s="14" t="s">
        <v>144</v>
      </c>
      <c r="J95" s="28">
        <f>(IF(B85&gt;4,(H85/(B85+2)+J94),0))</f>
        <v>0</v>
      </c>
    </row>
    <row r="96" spans="1:10" ht="15.75" hidden="1" customHeight="1" x14ac:dyDescent="0.25">
      <c r="A96" s="86" t="s">
        <v>132</v>
      </c>
      <c r="B96" s="87" t="s">
        <v>132</v>
      </c>
      <c r="C96" s="50">
        <v>7</v>
      </c>
      <c r="D96" s="51">
        <f ca="1">((100/(H85))*C96)/100</f>
        <v>1</v>
      </c>
      <c r="E96" s="90"/>
      <c r="F96" s="132"/>
      <c r="G96" s="90"/>
      <c r="H96" s="91"/>
      <c r="I96" s="14" t="s">
        <v>146</v>
      </c>
      <c r="J96" s="28">
        <f ca="1">(IF(B85=1,(H85/(B85+3)+J91),IF(B85=0,(H85/4+J91),IF(B85&gt;1,0))))</f>
        <v>5.25</v>
      </c>
    </row>
    <row r="97" spans="1:10" ht="16.5" hidden="1" thickBot="1" x14ac:dyDescent="0.3">
      <c r="A97" s="134" t="s">
        <v>133</v>
      </c>
      <c r="B97" s="135"/>
      <c r="C97" s="53">
        <v>7</v>
      </c>
      <c r="D97" s="54">
        <f ca="1">((100/(H85))*C97)/100</f>
        <v>1</v>
      </c>
      <c r="E97" s="92"/>
      <c r="F97" s="133"/>
      <c r="G97" s="92"/>
      <c r="H97" s="93"/>
      <c r="I97" s="15" t="s">
        <v>102</v>
      </c>
      <c r="J97" s="30">
        <f ca="1">(IF(B85&gt;1.5,(H85/(B85+2)+J91+MAX(0,J92-J91)+MAX(0,J93-J92)+MAX(0,J94-J93)+MAX(0,J95-J94)+MAX(0,J96-J95)),IF(B85=1,(H85/(B85+3)+J96),IF(B85=0,H85/4+J96))))</f>
        <v>7</v>
      </c>
    </row>
    <row r="98" spans="1:10" ht="15.75" customHeight="1" x14ac:dyDescent="0.25">
      <c r="A98" s="137" t="s">
        <v>139</v>
      </c>
      <c r="B98" s="138"/>
      <c r="C98" s="139" t="s">
        <v>191</v>
      </c>
      <c r="D98" s="140"/>
      <c r="E98" s="140"/>
      <c r="F98" s="140"/>
      <c r="G98" s="140"/>
      <c r="H98" s="141"/>
      <c r="I98" s="44" t="str">
        <f ca="1">IF(D113=100%,"All work Completed. Possession granted to the Building.",IF(D112=100%,"All work Completed, Waiting for OC",I99&amp;""&amp;I100&amp;""&amp;J99&amp;""&amp;J98&amp;" "&amp;J100))</f>
        <v>All work Completed. Possession granted to the Building.</v>
      </c>
      <c r="J98" s="45" t="str">
        <f ca="1">(IF(C106=(D99+F99+H99),"",IF(C106&gt;0,", RCC upto "&amp;C106&amp;" Slab","")))&amp;(IF(C107=H99,"",IF(C107&gt;0,", Brickwork upto "&amp;C107&amp;" Floor","")))&amp;(IF(C108=H99,"",IF(C108&gt;0,", Internal Plaster upto "&amp;C108&amp;" Floor","")))&amp;(IF(C109=H99,"",IF(C109&gt;0,", External Plaster upto "&amp;C109&amp;" Floor","")))&amp;(IF(C110=H99,"",IF(C110&gt;0,", Flooring upto "&amp;C110&amp;" Floor","")))&amp;(IF(C111=H99,"",IF(C111&gt;0,", Painting upto "&amp;C111&amp;" Floor","")))&amp;(IF(C112=H99,"",IF(C112&gt;0,", Finishing upto "&amp;C112&amp;" Floor","")))&amp;(IF(C113=H99,"",IF(C113&gt;0,", Possession upto "&amp;C113&amp;" Floor","")))</f>
        <v/>
      </c>
    </row>
    <row r="99" spans="1:10" x14ac:dyDescent="0.25">
      <c r="A99" s="16" t="s">
        <v>141</v>
      </c>
      <c r="B99" s="49">
        <v>0</v>
      </c>
      <c r="C99" s="49" t="s">
        <v>69</v>
      </c>
      <c r="D99" s="49">
        <v>1</v>
      </c>
      <c r="E99" s="49" t="s">
        <v>68</v>
      </c>
      <c r="F99" s="49">
        <v>0</v>
      </c>
      <c r="G99" s="49" t="s">
        <v>78</v>
      </c>
      <c r="H99" s="17">
        <f ca="1">--TRIM(RIGHT(SUBSTITUTE(LEFT(C98,_xlfn.AGGREGATE(16,6,FIND({0,1,2,3,4,5,6,7,8,9},C98,ROW(INDIRECT("1:"&amp;LEN(C98)))),1))," ",REPT(" ",LEN(C98))),LEN(C98)))</f>
        <v>7</v>
      </c>
      <c r="I99" s="46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Plinth, RCC Slab, Brickwork, Internal Plaster, External Plaster, Flooring, Painting, Building common Amenities</v>
      </c>
      <c r="J99" s="47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0" spans="1:10" x14ac:dyDescent="0.25">
      <c r="A100" s="99" t="s">
        <v>88</v>
      </c>
      <c r="B100" s="100"/>
      <c r="C100" s="101" t="str">
        <f ca="1">I98</f>
        <v>All work Completed. Possession granted to the Building.</v>
      </c>
      <c r="D100" s="101"/>
      <c r="E100" s="101"/>
      <c r="F100" s="101"/>
      <c r="G100" s="101"/>
      <c r="H100" s="102"/>
      <c r="I100" s="46" t="str">
        <f ca="1">IF(I99&lt;&gt;""," Completed","")</f>
        <v xml:space="preserve"> Completed</v>
      </c>
      <c r="J100" s="47" t="str">
        <f ca="1">IF(J98&lt;&gt;"","Completed","")</f>
        <v/>
      </c>
    </row>
    <row r="101" spans="1:10" hidden="1" x14ac:dyDescent="0.25">
      <c r="A101" s="77" t="s">
        <v>83</v>
      </c>
      <c r="B101" s="78"/>
      <c r="C101" s="81">
        <v>1</v>
      </c>
      <c r="D101" s="82"/>
      <c r="E101" s="85" t="s">
        <v>82</v>
      </c>
      <c r="F101" s="82"/>
      <c r="G101" s="81">
        <v>1</v>
      </c>
      <c r="H101" s="82"/>
      <c r="I101" s="56"/>
      <c r="J101" s="57"/>
    </row>
    <row r="102" spans="1:10" hidden="1" x14ac:dyDescent="0.25">
      <c r="A102" s="79"/>
      <c r="B102" s="80"/>
      <c r="C102" s="83"/>
      <c r="D102" s="84"/>
      <c r="E102" s="83"/>
      <c r="F102" s="84"/>
      <c r="G102" s="83"/>
      <c r="H102" s="84"/>
      <c r="I102" s="56"/>
      <c r="J102" s="57"/>
    </row>
    <row r="103" spans="1:10" ht="15.75" customHeight="1" x14ac:dyDescent="0.25">
      <c r="A103" s="86" t="s">
        <v>48</v>
      </c>
      <c r="B103" s="87"/>
      <c r="C103" s="50" t="s">
        <v>138</v>
      </c>
      <c r="D103" s="50" t="s">
        <v>81</v>
      </c>
      <c r="E103" s="87" t="s">
        <v>83</v>
      </c>
      <c r="F103" s="87"/>
      <c r="G103" s="87" t="s">
        <v>82</v>
      </c>
      <c r="H103" s="98"/>
      <c r="I103" s="14" t="s">
        <v>140</v>
      </c>
      <c r="J103" s="26">
        <f ca="1">H99*25%</f>
        <v>1.75</v>
      </c>
    </row>
    <row r="104" spans="1:10" x14ac:dyDescent="0.25">
      <c r="A104" s="86" t="s">
        <v>127</v>
      </c>
      <c r="B104" s="87"/>
      <c r="C104" s="50">
        <f ca="1">J105</f>
        <v>7</v>
      </c>
      <c r="D104" s="51">
        <f ca="1">((100/H99)*C104)/100</f>
        <v>1</v>
      </c>
      <c r="E104" s="88">
        <f ca="1">(((C105/H99*10)+(40/(D99+F99+H99)*C106)+(7.5/(H99)*C107)+(7.5/(H99)*C108)+(10/H99*C109)+(10/H99*C110)+(5/H99*C111)+(5/H99*C112)+(5/H99*C113))/100)</f>
        <v>1</v>
      </c>
      <c r="F104" s="131"/>
      <c r="G104" s="88">
        <f ca="1">((((C104/H99)*20)+((C105/H99)*25)+(30/(H99+F99+D99)*C106)+(5/H99*C107)+(5/H99*C108)+(5/H99*C109)+(5/H99*C110)+(0/H99*C111)+(0/H99*C112)+(5/H99*C113))/100)</f>
        <v>1</v>
      </c>
      <c r="H104" s="89"/>
      <c r="I104" s="14" t="s">
        <v>98</v>
      </c>
      <c r="J104" s="27">
        <f ca="1">H99*50%</f>
        <v>3.5</v>
      </c>
    </row>
    <row r="105" spans="1:10" x14ac:dyDescent="0.25">
      <c r="A105" s="86" t="s">
        <v>49</v>
      </c>
      <c r="B105" s="87"/>
      <c r="C105" s="50">
        <f ca="1">J113</f>
        <v>7</v>
      </c>
      <c r="D105" s="51">
        <f ca="1">((100/H99)*C105)/100</f>
        <v>1</v>
      </c>
      <c r="E105" s="90"/>
      <c r="F105" s="132"/>
      <c r="G105" s="90"/>
      <c r="H105" s="91"/>
      <c r="I105" s="14" t="s">
        <v>99</v>
      </c>
      <c r="J105" s="27">
        <f ca="1">H99</f>
        <v>7</v>
      </c>
    </row>
    <row r="106" spans="1:10" ht="15.75" customHeight="1" x14ac:dyDescent="0.25">
      <c r="A106" s="86" t="s">
        <v>128</v>
      </c>
      <c r="B106" s="87"/>
      <c r="C106" s="50">
        <v>8</v>
      </c>
      <c r="D106" s="51">
        <f ca="1">((100/(D99+F99+H99))*C106)/100</f>
        <v>1</v>
      </c>
      <c r="E106" s="90"/>
      <c r="F106" s="132"/>
      <c r="G106" s="90"/>
      <c r="H106" s="91"/>
      <c r="I106" s="14" t="s">
        <v>100</v>
      </c>
      <c r="J106" s="28">
        <f ca="1">(IF(B99&gt;1,(H99/(B99+2)),H99/4))</f>
        <v>1.75</v>
      </c>
    </row>
    <row r="107" spans="1:10" ht="15.75" customHeight="1" x14ac:dyDescent="0.25">
      <c r="A107" s="86" t="s">
        <v>135</v>
      </c>
      <c r="B107" s="87" t="s">
        <v>129</v>
      </c>
      <c r="C107" s="50">
        <v>7</v>
      </c>
      <c r="D107" s="51">
        <f ca="1">((100/H99)*C107)/100</f>
        <v>1</v>
      </c>
      <c r="E107" s="90"/>
      <c r="F107" s="132"/>
      <c r="G107" s="90"/>
      <c r="H107" s="91"/>
      <c r="I107" s="14" t="s">
        <v>101</v>
      </c>
      <c r="J107" s="28">
        <f ca="1">(IF(B99&gt;1,(H99/(B99+2)+J106),H99/4+J106))</f>
        <v>3.5</v>
      </c>
    </row>
    <row r="108" spans="1:10" ht="15.75" customHeight="1" x14ac:dyDescent="0.25">
      <c r="A108" s="86" t="s">
        <v>136</v>
      </c>
      <c r="B108" s="87" t="s">
        <v>129</v>
      </c>
      <c r="C108" s="50">
        <v>7</v>
      </c>
      <c r="D108" s="51">
        <f ca="1">((100/H99)*C108)/100</f>
        <v>1</v>
      </c>
      <c r="E108" s="90"/>
      <c r="F108" s="132"/>
      <c r="G108" s="90"/>
      <c r="H108" s="91"/>
      <c r="I108" s="14" t="s">
        <v>145</v>
      </c>
      <c r="J108" s="28">
        <f>(IF(B99&gt;1,(H99/(B99+2)+J107),0))</f>
        <v>0</v>
      </c>
    </row>
    <row r="109" spans="1:10" ht="15" customHeight="1" x14ac:dyDescent="0.25">
      <c r="A109" s="86" t="s">
        <v>134</v>
      </c>
      <c r="B109" s="87" t="s">
        <v>131</v>
      </c>
      <c r="C109" s="50">
        <v>7</v>
      </c>
      <c r="D109" s="51">
        <f ca="1">((100/(H99))*C109)/100</f>
        <v>1</v>
      </c>
      <c r="E109" s="90"/>
      <c r="F109" s="132"/>
      <c r="G109" s="90"/>
      <c r="H109" s="91"/>
      <c r="I109" s="14" t="s">
        <v>142</v>
      </c>
      <c r="J109" s="28">
        <f>(IF(B99&gt;2,(H99/(B99+2)+J108),0))</f>
        <v>0</v>
      </c>
    </row>
    <row r="110" spans="1:10" ht="15.75" customHeight="1" x14ac:dyDescent="0.25">
      <c r="A110" s="86" t="s">
        <v>130</v>
      </c>
      <c r="B110" s="87" t="s">
        <v>130</v>
      </c>
      <c r="C110" s="50">
        <v>7</v>
      </c>
      <c r="D110" s="51">
        <f ca="1">((100/H99)*C110)/100</f>
        <v>1</v>
      </c>
      <c r="E110" s="90"/>
      <c r="F110" s="132"/>
      <c r="G110" s="90"/>
      <c r="H110" s="91"/>
      <c r="I110" s="14" t="s">
        <v>143</v>
      </c>
      <c r="J110" s="29">
        <f>(IF(B99&gt;3,(H99/(B99+2)+J109),0))</f>
        <v>0</v>
      </c>
    </row>
    <row r="111" spans="1:10" ht="15.75" customHeight="1" x14ac:dyDescent="0.25">
      <c r="A111" s="86" t="s">
        <v>137</v>
      </c>
      <c r="B111" s="87"/>
      <c r="C111" s="50">
        <v>7</v>
      </c>
      <c r="D111" s="51">
        <f ca="1">((100/H99)*C111)/100</f>
        <v>1</v>
      </c>
      <c r="E111" s="90"/>
      <c r="F111" s="132"/>
      <c r="G111" s="90"/>
      <c r="H111" s="91"/>
      <c r="I111" s="14" t="s">
        <v>144</v>
      </c>
      <c r="J111" s="28">
        <f>(IF(B99&gt;4,(H99/(B99+2)+J110),0))</f>
        <v>0</v>
      </c>
    </row>
    <row r="112" spans="1:10" ht="15.75" customHeight="1" x14ac:dyDescent="0.25">
      <c r="A112" s="86" t="s">
        <v>132</v>
      </c>
      <c r="B112" s="87" t="s">
        <v>132</v>
      </c>
      <c r="C112" s="50">
        <v>7</v>
      </c>
      <c r="D112" s="51">
        <f ca="1">((100/(H99))*C112)/100</f>
        <v>1</v>
      </c>
      <c r="E112" s="90"/>
      <c r="F112" s="132"/>
      <c r="G112" s="90"/>
      <c r="H112" s="91"/>
      <c r="I112" s="14" t="s">
        <v>146</v>
      </c>
      <c r="J112" s="28">
        <f ca="1">(IF(B99=1,(H99/(B99+3)+J107),IF(B99=0,(H99/4+J107),IF(B99&gt;1,0))))</f>
        <v>5.25</v>
      </c>
    </row>
    <row r="113" spans="1:10" ht="16.5" thickBot="1" x14ac:dyDescent="0.3">
      <c r="A113" s="134" t="s">
        <v>133</v>
      </c>
      <c r="B113" s="135"/>
      <c r="C113" s="53">
        <v>7</v>
      </c>
      <c r="D113" s="54">
        <f ca="1">((100/(H99))*C113)/100</f>
        <v>1</v>
      </c>
      <c r="E113" s="92"/>
      <c r="F113" s="133"/>
      <c r="G113" s="92"/>
      <c r="H113" s="93"/>
      <c r="I113" s="15" t="s">
        <v>102</v>
      </c>
      <c r="J113" s="30">
        <f ca="1">(IF(B99&gt;1.5,(H99/(B99+2)+J107+MAX(0,J108-J107)+MAX(0,J109-J108)+MAX(0,J110-J109)+MAX(0,J111-J110)+MAX(0,J112-J111)),IF(B99=1,(H99/(B99+3)+J112),IF(B99=0,H99/4+J112))))</f>
        <v>7</v>
      </c>
    </row>
    <row r="114" spans="1:10" ht="15.75" customHeight="1" x14ac:dyDescent="0.25">
      <c r="A114" s="137" t="s">
        <v>139</v>
      </c>
      <c r="B114" s="138"/>
      <c r="C114" s="139" t="s">
        <v>193</v>
      </c>
      <c r="D114" s="140"/>
      <c r="E114" s="140"/>
      <c r="F114" s="140"/>
      <c r="G114" s="140"/>
      <c r="H114" s="141"/>
      <c r="I114" s="44" t="str">
        <f ca="1">IF(D127=100%,"All work Completed. Possession granted to the Building.",IF(D126=100%,"All work Completed, Waiting for OC",I115&amp;""&amp;I116&amp;""&amp;J115&amp;""&amp;J114&amp;" "&amp;J116))</f>
        <v>Excavation, Plinth, RCC Slab, Brickwork, Internal Plaster, External Plaster Completed, Flooring upto 5 Floor Completed</v>
      </c>
      <c r="J114" s="45" t="str">
        <f ca="1">(IF(C120=(D115+F115+H115),"",IF(C120&gt;0,", RCC upto "&amp;C120&amp;" Slab","")))&amp;(IF(C121=H115,"",IF(C121&gt;0,", Brickwork upto "&amp;C121&amp;" Floor","")))&amp;(IF(C122=H115,"",IF(C122&gt;0,", Internal Plaster upto "&amp;C122&amp;" Floor","")))&amp;(IF(C123=H115,"",IF(C123&gt;0,", External Plaster upto "&amp;C123&amp;" Floor","")))&amp;(IF(C124=H115,"",IF(C124&gt;0,", Flooring upto "&amp;C124&amp;" Floor","")))&amp;(IF(C125=H115,"",IF(C125&gt;0,", Painting upto "&amp;C125&amp;" Floor","")))&amp;(IF(C126=H115,"",IF(C126&gt;0,", Finishing upto "&amp;C126&amp;" Floor","")))&amp;(IF(C127=H115,"",IF(C127&gt;0,", Possession upto "&amp;C127&amp;" Floor","")))</f>
        <v>, Flooring upto 5 Floor</v>
      </c>
    </row>
    <row r="115" spans="1:10" x14ac:dyDescent="0.25">
      <c r="A115" s="16" t="s">
        <v>141</v>
      </c>
      <c r="B115" s="49">
        <v>0</v>
      </c>
      <c r="C115" s="49" t="s">
        <v>69</v>
      </c>
      <c r="D115" s="49">
        <v>1</v>
      </c>
      <c r="E115" s="49" t="s">
        <v>68</v>
      </c>
      <c r="F115" s="49">
        <v>0</v>
      </c>
      <c r="G115" s="49" t="s">
        <v>78</v>
      </c>
      <c r="H115" s="17">
        <f ca="1">--TRIM(RIGHT(SUBSTITUTE(LEFT(C114,_xlfn.AGGREGATE(16,6,FIND({0,1,2,3,4,5,6,7,8,9},C114,ROW(INDIRECT("1:"&amp;LEN(C114)))),1))," ",REPT(" ",LEN(C114))),LEN(C114)))</f>
        <v>7</v>
      </c>
      <c r="I115" s="46" t="str">
        <f ca="1">IF(D118=100%,"Excavation","")&amp;IF(D119=100%,", Plinth","")&amp;IF(D120=100%,", RCC Slab","")&amp;IF(D121=100%,", Brickwork","")&amp;IF(D122=100%,", Internal Plaster","")&amp;IF(D123=100%,", External Plaster","")&amp;IF(D124=100%,", Flooring","")&amp;IF(D125=100%,", Painting","")&amp;IF(D126=100%,", Building common Amenities","")</f>
        <v>Excavation, Plinth, RCC Slab, Brickwork, Internal Plaster, External Plaster</v>
      </c>
      <c r="J115" s="47" t="str">
        <f ca="1">(IF(C118=0,"Work not yet Started.",IF(D118=25%,"Piling work in process",IF(D118=50%,"Excavation work in process",IF(D118=100%,"","0")))))&amp;(IF(C119=0%,"",IF(C119=J120,", Footing work is process",IF(C119=J121,", Footing work Completed",IF(C119=J122,", 1st Basement Completed",IF(C119=J123,", 1st &amp; 2nd Basement Completed",IF(C119=J124,", 1st to 3rd Basement Completed",IF(C119=J125,", 1st to 4th Basement Completed",IF(C119=J126,", Plinth work is process",IF(C119=J127,"","0"))))))))))</f>
        <v/>
      </c>
    </row>
    <row r="116" spans="1:10" ht="30.95" customHeight="1" x14ac:dyDescent="0.25">
      <c r="A116" s="99" t="s">
        <v>88</v>
      </c>
      <c r="B116" s="100"/>
      <c r="C116" s="101" t="str">
        <f ca="1">I114</f>
        <v>Excavation, Plinth, RCC Slab, Brickwork, Internal Plaster, External Plaster Completed, Flooring upto 5 Floor Completed</v>
      </c>
      <c r="D116" s="101"/>
      <c r="E116" s="101"/>
      <c r="F116" s="101"/>
      <c r="G116" s="101"/>
      <c r="H116" s="102"/>
      <c r="I116" s="46" t="str">
        <f ca="1">IF(I115&lt;&gt;""," Completed","")</f>
        <v xml:space="preserve"> Completed</v>
      </c>
      <c r="J116" s="47" t="str">
        <f ca="1">IF(J114&lt;&gt;"","Completed","")</f>
        <v>Completed</v>
      </c>
    </row>
    <row r="117" spans="1:10" ht="15.75" customHeight="1" x14ac:dyDescent="0.25">
      <c r="A117" s="86" t="s">
        <v>48</v>
      </c>
      <c r="B117" s="87"/>
      <c r="C117" s="50" t="s">
        <v>138</v>
      </c>
      <c r="D117" s="50" t="s">
        <v>81</v>
      </c>
      <c r="E117" s="87" t="s">
        <v>83</v>
      </c>
      <c r="F117" s="87"/>
      <c r="G117" s="87" t="s">
        <v>82</v>
      </c>
      <c r="H117" s="98"/>
      <c r="I117" s="14" t="s">
        <v>140</v>
      </c>
      <c r="J117" s="26">
        <f ca="1">H115*25%</f>
        <v>1.75</v>
      </c>
    </row>
    <row r="118" spans="1:10" x14ac:dyDescent="0.25">
      <c r="A118" s="86" t="s">
        <v>127</v>
      </c>
      <c r="B118" s="87"/>
      <c r="C118" s="50">
        <f ca="1">J119</f>
        <v>7</v>
      </c>
      <c r="D118" s="51">
        <f ca="1">((100/H115)*C118)/100</f>
        <v>1</v>
      </c>
      <c r="E118" s="88">
        <f ca="1">(((C119/H115*10)+(40/(D115+F115+H115)*C120)+(7.5/(H115)*C121)+(7.5/(H115)*C122)+(10/H115*C123)+(10/H115*C124)+(5/H115*C125)+(5/H115*C126)+(5/H115*C127))/100)</f>
        <v>0.8214285714285714</v>
      </c>
      <c r="F118" s="131"/>
      <c r="G118" s="88">
        <f ca="1">((((C118/H115)*20)+((C119/H115)*25)+(30/(H115+F115+D115)*C120)+(5/H115*C121)+(5/H115*C122)+(5/H115*C123)+(5/H115*C124)+(0/H115*C125)+(0/H115*C126)+(5/H115*C127))/100)</f>
        <v>0.93571428571428572</v>
      </c>
      <c r="H118" s="89"/>
      <c r="I118" s="14" t="s">
        <v>98</v>
      </c>
      <c r="J118" s="27">
        <f ca="1">H115*50%</f>
        <v>3.5</v>
      </c>
    </row>
    <row r="119" spans="1:10" x14ac:dyDescent="0.25">
      <c r="A119" s="86" t="s">
        <v>49</v>
      </c>
      <c r="B119" s="87"/>
      <c r="C119" s="50">
        <f ca="1">J127</f>
        <v>7</v>
      </c>
      <c r="D119" s="51">
        <f ca="1">((100/H115)*C119)/100</f>
        <v>1</v>
      </c>
      <c r="E119" s="90"/>
      <c r="F119" s="132"/>
      <c r="G119" s="90"/>
      <c r="H119" s="91"/>
      <c r="I119" s="14" t="s">
        <v>99</v>
      </c>
      <c r="J119" s="27">
        <f ca="1">H115</f>
        <v>7</v>
      </c>
    </row>
    <row r="120" spans="1:10" ht="15.75" customHeight="1" x14ac:dyDescent="0.25">
      <c r="A120" s="86" t="s">
        <v>128</v>
      </c>
      <c r="B120" s="87"/>
      <c r="C120" s="50">
        <v>8</v>
      </c>
      <c r="D120" s="51">
        <f ca="1">((100/(D115+F115+H115))*C120)/100</f>
        <v>1</v>
      </c>
      <c r="E120" s="90"/>
      <c r="F120" s="132"/>
      <c r="G120" s="90"/>
      <c r="H120" s="91"/>
      <c r="I120" s="14" t="s">
        <v>100</v>
      </c>
      <c r="J120" s="28">
        <f ca="1">(IF(B115&gt;1,(H115/(B115+2)),H115/4))</f>
        <v>1.75</v>
      </c>
    </row>
    <row r="121" spans="1:10" ht="15.75" customHeight="1" x14ac:dyDescent="0.25">
      <c r="A121" s="86" t="s">
        <v>135</v>
      </c>
      <c r="B121" s="87" t="s">
        <v>129</v>
      </c>
      <c r="C121" s="50">
        <v>7</v>
      </c>
      <c r="D121" s="51">
        <f ca="1">((100/H115)*C121)/100</f>
        <v>1</v>
      </c>
      <c r="E121" s="90"/>
      <c r="F121" s="132"/>
      <c r="G121" s="90"/>
      <c r="H121" s="91"/>
      <c r="I121" s="14" t="s">
        <v>101</v>
      </c>
      <c r="J121" s="28">
        <f ca="1">(IF(B115&gt;1,(H115/(B115+2)+J120),H115/4+J120))</f>
        <v>3.5</v>
      </c>
    </row>
    <row r="122" spans="1:10" ht="15.75" customHeight="1" x14ac:dyDescent="0.25">
      <c r="A122" s="86" t="s">
        <v>136</v>
      </c>
      <c r="B122" s="87" t="s">
        <v>129</v>
      </c>
      <c r="C122" s="50">
        <v>7</v>
      </c>
      <c r="D122" s="51">
        <f ca="1">((100/H115)*C122)/100</f>
        <v>1</v>
      </c>
      <c r="E122" s="90"/>
      <c r="F122" s="132"/>
      <c r="G122" s="90"/>
      <c r="H122" s="91"/>
      <c r="I122" s="14" t="s">
        <v>145</v>
      </c>
      <c r="J122" s="28">
        <f>(IF(B115&gt;1,(H115/(B115+2)+J121),0))</f>
        <v>0</v>
      </c>
    </row>
    <row r="123" spans="1:10" ht="15" customHeight="1" x14ac:dyDescent="0.25">
      <c r="A123" s="86" t="s">
        <v>134</v>
      </c>
      <c r="B123" s="87" t="s">
        <v>131</v>
      </c>
      <c r="C123" s="50">
        <v>7</v>
      </c>
      <c r="D123" s="51">
        <f ca="1">((100/(H115))*C123)/100</f>
        <v>1</v>
      </c>
      <c r="E123" s="90"/>
      <c r="F123" s="132"/>
      <c r="G123" s="90"/>
      <c r="H123" s="91"/>
      <c r="I123" s="14" t="s">
        <v>142</v>
      </c>
      <c r="J123" s="28">
        <f>(IF(B115&gt;2,(H115/(B115+2)+J122),0))</f>
        <v>0</v>
      </c>
    </row>
    <row r="124" spans="1:10" ht="15.75" customHeight="1" x14ac:dyDescent="0.25">
      <c r="A124" s="86" t="s">
        <v>130</v>
      </c>
      <c r="B124" s="87" t="s">
        <v>130</v>
      </c>
      <c r="C124" s="50">
        <v>5</v>
      </c>
      <c r="D124" s="51">
        <f ca="1">((100/H115)*C124)/100</f>
        <v>0.7142857142857143</v>
      </c>
      <c r="E124" s="90"/>
      <c r="F124" s="132"/>
      <c r="G124" s="90"/>
      <c r="H124" s="91"/>
      <c r="I124" s="14" t="s">
        <v>143</v>
      </c>
      <c r="J124" s="29">
        <f>(IF(B115&gt;3,(H115/(B115+2)+J123),0))</f>
        <v>0</v>
      </c>
    </row>
    <row r="125" spans="1:10" ht="15.75" customHeight="1" x14ac:dyDescent="0.25">
      <c r="A125" s="86" t="s">
        <v>137</v>
      </c>
      <c r="B125" s="87"/>
      <c r="C125" s="50">
        <v>0</v>
      </c>
      <c r="D125" s="51">
        <f ca="1">((100/H115)*C125)/100</f>
        <v>0</v>
      </c>
      <c r="E125" s="90"/>
      <c r="F125" s="132"/>
      <c r="G125" s="90"/>
      <c r="H125" s="91"/>
      <c r="I125" s="14" t="s">
        <v>144</v>
      </c>
      <c r="J125" s="28">
        <f>(IF(B115&gt;4,(H115/(B115+2)+J124),0))</f>
        <v>0</v>
      </c>
    </row>
    <row r="126" spans="1:10" ht="15.75" customHeight="1" x14ac:dyDescent="0.25">
      <c r="A126" s="86" t="s">
        <v>132</v>
      </c>
      <c r="B126" s="87" t="s">
        <v>132</v>
      </c>
      <c r="C126" s="50">
        <v>0</v>
      </c>
      <c r="D126" s="51">
        <f ca="1">((100/(H115))*C126)/100</f>
        <v>0</v>
      </c>
      <c r="E126" s="90"/>
      <c r="F126" s="132"/>
      <c r="G126" s="90"/>
      <c r="H126" s="91"/>
      <c r="I126" s="14" t="s">
        <v>146</v>
      </c>
      <c r="J126" s="28">
        <f ca="1">(IF(B115=1,(H115/(B115+3)+J121),IF(B115=0,(H115/4+J121),IF(B115&gt;1,0))))</f>
        <v>5.25</v>
      </c>
    </row>
    <row r="127" spans="1:10" ht="16.5" thickBot="1" x14ac:dyDescent="0.3">
      <c r="A127" s="134" t="s">
        <v>133</v>
      </c>
      <c r="B127" s="135"/>
      <c r="C127" s="53">
        <v>0</v>
      </c>
      <c r="D127" s="54">
        <f ca="1">((100/(H115))*C127)/100</f>
        <v>0</v>
      </c>
      <c r="E127" s="92"/>
      <c r="F127" s="133"/>
      <c r="G127" s="92"/>
      <c r="H127" s="93"/>
      <c r="I127" s="15" t="s">
        <v>102</v>
      </c>
      <c r="J127" s="30">
        <f ca="1">(IF(B115&gt;1.5,(H115/(B115+2)+J121+MAX(0,J122-J121)+MAX(0,J123-J122)+MAX(0,J124-J123)+MAX(0,J125-J124)+MAX(0,J126-J125)),IF(B115=1,(H115/(B115+3)+J126),IF(B115=0,H115/4+J126))))</f>
        <v>7</v>
      </c>
    </row>
    <row r="128" spans="1:10" x14ac:dyDescent="0.25">
      <c r="A128" s="122" t="s">
        <v>156</v>
      </c>
      <c r="B128" s="122"/>
      <c r="C128" s="122"/>
      <c r="D128" s="122"/>
      <c r="E128" s="122"/>
      <c r="F128" s="136" t="s">
        <v>161</v>
      </c>
      <c r="G128" s="136"/>
      <c r="H128" s="136"/>
    </row>
    <row r="129" spans="1:13" x14ac:dyDescent="0.25">
      <c r="A129" s="95" t="s">
        <v>159</v>
      </c>
      <c r="B129" s="95"/>
      <c r="C129" s="95"/>
      <c r="D129" s="95"/>
      <c r="E129" s="95"/>
      <c r="F129" s="94">
        <v>3500</v>
      </c>
      <c r="G129" s="94"/>
      <c r="H129" s="94"/>
      <c r="J129" s="19" t="s">
        <v>198</v>
      </c>
      <c r="K129" s="23">
        <v>45279</v>
      </c>
      <c r="L129" s="19" t="s">
        <v>199</v>
      </c>
      <c r="M129" s="19" t="s">
        <v>200</v>
      </c>
    </row>
    <row r="130" spans="1:13" hidden="1" x14ac:dyDescent="0.25">
      <c r="A130" s="95" t="s">
        <v>158</v>
      </c>
      <c r="B130" s="95"/>
      <c r="C130" s="95"/>
      <c r="D130" s="95"/>
      <c r="E130" s="95"/>
      <c r="F130" s="94"/>
      <c r="G130" s="94"/>
      <c r="H130" s="94"/>
    </row>
    <row r="131" spans="1:13" hidden="1" x14ac:dyDescent="0.25">
      <c r="A131" s="95" t="s">
        <v>160</v>
      </c>
      <c r="B131" s="95"/>
      <c r="C131" s="95"/>
      <c r="D131" s="95"/>
      <c r="E131" s="95"/>
      <c r="F131" s="94"/>
      <c r="G131" s="94"/>
      <c r="H131" s="94"/>
    </row>
    <row r="132" spans="1:13" s="31" customFormat="1" hidden="1" x14ac:dyDescent="0.25">
      <c r="A132" s="95" t="s">
        <v>157</v>
      </c>
      <c r="B132" s="95"/>
      <c r="C132" s="95"/>
      <c r="D132" s="95"/>
      <c r="E132" s="95"/>
      <c r="F132" s="94"/>
      <c r="G132" s="94"/>
      <c r="H132" s="94"/>
    </row>
    <row r="133" spans="1:13" s="31" customFormat="1" hidden="1" x14ac:dyDescent="0.25">
      <c r="A133" s="95" t="s">
        <v>92</v>
      </c>
      <c r="B133" s="95"/>
      <c r="C133" s="95"/>
      <c r="D133" s="95"/>
      <c r="E133" s="95"/>
      <c r="F133" s="94"/>
      <c r="G133" s="94"/>
      <c r="H133" s="94"/>
    </row>
    <row r="134" spans="1:13" s="31" customFormat="1" hidden="1" x14ac:dyDescent="0.25">
      <c r="A134" s="95" t="s">
        <v>93</v>
      </c>
      <c r="B134" s="95"/>
      <c r="C134" s="95"/>
      <c r="D134" s="95"/>
      <c r="E134" s="95"/>
      <c r="F134" s="94"/>
      <c r="G134" s="94"/>
      <c r="H134" s="94"/>
    </row>
    <row r="135" spans="1:13" s="31" customFormat="1" hidden="1" x14ac:dyDescent="0.25">
      <c r="A135" s="95" t="s">
        <v>162</v>
      </c>
      <c r="B135" s="95"/>
      <c r="C135" s="95"/>
      <c r="D135" s="95"/>
      <c r="E135" s="95"/>
      <c r="F135" s="94"/>
      <c r="G135" s="94"/>
      <c r="H135" s="94"/>
    </row>
    <row r="136" spans="1:13" s="31" customFormat="1" hidden="1" x14ac:dyDescent="0.25">
      <c r="A136" s="95" t="s">
        <v>94</v>
      </c>
      <c r="B136" s="95"/>
      <c r="C136" s="95"/>
      <c r="D136" s="95"/>
      <c r="E136" s="95"/>
      <c r="F136" s="94"/>
      <c r="G136" s="94"/>
      <c r="H136" s="94"/>
    </row>
    <row r="137" spans="1:13" s="31" customFormat="1" hidden="1" x14ac:dyDescent="0.25">
      <c r="A137" s="95" t="s">
        <v>95</v>
      </c>
      <c r="B137" s="95"/>
      <c r="C137" s="95"/>
      <c r="D137" s="95"/>
      <c r="E137" s="95"/>
      <c r="F137" s="94"/>
      <c r="G137" s="94"/>
      <c r="H137" s="94"/>
    </row>
    <row r="138" spans="1:13" s="31" customFormat="1" hidden="1" x14ac:dyDescent="0.25">
      <c r="A138" s="95" t="s">
        <v>96</v>
      </c>
      <c r="B138" s="95"/>
      <c r="C138" s="95"/>
      <c r="D138" s="95"/>
      <c r="E138" s="95"/>
      <c r="F138" s="94"/>
      <c r="G138" s="94"/>
      <c r="H138" s="94"/>
    </row>
    <row r="139" spans="1:13" s="31" customFormat="1" hidden="1" x14ac:dyDescent="0.25">
      <c r="A139" s="95" t="s">
        <v>97</v>
      </c>
      <c r="B139" s="95"/>
      <c r="C139" s="95"/>
      <c r="D139" s="95"/>
      <c r="E139" s="95"/>
      <c r="F139" s="94"/>
      <c r="G139" s="94"/>
      <c r="H139" s="94"/>
    </row>
    <row r="140" spans="1:13" x14ac:dyDescent="0.25">
      <c r="A140" s="95" t="s">
        <v>50</v>
      </c>
      <c r="B140" s="95"/>
      <c r="C140" s="95"/>
      <c r="D140" s="95"/>
      <c r="E140" s="95"/>
      <c r="F140" s="94">
        <v>100000</v>
      </c>
      <c r="G140" s="94"/>
      <c r="H140" s="94"/>
    </row>
    <row r="141" spans="1:13" s="32" customFormat="1" x14ac:dyDescent="0.25">
      <c r="A141" s="100" t="s">
        <v>51</v>
      </c>
      <c r="B141" s="100"/>
      <c r="C141" s="100"/>
      <c r="D141" s="100"/>
      <c r="E141" s="100"/>
      <c r="F141" s="94">
        <f>F129*0.8</f>
        <v>2800</v>
      </c>
      <c r="G141" s="94"/>
      <c r="H141" s="94"/>
    </row>
    <row r="142" spans="1:13" s="33" customFormat="1" ht="15.75" hidden="1" customHeight="1" x14ac:dyDescent="0.25">
      <c r="A142" s="152" t="s">
        <v>73</v>
      </c>
      <c r="B142" s="152"/>
      <c r="C142" s="152"/>
      <c r="D142" s="152"/>
      <c r="E142" s="152"/>
      <c r="F142" s="152"/>
      <c r="G142" s="152"/>
      <c r="H142" s="152"/>
    </row>
    <row r="143" spans="1:13" s="33" customFormat="1" ht="15.75" hidden="1" customHeight="1" x14ac:dyDescent="0.25">
      <c r="A143" s="106" t="s">
        <v>52</v>
      </c>
      <c r="B143" s="106"/>
      <c r="C143" s="105" t="s">
        <v>76</v>
      </c>
      <c r="D143" s="105"/>
      <c r="E143" s="142" t="s">
        <v>53</v>
      </c>
      <c r="F143" s="142"/>
      <c r="G143" s="106" t="s">
        <v>54</v>
      </c>
      <c r="H143" s="106"/>
    </row>
    <row r="144" spans="1:13" s="33" customFormat="1" hidden="1" x14ac:dyDescent="0.25">
      <c r="A144" s="143"/>
      <c r="B144" s="143"/>
      <c r="C144" s="145"/>
      <c r="D144" s="145"/>
      <c r="E144" s="146"/>
      <c r="F144" s="146"/>
      <c r="G144" s="147"/>
      <c r="H144" s="147"/>
    </row>
    <row r="145" spans="1:14" s="33" customFormat="1" hidden="1" x14ac:dyDescent="0.25">
      <c r="A145" s="143"/>
      <c r="B145" s="143"/>
      <c r="C145" s="145"/>
      <c r="D145" s="145"/>
      <c r="E145" s="146"/>
      <c r="F145" s="146"/>
      <c r="G145" s="147"/>
      <c r="H145" s="147"/>
    </row>
    <row r="146" spans="1:14" s="33" customFormat="1" hidden="1" x14ac:dyDescent="0.25">
      <c r="A146" s="152" t="s">
        <v>150</v>
      </c>
      <c r="B146" s="152"/>
      <c r="C146" s="105"/>
      <c r="D146" s="105"/>
      <c r="E146" s="142"/>
      <c r="F146" s="142"/>
      <c r="G146" s="106"/>
      <c r="H146" s="106"/>
    </row>
    <row r="147" spans="1:14" s="33" customFormat="1" x14ac:dyDescent="0.25">
      <c r="A147" s="152" t="s">
        <v>67</v>
      </c>
      <c r="B147" s="152"/>
      <c r="C147" s="152"/>
      <c r="D147" s="152"/>
      <c r="E147" s="152"/>
      <c r="F147" s="152"/>
      <c r="G147" s="152"/>
      <c r="H147" s="152"/>
    </row>
    <row r="148" spans="1:14" s="33" customFormat="1" ht="15.75" customHeight="1" x14ac:dyDescent="0.25">
      <c r="A148" s="106" t="s">
        <v>52</v>
      </c>
      <c r="B148" s="106"/>
      <c r="C148" s="105" t="s">
        <v>76</v>
      </c>
      <c r="D148" s="105"/>
      <c r="E148" s="142" t="s">
        <v>53</v>
      </c>
      <c r="F148" s="142"/>
      <c r="G148" s="106" t="s">
        <v>54</v>
      </c>
      <c r="H148" s="106"/>
    </row>
    <row r="149" spans="1:14" s="33" customFormat="1" x14ac:dyDescent="0.25">
      <c r="A149" s="107" t="s">
        <v>194</v>
      </c>
      <c r="B149" s="107"/>
      <c r="C149" s="103">
        <f>COUNT(D167:D168)+COUNT(D170:D175)*4+COUNT(D177:D182)*3</f>
        <v>44</v>
      </c>
      <c r="D149" s="103"/>
      <c r="E149" s="104">
        <f>SUM(D167:D168)+SUM(D170:D175)*4+SUM(D177:D182)*3</f>
        <v>18833.439268800001</v>
      </c>
      <c r="F149" s="104"/>
      <c r="G149" s="104">
        <f>SUM(F167:F168)+SUM(F170:F175)*4+SUM(F177:F182)*3</f>
        <v>30199.545136799992</v>
      </c>
      <c r="H149" s="104"/>
    </row>
    <row r="150" spans="1:14" s="33" customFormat="1" x14ac:dyDescent="0.25">
      <c r="A150" s="107" t="s">
        <v>195</v>
      </c>
      <c r="B150" s="107"/>
      <c r="C150" s="104">
        <f>COUNT(D186:D190)*4+COUNT(D192:D196)*3</f>
        <v>35</v>
      </c>
      <c r="D150" s="104"/>
      <c r="E150" s="104">
        <f>SUM(D186:D190)*4+SUM(D192:D196)*3</f>
        <v>14524.078327199995</v>
      </c>
      <c r="F150" s="104"/>
      <c r="G150" s="104">
        <f>SUM(F186:F190)*4+SUM(F192:F196)*3</f>
        <v>23406.400882799993</v>
      </c>
      <c r="H150" s="104"/>
    </row>
    <row r="151" spans="1:14" s="33" customFormat="1" x14ac:dyDescent="0.25">
      <c r="A151" s="107" t="s">
        <v>196</v>
      </c>
      <c r="B151" s="107"/>
      <c r="C151" s="103">
        <f>COUNT(D200:D206)+COUNT(D208:D213)+COUNT(D215:D220)+COUNT(D222:D226)+COUNT(D228:D231)+COUNT(D233:D238)+COUNT(D240:D245)</f>
        <v>40</v>
      </c>
      <c r="D151" s="103"/>
      <c r="E151" s="104">
        <f>SUM(D200:D206)+SUM(D208:D213)+SUM(D215:D220)+SUM(D222:D226)+SUM(D228:D231)+SUM(D233:D238)+SUM(D240:D245)</f>
        <v>19816.017015599995</v>
      </c>
      <c r="F151" s="104"/>
      <c r="G151" s="104">
        <f>SUM(F200:F206)+SUM(F208:F213)+SUM(F215:F220)+SUM(F222:F226)+SUM(F228:F231)+SUM(F233:F238)+SUM(F240:F245)</f>
        <v>31757.405401799992</v>
      </c>
      <c r="H151" s="104"/>
    </row>
    <row r="152" spans="1:14" s="33" customFormat="1" x14ac:dyDescent="0.25">
      <c r="A152" s="149" t="s">
        <v>150</v>
      </c>
      <c r="B152" s="149"/>
      <c r="C152" s="182">
        <f>SUM(C149:C151)</f>
        <v>119</v>
      </c>
      <c r="D152" s="183"/>
      <c r="E152" s="150">
        <f>SUM(E149:E151)</f>
        <v>53173.534611599993</v>
      </c>
      <c r="F152" s="151"/>
      <c r="G152" s="144">
        <f>SUM(G149:G151)</f>
        <v>85363.351421399973</v>
      </c>
      <c r="H152" s="144"/>
    </row>
    <row r="153" spans="1:14" s="32" customFormat="1" x14ac:dyDescent="0.25">
      <c r="A153" s="148" t="s">
        <v>229</v>
      </c>
      <c r="B153" s="148"/>
      <c r="C153" s="148"/>
      <c r="D153" s="148"/>
      <c r="E153" s="148"/>
      <c r="F153" s="148"/>
      <c r="G153" s="148"/>
      <c r="H153" s="148"/>
    </row>
    <row r="154" spans="1:14" x14ac:dyDescent="0.25">
      <c r="A154" s="148" t="s">
        <v>230</v>
      </c>
      <c r="B154" s="148"/>
      <c r="C154" s="148"/>
      <c r="D154" s="148"/>
      <c r="E154" s="148"/>
      <c r="F154" s="148"/>
      <c r="G154" s="148"/>
      <c r="H154" s="148"/>
    </row>
    <row r="155" spans="1:14" ht="47.25" hidden="1" customHeight="1" x14ac:dyDescent="0.25">
      <c r="A155" s="96" t="s">
        <v>118</v>
      </c>
      <c r="B155" s="96" t="s">
        <v>117</v>
      </c>
      <c r="C155" s="96" t="s">
        <v>55</v>
      </c>
      <c r="D155" s="96" t="s">
        <v>56</v>
      </c>
      <c r="E155" s="111" t="s">
        <v>155</v>
      </c>
      <c r="F155" s="40" t="s">
        <v>149</v>
      </c>
      <c r="G155" s="113" t="s">
        <v>57</v>
      </c>
      <c r="H155" s="114"/>
    </row>
    <row r="156" spans="1:14" s="43" customFormat="1" hidden="1" x14ac:dyDescent="0.25">
      <c r="A156" s="97"/>
      <c r="B156" s="97"/>
      <c r="C156" s="97"/>
      <c r="D156" s="97"/>
      <c r="E156" s="112"/>
      <c r="F156" s="13">
        <v>0.6</v>
      </c>
      <c r="G156" s="115"/>
      <c r="H156" s="116"/>
    </row>
    <row r="157" spans="1:14" s="43" customFormat="1" hidden="1" x14ac:dyDescent="0.25">
      <c r="A157" s="108" t="s">
        <v>116</v>
      </c>
      <c r="B157" s="109"/>
      <c r="C157" s="109"/>
      <c r="D157" s="109"/>
      <c r="E157" s="109"/>
      <c r="F157" s="109"/>
      <c r="G157" s="109"/>
      <c r="H157" s="110"/>
      <c r="J157" s="34"/>
    </row>
    <row r="158" spans="1:14" s="43" customFormat="1" hidden="1" x14ac:dyDescent="0.25">
      <c r="A158" s="125">
        <v>1</v>
      </c>
      <c r="B158" s="126"/>
      <c r="C158" s="39"/>
      <c r="D158" s="39"/>
      <c r="E158" s="39">
        <v>0</v>
      </c>
      <c r="F158" s="39">
        <f>(D158+E158)*(($F$156)+1)</f>
        <v>0</v>
      </c>
      <c r="G158" s="125" t="str">
        <f>A157</f>
        <v>Ground Floor</v>
      </c>
      <c r="H158" s="126"/>
      <c r="I158" s="34"/>
      <c r="L158" s="117"/>
      <c r="M158" s="117"/>
      <c r="N158" s="34"/>
    </row>
    <row r="159" spans="1:14" s="43" customFormat="1" hidden="1" x14ac:dyDescent="0.25">
      <c r="A159" s="125">
        <f t="shared" ref="A159:A161" si="0">A158+1</f>
        <v>2</v>
      </c>
      <c r="B159" s="126"/>
      <c r="C159" s="39"/>
      <c r="D159" s="39"/>
      <c r="E159" s="39">
        <v>0</v>
      </c>
      <c r="F159" s="39">
        <f t="shared" ref="F159:F161" si="1">(D159+E159)*(($F$156)+1)</f>
        <v>0</v>
      </c>
      <c r="G159" s="125" t="str">
        <f t="shared" ref="G159:G161" si="2">G158</f>
        <v>Ground Floor</v>
      </c>
      <c r="H159" s="126"/>
      <c r="I159" s="34"/>
      <c r="L159" s="117"/>
      <c r="M159" s="117"/>
      <c r="N159" s="34"/>
    </row>
    <row r="160" spans="1:14" s="43" customFormat="1" hidden="1" x14ac:dyDescent="0.25">
      <c r="A160" s="125">
        <f t="shared" si="0"/>
        <v>3</v>
      </c>
      <c r="B160" s="126"/>
      <c r="C160" s="39"/>
      <c r="D160" s="39"/>
      <c r="E160" s="39">
        <v>0</v>
      </c>
      <c r="F160" s="39">
        <f t="shared" si="1"/>
        <v>0</v>
      </c>
      <c r="G160" s="125" t="str">
        <f t="shared" si="2"/>
        <v>Ground Floor</v>
      </c>
      <c r="H160" s="126"/>
      <c r="I160" s="34"/>
      <c r="L160" s="117"/>
      <c r="M160" s="117"/>
      <c r="N160" s="34"/>
    </row>
    <row r="161" spans="1:14" s="43" customFormat="1" hidden="1" x14ac:dyDescent="0.25">
      <c r="A161" s="125">
        <f t="shared" si="0"/>
        <v>4</v>
      </c>
      <c r="B161" s="126"/>
      <c r="C161" s="39"/>
      <c r="D161" s="39"/>
      <c r="E161" s="39">
        <v>0</v>
      </c>
      <c r="F161" s="39">
        <f t="shared" si="1"/>
        <v>0</v>
      </c>
      <c r="G161" s="125" t="str">
        <f t="shared" si="2"/>
        <v>Ground Floor</v>
      </c>
      <c r="H161" s="126"/>
      <c r="I161" s="34"/>
      <c r="L161" s="117"/>
      <c r="M161" s="117"/>
      <c r="N161" s="34"/>
    </row>
    <row r="162" spans="1:14" s="43" customFormat="1" hidden="1" x14ac:dyDescent="0.25">
      <c r="A162" s="125"/>
      <c r="B162" s="180"/>
      <c r="C162" s="180"/>
      <c r="D162" s="180"/>
      <c r="E162" s="180"/>
      <c r="F162" s="180"/>
      <c r="G162" s="180"/>
      <c r="H162" s="126"/>
      <c r="I162" s="34"/>
      <c r="N162" s="34"/>
    </row>
    <row r="163" spans="1:14" ht="47.25" customHeight="1" x14ac:dyDescent="0.25">
      <c r="A163" s="113" t="s">
        <v>119</v>
      </c>
      <c r="B163" s="113" t="s">
        <v>120</v>
      </c>
      <c r="C163" s="96" t="s">
        <v>55</v>
      </c>
      <c r="D163" s="96" t="s">
        <v>56</v>
      </c>
      <c r="E163" s="111" t="s">
        <v>183</v>
      </c>
      <c r="F163" s="40" t="s">
        <v>149</v>
      </c>
      <c r="G163" s="113" t="s">
        <v>57</v>
      </c>
      <c r="H163" s="114"/>
      <c r="I163" s="34"/>
    </row>
    <row r="164" spans="1:14" s="43" customFormat="1" x14ac:dyDescent="0.25">
      <c r="A164" s="115"/>
      <c r="B164" s="115"/>
      <c r="C164" s="97"/>
      <c r="D164" s="97"/>
      <c r="E164" s="112"/>
      <c r="F164" s="13">
        <v>0.5</v>
      </c>
      <c r="G164" s="115"/>
      <c r="H164" s="116"/>
      <c r="I164" s="34"/>
    </row>
    <row r="165" spans="1:14" s="43" customFormat="1" x14ac:dyDescent="0.25">
      <c r="A165" s="108" t="s">
        <v>194</v>
      </c>
      <c r="B165" s="109"/>
      <c r="C165" s="109"/>
      <c r="D165" s="109"/>
      <c r="E165" s="109"/>
      <c r="F165" s="109"/>
      <c r="G165" s="109"/>
      <c r="H165" s="110"/>
      <c r="J165" s="34"/>
    </row>
    <row r="166" spans="1:14" s="43" customFormat="1" x14ac:dyDescent="0.25">
      <c r="A166" s="127" t="s">
        <v>216</v>
      </c>
      <c r="B166" s="128"/>
      <c r="C166" s="128"/>
      <c r="D166" s="128"/>
      <c r="E166" s="128"/>
      <c r="F166" s="128"/>
      <c r="G166" s="128"/>
      <c r="H166" s="129"/>
      <c r="J166" s="48">
        <v>10.763999999999999</v>
      </c>
    </row>
    <row r="167" spans="1:14" s="43" customFormat="1" ht="15.75" customHeight="1" x14ac:dyDescent="0.25">
      <c r="A167" s="125">
        <v>1</v>
      </c>
      <c r="B167" s="126"/>
      <c r="C167" s="39" t="s">
        <v>180</v>
      </c>
      <c r="D167" s="48">
        <f>(2.74*4.26+2.59*2.35+2.74*3.36+1.22*1.52+1.22*0.91+0.9*1.22+1.1*1.22+0.75*(2.74+2.59))*10.764</f>
        <v>391.45869359999995</v>
      </c>
      <c r="E167" s="48">
        <f>(1.2*2.74)*10.764</f>
        <v>35.392032</v>
      </c>
      <c r="F167" s="39">
        <f>D167*(($F$164)+1)+(IF(E167&lt;101,E167,IF(E167&lt;201,E167/2,IF(E167&lt;=301,E167/3,E167/4))))</f>
        <v>622.58007239999984</v>
      </c>
      <c r="G167" s="60" t="str">
        <f>A166</f>
        <v>Ground Floor For Residential &amp; Parking</v>
      </c>
      <c r="H167" s="61"/>
      <c r="I167" s="34">
        <f>2.74*4.26+2.59*2.35+2.74*3.36+1.22*1.52+1.22*0.91+0.9*2.59+1.2*2.74+0.75*(2.74+2.59)</f>
        <v>39.546400000000006</v>
      </c>
      <c r="L167" s="117"/>
      <c r="M167" s="117"/>
      <c r="N167" s="34"/>
    </row>
    <row r="168" spans="1:14" s="43" customFormat="1" ht="15.75" customHeight="1" x14ac:dyDescent="0.25">
      <c r="A168" s="125">
        <f t="shared" ref="A168" si="3">A167+1</f>
        <v>2</v>
      </c>
      <c r="B168" s="126"/>
      <c r="C168" s="39" t="s">
        <v>180</v>
      </c>
      <c r="D168" s="48">
        <f t="shared" ref="D168" si="4">(2.74*4.26+2.59*2.35+2.74*3.36+1.22*1.52+1.22*0.91+0.9*1.22+1.1*1.22+0.75*(2.74+2.59))*10.764</f>
        <v>391.45869359999995</v>
      </c>
      <c r="E168" s="48">
        <f>(1.2*2.74)*10.764</f>
        <v>35.392032</v>
      </c>
      <c r="F168" s="39">
        <f>D168*(($F$164)+1)+(IF(E168&lt;101,E168,IF(E168&lt;201,E168/2,IF(E168&lt;=301,E168/3,E168/4))))</f>
        <v>622.58007239999984</v>
      </c>
      <c r="G168" s="123"/>
      <c r="H168" s="124"/>
      <c r="I168" s="34"/>
      <c r="L168" s="117"/>
      <c r="M168" s="117"/>
      <c r="N168" s="34"/>
    </row>
    <row r="169" spans="1:14" s="43" customFormat="1" x14ac:dyDescent="0.25">
      <c r="A169" s="130" t="s">
        <v>217</v>
      </c>
      <c r="B169" s="130"/>
      <c r="C169" s="130"/>
      <c r="D169" s="130"/>
      <c r="E169" s="130"/>
      <c r="F169" s="130"/>
      <c r="G169" s="130"/>
      <c r="H169" s="130"/>
      <c r="I169" s="34"/>
      <c r="L169" s="117"/>
      <c r="M169" s="117"/>
    </row>
    <row r="170" spans="1:14" s="43" customFormat="1" ht="15.75" customHeight="1" x14ac:dyDescent="0.25">
      <c r="A170" s="59">
        <v>1</v>
      </c>
      <c r="B170" s="59"/>
      <c r="C170" s="39" t="s">
        <v>180</v>
      </c>
      <c r="D170" s="48">
        <f>(2.74*4.26+2.59*2.35+2.74*3.36+1.22*1.52+1.22*0.91+0.9*1.22+1.1*1.22+0.75*(2.74+2.59))*10.764</f>
        <v>391.45869359999995</v>
      </c>
      <c r="E170" s="48">
        <f>(1.52*2.74)*10.764</f>
        <v>44.829907200000001</v>
      </c>
      <c r="F170" s="39">
        <f t="shared" ref="F170:F171" si="5">D170*(($F$164)+1)+(IF(E170&lt;101,E170,IF(E170&lt;201,E170/2,IF(E170&lt;=301,E170/3,E170/4))))</f>
        <v>632.01794759999984</v>
      </c>
      <c r="G170" s="60" t="str">
        <f>A169</f>
        <v xml:space="preserve">1st, 3rd, 5th &amp; 7th Floor For Residential </v>
      </c>
      <c r="H170" s="61"/>
      <c r="I170" s="34"/>
      <c r="N170" s="34"/>
    </row>
    <row r="171" spans="1:14" s="43" customFormat="1" ht="15.75" customHeight="1" x14ac:dyDescent="0.25">
      <c r="A171" s="59">
        <f>A170+1</f>
        <v>2</v>
      </c>
      <c r="B171" s="59"/>
      <c r="C171" s="39" t="s">
        <v>181</v>
      </c>
      <c r="D171" s="48">
        <f>(2.7*4.25+2.59*2.75+1.25*1.82+2.75*2.75+3.05*2.63+1.22*1.82+1.22*1.82+0.9*0.9+0.75*(2.59+2.75+1.8))*10.764</f>
        <v>506.57859719999988</v>
      </c>
      <c r="E171" s="48">
        <f>(1.52*2.7)*10.764</f>
        <v>44.175455999999997</v>
      </c>
      <c r="F171" s="39">
        <f t="shared" si="5"/>
        <v>804.04335179999975</v>
      </c>
      <c r="G171" s="62"/>
      <c r="H171" s="63"/>
      <c r="I171" s="34">
        <f>2.7*4.25+1.4*1.82+2.59*2.75+2.75*2.75+3.05*2.63+1.22*1.82+1.22*1.82+0.9*1.22</f>
        <v>42.268299999999996</v>
      </c>
      <c r="J171" s="34">
        <f>0.75*(2.59+2.75+1.8)</f>
        <v>5.3549999999999995</v>
      </c>
      <c r="K171" s="34">
        <f>I171+J171</f>
        <v>47.623299999999993</v>
      </c>
      <c r="N171" s="34"/>
    </row>
    <row r="172" spans="1:14" s="43" customFormat="1" ht="15.75" customHeight="1" x14ac:dyDescent="0.25">
      <c r="A172" s="59">
        <f>A171+1</f>
        <v>3</v>
      </c>
      <c r="B172" s="59"/>
      <c r="C172" s="39" t="s">
        <v>181</v>
      </c>
      <c r="D172" s="48">
        <f>(2.7*4.25+2.59*2.75+1.25*1.82+2.75*2.75+3.05*2.63+1.22*1.82+1.22*1.82+0.9*0.9+0.75*(2.59+2.75+1.8))*10.764</f>
        <v>506.57859719999988</v>
      </c>
      <c r="E172" s="48">
        <f>(1.52*2.7)*10.764</f>
        <v>44.175455999999997</v>
      </c>
      <c r="F172" s="39">
        <f>D172*(($F$164)+1)+(IF(E172&lt;101,E172,IF(E172&lt;201,E172/2,IF(E172&lt;=301,E172/3,E172/4))))</f>
        <v>804.04335179999975</v>
      </c>
      <c r="G172" s="62"/>
      <c r="H172" s="63"/>
      <c r="I172" s="34">
        <f>2200000/F172</f>
        <v>2736.1708732183324</v>
      </c>
      <c r="N172" s="34"/>
    </row>
    <row r="173" spans="1:14" s="43" customFormat="1" ht="15.75" customHeight="1" x14ac:dyDescent="0.25">
      <c r="A173" s="59">
        <f>A172+1</f>
        <v>4</v>
      </c>
      <c r="B173" s="59"/>
      <c r="C173" s="39" t="s">
        <v>180</v>
      </c>
      <c r="D173" s="48">
        <f>(2.74*4.26+2.59*2.35+2.74*3.36+1.22*1.52+1.22*0.91+0.9*1.22+1.1*1.22+0.75*(2.74+2.59))*10.764</f>
        <v>391.45869359999995</v>
      </c>
      <c r="E173" s="48">
        <f>(1.52*2.74)*10.764</f>
        <v>44.829907200000001</v>
      </c>
      <c r="F173" s="39">
        <f>D173*(($F$164)+1)+(IF(E173&lt;101,E173,IF(E173&lt;201,E173/2,IF(E173&lt;=301,E173/3,E173/4))))</f>
        <v>632.01794759999984</v>
      </c>
      <c r="G173" s="62"/>
      <c r="H173" s="63"/>
      <c r="I173" s="34"/>
      <c r="N173" s="34"/>
    </row>
    <row r="174" spans="1:14" s="43" customFormat="1" ht="15.75" customHeight="1" x14ac:dyDescent="0.25">
      <c r="A174" s="59">
        <f>A173+1</f>
        <v>5</v>
      </c>
      <c r="B174" s="59"/>
      <c r="C174" s="39" t="s">
        <v>180</v>
      </c>
      <c r="D174" s="48">
        <f>(2.74*4.26+2.59*2.35+2.74*3.36+1.22*1.52+1.22*0.91+0.9*1.22+1.1*1.22+0.75*(2.74+2.59))*10.764</f>
        <v>391.45869359999995</v>
      </c>
      <c r="E174" s="48">
        <f>(1.52*2.74)*10.764</f>
        <v>44.829907200000001</v>
      </c>
      <c r="F174" s="39">
        <f>D174*(($F$164)+1)+(IF(E174&lt;101,E174,IF(E174&lt;201,E174/2,IF(E174&lt;=301,E174/3,E174/4))))</f>
        <v>632.01794759999984</v>
      </c>
      <c r="G174" s="62"/>
      <c r="H174" s="63"/>
      <c r="I174" s="34"/>
      <c r="N174" s="34"/>
    </row>
    <row r="175" spans="1:14" s="43" customFormat="1" ht="15.75" customHeight="1" x14ac:dyDescent="0.25">
      <c r="A175" s="59">
        <f>A174+1</f>
        <v>6</v>
      </c>
      <c r="B175" s="59"/>
      <c r="C175" s="39" t="s">
        <v>180</v>
      </c>
      <c r="D175" s="48">
        <f>(2.74*4.26+2.59*2.35+2.74*3.36+1.22*1.52+1.22*0.91+0.9*1.22+1.1*1.22+0.75*(2.74+2.59))*10.764</f>
        <v>391.45869359999995</v>
      </c>
      <c r="E175" s="48">
        <f>(1.52*2.74)*10.764</f>
        <v>44.829907200000001</v>
      </c>
      <c r="F175" s="39">
        <f>D175*(($F$164)+1)+(IF(E175&lt;101,E175,IF(E175&lt;201,E175/2,IF(E175&lt;=301,E175/3,E175/4))))</f>
        <v>632.01794759999984</v>
      </c>
      <c r="G175" s="123"/>
      <c r="H175" s="124"/>
      <c r="I175" s="34"/>
      <c r="N175" s="34"/>
    </row>
    <row r="176" spans="1:14" s="43" customFormat="1" x14ac:dyDescent="0.25">
      <c r="A176" s="130" t="s">
        <v>182</v>
      </c>
      <c r="B176" s="130"/>
      <c r="C176" s="130"/>
      <c r="D176" s="130"/>
      <c r="E176" s="130"/>
      <c r="F176" s="130"/>
      <c r="G176" s="130"/>
      <c r="H176" s="130"/>
      <c r="I176" s="34"/>
      <c r="L176" s="117"/>
      <c r="M176" s="117"/>
    </row>
    <row r="177" spans="1:14" s="43" customFormat="1" ht="15.75" customHeight="1" x14ac:dyDescent="0.25">
      <c r="A177" s="59">
        <v>1</v>
      </c>
      <c r="B177" s="59"/>
      <c r="C177" s="39" t="s">
        <v>180</v>
      </c>
      <c r="D177" s="48">
        <f>(2.74*4.26+2.59*2.35+2.74*3.36+1.22*1.52+1.22*0.91+0.9*1.22+1.1*1.22+0.75*(2.74+2.59))*10.764</f>
        <v>391.45869359999995</v>
      </c>
      <c r="E177" s="48">
        <f>(1.52*2.74)*10.764</f>
        <v>44.829907200000001</v>
      </c>
      <c r="F177" s="39">
        <f t="shared" ref="F177:F178" si="6">D177*(($F$164)+1)+(IF(E177&lt;101,E177,IF(E177&lt;201,E177/2,IF(E177&lt;=301,E177/3,E177/4))))</f>
        <v>632.01794759999984</v>
      </c>
      <c r="G177" s="60" t="str">
        <f>A176</f>
        <v>2nd, 4th &amp; 6th Floor</v>
      </c>
      <c r="H177" s="61"/>
      <c r="I177" s="34"/>
      <c r="N177" s="34"/>
    </row>
    <row r="178" spans="1:14" s="43" customFormat="1" ht="15.75" customHeight="1" x14ac:dyDescent="0.25">
      <c r="A178" s="59">
        <f>A177+1</f>
        <v>2</v>
      </c>
      <c r="B178" s="59"/>
      <c r="C178" s="39" t="s">
        <v>181</v>
      </c>
      <c r="D178" s="48">
        <f>(2.7*4.25+2.59*2.75+1.25*1.82+2.75*2.75+3.05*2.63+1.22*1.82+1.22*1.82+0.9*0.9+0.75*(2.59+2.7+1.8))*10.764</f>
        <v>506.17494719999996</v>
      </c>
      <c r="E178" s="48">
        <f>(1.52*2.75)*10.764</f>
        <v>44.993519999999997</v>
      </c>
      <c r="F178" s="39">
        <f t="shared" si="6"/>
        <v>804.25594079999996</v>
      </c>
      <c r="G178" s="62"/>
      <c r="H178" s="63"/>
      <c r="I178" s="34"/>
      <c r="J178" s="34"/>
      <c r="K178" s="34"/>
      <c r="N178" s="34"/>
    </row>
    <row r="179" spans="1:14" s="43" customFormat="1" ht="15.75" customHeight="1" x14ac:dyDescent="0.25">
      <c r="A179" s="59">
        <f>A178+1</f>
        <v>3</v>
      </c>
      <c r="B179" s="59"/>
      <c r="C179" s="39" t="s">
        <v>181</v>
      </c>
      <c r="D179" s="48">
        <f>(2.7*4.25+2.59*2.75+1.25*1.82+2.75*2.75+3.05*2.63+1.22*1.82+1.22*1.82+0.9*0.9+0.75*(2.59+2.7+1.8))*10.764</f>
        <v>506.17494719999996</v>
      </c>
      <c r="E179" s="48">
        <f>(1.52*2.75)*10.764</f>
        <v>44.993519999999997</v>
      </c>
      <c r="F179" s="39">
        <f>D179*(($F$164)+1)+(IF(E179&lt;101,E179,IF(E179&lt;201,E179/2,IF(E179&lt;=301,E179/3,E179/4))))</f>
        <v>804.25594079999996</v>
      </c>
      <c r="G179" s="62"/>
      <c r="H179" s="63"/>
      <c r="I179" s="34">
        <f>2595000/F179</f>
        <v>3226.5848075908925</v>
      </c>
      <c r="N179" s="34"/>
    </row>
    <row r="180" spans="1:14" s="43" customFormat="1" ht="15.75" customHeight="1" x14ac:dyDescent="0.25">
      <c r="A180" s="59">
        <f>A179+1</f>
        <v>4</v>
      </c>
      <c r="B180" s="59"/>
      <c r="C180" s="39" t="s">
        <v>180</v>
      </c>
      <c r="D180" s="48">
        <f>(2.74*4.26+2.59*2.35+2.74*3.36+1.22*1.52+1.22*0.91+0.9*1.22+1.1*1.22+0.75*(2.74+2.59))*10.764</f>
        <v>391.45869359999995</v>
      </c>
      <c r="E180" s="48">
        <f>(1.52*2.74)*10.764</f>
        <v>44.829907200000001</v>
      </c>
      <c r="F180" s="39">
        <f>D180*(($F$164)+1)+(IF(E180&lt;101,E180,IF(E180&lt;201,E180/2,IF(E180&lt;=301,E180/3,E180/4))))</f>
        <v>632.01794759999984</v>
      </c>
      <c r="G180" s="62"/>
      <c r="H180" s="63"/>
      <c r="I180" s="34"/>
      <c r="N180" s="34"/>
    </row>
    <row r="181" spans="1:14" s="43" customFormat="1" ht="15.75" customHeight="1" x14ac:dyDescent="0.25">
      <c r="A181" s="59">
        <f>A180+1</f>
        <v>5</v>
      </c>
      <c r="B181" s="59"/>
      <c r="C181" s="39" t="s">
        <v>180</v>
      </c>
      <c r="D181" s="48">
        <f>(2.74*4.26+2.59*2.35+2.74*3.36+1.22*1.52+1.22*0.91+0.9*1.22+1.1*1.22+0.75*(2.74+2.59))*10.764</f>
        <v>391.45869359999995</v>
      </c>
      <c r="E181" s="48">
        <f>(1.52*2.74)*10.764</f>
        <v>44.829907200000001</v>
      </c>
      <c r="F181" s="39">
        <f>D181*(($F$164)+1)+(IF(E181&lt;101,E181,IF(E181&lt;201,E181/2,IF(E181&lt;=301,E181/3,E181/4))))</f>
        <v>632.01794759999984</v>
      </c>
      <c r="G181" s="62"/>
      <c r="H181" s="63"/>
      <c r="I181" s="34"/>
      <c r="N181" s="34"/>
    </row>
    <row r="182" spans="1:14" s="43" customFormat="1" ht="15.75" customHeight="1" x14ac:dyDescent="0.25">
      <c r="A182" s="59">
        <f>A181+1</f>
        <v>6</v>
      </c>
      <c r="B182" s="59"/>
      <c r="C182" s="39" t="s">
        <v>180</v>
      </c>
      <c r="D182" s="48">
        <f>(2.74*4.26+2.59*2.35+2.74*3.36+1.22*1.52+1.22*0.91+0.9*1.22+1.1*1.22+0.75*(2.74+2.59))*10.764</f>
        <v>391.45869359999995</v>
      </c>
      <c r="E182" s="48">
        <f>(1.52*2.74)*10.764</f>
        <v>44.829907200000001</v>
      </c>
      <c r="F182" s="39">
        <f>D182*(($F$164)+1)+(IF(E182&lt;101,E182,IF(E182&lt;201,E182/2,IF(E182&lt;=301,E182/3,E182/4))))</f>
        <v>632.01794759999984</v>
      </c>
      <c r="G182" s="123"/>
      <c r="H182" s="124"/>
      <c r="I182" s="34"/>
      <c r="N182" s="34"/>
    </row>
    <row r="183" spans="1:14" s="43" customFormat="1" x14ac:dyDescent="0.25">
      <c r="A183" s="127" t="s">
        <v>195</v>
      </c>
      <c r="B183" s="128"/>
      <c r="C183" s="128"/>
      <c r="D183" s="128"/>
      <c r="E183" s="128"/>
      <c r="F183" s="128"/>
      <c r="G183" s="128"/>
      <c r="H183" s="129"/>
      <c r="J183" s="34"/>
    </row>
    <row r="184" spans="1:14" s="43" customFormat="1" x14ac:dyDescent="0.25">
      <c r="A184" s="108" t="s">
        <v>218</v>
      </c>
      <c r="B184" s="109"/>
      <c r="C184" s="109"/>
      <c r="D184" s="109"/>
      <c r="E184" s="109"/>
      <c r="F184" s="109"/>
      <c r="G184" s="109"/>
      <c r="H184" s="110"/>
      <c r="J184" s="48">
        <v>10.763999999999999</v>
      </c>
    </row>
    <row r="185" spans="1:14" s="43" customFormat="1" x14ac:dyDescent="0.25">
      <c r="A185" s="67" t="s">
        <v>219</v>
      </c>
      <c r="B185" s="67"/>
      <c r="C185" s="67"/>
      <c r="D185" s="67"/>
      <c r="E185" s="67"/>
      <c r="F185" s="67"/>
      <c r="G185" s="67"/>
      <c r="H185" s="67"/>
      <c r="I185" s="34"/>
      <c r="L185" s="117"/>
      <c r="M185" s="117"/>
    </row>
    <row r="186" spans="1:14" s="43" customFormat="1" ht="15.75" customHeight="1" x14ac:dyDescent="0.25">
      <c r="A186" s="59">
        <v>1</v>
      </c>
      <c r="B186" s="59"/>
      <c r="C186" s="39" t="s">
        <v>180</v>
      </c>
      <c r="D186" s="48">
        <f>(2.74*4.26+2.59*2.35+2.74*3.36+1.22*1.52+1.22*1.22+1.22*0.4+2.9*0.9+(2.59+2.74))*10.764</f>
        <v>416.95538039999991</v>
      </c>
      <c r="E186" s="48">
        <f>(1.52*2.74)*10.764</f>
        <v>44.829907200000001</v>
      </c>
      <c r="F186" s="39">
        <f>D186*(($F$164)+1)+(IF(E186&lt;101,E186,IF(E186&lt;201,E186/2,IF(E186&lt;=301,E186/3,E186/4))))</f>
        <v>670.26297779999982</v>
      </c>
      <c r="G186" s="60" t="str">
        <f>A185</f>
        <v>1st, 3rd, 5th &amp; 7th Floor For Residential</v>
      </c>
      <c r="H186" s="61"/>
      <c r="I186" s="34">
        <f>2200000/F186</f>
        <v>3282.293775528296</v>
      </c>
      <c r="J186" s="48">
        <f>2.74*4.26+2.59*2.35+2.74*3.36+1.22*1.52+1.22*1.22+1.22*0.4+2.9*0.9+(2.59+2.74)</f>
        <v>38.736099999999993</v>
      </c>
      <c r="L186" s="34"/>
      <c r="N186" s="34"/>
    </row>
    <row r="187" spans="1:14" s="43" customFormat="1" ht="15.75" customHeight="1" x14ac:dyDescent="0.25">
      <c r="A187" s="59">
        <v>2</v>
      </c>
      <c r="B187" s="59"/>
      <c r="C187" s="39" t="s">
        <v>180</v>
      </c>
      <c r="D187" s="48">
        <f t="shared" ref="D187" si="7">(2.74*4.26+2.59*2.35+2.74*3.36+1.22*1.52+1.22*1.22+1.22*0.4+2.9*0.9+(2.59+2.74))*10.764</f>
        <v>416.95538039999991</v>
      </c>
      <c r="E187" s="48">
        <f>(1.52*2.74+(0.5*1.4*0.5+0.5*1.2*1.4))*10.764</f>
        <v>57.639067200000007</v>
      </c>
      <c r="F187" s="39">
        <f>D187*(($F$164)+1)+(IF(E187&lt;101,E187,IF(E187&lt;201,E187/2,IF(E187&lt;=301,E187/3,E187/4))))</f>
        <v>683.07213779999984</v>
      </c>
      <c r="G187" s="62"/>
      <c r="H187" s="63"/>
      <c r="I187" s="34"/>
      <c r="J187" s="55"/>
      <c r="N187" s="34"/>
    </row>
    <row r="188" spans="1:14" s="43" customFormat="1" ht="15.75" customHeight="1" x14ac:dyDescent="0.25">
      <c r="A188" s="59">
        <v>3</v>
      </c>
      <c r="B188" s="59"/>
      <c r="C188" s="39" t="s">
        <v>180</v>
      </c>
      <c r="D188" s="48">
        <f>(2.74*4.26+2.59*2.35+2.74*3.36+1.22*1.52+1.22*1.22+1.22*0.4+2.9*0.9+0.91*(2.59+2.74))*10.764</f>
        <v>411.79188959999988</v>
      </c>
      <c r="E188" s="48">
        <f>(1.52*2.74)*10.764</f>
        <v>44.829907200000001</v>
      </c>
      <c r="F188" s="39">
        <f>D188*(($F$164)+1)+(IF(E188&lt;101,E188,IF(E188&lt;201,E188/2,IF(E188&lt;=301,E188/3,E188/4))))</f>
        <v>662.51774159999979</v>
      </c>
      <c r="G188" s="62"/>
      <c r="H188" s="63"/>
      <c r="I188" s="34"/>
      <c r="J188" s="55">
        <f>2.74*4.26+2.59*2.35+2.74*3.36+1.22*1.52+1.22*1.22+1.22*0.4+2.9*0.9+0.91*(2.59+2.74)</f>
        <v>38.256399999999992</v>
      </c>
      <c r="N188" s="34"/>
    </row>
    <row r="189" spans="1:14" s="43" customFormat="1" ht="15.75" customHeight="1" x14ac:dyDescent="0.25">
      <c r="A189" s="59">
        <v>4</v>
      </c>
      <c r="B189" s="59"/>
      <c r="C189" s="39" t="s">
        <v>180</v>
      </c>
      <c r="D189" s="48">
        <f>(2.74*4.26+2.59*2.35+2.74*3.36+1.22*1.52+1.22*1.22+1.22*0.4+2.9*0.9+0.91*(2.59+2.74))*10.764</f>
        <v>411.79188959999988</v>
      </c>
      <c r="E189" s="48">
        <f>(1.52*2.74)*10.764</f>
        <v>44.829907200000001</v>
      </c>
      <c r="F189" s="39">
        <f>D189*(($F$164)+1)+(IF(E189&lt;101,E189,IF(E189&lt;201,E189/2,IF(E189&lt;=301,E189/3,E189/4))))</f>
        <v>662.51774159999979</v>
      </c>
      <c r="G189" s="62"/>
      <c r="H189" s="63"/>
      <c r="I189" s="34"/>
      <c r="N189" s="34"/>
    </row>
    <row r="190" spans="1:14" s="43" customFormat="1" ht="15.75" customHeight="1" x14ac:dyDescent="0.25">
      <c r="A190" s="59">
        <v>5</v>
      </c>
      <c r="B190" s="59"/>
      <c r="C190" s="39" t="s">
        <v>180</v>
      </c>
      <c r="D190" s="48">
        <f>(2.74*4.26+2.59*2.35+2.74*3.36+1.22*1.52+1.22*1.22+1.22*0.4+2.9*0.9+0.91*(2.59+2.74))*10.764</f>
        <v>411.79188959999988</v>
      </c>
      <c r="E190" s="48">
        <f>(1.52*2.74)*10.764</f>
        <v>44.829907200000001</v>
      </c>
      <c r="F190" s="39">
        <f>D190*(($F$164)+1)+(IF(E190&lt;101,E190,IF(E190&lt;201,E190/2,IF(E190&lt;=301,E190/3,E190/4))))</f>
        <v>662.51774159999979</v>
      </c>
      <c r="G190" s="123"/>
      <c r="H190" s="124"/>
      <c r="I190" s="34"/>
      <c r="N190" s="34"/>
    </row>
    <row r="191" spans="1:14" s="43" customFormat="1" x14ac:dyDescent="0.25">
      <c r="A191" s="130" t="s">
        <v>182</v>
      </c>
      <c r="B191" s="130"/>
      <c r="C191" s="130"/>
      <c r="D191" s="130"/>
      <c r="E191" s="130"/>
      <c r="F191" s="130"/>
      <c r="G191" s="130"/>
      <c r="H191" s="130"/>
      <c r="I191" s="34"/>
      <c r="L191" s="117"/>
      <c r="M191" s="117"/>
    </row>
    <row r="192" spans="1:14" s="43" customFormat="1" ht="15.75" customHeight="1" x14ac:dyDescent="0.25">
      <c r="A192" s="59">
        <v>1</v>
      </c>
      <c r="B192" s="59"/>
      <c r="C192" s="39" t="s">
        <v>180</v>
      </c>
      <c r="D192" s="48">
        <f>(2.74*4.26+2.59*2.35+2.74*3.36+1.22*1.52+1.22*1.22+1.22*0.4+2.9*0.9+(2.59+2.74))*10.764</f>
        <v>416.95538039999991</v>
      </c>
      <c r="E192" s="48">
        <f>(1.52*2.74)*10.764</f>
        <v>44.829907200000001</v>
      </c>
      <c r="F192" s="39">
        <f t="shared" ref="F192" si="8">D192*(($F$164)+1)+(IF(E192&lt;101,E192,IF(E192&lt;201,E192/2,IF(E192&lt;=301,E192/3,E192/4))))</f>
        <v>670.26297779999982</v>
      </c>
      <c r="G192" s="60" t="str">
        <f>A191</f>
        <v>2nd, 4th &amp; 6th Floor</v>
      </c>
      <c r="H192" s="61"/>
      <c r="I192" s="34"/>
      <c r="N192" s="34"/>
    </row>
    <row r="193" spans="1:14" s="43" customFormat="1" ht="15.75" customHeight="1" x14ac:dyDescent="0.25">
      <c r="A193" s="59">
        <v>2</v>
      </c>
      <c r="B193" s="59"/>
      <c r="C193" s="39" t="s">
        <v>180</v>
      </c>
      <c r="D193" s="48">
        <f>(2.74*4.26+2.59*2.35+2.74*3.36+1.22*1.52+1.22*1.22+1.22*0.4+2.9*0.9+(2.59+2.74)+(0.5*0.5*1+(1+0.6)/2*1.2))*10.764</f>
        <v>429.97982039999994</v>
      </c>
      <c r="E193" s="48">
        <f>(1.52*2.74)*10.764</f>
        <v>44.829907200000001</v>
      </c>
      <c r="F193" s="39">
        <f>D193*(($F$164)+1)+(IF(E193&lt;101,E193,IF(E193&lt;201,E193/2,IF(E193&lt;=301,E193/3,E193/4))))</f>
        <v>689.79963779999991</v>
      </c>
      <c r="G193" s="62"/>
      <c r="H193" s="63"/>
      <c r="I193" s="34"/>
      <c r="N193" s="34"/>
    </row>
    <row r="194" spans="1:14" s="43" customFormat="1" ht="15.75" customHeight="1" x14ac:dyDescent="0.25">
      <c r="A194" s="59">
        <v>3</v>
      </c>
      <c r="B194" s="59"/>
      <c r="C194" s="39" t="s">
        <v>180</v>
      </c>
      <c r="D194" s="48">
        <f>(2.74*4.26+2.59*2.35+2.74*3.36+1.22*1.52+1.22*1.22+1.22*0.4+2.9*0.9+0.91*(2.59+2.74))*10.764</f>
        <v>411.79188959999988</v>
      </c>
      <c r="E194" s="48">
        <f>(1.52*2.74)*10.764</f>
        <v>44.829907200000001</v>
      </c>
      <c r="F194" s="39">
        <f>D194*(($F$164)+1)+(IF(E194&lt;101,E194,IF(E194&lt;201,E194/2,IF(E194&lt;=301,E194/3,E194/4))))</f>
        <v>662.51774159999979</v>
      </c>
      <c r="G194" s="62"/>
      <c r="H194" s="63"/>
      <c r="I194" s="34"/>
      <c r="N194" s="34"/>
    </row>
    <row r="195" spans="1:14" s="43" customFormat="1" ht="15.75" customHeight="1" x14ac:dyDescent="0.25">
      <c r="A195" s="59">
        <v>4</v>
      </c>
      <c r="B195" s="59"/>
      <c r="C195" s="39" t="s">
        <v>180</v>
      </c>
      <c r="D195" s="48">
        <f>(2.74*4.26+2.59*2.35+2.74*3.36+1.22*1.52+1.22*1.22+1.22*0.4+2.9*0.9+0.91*(2.59+2.74))*10.764</f>
        <v>411.79188959999988</v>
      </c>
      <c r="E195" s="48">
        <f>(1.52*2.74)*10.764</f>
        <v>44.829907200000001</v>
      </c>
      <c r="F195" s="39">
        <f>D195*(($F$164)+1)+(IF(E195&lt;101,E195,IF(E195&lt;201,E195/2,IF(E195&lt;=301,E195/3,E195/4))))</f>
        <v>662.51774159999979</v>
      </c>
      <c r="G195" s="62"/>
      <c r="H195" s="63"/>
      <c r="I195" s="34"/>
      <c r="N195" s="34"/>
    </row>
    <row r="196" spans="1:14" s="43" customFormat="1" ht="15.75" customHeight="1" x14ac:dyDescent="0.25">
      <c r="A196" s="59">
        <v>5</v>
      </c>
      <c r="B196" s="59"/>
      <c r="C196" s="39" t="s">
        <v>180</v>
      </c>
      <c r="D196" s="48">
        <f>(2.74*4.26+2.59*2.35+2.74*3.36+1.22*1.52+1.22*1.22+1.22*0.4+2.9*0.9+0.91*(2.59+2.74))*10.764</f>
        <v>411.79188959999988</v>
      </c>
      <c r="E196" s="48">
        <f>(1.52*2.74)*10.764</f>
        <v>44.829907200000001</v>
      </c>
      <c r="F196" s="39">
        <f>D196*(($F$164)+1)+(IF(E196&lt;101,E196,IF(E196&lt;201,E196/2,IF(E196&lt;=301,E196/3,E196/4))))</f>
        <v>662.51774159999979</v>
      </c>
      <c r="G196" s="123"/>
      <c r="H196" s="124"/>
      <c r="I196" s="34"/>
      <c r="N196" s="34"/>
    </row>
    <row r="197" spans="1:14" s="43" customFormat="1" x14ac:dyDescent="0.25">
      <c r="A197" s="108" t="s">
        <v>196</v>
      </c>
      <c r="B197" s="109"/>
      <c r="C197" s="109"/>
      <c r="D197" s="109"/>
      <c r="E197" s="109"/>
      <c r="F197" s="109"/>
      <c r="G197" s="109"/>
      <c r="H197" s="110"/>
      <c r="J197" s="34"/>
    </row>
    <row r="198" spans="1:14" s="43" customFormat="1" x14ac:dyDescent="0.25">
      <c r="A198" s="108" t="s">
        <v>218</v>
      </c>
      <c r="B198" s="109"/>
      <c r="C198" s="109"/>
      <c r="D198" s="109"/>
      <c r="E198" s="109"/>
      <c r="F198" s="109"/>
      <c r="G198" s="109"/>
      <c r="H198" s="110"/>
      <c r="J198" s="48">
        <v>10.763999999999999</v>
      </c>
    </row>
    <row r="199" spans="1:14" s="43" customFormat="1" x14ac:dyDescent="0.25">
      <c r="A199" s="67" t="s">
        <v>220</v>
      </c>
      <c r="B199" s="67"/>
      <c r="C199" s="67"/>
      <c r="D199" s="67"/>
      <c r="E199" s="67"/>
      <c r="F199" s="67"/>
      <c r="G199" s="67"/>
      <c r="H199" s="67"/>
      <c r="I199" s="34"/>
      <c r="L199" s="117"/>
      <c r="M199" s="117"/>
    </row>
    <row r="200" spans="1:14" s="43" customFormat="1" ht="15.75" customHeight="1" x14ac:dyDescent="0.25">
      <c r="A200" s="59">
        <v>1</v>
      </c>
      <c r="B200" s="59"/>
      <c r="C200" s="39" t="s">
        <v>180</v>
      </c>
      <c r="D200" s="48">
        <f>(2.74*4.26+2.59*2.35+2.74*3.36+1.22*1.52+1.22*1.22+1.22*0.4+2.9*0.9+0.91*(2.59+2.74))*10.764</f>
        <v>411.79188959999988</v>
      </c>
      <c r="E200" s="48">
        <f>(1.52*2.74)*10.764</f>
        <v>44.829907200000001</v>
      </c>
      <c r="F200" s="39">
        <f t="shared" ref="F200" si="9">D200*(($F$164)+1)+(IF(E200&lt;101,E200,IF(E200&lt;201,E200/2,IF(E200&lt;=301,E200/3,E200/4))))</f>
        <v>662.51774159999979</v>
      </c>
      <c r="G200" s="197" t="str">
        <f>A199</f>
        <v>1st Floor For Residential</v>
      </c>
      <c r="H200" s="198"/>
      <c r="I200" s="34"/>
      <c r="N200" s="34"/>
    </row>
    <row r="201" spans="1:14" s="43" customFormat="1" ht="15.75" customHeight="1" x14ac:dyDescent="0.25">
      <c r="A201" s="59">
        <v>2</v>
      </c>
      <c r="B201" s="59"/>
      <c r="C201" s="39" t="s">
        <v>180</v>
      </c>
      <c r="D201" s="48">
        <f>(2.74*4.26+2.59*2.35+2.74*3.36+1.22*1.52+1.22*1.22+1.22*0.4+2.9*0.9+0.91*(2.59+2.74))*10.764</f>
        <v>411.79188959999988</v>
      </c>
      <c r="E201" s="48">
        <f>(1.52*2.74)*10.764</f>
        <v>44.829907200000001</v>
      </c>
      <c r="F201" s="39">
        <f t="shared" ref="F201:F206" si="10">D201*(($F$164)+1)+(IF(E201&lt;101,E201,IF(E201&lt;201,E201/2,IF(E201&lt;=301,E201/3,E201/4))))</f>
        <v>662.51774159999979</v>
      </c>
      <c r="G201" s="199"/>
      <c r="H201" s="200"/>
      <c r="I201" s="34"/>
      <c r="N201" s="34"/>
    </row>
    <row r="202" spans="1:14" s="43" customFormat="1" ht="15.75" customHeight="1" x14ac:dyDescent="0.25">
      <c r="A202" s="59">
        <v>3</v>
      </c>
      <c r="B202" s="59"/>
      <c r="C202" s="39" t="s">
        <v>184</v>
      </c>
      <c r="D202" s="48">
        <f>(2.75*5.93+2.23*3.24+1.22*2.23+0.91*(2.23))*10.764</f>
        <v>304.43390639999996</v>
      </c>
      <c r="E202" s="48">
        <f>(1.52*2.75)*10.764</f>
        <v>44.993519999999997</v>
      </c>
      <c r="F202" s="39">
        <f t="shared" si="10"/>
        <v>501.64437959999992</v>
      </c>
      <c r="G202" s="199"/>
      <c r="H202" s="200"/>
      <c r="I202" s="34"/>
      <c r="N202" s="34"/>
    </row>
    <row r="203" spans="1:14" s="43" customFormat="1" ht="15.75" customHeight="1" x14ac:dyDescent="0.25">
      <c r="A203" s="59">
        <v>4</v>
      </c>
      <c r="B203" s="59"/>
      <c r="C203" s="39" t="s">
        <v>180</v>
      </c>
      <c r="D203" s="48">
        <f>(2.74*4.26+2.59*2.35+2.74*3.36+1.22*1.52+1.22*1.22+1.22*0.4+2.9*0.9+0.91*(2.59+2.74))*10.764</f>
        <v>411.79188959999988</v>
      </c>
      <c r="E203" s="48">
        <f>(1.52*2.74)*10.764</f>
        <v>44.829907200000001</v>
      </c>
      <c r="F203" s="39">
        <f t="shared" si="10"/>
        <v>662.51774159999979</v>
      </c>
      <c r="G203" s="199"/>
      <c r="H203" s="200"/>
      <c r="I203" s="34"/>
      <c r="N203" s="34"/>
    </row>
    <row r="204" spans="1:14" s="43" customFormat="1" ht="15.75" customHeight="1" x14ac:dyDescent="0.25">
      <c r="A204" s="59">
        <v>5</v>
      </c>
      <c r="B204" s="59"/>
      <c r="C204" s="39" t="s">
        <v>180</v>
      </c>
      <c r="D204" s="48">
        <f>(2.74*4.26+2.59*2.35+2.74*3.36+1.22*1.52+1.22*1.22+1.22*0.4+2.9*0.9+0.91*(2.59+2.74))*10.764</f>
        <v>411.79188959999988</v>
      </c>
      <c r="E204" s="48">
        <f>(1.52*2.74)*10.764</f>
        <v>44.829907200000001</v>
      </c>
      <c r="F204" s="39">
        <f t="shared" si="10"/>
        <v>662.51774159999979</v>
      </c>
      <c r="G204" s="199"/>
      <c r="H204" s="200"/>
      <c r="I204" s="34"/>
      <c r="N204" s="34"/>
    </row>
    <row r="205" spans="1:14" s="43" customFormat="1" ht="15.75" customHeight="1" x14ac:dyDescent="0.25">
      <c r="A205" s="59">
        <v>6</v>
      </c>
      <c r="B205" s="59"/>
      <c r="C205" s="39" t="s">
        <v>180</v>
      </c>
      <c r="D205" s="48">
        <f>(2.74*4.26+2.59*2.35+2.74*3.36+1.22*1.52+1.22*1.22+1.22*0.4+2.9*0.9+0.91*(2.59+2.74))*10.764</f>
        <v>411.79188959999988</v>
      </c>
      <c r="E205" s="48">
        <f>(1.52*2.74)*10.764</f>
        <v>44.829907200000001</v>
      </c>
      <c r="F205" s="39">
        <f t="shared" si="10"/>
        <v>662.51774159999979</v>
      </c>
      <c r="G205" s="199"/>
      <c r="H205" s="200"/>
      <c r="I205" s="34"/>
      <c r="N205" s="34"/>
    </row>
    <row r="206" spans="1:14" s="43" customFormat="1" ht="15.75" customHeight="1" x14ac:dyDescent="0.25">
      <c r="A206" s="59">
        <v>7</v>
      </c>
      <c r="B206" s="59"/>
      <c r="C206" s="39" t="s">
        <v>180</v>
      </c>
      <c r="D206" s="48">
        <f>(2.74*4.26+2.59*2.35+2.74*3.36+1.22*1.52+1.22*1.22+1.22*0.4+2.9*0.9+0.91*(2.59+2.74))*10.764</f>
        <v>411.79188959999988</v>
      </c>
      <c r="E206" s="48">
        <f>(1.52*2.74)*10.764</f>
        <v>44.829907200000001</v>
      </c>
      <c r="F206" s="39">
        <f t="shared" si="10"/>
        <v>662.51774159999979</v>
      </c>
      <c r="G206" s="201"/>
      <c r="H206" s="202"/>
      <c r="I206" s="34"/>
      <c r="N206" s="34"/>
    </row>
    <row r="207" spans="1:14" s="43" customFormat="1" x14ac:dyDescent="0.25">
      <c r="A207" s="67" t="s">
        <v>221</v>
      </c>
      <c r="B207" s="67"/>
      <c r="C207" s="67"/>
      <c r="D207" s="67"/>
      <c r="E207" s="67"/>
      <c r="F207" s="67"/>
      <c r="G207" s="67"/>
      <c r="H207" s="67"/>
      <c r="I207" s="34"/>
      <c r="L207" s="117"/>
      <c r="M207" s="117"/>
    </row>
    <row r="208" spans="1:14" s="43" customFormat="1" x14ac:dyDescent="0.25">
      <c r="A208" s="59">
        <v>1</v>
      </c>
      <c r="B208" s="59"/>
      <c r="C208" s="39" t="s">
        <v>180</v>
      </c>
      <c r="D208" s="48">
        <f>(2.74*4.26+2.59*2.35+2.74*3.36+1.22*1.52+1.22*1.22+1.22*0.4+2.9*0.9+0.91*(2.59+2.74))*10.764</f>
        <v>411.79188959999988</v>
      </c>
      <c r="E208" s="48">
        <f t="shared" ref="E208:E213" si="11">(1.52*2.74)*10.764</f>
        <v>44.829907200000001</v>
      </c>
      <c r="F208" s="39">
        <f t="shared" ref="F208" si="12">D208*(($F$164)+1)+(IF(E208&lt;101,E208,IF(E208&lt;201,E208/2,IF(E208&lt;=301,E208/3,E208/4))))</f>
        <v>662.51774159999979</v>
      </c>
      <c r="G208" s="60" t="str">
        <f>A207</f>
        <v>2nd Floor</v>
      </c>
      <c r="H208" s="61"/>
      <c r="I208" s="34"/>
      <c r="N208" s="34"/>
    </row>
    <row r="209" spans="1:14" s="43" customFormat="1" x14ac:dyDescent="0.25">
      <c r="A209" s="59">
        <v>2</v>
      </c>
      <c r="B209" s="59"/>
      <c r="C209" s="39" t="s">
        <v>222</v>
      </c>
      <c r="D209" s="48">
        <f>(2.74*4.26+2*2.9+0.8*2.2+2.59*2.35+2.74*3.36+4.7*2.75+2.7*2.4+1.22*2.75+1.81*1.22+2*1.1+0.91*(2.74+2.59+2.75+2.2))*10.764</f>
        <v>764.76390119999996</v>
      </c>
      <c r="E209" s="48">
        <f t="shared" si="11"/>
        <v>44.829907200000001</v>
      </c>
      <c r="F209" s="39">
        <f t="shared" ref="F209:F213" si="13">D209*(($F$164)+1)+(IF(E209&lt;101,E209,IF(E209&lt;201,E209/2,IF(E209&lt;=301,E209/3,E209/4))))</f>
        <v>1191.9757589999999</v>
      </c>
      <c r="G209" s="62"/>
      <c r="H209" s="63"/>
      <c r="I209" s="34">
        <f>2.75*3.36*10.764</f>
        <v>99.45935999999999</v>
      </c>
      <c r="N209" s="34"/>
    </row>
    <row r="210" spans="1:14" s="43" customFormat="1" x14ac:dyDescent="0.25">
      <c r="A210" s="59">
        <v>3</v>
      </c>
      <c r="B210" s="59"/>
      <c r="C210" s="39" t="s">
        <v>180</v>
      </c>
      <c r="D210" s="48">
        <f>(2.74*4.26+2.59*2.35+2.74*3.36+1.22*1.52+1.22*1.22+1.22*0.4+2.9*0.9+0.91*(2.59+2.74))*10.764</f>
        <v>411.79188959999988</v>
      </c>
      <c r="E210" s="48">
        <f t="shared" si="11"/>
        <v>44.829907200000001</v>
      </c>
      <c r="F210" s="39">
        <f t="shared" si="13"/>
        <v>662.51774159999979</v>
      </c>
      <c r="G210" s="62"/>
      <c r="H210" s="63"/>
      <c r="I210" s="34"/>
      <c r="N210" s="34"/>
    </row>
    <row r="211" spans="1:14" s="43" customFormat="1" x14ac:dyDescent="0.25">
      <c r="A211" s="59">
        <v>4</v>
      </c>
      <c r="B211" s="59"/>
      <c r="C211" s="39" t="s">
        <v>180</v>
      </c>
      <c r="D211" s="48">
        <f>(2.74*4.26+2.59*2.35+2.74*3.36+1.22*1.52+1.22*1.22+1.22*0.4+2.9*0.9+0.91*(2.59+2.74))*10.764</f>
        <v>411.79188959999988</v>
      </c>
      <c r="E211" s="48">
        <f t="shared" si="11"/>
        <v>44.829907200000001</v>
      </c>
      <c r="F211" s="39">
        <f t="shared" si="13"/>
        <v>662.51774159999979</v>
      </c>
      <c r="G211" s="62"/>
      <c r="H211" s="63"/>
      <c r="I211" s="34"/>
      <c r="N211" s="34"/>
    </row>
    <row r="212" spans="1:14" s="43" customFormat="1" x14ac:dyDescent="0.25">
      <c r="A212" s="59">
        <v>5</v>
      </c>
      <c r="B212" s="59"/>
      <c r="C212" s="39" t="s">
        <v>180</v>
      </c>
      <c r="D212" s="48">
        <f>(2.74*4.26+2.59*2.35+2.74*3.36+1.22*1.52+1.22*1.22+1.22*0.4+2.9*0.9+0.91*(2.59+2.74))*10.764</f>
        <v>411.79188959999988</v>
      </c>
      <c r="E212" s="48">
        <f t="shared" si="11"/>
        <v>44.829907200000001</v>
      </c>
      <c r="F212" s="39">
        <f t="shared" si="13"/>
        <v>662.51774159999979</v>
      </c>
      <c r="G212" s="62"/>
      <c r="H212" s="63"/>
      <c r="I212" s="34"/>
      <c r="N212" s="34"/>
    </row>
    <row r="213" spans="1:14" s="43" customFormat="1" x14ac:dyDescent="0.25">
      <c r="A213" s="59">
        <v>6</v>
      </c>
      <c r="B213" s="59"/>
      <c r="C213" s="39" t="s">
        <v>180</v>
      </c>
      <c r="D213" s="48">
        <f>(2.74*4.26+2.59*2.35+2.74*3.36+1.22*1.52+1.22*1.22+1.22*0.4+2.9*0.9+0.91*(2.59+2.74))*10.764</f>
        <v>411.79188959999988</v>
      </c>
      <c r="E213" s="48">
        <f t="shared" si="11"/>
        <v>44.829907200000001</v>
      </c>
      <c r="F213" s="39">
        <f t="shared" si="13"/>
        <v>662.51774159999979</v>
      </c>
      <c r="G213" s="62"/>
      <c r="H213" s="63"/>
      <c r="I213" s="34"/>
      <c r="N213" s="34"/>
    </row>
    <row r="214" spans="1:14" s="33" customFormat="1" x14ac:dyDescent="0.25">
      <c r="A214" s="67" t="s">
        <v>223</v>
      </c>
      <c r="B214" s="67"/>
      <c r="C214" s="67"/>
      <c r="D214" s="67"/>
      <c r="E214" s="67"/>
      <c r="F214" s="67"/>
      <c r="G214" s="67"/>
      <c r="H214" s="67"/>
    </row>
    <row r="215" spans="1:14" s="33" customFormat="1" x14ac:dyDescent="0.25">
      <c r="A215" s="59">
        <v>1</v>
      </c>
      <c r="B215" s="59"/>
      <c r="C215" s="39" t="s">
        <v>180</v>
      </c>
      <c r="D215" s="48">
        <f>(2.74*4.26+2.59*2.35+2.74*3.36+1.22*1.52+1.22*1.22+1.22*0.4+2.9*0.9+0.91*(2.59+2.74))*10.764</f>
        <v>411.79188959999988</v>
      </c>
      <c r="E215" s="48">
        <f>(1.52*2.74)*10.764</f>
        <v>44.829907200000001</v>
      </c>
      <c r="F215" s="39">
        <f t="shared" ref="F215:F220" si="14">D215*(($F$164)+1)+(IF(E215&lt;101,E215,IF(E215&lt;201,E215/2,IF(E215&lt;=301,E215/3,E215/4))))</f>
        <v>662.51774159999979</v>
      </c>
      <c r="G215" s="60" t="str">
        <f>A214</f>
        <v>3rd Floor</v>
      </c>
      <c r="H215" s="61"/>
    </row>
    <row r="216" spans="1:14" s="33" customFormat="1" x14ac:dyDescent="0.25">
      <c r="A216" s="59">
        <v>2</v>
      </c>
      <c r="B216" s="59"/>
      <c r="C216" s="39" t="s">
        <v>222</v>
      </c>
      <c r="D216" s="48">
        <f>(2.74*4.26+2*2.9+0.8*2.2+2.59*2.35+2.74*3.36+4.7*2.75+2.7*2.4+1.22*2.75+1.81*1.22+2*1.1+0.91*(2.59+2.74+2.2))*10.764</f>
        <v>737.82699119999995</v>
      </c>
      <c r="E216" s="48">
        <f>(1.52*(2.74+2.75))*10.764</f>
        <v>89.823427200000012</v>
      </c>
      <c r="F216" s="39">
        <f t="shared" si="14"/>
        <v>1196.5639139999998</v>
      </c>
      <c r="G216" s="62"/>
      <c r="H216" s="63"/>
      <c r="I216" s="33">
        <f>2.74*4.26+2*2.9+0.8*2.2+2.59*2.35+2.74*3.36+4.7*2.75+2.7*2.4+1.81*2.75+1.81*1.22+2*1.1+0.91*(2.74+2.59+2.75+2.2)</f>
        <v>72.6708</v>
      </c>
    </row>
    <row r="217" spans="1:14" s="33" customFormat="1" x14ac:dyDescent="0.25">
      <c r="A217" s="59">
        <v>3</v>
      </c>
      <c r="B217" s="59"/>
      <c r="C217" s="39" t="s">
        <v>180</v>
      </c>
      <c r="D217" s="48">
        <f>(2.74*4.26+2.59*2.35+2.74*3.36+1.22*1.52+1.22*1.22+1.22*0.4+2.9*0.9+0.91*(2.59+2.74))*10.764</f>
        <v>411.79188959999988</v>
      </c>
      <c r="E217" s="48">
        <f>(1.52*2.74)*10.764</f>
        <v>44.829907200000001</v>
      </c>
      <c r="F217" s="39">
        <f t="shared" si="14"/>
        <v>662.51774159999979</v>
      </c>
      <c r="G217" s="62"/>
      <c r="H217" s="63"/>
    </row>
    <row r="218" spans="1:14" s="33" customFormat="1" x14ac:dyDescent="0.25">
      <c r="A218" s="59">
        <v>4</v>
      </c>
      <c r="B218" s="59"/>
      <c r="C218" s="39" t="s">
        <v>180</v>
      </c>
      <c r="D218" s="48">
        <f>(2.74*4.26+2.59*2.35+2.74*3.36+1.22*1.52+1.22*1.22+1.22*0.4+2.9*0.9+0.91*(2.59+2.74))*10.764</f>
        <v>411.79188959999988</v>
      </c>
      <c r="E218" s="48">
        <f>(1.52*2.74)*10.764</f>
        <v>44.829907200000001</v>
      </c>
      <c r="F218" s="39">
        <f t="shared" si="14"/>
        <v>662.51774159999979</v>
      </c>
      <c r="G218" s="62"/>
      <c r="H218" s="63"/>
    </row>
    <row r="219" spans="1:14" s="33" customFormat="1" x14ac:dyDescent="0.25">
      <c r="A219" s="59">
        <v>5</v>
      </c>
      <c r="B219" s="59"/>
      <c r="C219" s="39" t="s">
        <v>180</v>
      </c>
      <c r="D219" s="48">
        <f>(2.74*4.26+2.59*2.35+2.74*3.36+1.22*1.52+1.22*1.22+1.22*0.4+2.9*0.9+0.91*(2.59+2.74))*10.764</f>
        <v>411.79188959999988</v>
      </c>
      <c r="E219" s="48">
        <f>(1.52*2.74)*10.764</f>
        <v>44.829907200000001</v>
      </c>
      <c r="F219" s="39">
        <f t="shared" si="14"/>
        <v>662.51774159999979</v>
      </c>
      <c r="G219" s="62"/>
      <c r="H219" s="63"/>
    </row>
    <row r="220" spans="1:14" s="33" customFormat="1" x14ac:dyDescent="0.25">
      <c r="A220" s="59">
        <v>6</v>
      </c>
      <c r="B220" s="59"/>
      <c r="C220" s="39" t="s">
        <v>180</v>
      </c>
      <c r="D220" s="48">
        <f>(2.74*4.26+2.59*2.35+2.74*3.36+1.22*1.52+1.22*1.22+1.22*0.4+2.9*0.9+0.91*(2.59+2.74))*10.764</f>
        <v>411.79188959999988</v>
      </c>
      <c r="E220" s="48">
        <f>(1.52*2.74)*10.764</f>
        <v>44.829907200000001</v>
      </c>
      <c r="F220" s="39">
        <f t="shared" si="14"/>
        <v>662.51774159999979</v>
      </c>
      <c r="G220" s="62"/>
      <c r="H220" s="63"/>
    </row>
    <row r="221" spans="1:14" s="33" customFormat="1" x14ac:dyDescent="0.25">
      <c r="A221" s="67" t="s">
        <v>224</v>
      </c>
      <c r="B221" s="67"/>
      <c r="C221" s="67"/>
      <c r="D221" s="67"/>
      <c r="E221" s="67"/>
      <c r="F221" s="67"/>
      <c r="G221" s="67"/>
      <c r="H221" s="67"/>
    </row>
    <row r="222" spans="1:14" s="33" customFormat="1" x14ac:dyDescent="0.25">
      <c r="A222" s="59">
        <v>1</v>
      </c>
      <c r="B222" s="59"/>
      <c r="C222" s="39" t="s">
        <v>180</v>
      </c>
      <c r="D222" s="48">
        <f>(2.74*4.26+2.59*2.35+2.74*3.36+1.22*1.52+1.22*1.22+1.22*0.4+2.9*0.9+0.91*(2.59+2.74))*10.764</f>
        <v>411.79188959999988</v>
      </c>
      <c r="E222" s="48">
        <f>(1.52*2.74)*10.764</f>
        <v>44.829907200000001</v>
      </c>
      <c r="F222" s="39">
        <f t="shared" ref="F222:F226" si="15">D222*(($F$164)+1)+(IF(E222&lt;101,E222,IF(E222&lt;201,E222/2,IF(E222&lt;=301,E222/3,E222/4))))</f>
        <v>662.51774159999979</v>
      </c>
      <c r="G222" s="60" t="str">
        <f>A221</f>
        <v>4th Floor</v>
      </c>
      <c r="H222" s="61"/>
    </row>
    <row r="223" spans="1:14" s="33" customFormat="1" x14ac:dyDescent="0.25">
      <c r="A223" s="59">
        <v>2</v>
      </c>
      <c r="B223" s="59"/>
      <c r="C223" s="39" t="s">
        <v>222</v>
      </c>
      <c r="D223" s="48">
        <f>(2.74*4.26+2*2.9+0.8*2.2+2.59*2.35+2.74*3.36+4.7*2.75+2.7*2.4+1.22*2.75+1.81*1.22+2*1.1+0.91*(2.74+2.59+2.75+2.2))*10.764</f>
        <v>764.76390119999996</v>
      </c>
      <c r="E223" s="48">
        <f>(1.52*2.74)*10.764</f>
        <v>44.829907200000001</v>
      </c>
      <c r="F223" s="39">
        <f t="shared" si="15"/>
        <v>1191.9757589999999</v>
      </c>
      <c r="G223" s="62"/>
      <c r="H223" s="63"/>
    </row>
    <row r="224" spans="1:14" s="33" customFormat="1" x14ac:dyDescent="0.25">
      <c r="A224" s="59">
        <v>3</v>
      </c>
      <c r="B224" s="59"/>
      <c r="C224" s="39" t="s">
        <v>222</v>
      </c>
      <c r="D224" s="48">
        <f>(4.26*5.64+2.59*2.35+2.74*3.36+2.74*3.36+2.59*2.35+1.22*1.52*2+1.22*1.22*2+0.4*1.22*2+0.9*2.9*2+0.91*(2.59*2+5.64))*10.764</f>
        <v>832.48775999999987</v>
      </c>
      <c r="E224" s="48">
        <f>(1.52*(3.36*2))*10.764</f>
        <v>109.94780159999999</v>
      </c>
      <c r="F224" s="39">
        <f t="shared" si="15"/>
        <v>1303.7055407999997</v>
      </c>
      <c r="G224" s="62"/>
      <c r="H224" s="63"/>
    </row>
    <row r="225" spans="1:8" x14ac:dyDescent="0.25">
      <c r="A225" s="59">
        <v>5</v>
      </c>
      <c r="B225" s="59"/>
      <c r="C225" s="39" t="s">
        <v>180</v>
      </c>
      <c r="D225" s="48">
        <f>(2.74*4.26+2.59*2.35+2.74*3.36+1.22*1.52+1.22*1.22+1.22*0.4+2.9*0.9+0.91*(2.59+2.74))*10.764</f>
        <v>411.79188959999988</v>
      </c>
      <c r="E225" s="48">
        <f>(1.52*2.74)*10.764</f>
        <v>44.829907200000001</v>
      </c>
      <c r="F225" s="39">
        <f t="shared" si="15"/>
        <v>662.51774159999979</v>
      </c>
      <c r="G225" s="62"/>
      <c r="H225" s="63"/>
    </row>
    <row r="226" spans="1:8" ht="15.75" customHeight="1" x14ac:dyDescent="0.25">
      <c r="A226" s="59">
        <v>6</v>
      </c>
      <c r="B226" s="59"/>
      <c r="C226" s="39" t="s">
        <v>180</v>
      </c>
      <c r="D226" s="48">
        <f>(2.74*4.26+2.59*2.35+2.74*3.36+1.22*1.52+1.22*1.22+1.22*0.4+2.9*0.9+0.91*(2.59+2.74))*10.764</f>
        <v>411.79188959999988</v>
      </c>
      <c r="E226" s="48">
        <f>(1.52*2.74)*10.764</f>
        <v>44.829907200000001</v>
      </c>
      <c r="F226" s="39">
        <f t="shared" si="15"/>
        <v>662.51774159999979</v>
      </c>
      <c r="G226" s="62"/>
      <c r="H226" s="63"/>
    </row>
    <row r="227" spans="1:8" x14ac:dyDescent="0.25">
      <c r="A227" s="67" t="s">
        <v>225</v>
      </c>
      <c r="B227" s="67"/>
      <c r="C227" s="67"/>
      <c r="D227" s="67"/>
      <c r="E227" s="67"/>
      <c r="F227" s="67"/>
      <c r="G227" s="67"/>
      <c r="H227" s="67"/>
    </row>
    <row r="228" spans="1:8" x14ac:dyDescent="0.25">
      <c r="A228" s="59">
        <v>1</v>
      </c>
      <c r="B228" s="59"/>
      <c r="C228" s="39" t="s">
        <v>180</v>
      </c>
      <c r="D228" s="48">
        <f>(2.74*4.26+2.59*2.35+2.74*3.36+1.22*1.52+1.22*1.22+1.22*0.4+2.9*0.9+0.91*(2.59+2.74))*10.764</f>
        <v>411.79188959999988</v>
      </c>
      <c r="E228" s="48">
        <f>(1.52*2.74)*10.764</f>
        <v>44.829907200000001</v>
      </c>
      <c r="F228" s="39">
        <f t="shared" ref="F228:F231" si="16">D228*(($F$164)+1)+(IF(E228&lt;101,E228,IF(E228&lt;201,E228/2,IF(E228&lt;=301,E228/3,E228/4))))</f>
        <v>662.51774159999979</v>
      </c>
      <c r="G228" s="60" t="str">
        <f>A227</f>
        <v>5th Floor</v>
      </c>
      <c r="H228" s="61"/>
    </row>
    <row r="229" spans="1:8" x14ac:dyDescent="0.25">
      <c r="A229" s="59">
        <v>2</v>
      </c>
      <c r="B229" s="59"/>
      <c r="C229" s="39" t="s">
        <v>222</v>
      </c>
      <c r="D229" s="48">
        <f>(2.74*4.26+2*2.9+0.8*2.2+2.59*2.35+2.74*3.36+4.7*2.75+2.7*2.4+1.22*2.75+1.81*1.22+2*1.1+0.91*(2.74+2.59+2.2))*10.764</f>
        <v>737.82699119999995</v>
      </c>
      <c r="E229" s="48">
        <f>(1.52*(2.75+2.74))*10.764</f>
        <v>89.823427200000012</v>
      </c>
      <c r="F229" s="39">
        <f t="shared" si="16"/>
        <v>1196.5639139999998</v>
      </c>
      <c r="G229" s="62"/>
      <c r="H229" s="63"/>
    </row>
    <row r="230" spans="1:8" x14ac:dyDescent="0.25">
      <c r="A230" s="59">
        <v>3</v>
      </c>
      <c r="B230" s="59"/>
      <c r="C230" s="39" t="s">
        <v>222</v>
      </c>
      <c r="D230" s="48">
        <f>(4.26*5.64+2.59*2.35+2.74*3.36+2.74*3.36+2.59*2.35+1.22*1.52*2+1.22*1.22*2+0.4*1.22*2+0.9*2.9*2+0.91*(2.59*2+2.74*2))*10.764</f>
        <v>830.9205215999998</v>
      </c>
      <c r="E230" s="48">
        <f>(1.52*5.64)*10.764</f>
        <v>92.27761919999999</v>
      </c>
      <c r="F230" s="39">
        <f t="shared" si="16"/>
        <v>1338.6584015999995</v>
      </c>
      <c r="G230" s="62"/>
      <c r="H230" s="63"/>
    </row>
    <row r="231" spans="1:8" x14ac:dyDescent="0.25">
      <c r="A231" s="59">
        <v>6</v>
      </c>
      <c r="B231" s="59"/>
      <c r="C231" s="39" t="s">
        <v>222</v>
      </c>
      <c r="D231" s="48">
        <f>(4.26*5.64+2.59*2.35+2.74*3.36+2.74*3.36+2.59*2.35+1.22*1.52*2+1.22*1.22*2+0.4*1.22*2+0.9*2.9*2+0.91*(2.59*2+2.74*2))*10.764</f>
        <v>830.9205215999998</v>
      </c>
      <c r="E231" s="48">
        <f>(1.52*5.64)*10.764</f>
        <v>92.27761919999999</v>
      </c>
      <c r="F231" s="39">
        <f t="shared" si="16"/>
        <v>1338.6584015999995</v>
      </c>
      <c r="G231" s="62"/>
      <c r="H231" s="63"/>
    </row>
    <row r="232" spans="1:8" x14ac:dyDescent="0.25">
      <c r="A232" s="67" t="s">
        <v>226</v>
      </c>
      <c r="B232" s="67"/>
      <c r="C232" s="67"/>
      <c r="D232" s="67"/>
      <c r="E232" s="67"/>
      <c r="F232" s="67"/>
      <c r="G232" s="67"/>
      <c r="H232" s="67"/>
    </row>
    <row r="233" spans="1:8" x14ac:dyDescent="0.25">
      <c r="A233" s="59">
        <v>1</v>
      </c>
      <c r="B233" s="59"/>
      <c r="C233" s="39" t="s">
        <v>180</v>
      </c>
      <c r="D233" s="48">
        <f>(2.74*4.26+2.59*2.35+2.74*3.36+1.22*1.52+1.22*1.22+1.22*0.4+2.9*0.9+0.91*(2.59+2.74))*10.764</f>
        <v>411.79188959999988</v>
      </c>
      <c r="E233" s="48">
        <f t="shared" ref="E233:E238" si="17">(1.52*2.74)*10.764</f>
        <v>44.829907200000001</v>
      </c>
      <c r="F233" s="39">
        <f t="shared" ref="F233:F238" si="18">D233*(($F$164)+1)+(IF(E233&lt;101,E233,IF(E233&lt;201,E233/2,IF(E233&lt;=301,E233/3,E233/4))))</f>
        <v>662.51774159999979</v>
      </c>
      <c r="G233" s="60" t="str">
        <f>A232</f>
        <v>6th Floor</v>
      </c>
      <c r="H233" s="61"/>
    </row>
    <row r="234" spans="1:8" x14ac:dyDescent="0.25">
      <c r="A234" s="59">
        <v>2</v>
      </c>
      <c r="B234" s="59"/>
      <c r="C234" s="39" t="s">
        <v>222</v>
      </c>
      <c r="D234" s="48">
        <f>(2.74*4.26+2*2.9+0.8*2.2+2.59*2.35+2.74*3.36+4.7*2.75+2.7*2.4+1.22*2.75+1.81*1.22+2*1.1+0.91*(2.74+2.59+2.75+2.2))*10.764</f>
        <v>764.76390119999996</v>
      </c>
      <c r="E234" s="48">
        <f t="shared" si="17"/>
        <v>44.829907200000001</v>
      </c>
      <c r="F234" s="39">
        <f t="shared" si="18"/>
        <v>1191.9757589999999</v>
      </c>
      <c r="G234" s="62"/>
      <c r="H234" s="63"/>
    </row>
    <row r="235" spans="1:8" x14ac:dyDescent="0.25">
      <c r="A235" s="59">
        <v>3</v>
      </c>
      <c r="B235" s="59"/>
      <c r="C235" s="39" t="s">
        <v>180</v>
      </c>
      <c r="D235" s="48">
        <f>(2.74*4.26+2.59*2.35+2.74*3.36+1.22*1.52+1.22*1.22+1.22*0.4+2.9*0.9+0.91*(2.59+2.74))*10.764</f>
        <v>411.79188959999988</v>
      </c>
      <c r="E235" s="48">
        <f t="shared" si="17"/>
        <v>44.829907200000001</v>
      </c>
      <c r="F235" s="39">
        <f t="shared" si="18"/>
        <v>662.51774159999979</v>
      </c>
      <c r="G235" s="62"/>
      <c r="H235" s="63"/>
    </row>
    <row r="236" spans="1:8" x14ac:dyDescent="0.25">
      <c r="A236" s="59">
        <v>4</v>
      </c>
      <c r="B236" s="59"/>
      <c r="C236" s="39" t="s">
        <v>180</v>
      </c>
      <c r="D236" s="48">
        <f>(2.74*4.26+2.59*2.35+2.74*4.68+1.22*1.52+1.22*1.22+1.22*0.4+2.9*0.9+0.91*(2.59+2.74))*10.764</f>
        <v>450.72312479999994</v>
      </c>
      <c r="E236" s="48">
        <f t="shared" si="17"/>
        <v>44.829907200000001</v>
      </c>
      <c r="F236" s="39">
        <f t="shared" si="18"/>
        <v>720.91459439999994</v>
      </c>
      <c r="G236" s="62"/>
      <c r="H236" s="63"/>
    </row>
    <row r="237" spans="1:8" x14ac:dyDescent="0.25">
      <c r="A237" s="59">
        <v>5</v>
      </c>
      <c r="B237" s="59"/>
      <c r="C237" s="39" t="s">
        <v>180</v>
      </c>
      <c r="D237" s="48">
        <f>(2.74*4.26+2.59*2.35+2.74*4.68+1.22*1.52+1.22*1.22+1.22*0.4+2.9*0.9+0.91*(2.59+2.74))*10.764</f>
        <v>450.72312479999994</v>
      </c>
      <c r="E237" s="48">
        <f t="shared" si="17"/>
        <v>44.829907200000001</v>
      </c>
      <c r="F237" s="39">
        <f t="shared" si="18"/>
        <v>720.91459439999994</v>
      </c>
      <c r="G237" s="62"/>
      <c r="H237" s="63"/>
    </row>
    <row r="238" spans="1:8" x14ac:dyDescent="0.25">
      <c r="A238" s="59">
        <v>6</v>
      </c>
      <c r="B238" s="59"/>
      <c r="C238" s="39" t="s">
        <v>180</v>
      </c>
      <c r="D238" s="48">
        <f>(2.74*4.26+2.59*2.35+2.74*3.36+1.22*1.52+1.22*1.22+1.22*0.4+2.9*0.9+0.91*(2.59+2.74))*10.764</f>
        <v>411.79188959999988</v>
      </c>
      <c r="E238" s="48">
        <f t="shared" si="17"/>
        <v>44.829907200000001</v>
      </c>
      <c r="F238" s="39">
        <f t="shared" si="18"/>
        <v>662.51774159999979</v>
      </c>
      <c r="G238" s="62"/>
      <c r="H238" s="63"/>
    </row>
    <row r="239" spans="1:8" x14ac:dyDescent="0.25">
      <c r="A239" s="67" t="s">
        <v>227</v>
      </c>
      <c r="B239" s="67"/>
      <c r="C239" s="67"/>
      <c r="D239" s="67"/>
      <c r="E239" s="67"/>
      <c r="F239" s="67"/>
      <c r="G239" s="67"/>
      <c r="H239" s="67"/>
    </row>
    <row r="240" spans="1:8" ht="15" customHeight="1" x14ac:dyDescent="0.25">
      <c r="A240" s="59">
        <v>1</v>
      </c>
      <c r="B240" s="59"/>
      <c r="C240" s="39" t="s">
        <v>180</v>
      </c>
      <c r="D240" s="48">
        <f>(2.74*4.26+2.59*2.35+2.74*3.36+1.22*1.52+1.22*1.22+1.22*0.4+2.9*0.9+0.91*(2.59+2.74))*10.764</f>
        <v>411.79188959999988</v>
      </c>
      <c r="E240" s="48">
        <f>(1.52*2.74)*10.764</f>
        <v>44.829907200000001</v>
      </c>
      <c r="F240" s="39">
        <f t="shared" ref="F240:F245" si="19">D240*(($F$164)+1)+(IF(E240&lt;101,E240,IF(E240&lt;201,E240/2,IF(E240&lt;=301,E240/3,E240/4))))</f>
        <v>662.51774159999979</v>
      </c>
      <c r="G240" s="60" t="str">
        <f>A239</f>
        <v>7th Floor</v>
      </c>
      <c r="H240" s="61"/>
    </row>
    <row r="241" spans="1:8" x14ac:dyDescent="0.25">
      <c r="A241" s="59">
        <v>2</v>
      </c>
      <c r="B241" s="59"/>
      <c r="C241" s="39" t="s">
        <v>222</v>
      </c>
      <c r="D241" s="48">
        <f>(2.74*4.26+2*2.9+0.8*2.2+2.59*2.35+2.74*3.36+4.7*2.75+2.7*2.4+1.22*2.75+1.81*1.22+2*1.1+0.91*(2.59+2.74+2.2))*10.764</f>
        <v>737.82699119999995</v>
      </c>
      <c r="E241" s="48">
        <f>(1.52*(2.74+2.75))*10.764</f>
        <v>89.823427200000012</v>
      </c>
      <c r="F241" s="39">
        <f t="shared" si="19"/>
        <v>1196.5639139999998</v>
      </c>
      <c r="G241" s="62"/>
      <c r="H241" s="63"/>
    </row>
    <row r="242" spans="1:8" x14ac:dyDescent="0.25">
      <c r="A242" s="59">
        <v>3</v>
      </c>
      <c r="B242" s="59"/>
      <c r="C242" s="39" t="s">
        <v>180</v>
      </c>
      <c r="D242" s="48">
        <f>(2.74*4.26+2.59*2.35+2.74*3.36+1.22*1.52+1.22*1.22+1.22*0.4+2.9*0.9+0.91*(2.59+2.74))*10.764</f>
        <v>411.79188959999988</v>
      </c>
      <c r="E242" s="48">
        <f>(1.52*2.74)*10.764</f>
        <v>44.829907200000001</v>
      </c>
      <c r="F242" s="39">
        <f t="shared" si="19"/>
        <v>662.51774159999979</v>
      </c>
      <c r="G242" s="62"/>
      <c r="H242" s="63"/>
    </row>
    <row r="243" spans="1:8" x14ac:dyDescent="0.25">
      <c r="A243" s="59">
        <v>4</v>
      </c>
      <c r="B243" s="59"/>
      <c r="C243" s="39" t="s">
        <v>180</v>
      </c>
      <c r="D243" s="48">
        <f>(2.74*4.26+2.59*2.35+2.74*4.68+1.22*1.52+1.22*1.22+1.22*0.4+2.9*0.9+0.91*(2.59+2.74))*10.764</f>
        <v>450.72312479999994</v>
      </c>
      <c r="E243" s="48">
        <f>(1.52*2.74)*10.764</f>
        <v>44.829907200000001</v>
      </c>
      <c r="F243" s="39">
        <f t="shared" si="19"/>
        <v>720.91459439999994</v>
      </c>
      <c r="G243" s="62"/>
      <c r="H243" s="63"/>
    </row>
    <row r="244" spans="1:8" x14ac:dyDescent="0.25">
      <c r="A244" s="59">
        <v>5</v>
      </c>
      <c r="B244" s="59"/>
      <c r="C244" s="39" t="s">
        <v>180</v>
      </c>
      <c r="D244" s="48">
        <f>(2.74*4.26+2.59*2.35+2.74*4.68+1.22*1.52+1.22*1.22+1.22*0.4+2.9*0.9+0.91*(2.59+2.74))*10.764</f>
        <v>450.72312479999994</v>
      </c>
      <c r="E244" s="48">
        <f>(1.52*2.74)*10.764</f>
        <v>44.829907200000001</v>
      </c>
      <c r="F244" s="39">
        <f t="shared" si="19"/>
        <v>720.91459439999994</v>
      </c>
      <c r="G244" s="62"/>
      <c r="H244" s="63"/>
    </row>
    <row r="245" spans="1:8" x14ac:dyDescent="0.25">
      <c r="A245" s="59">
        <v>6</v>
      </c>
      <c r="B245" s="59"/>
      <c r="C245" s="39" t="s">
        <v>180</v>
      </c>
      <c r="D245" s="48">
        <f>(2.74*4.26+2.59*2.35+2.74*3.36+1.22*1.52+1.22*1.22+1.22*0.4+2.9*0.9+0.91*(2.59+2.74))*10.764</f>
        <v>411.79188959999988</v>
      </c>
      <c r="E245" s="48">
        <f>(1.52*2.74)*10.764</f>
        <v>44.829907200000001</v>
      </c>
      <c r="F245" s="39">
        <f t="shared" si="19"/>
        <v>662.51774159999979</v>
      </c>
      <c r="G245" s="62"/>
      <c r="H245" s="63"/>
    </row>
    <row r="246" spans="1:8" x14ac:dyDescent="0.25">
      <c r="A246" s="175" t="s">
        <v>65</v>
      </c>
      <c r="B246" s="175"/>
      <c r="C246" s="175"/>
      <c r="D246" s="175"/>
      <c r="E246" s="175"/>
      <c r="F246" s="175"/>
      <c r="G246" s="175"/>
      <c r="H246" s="175"/>
    </row>
    <row r="247" spans="1:8" ht="49.9" customHeight="1" x14ac:dyDescent="0.25">
      <c r="A247" s="42">
        <v>1</v>
      </c>
      <c r="B247" s="177" t="s">
        <v>249</v>
      </c>
      <c r="C247" s="178"/>
      <c r="D247" s="178"/>
      <c r="E247" s="178"/>
      <c r="F247" s="178"/>
      <c r="G247" s="178"/>
      <c r="H247" s="179"/>
    </row>
    <row r="248" spans="1:8" x14ac:dyDescent="0.25">
      <c r="A248" s="42">
        <f>A247+1</f>
        <v>2</v>
      </c>
      <c r="B248" s="172" t="str">
        <f>(IF(F163="Saleable area Loading :","We have considered Saleable area of Flats as per our Calculation.","We considered Saleable area of Flat as per Builder area Sheet."))</f>
        <v>We have considered Saleable area of Flats as per our Calculation.</v>
      </c>
      <c r="C248" s="173"/>
      <c r="D248" s="173"/>
      <c r="E248" s="173"/>
      <c r="F248" s="173"/>
      <c r="G248" s="173"/>
      <c r="H248" s="174"/>
    </row>
    <row r="249" spans="1:8" x14ac:dyDescent="0.25">
      <c r="A249" s="42">
        <f t="shared" ref="A249:A260" si="20">A248+1</f>
        <v>3</v>
      </c>
      <c r="B249" s="172" t="str">
        <f>(IF(F155="Saleable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9" s="173"/>
      <c r="D249" s="173"/>
      <c r="E249" s="173"/>
      <c r="F249" s="173"/>
      <c r="G249" s="173"/>
      <c r="H249" s="174"/>
    </row>
    <row r="250" spans="1:8" x14ac:dyDescent="0.25">
      <c r="A250" s="42">
        <f t="shared" si="20"/>
        <v>4</v>
      </c>
      <c r="B250" s="64" t="s">
        <v>122</v>
      </c>
      <c r="C250" s="65"/>
      <c r="D250" s="65"/>
      <c r="E250" s="65"/>
      <c r="F250" s="65"/>
      <c r="G250" s="65"/>
      <c r="H250" s="66"/>
    </row>
    <row r="251" spans="1:8" x14ac:dyDescent="0.25">
      <c r="A251" s="42">
        <f t="shared" si="20"/>
        <v>5</v>
      </c>
      <c r="B251" s="172" t="s">
        <v>228</v>
      </c>
      <c r="C251" s="173"/>
      <c r="D251" s="173"/>
      <c r="E251" s="173"/>
      <c r="F251" s="173"/>
      <c r="G251" s="173"/>
      <c r="H251" s="174"/>
    </row>
    <row r="252" spans="1:8" x14ac:dyDescent="0.25">
      <c r="A252" s="42">
        <f t="shared" si="20"/>
        <v>6</v>
      </c>
      <c r="B252" s="64" t="s">
        <v>152</v>
      </c>
      <c r="C252" s="65"/>
      <c r="D252" s="65"/>
      <c r="E252" s="65"/>
      <c r="F252" s="65"/>
      <c r="G252" s="65"/>
      <c r="H252" s="66"/>
    </row>
    <row r="253" spans="1:8" x14ac:dyDescent="0.25">
      <c r="A253" s="42">
        <f t="shared" si="20"/>
        <v>7</v>
      </c>
      <c r="B253" s="64" t="s">
        <v>123</v>
      </c>
      <c r="C253" s="65"/>
      <c r="D253" s="65"/>
      <c r="E253" s="65"/>
      <c r="F253" s="65"/>
      <c r="G253" s="65"/>
      <c r="H253" s="66"/>
    </row>
    <row r="254" spans="1:8" ht="33.75" customHeight="1" x14ac:dyDescent="0.25">
      <c r="A254" s="42">
        <f t="shared" si="20"/>
        <v>8</v>
      </c>
      <c r="B254" s="64" t="s">
        <v>153</v>
      </c>
      <c r="C254" s="65"/>
      <c r="D254" s="65"/>
      <c r="E254" s="65"/>
      <c r="F254" s="65"/>
      <c r="G254" s="65"/>
      <c r="H254" s="66"/>
    </row>
    <row r="255" spans="1:8" x14ac:dyDescent="0.25">
      <c r="A255" s="42">
        <f t="shared" si="20"/>
        <v>9</v>
      </c>
      <c r="B255" s="64" t="s">
        <v>124</v>
      </c>
      <c r="C255" s="65"/>
      <c r="D255" s="65"/>
      <c r="E255" s="65"/>
      <c r="F255" s="65"/>
      <c r="G255" s="65"/>
      <c r="H255" s="66"/>
    </row>
    <row r="256" spans="1:8" x14ac:dyDescent="0.25">
      <c r="A256" s="42">
        <f t="shared" si="20"/>
        <v>10</v>
      </c>
      <c r="B256" s="64" t="s">
        <v>201</v>
      </c>
      <c r="C256" s="65"/>
      <c r="D256" s="65"/>
      <c r="E256" s="65"/>
      <c r="F256" s="65"/>
      <c r="G256" s="65"/>
      <c r="H256" s="66"/>
    </row>
    <row r="257" spans="1:16" x14ac:dyDescent="0.25">
      <c r="A257" s="42">
        <f t="shared" si="20"/>
        <v>11</v>
      </c>
      <c r="B257" s="64" t="s">
        <v>235</v>
      </c>
      <c r="C257" s="65"/>
      <c r="D257" s="65"/>
      <c r="E257" s="65"/>
      <c r="F257" s="65"/>
      <c r="G257" s="65"/>
      <c r="H257" s="66"/>
      <c r="K257" s="19" t="s">
        <v>238</v>
      </c>
    </row>
    <row r="258" spans="1:16" ht="49.5" hidden="1" customHeight="1" x14ac:dyDescent="0.25">
      <c r="A258" s="42">
        <f t="shared" si="20"/>
        <v>12</v>
      </c>
      <c r="B258" s="64" t="s">
        <v>238</v>
      </c>
      <c r="C258" s="65"/>
      <c r="D258" s="65"/>
      <c r="E258" s="65"/>
      <c r="F258" s="65"/>
      <c r="G258" s="65"/>
      <c r="H258" s="66"/>
    </row>
    <row r="259" spans="1:16" ht="32.25" customHeight="1" x14ac:dyDescent="0.25">
      <c r="A259" s="42">
        <v>12</v>
      </c>
      <c r="B259" s="64" t="s">
        <v>246</v>
      </c>
      <c r="C259" s="65"/>
      <c r="D259" s="65"/>
      <c r="E259" s="65"/>
      <c r="F259" s="65"/>
      <c r="G259" s="65"/>
      <c r="H259" s="66"/>
      <c r="I259" s="19" t="s">
        <v>245</v>
      </c>
      <c r="K259" s="58" t="s">
        <v>239</v>
      </c>
      <c r="L259" s="58"/>
      <c r="M259" s="58"/>
      <c r="N259" s="58"/>
      <c r="O259" s="58"/>
      <c r="P259" s="58"/>
    </row>
    <row r="260" spans="1:16" x14ac:dyDescent="0.25">
      <c r="A260" s="42">
        <f t="shared" si="20"/>
        <v>13</v>
      </c>
      <c r="B260" s="64" t="s">
        <v>243</v>
      </c>
      <c r="C260" s="65"/>
      <c r="D260" s="65"/>
      <c r="E260" s="65"/>
      <c r="F260" s="65"/>
      <c r="G260" s="65"/>
      <c r="H260" s="66"/>
    </row>
    <row r="261" spans="1:16" x14ac:dyDescent="0.25">
      <c r="A261" s="176" t="s">
        <v>58</v>
      </c>
      <c r="B261" s="176"/>
      <c r="C261" s="176"/>
      <c r="D261" s="176"/>
      <c r="E261" s="176"/>
      <c r="F261" s="176"/>
      <c r="G261" s="176"/>
      <c r="H261" s="176"/>
    </row>
    <row r="262" spans="1:16" x14ac:dyDescent="0.25">
      <c r="A262" s="70" t="s">
        <v>59</v>
      </c>
      <c r="B262" s="70"/>
      <c r="C262" s="70"/>
      <c r="D262" s="70"/>
      <c r="E262" s="70"/>
      <c r="F262" s="70"/>
      <c r="G262" s="70"/>
      <c r="H262" s="70"/>
    </row>
    <row r="263" spans="1:16" x14ac:dyDescent="0.25">
      <c r="A263" s="196" t="s">
        <v>60</v>
      </c>
      <c r="B263" s="196"/>
      <c r="C263" s="196"/>
      <c r="D263" s="196"/>
      <c r="E263" s="196"/>
      <c r="F263" s="196"/>
      <c r="G263" s="196"/>
      <c r="H263" s="196"/>
    </row>
    <row r="264" spans="1:16" x14ac:dyDescent="0.25">
      <c r="A264" s="70" t="s">
        <v>61</v>
      </c>
      <c r="B264" s="70"/>
      <c r="C264" s="70"/>
      <c r="D264" s="70"/>
      <c r="E264" s="70"/>
      <c r="F264" s="70"/>
      <c r="G264" s="70"/>
      <c r="H264" s="70"/>
    </row>
    <row r="265" spans="1:16" x14ac:dyDescent="0.25">
      <c r="A265" s="70" t="s">
        <v>62</v>
      </c>
      <c r="B265" s="70"/>
      <c r="C265" s="70"/>
      <c r="D265" s="70"/>
      <c r="E265" s="70"/>
      <c r="F265" s="70"/>
      <c r="G265" s="70"/>
      <c r="H265" s="70"/>
    </row>
    <row r="266" spans="1:16" hidden="1" x14ac:dyDescent="0.25">
      <c r="A266" s="70" t="s">
        <v>125</v>
      </c>
      <c r="B266" s="70"/>
      <c r="C266" s="70"/>
      <c r="D266" s="70"/>
      <c r="E266" s="70"/>
      <c r="F266" s="70"/>
      <c r="G266" s="70"/>
      <c r="H266" s="70"/>
    </row>
    <row r="267" spans="1:16" ht="34.15" hidden="1" customHeight="1" x14ac:dyDescent="0.25">
      <c r="A267" s="166" t="s">
        <v>126</v>
      </c>
      <c r="B267" s="166"/>
      <c r="C267" s="166"/>
      <c r="D267" s="166"/>
      <c r="E267" s="166"/>
      <c r="F267" s="166"/>
      <c r="G267" s="166"/>
      <c r="H267" s="166"/>
    </row>
    <row r="268" spans="1:16" x14ac:dyDescent="0.25">
      <c r="A268" s="171" t="s">
        <v>75</v>
      </c>
      <c r="B268" s="171"/>
      <c r="C268" s="171" t="s">
        <v>251</v>
      </c>
      <c r="D268" s="171"/>
      <c r="E268" s="171" t="s">
        <v>103</v>
      </c>
      <c r="F268" s="171"/>
      <c r="G268" s="171" t="s">
        <v>250</v>
      </c>
      <c r="H268" s="171"/>
    </row>
    <row r="269" spans="1:16" x14ac:dyDescent="0.25">
      <c r="A269" s="170" t="s">
        <v>77</v>
      </c>
      <c r="B269" s="170"/>
      <c r="C269" s="170"/>
      <c r="D269" s="170"/>
      <c r="E269" s="170"/>
      <c r="F269" s="170"/>
      <c r="G269" s="170"/>
      <c r="H269" s="170"/>
    </row>
    <row r="270" spans="1:16" x14ac:dyDescent="0.25">
      <c r="A270" s="170"/>
      <c r="B270" s="170"/>
      <c r="C270" s="170"/>
      <c r="D270" s="170"/>
      <c r="E270" s="170"/>
      <c r="F270" s="170"/>
      <c r="G270" s="170"/>
      <c r="H270" s="170"/>
    </row>
    <row r="271" spans="1:16" x14ac:dyDescent="0.25">
      <c r="A271" s="170"/>
      <c r="B271" s="170"/>
      <c r="C271" s="170"/>
      <c r="D271" s="170"/>
      <c r="E271" s="170"/>
      <c r="F271" s="170"/>
      <c r="G271" s="170"/>
      <c r="H271" s="170"/>
    </row>
    <row r="272" spans="1:16" x14ac:dyDescent="0.25">
      <c r="A272" s="170"/>
      <c r="B272" s="170"/>
      <c r="C272" s="170"/>
      <c r="D272" s="170"/>
      <c r="E272" s="170"/>
      <c r="F272" s="170"/>
      <c r="G272" s="170"/>
      <c r="H272" s="170"/>
    </row>
    <row r="273" spans="1:8" x14ac:dyDescent="0.25">
      <c r="A273" s="35" t="s">
        <v>63</v>
      </c>
      <c r="B273" s="36"/>
      <c r="C273" s="36"/>
      <c r="D273" s="35" t="str">
        <f>E8</f>
        <v>Techcons Basera</v>
      </c>
      <c r="F273" s="36"/>
      <c r="G273" s="36"/>
      <c r="H273" s="36"/>
    </row>
    <row r="274" spans="1:8" x14ac:dyDescent="0.25">
      <c r="A274" s="36"/>
      <c r="B274" s="36"/>
      <c r="C274" s="36"/>
      <c r="D274" s="36"/>
      <c r="E274" s="36"/>
      <c r="F274" s="36"/>
      <c r="G274" s="36"/>
      <c r="H274" s="36"/>
    </row>
    <row r="275" spans="1:8" x14ac:dyDescent="0.25">
      <c r="A275" s="36"/>
      <c r="B275" s="36"/>
      <c r="C275" s="36"/>
      <c r="D275" s="36"/>
      <c r="E275" s="36"/>
      <c r="F275" s="36"/>
      <c r="G275" s="36"/>
      <c r="H275" s="36"/>
    </row>
    <row r="314" spans="1:1" x14ac:dyDescent="0.25">
      <c r="A314" s="38" t="s">
        <v>247</v>
      </c>
    </row>
    <row r="356" spans="1:1" x14ac:dyDescent="0.25">
      <c r="A356" s="38" t="s">
        <v>167</v>
      </c>
    </row>
    <row r="398" spans="1:1" x14ac:dyDescent="0.25">
      <c r="A398" s="38" t="s">
        <v>64</v>
      </c>
    </row>
  </sheetData>
  <mergeCells count="449">
    <mergeCell ref="A220:B220"/>
    <mergeCell ref="A212:B212"/>
    <mergeCell ref="A213:B213"/>
    <mergeCell ref="A208:B208"/>
    <mergeCell ref="A209:B209"/>
    <mergeCell ref="A210:B210"/>
    <mergeCell ref="A211:B211"/>
    <mergeCell ref="I10:L10"/>
    <mergeCell ref="A206:B206"/>
    <mergeCell ref="A200:B200"/>
    <mergeCell ref="A201:B201"/>
    <mergeCell ref="A202:B202"/>
    <mergeCell ref="A203:B203"/>
    <mergeCell ref="A204:B204"/>
    <mergeCell ref="A207:H207"/>
    <mergeCell ref="B260:H260"/>
    <mergeCell ref="E104:F113"/>
    <mergeCell ref="G104:H113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B259:H259"/>
    <mergeCell ref="A216:B216"/>
    <mergeCell ref="A217:B217"/>
    <mergeCell ref="A218:B218"/>
    <mergeCell ref="A219:B219"/>
    <mergeCell ref="A228:B228"/>
    <mergeCell ref="G228:H231"/>
    <mergeCell ref="A229:B229"/>
    <mergeCell ref="L191:M191"/>
    <mergeCell ref="A192:B192"/>
    <mergeCell ref="A190:B190"/>
    <mergeCell ref="G186:H190"/>
    <mergeCell ref="A185:H185"/>
    <mergeCell ref="L185:M185"/>
    <mergeCell ref="A186:B186"/>
    <mergeCell ref="A187:B187"/>
    <mergeCell ref="A199:H199"/>
    <mergeCell ref="L199:M199"/>
    <mergeCell ref="A194:B194"/>
    <mergeCell ref="A195:B195"/>
    <mergeCell ref="A196:B196"/>
    <mergeCell ref="G192:H196"/>
    <mergeCell ref="A193:B193"/>
    <mergeCell ref="A197:H197"/>
    <mergeCell ref="A198:H198"/>
    <mergeCell ref="A230:B230"/>
    <mergeCell ref="A231:B231"/>
    <mergeCell ref="L207:M207"/>
    <mergeCell ref="A205:B205"/>
    <mergeCell ref="E41:H41"/>
    <mergeCell ref="A41:D41"/>
    <mergeCell ref="A266:H266"/>
    <mergeCell ref="A263:H263"/>
    <mergeCell ref="A170:B170"/>
    <mergeCell ref="A148:B148"/>
    <mergeCell ref="D163:D164"/>
    <mergeCell ref="E163:E164"/>
    <mergeCell ref="G163:H164"/>
    <mergeCell ref="A92:B92"/>
    <mergeCell ref="A93:B93"/>
    <mergeCell ref="A94:B94"/>
    <mergeCell ref="A84:B84"/>
    <mergeCell ref="C84:H84"/>
    <mergeCell ref="A124:B124"/>
    <mergeCell ref="A79:B79"/>
    <mergeCell ref="F129:H129"/>
    <mergeCell ref="G144:H144"/>
    <mergeCell ref="A188:B188"/>
    <mergeCell ref="A189:B189"/>
    <mergeCell ref="A191:H191"/>
    <mergeCell ref="G200:H206"/>
    <mergeCell ref="A48:B48"/>
    <mergeCell ref="C48:E48"/>
    <mergeCell ref="G48:H48"/>
    <mergeCell ref="C49:E49"/>
    <mergeCell ref="A53:B53"/>
    <mergeCell ref="C53:E53"/>
    <mergeCell ref="A49:B49"/>
    <mergeCell ref="A54:H54"/>
    <mergeCell ref="A55:C55"/>
    <mergeCell ref="G53:H53"/>
    <mergeCell ref="C52:H52"/>
    <mergeCell ref="A50:B50"/>
    <mergeCell ref="C50:E50"/>
    <mergeCell ref="G50:H50"/>
    <mergeCell ref="A51:B52"/>
    <mergeCell ref="G51:H51"/>
    <mergeCell ref="D55:H55"/>
    <mergeCell ref="C51:E51"/>
    <mergeCell ref="D60:H60"/>
    <mergeCell ref="C152:D152"/>
    <mergeCell ref="A65:C65"/>
    <mergeCell ref="D65:H65"/>
    <mergeCell ref="A66:C66"/>
    <mergeCell ref="D66:H66"/>
    <mergeCell ref="A74:B74"/>
    <mergeCell ref="G73:H73"/>
    <mergeCell ref="G118:H127"/>
    <mergeCell ref="A87:B87"/>
    <mergeCell ref="E87:F87"/>
    <mergeCell ref="A127:B127"/>
    <mergeCell ref="A78:B78"/>
    <mergeCell ref="A63:C63"/>
    <mergeCell ref="D63:H63"/>
    <mergeCell ref="C70:H70"/>
    <mergeCell ref="A75:B75"/>
    <mergeCell ref="A77:B77"/>
    <mergeCell ref="E73:F73"/>
    <mergeCell ref="A64:C64"/>
    <mergeCell ref="D64:H64"/>
    <mergeCell ref="A67:C67"/>
    <mergeCell ref="D67:H67"/>
    <mergeCell ref="E74:F83"/>
    <mergeCell ref="A56:C56"/>
    <mergeCell ref="D56:H56"/>
    <mergeCell ref="A80:B80"/>
    <mergeCell ref="A73:B73"/>
    <mergeCell ref="A76:B76"/>
    <mergeCell ref="A70:B70"/>
    <mergeCell ref="G150:H150"/>
    <mergeCell ref="C149:D149"/>
    <mergeCell ref="E149:F149"/>
    <mergeCell ref="G149:H149"/>
    <mergeCell ref="A142:H142"/>
    <mergeCell ref="A140:E140"/>
    <mergeCell ref="F140:H140"/>
    <mergeCell ref="A141:E141"/>
    <mergeCell ref="F141:H141"/>
    <mergeCell ref="A149:B149"/>
    <mergeCell ref="A144:B144"/>
    <mergeCell ref="A147:H147"/>
    <mergeCell ref="C114:H114"/>
    <mergeCell ref="C143:D143"/>
    <mergeCell ref="F139:H139"/>
    <mergeCell ref="A58:C60"/>
    <mergeCell ref="D58:H58"/>
    <mergeCell ref="D59:H59"/>
    <mergeCell ref="G160:H160"/>
    <mergeCell ref="G158:H158"/>
    <mergeCell ref="G159:H159"/>
    <mergeCell ref="G161:H161"/>
    <mergeCell ref="B253:H253"/>
    <mergeCell ref="B249:H249"/>
    <mergeCell ref="A153:H153"/>
    <mergeCell ref="B247:H247"/>
    <mergeCell ref="B248:H248"/>
    <mergeCell ref="A162:H162"/>
    <mergeCell ref="A163:A164"/>
    <mergeCell ref="A174:B174"/>
    <mergeCell ref="A171:B171"/>
    <mergeCell ref="A182:B182"/>
    <mergeCell ref="A183:H183"/>
    <mergeCell ref="A184:H184"/>
    <mergeCell ref="G177:H182"/>
    <mergeCell ref="A179:B179"/>
    <mergeCell ref="A180:B180"/>
    <mergeCell ref="A181:B181"/>
    <mergeCell ref="A158:B158"/>
    <mergeCell ref="A214:H214"/>
    <mergeCell ref="A215:B215"/>
    <mergeCell ref="G215:H220"/>
    <mergeCell ref="A269:H272"/>
    <mergeCell ref="A268:B268"/>
    <mergeCell ref="E268:F268"/>
    <mergeCell ref="C268:D268"/>
    <mergeCell ref="G268:H268"/>
    <mergeCell ref="A169:H169"/>
    <mergeCell ref="A264:H264"/>
    <mergeCell ref="A267:H267"/>
    <mergeCell ref="A265:H265"/>
    <mergeCell ref="B250:H250"/>
    <mergeCell ref="B251:H251"/>
    <mergeCell ref="A246:H246"/>
    <mergeCell ref="A222:B222"/>
    <mergeCell ref="G222:H226"/>
    <mergeCell ref="A223:B223"/>
    <mergeCell ref="A224:B224"/>
    <mergeCell ref="A225:B225"/>
    <mergeCell ref="A261:H261"/>
    <mergeCell ref="A262:H262"/>
    <mergeCell ref="B255:H255"/>
    <mergeCell ref="B258:H258"/>
    <mergeCell ref="A226:B226"/>
    <mergeCell ref="A227:H227"/>
    <mergeCell ref="G208:H213"/>
    <mergeCell ref="G74:H83"/>
    <mergeCell ref="A82:B82"/>
    <mergeCell ref="A83:B83"/>
    <mergeCell ref="G71:H72"/>
    <mergeCell ref="A81:B81"/>
    <mergeCell ref="A68:B68"/>
    <mergeCell ref="C68:H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F32:H32"/>
    <mergeCell ref="F33:H33"/>
    <mergeCell ref="A39:H39"/>
    <mergeCell ref="A61:C61"/>
    <mergeCell ref="A62:C62"/>
    <mergeCell ref="D61:H61"/>
    <mergeCell ref="D62:H62"/>
    <mergeCell ref="A42:D42"/>
    <mergeCell ref="E42:H42"/>
    <mergeCell ref="E43:H43"/>
    <mergeCell ref="E44:H44"/>
    <mergeCell ref="E45:H45"/>
    <mergeCell ref="A43:D43"/>
    <mergeCell ref="F35:H35"/>
    <mergeCell ref="A37:B37"/>
    <mergeCell ref="A38:B38"/>
    <mergeCell ref="A44:D44"/>
    <mergeCell ref="A45:D45"/>
    <mergeCell ref="A46:H46"/>
    <mergeCell ref="D57:H57"/>
    <mergeCell ref="C37:H37"/>
    <mergeCell ref="F138:H138"/>
    <mergeCell ref="E143:F143"/>
    <mergeCell ref="A143:B143"/>
    <mergeCell ref="A145:B145"/>
    <mergeCell ref="A155:A156"/>
    <mergeCell ref="A139:E139"/>
    <mergeCell ref="G152:H152"/>
    <mergeCell ref="C145:D145"/>
    <mergeCell ref="E145:F145"/>
    <mergeCell ref="G145:H145"/>
    <mergeCell ref="C155:C156"/>
    <mergeCell ref="A154:H154"/>
    <mergeCell ref="G143:H143"/>
    <mergeCell ref="A138:E138"/>
    <mergeCell ref="C144:D144"/>
    <mergeCell ref="E144:F144"/>
    <mergeCell ref="A152:B152"/>
    <mergeCell ref="E152:F152"/>
    <mergeCell ref="E148:F148"/>
    <mergeCell ref="A146:B146"/>
    <mergeCell ref="C146:D146"/>
    <mergeCell ref="E146:F146"/>
    <mergeCell ref="G146:H146"/>
    <mergeCell ref="A151:B151"/>
    <mergeCell ref="A88:B88"/>
    <mergeCell ref="E88:F97"/>
    <mergeCell ref="A95:B95"/>
    <mergeCell ref="A96:B96"/>
    <mergeCell ref="A97:B97"/>
    <mergeCell ref="A118:B118"/>
    <mergeCell ref="E118:F127"/>
    <mergeCell ref="F128:H128"/>
    <mergeCell ref="F133:H133"/>
    <mergeCell ref="A117:B117"/>
    <mergeCell ref="E117:F117"/>
    <mergeCell ref="A114:B114"/>
    <mergeCell ref="A98:B98"/>
    <mergeCell ref="C98:H98"/>
    <mergeCell ref="A100:B100"/>
    <mergeCell ref="C100:H100"/>
    <mergeCell ref="A101:B102"/>
    <mergeCell ref="C101:D102"/>
    <mergeCell ref="E101:F102"/>
    <mergeCell ref="G101:H102"/>
    <mergeCell ref="A103:B103"/>
    <mergeCell ref="E103:F103"/>
    <mergeCell ref="G103:H103"/>
    <mergeCell ref="A104:B104"/>
    <mergeCell ref="L169:M169"/>
    <mergeCell ref="L167:M167"/>
    <mergeCell ref="L168:M168"/>
    <mergeCell ref="L176:M176"/>
    <mergeCell ref="A177:B177"/>
    <mergeCell ref="A178:B178"/>
    <mergeCell ref="G167:H168"/>
    <mergeCell ref="G170:H175"/>
    <mergeCell ref="L159:M159"/>
    <mergeCell ref="C163:C164"/>
    <mergeCell ref="A165:H165"/>
    <mergeCell ref="A159:B159"/>
    <mergeCell ref="A160:B160"/>
    <mergeCell ref="A161:B161"/>
    <mergeCell ref="A166:H166"/>
    <mergeCell ref="L161:M161"/>
    <mergeCell ref="L160:M160"/>
    <mergeCell ref="B163:B164"/>
    <mergeCell ref="A167:B167"/>
    <mergeCell ref="A175:B175"/>
    <mergeCell ref="A172:B172"/>
    <mergeCell ref="A173:B173"/>
    <mergeCell ref="A168:B168"/>
    <mergeCell ref="A176:H176"/>
    <mergeCell ref="L158:M158"/>
    <mergeCell ref="A47:B47"/>
    <mergeCell ref="C47:H47"/>
    <mergeCell ref="A86:B86"/>
    <mergeCell ref="C86:H86"/>
    <mergeCell ref="G87:H87"/>
    <mergeCell ref="F136:H136"/>
    <mergeCell ref="F137:H137"/>
    <mergeCell ref="A122:B122"/>
    <mergeCell ref="A123:B123"/>
    <mergeCell ref="A125:B125"/>
    <mergeCell ref="A126:B126"/>
    <mergeCell ref="A131:E131"/>
    <mergeCell ref="A128:E128"/>
    <mergeCell ref="F132:H132"/>
    <mergeCell ref="A133:E133"/>
    <mergeCell ref="F135:H135"/>
    <mergeCell ref="A129:E129"/>
    <mergeCell ref="A135:E135"/>
    <mergeCell ref="A137:E137"/>
    <mergeCell ref="B155:B156"/>
    <mergeCell ref="F131:H131"/>
    <mergeCell ref="A136:E136"/>
    <mergeCell ref="A121:B121"/>
    <mergeCell ref="C151:D151"/>
    <mergeCell ref="E151:F151"/>
    <mergeCell ref="G151:H151"/>
    <mergeCell ref="C148:D148"/>
    <mergeCell ref="G148:H148"/>
    <mergeCell ref="A150:B150"/>
    <mergeCell ref="C150:D150"/>
    <mergeCell ref="E150:F150"/>
    <mergeCell ref="A157:H157"/>
    <mergeCell ref="E155:E156"/>
    <mergeCell ref="G155:H156"/>
    <mergeCell ref="C38:H38"/>
    <mergeCell ref="A40:D40"/>
    <mergeCell ref="E40:H40"/>
    <mergeCell ref="A57:C57"/>
    <mergeCell ref="G49:H49"/>
    <mergeCell ref="A71:B72"/>
    <mergeCell ref="C71:D72"/>
    <mergeCell ref="E71:F72"/>
    <mergeCell ref="A221:H221"/>
    <mergeCell ref="A119:B119"/>
    <mergeCell ref="A120:B120"/>
    <mergeCell ref="G88:H97"/>
    <mergeCell ref="A89:B89"/>
    <mergeCell ref="A90:B90"/>
    <mergeCell ref="A91:B91"/>
    <mergeCell ref="F130:H130"/>
    <mergeCell ref="A130:E130"/>
    <mergeCell ref="D155:D156"/>
    <mergeCell ref="A132:E132"/>
    <mergeCell ref="A134:E134"/>
    <mergeCell ref="F134:H134"/>
    <mergeCell ref="G117:H117"/>
    <mergeCell ref="A116:B116"/>
    <mergeCell ref="C116:H116"/>
    <mergeCell ref="A232:H232"/>
    <mergeCell ref="A237:B237"/>
    <mergeCell ref="A238:B238"/>
    <mergeCell ref="A233:B233"/>
    <mergeCell ref="G233:H238"/>
    <mergeCell ref="A234:B234"/>
    <mergeCell ref="A235:B235"/>
    <mergeCell ref="A236:B236"/>
    <mergeCell ref="A239:H239"/>
    <mergeCell ref="K259:P259"/>
    <mergeCell ref="A240:B240"/>
    <mergeCell ref="G240:H245"/>
    <mergeCell ref="A241:B241"/>
    <mergeCell ref="A242:B242"/>
    <mergeCell ref="A243:B243"/>
    <mergeCell ref="A244:B244"/>
    <mergeCell ref="A245:B245"/>
    <mergeCell ref="B257:H257"/>
    <mergeCell ref="B254:H254"/>
    <mergeCell ref="B256:H256"/>
    <mergeCell ref="B252:H25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7" max="16383" man="1"/>
    <brk id="127" max="16383" man="1"/>
    <brk id="272" max="7" man="1"/>
    <brk id="313" max="16383" man="1"/>
    <brk id="355" max="7" man="1"/>
    <brk id="397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3" t="s">
        <v>104</v>
      </c>
      <c r="C3" s="203"/>
      <c r="D3" s="203"/>
      <c r="E3" s="203"/>
      <c r="F3" s="203"/>
      <c r="G3" s="203"/>
      <c r="H3" s="203"/>
    </row>
    <row r="4" spans="1:9" x14ac:dyDescent="0.25">
      <c r="A4" s="2"/>
      <c r="B4" s="3" t="s">
        <v>105</v>
      </c>
      <c r="C4" s="3" t="s">
        <v>106</v>
      </c>
      <c r="D4" s="3" t="s">
        <v>66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2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2025-09-12T10:28:29Z</cp:lastPrinted>
  <dcterms:created xsi:type="dcterms:W3CDTF">2019-07-16T09:29:46Z</dcterms:created>
  <dcterms:modified xsi:type="dcterms:W3CDTF">2025-09-12T10:31:31Z</dcterms:modified>
</cp:coreProperties>
</file>