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Kaustubh Kulkarni\Downloads\"/>
    </mc:Choice>
  </mc:AlternateContent>
  <xr:revisionPtr revIDLastSave="0" documentId="13_ncr:1_{7BBA0146-C3C6-4C9A-A344-E3D8CE02409B}" xr6:coauthVersionLast="47" xr6:coauthVersionMax="47" xr10:uidLastSave="{00000000-0000-0000-0000-000000000000}"/>
  <bookViews>
    <workbookView xWindow="-108" yWindow="-108" windowWidth="23256" windowHeight="12456" tabRatio="798" xr2:uid="{00000000-000D-0000-FFFF-FFFF00000000}"/>
  </bookViews>
  <sheets>
    <sheet name="Sheet1" sheetId="1" r:id="rId1"/>
    <sheet name="VALUATION" sheetId="19" r:id="rId2"/>
    <sheet name="Note" sheetId="17" r:id="rId3"/>
    <sheet name="A&amp;B" sheetId="14" r:id="rId4"/>
    <sheet name="D" sheetId="16" r:id="rId5"/>
    <sheet name="E" sheetId="15" r:id="rId6"/>
    <sheet name="F" sheetId="18" r:id="rId7"/>
    <sheet name="Wing A" sheetId="11" r:id="rId8"/>
    <sheet name="Wing B" sheetId="12" r:id="rId9"/>
    <sheet name="Wing C" sheetId="13" r:id="rId10"/>
  </sheets>
  <definedNames>
    <definedName name="_xlnm.Print_Area" localSheetId="0">Sheet1!$A$1:$J$568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6" i="1" l="1"/>
  <c r="C128" i="1" s="1"/>
  <c r="C127" i="1" l="1"/>
  <c r="F7" i="1"/>
  <c r="F38" i="1" l="1"/>
  <c r="F39" i="1" s="1"/>
  <c r="O165" i="1"/>
  <c r="N165" i="1"/>
  <c r="M329" i="1" l="1"/>
  <c r="D329" i="1"/>
  <c r="F329" i="1" s="1"/>
  <c r="H329" i="1" s="1"/>
  <c r="I281" i="1"/>
  <c r="L166" i="1" l="1"/>
  <c r="L165" i="1"/>
  <c r="N161" i="1"/>
  <c r="I387" i="1" l="1"/>
  <c r="I415" i="1"/>
  <c r="I408" i="1"/>
  <c r="D417" i="1"/>
  <c r="F417" i="1" s="1"/>
  <c r="H417" i="1" s="1"/>
  <c r="D409" i="1"/>
  <c r="F409" i="1" s="1"/>
  <c r="H409" i="1" s="1"/>
  <c r="O408" i="1"/>
  <c r="N408" i="1"/>
  <c r="D408" i="1"/>
  <c r="F408" i="1" s="1"/>
  <c r="H408" i="1" s="1"/>
  <c r="D416" i="1"/>
  <c r="F416" i="1" s="1"/>
  <c r="H416" i="1" s="1"/>
  <c r="O415" i="1"/>
  <c r="N415" i="1"/>
  <c r="D415" i="1"/>
  <c r="F415" i="1" s="1"/>
  <c r="H415" i="1" s="1"/>
  <c r="M411" i="1"/>
  <c r="D411" i="1"/>
  <c r="F411" i="1" s="1"/>
  <c r="H411" i="1" s="1"/>
  <c r="M418" i="1"/>
  <c r="D418" i="1"/>
  <c r="F418" i="1" s="1"/>
  <c r="H418" i="1" s="1"/>
  <c r="I401" i="1"/>
  <c r="I394" i="1"/>
  <c r="D395" i="1"/>
  <c r="F395" i="1" s="1"/>
  <c r="H395" i="1" s="1"/>
  <c r="O394" i="1"/>
  <c r="N394" i="1"/>
  <c r="D394" i="1"/>
  <c r="F394" i="1" s="1"/>
  <c r="H394" i="1" s="1"/>
  <c r="D404" i="1"/>
  <c r="F404" i="1" s="1"/>
  <c r="H404" i="1" s="1"/>
  <c r="D403" i="1"/>
  <c r="F403" i="1" s="1"/>
  <c r="H403" i="1" s="1"/>
  <c r="D402" i="1"/>
  <c r="F402" i="1" s="1"/>
  <c r="H402" i="1" s="1"/>
  <c r="O401" i="1"/>
  <c r="N401" i="1"/>
  <c r="D401" i="1"/>
  <c r="F401" i="1" s="1"/>
  <c r="H401" i="1" s="1"/>
  <c r="D390" i="1"/>
  <c r="F390" i="1" s="1"/>
  <c r="H390" i="1" s="1"/>
  <c r="D389" i="1"/>
  <c r="F389" i="1" s="1"/>
  <c r="H389" i="1" s="1"/>
  <c r="D388" i="1"/>
  <c r="F388" i="1" s="1"/>
  <c r="H388" i="1" s="1"/>
  <c r="D387" i="1"/>
  <c r="F387" i="1" s="1"/>
  <c r="H387" i="1" s="1"/>
  <c r="O387" i="1"/>
  <c r="N387" i="1"/>
  <c r="O380" i="1"/>
  <c r="N380" i="1"/>
  <c r="D376" i="1"/>
  <c r="F376" i="1" s="1"/>
  <c r="H376" i="1" s="1"/>
  <c r="I373" i="1"/>
  <c r="D375" i="1"/>
  <c r="F375" i="1" s="1"/>
  <c r="H375" i="1" s="1"/>
  <c r="D374" i="1"/>
  <c r="F374" i="1" s="1"/>
  <c r="H374" i="1" s="1"/>
  <c r="D373" i="1"/>
  <c r="F373" i="1" s="1"/>
  <c r="H373" i="1" s="1"/>
  <c r="I366" i="1"/>
  <c r="D367" i="1"/>
  <c r="F367" i="1" s="1"/>
  <c r="H367" i="1" s="1"/>
  <c r="D366" i="1"/>
  <c r="F366" i="1" s="1"/>
  <c r="H366" i="1" s="1"/>
  <c r="I380" i="1"/>
  <c r="D381" i="1"/>
  <c r="F381" i="1" s="1"/>
  <c r="H381" i="1" s="1"/>
  <c r="D380" i="1"/>
  <c r="F380" i="1" s="1"/>
  <c r="H380" i="1" s="1"/>
  <c r="D383" i="1"/>
  <c r="F383" i="1" s="1"/>
  <c r="H383" i="1" s="1"/>
  <c r="D362" i="1"/>
  <c r="F362" i="1" s="1"/>
  <c r="H362" i="1" s="1"/>
  <c r="D361" i="1"/>
  <c r="F361" i="1" s="1"/>
  <c r="H361" i="1" s="1"/>
  <c r="I359" i="1"/>
  <c r="D360" i="1"/>
  <c r="F360" i="1" s="1"/>
  <c r="H360" i="1" s="1"/>
  <c r="D359" i="1"/>
  <c r="F359" i="1" s="1"/>
  <c r="H359" i="1" s="1"/>
  <c r="D355" i="1"/>
  <c r="F355" i="1" s="1"/>
  <c r="H355" i="1" s="1"/>
  <c r="D354" i="1"/>
  <c r="F354" i="1" s="1"/>
  <c r="H354" i="1" s="1"/>
  <c r="D356" i="1"/>
  <c r="F356" i="1" s="1"/>
  <c r="H356" i="1" s="1"/>
  <c r="I354" i="1"/>
  <c r="D352" i="1"/>
  <c r="F352" i="1" s="1"/>
  <c r="H352" i="1" s="1"/>
  <c r="D351" i="1"/>
  <c r="F351" i="1" s="1"/>
  <c r="H351" i="1" s="1"/>
  <c r="D350" i="1"/>
  <c r="F350" i="1" s="1"/>
  <c r="H350" i="1" s="1"/>
  <c r="I349" i="1"/>
  <c r="D349" i="1"/>
  <c r="F349" i="1" s="1"/>
  <c r="H349" i="1" s="1"/>
  <c r="D346" i="1"/>
  <c r="F346" i="1" s="1"/>
  <c r="H346" i="1" s="1"/>
  <c r="D347" i="1"/>
  <c r="F347" i="1" s="1"/>
  <c r="H347" i="1" s="1"/>
  <c r="D345" i="1"/>
  <c r="F345" i="1" s="1"/>
  <c r="H345" i="1" s="1"/>
  <c r="D344" i="1"/>
  <c r="F344" i="1" s="1"/>
  <c r="D413" i="1"/>
  <c r="F413" i="1" s="1"/>
  <c r="H413" i="1" s="1"/>
  <c r="D412" i="1"/>
  <c r="F412" i="1" s="1"/>
  <c r="H412" i="1" s="1"/>
  <c r="D406" i="1"/>
  <c r="F406" i="1" s="1"/>
  <c r="H406" i="1" s="1"/>
  <c r="D405" i="1"/>
  <c r="F405" i="1" s="1"/>
  <c r="H405" i="1" s="1"/>
  <c r="M404" i="1"/>
  <c r="D399" i="1"/>
  <c r="F399" i="1" s="1"/>
  <c r="H399" i="1" s="1"/>
  <c r="D398" i="1"/>
  <c r="F398" i="1" s="1"/>
  <c r="H398" i="1" s="1"/>
  <c r="D397" i="1"/>
  <c r="F397" i="1" s="1"/>
  <c r="H397" i="1" s="1"/>
  <c r="D392" i="1"/>
  <c r="F392" i="1" s="1"/>
  <c r="H392" i="1" s="1"/>
  <c r="D391" i="1"/>
  <c r="F391" i="1" s="1"/>
  <c r="H391" i="1" s="1"/>
  <c r="M390" i="1"/>
  <c r="D385" i="1"/>
  <c r="F385" i="1" s="1"/>
  <c r="H385" i="1" s="1"/>
  <c r="D384" i="1"/>
  <c r="F384" i="1" s="1"/>
  <c r="H384" i="1" s="1"/>
  <c r="D382" i="1"/>
  <c r="F382" i="1" s="1"/>
  <c r="H382" i="1" s="1"/>
  <c r="D378" i="1"/>
  <c r="F378" i="1" s="1"/>
  <c r="H378" i="1" s="1"/>
  <c r="D377" i="1"/>
  <c r="F377" i="1" s="1"/>
  <c r="H377" i="1" s="1"/>
  <c r="D371" i="1"/>
  <c r="F371" i="1" s="1"/>
  <c r="H371" i="1" s="1"/>
  <c r="D370" i="1"/>
  <c r="F370" i="1" s="1"/>
  <c r="H370" i="1" s="1"/>
  <c r="D369" i="1"/>
  <c r="F369" i="1" s="1"/>
  <c r="H369" i="1" s="1"/>
  <c r="D364" i="1"/>
  <c r="F364" i="1" s="1"/>
  <c r="H364" i="1" s="1"/>
  <c r="D363" i="1"/>
  <c r="F363" i="1" s="1"/>
  <c r="H363" i="1" s="1"/>
  <c r="I344" i="1"/>
  <c r="D166" i="1" l="1"/>
  <c r="C166" i="1"/>
  <c r="H344" i="1"/>
  <c r="G166" i="1" s="1"/>
  <c r="O409" i="1"/>
  <c r="O416" i="1"/>
  <c r="O381" i="1"/>
  <c r="O402" i="1"/>
  <c r="O395" i="1"/>
  <c r="O388" i="1"/>
  <c r="D331" i="1"/>
  <c r="F331" i="1" s="1"/>
  <c r="H331" i="1" s="1"/>
  <c r="D330" i="1"/>
  <c r="F330" i="1" s="1"/>
  <c r="H330" i="1" s="1"/>
  <c r="I327" i="1"/>
  <c r="D327" i="1"/>
  <c r="F327" i="1" s="1"/>
  <c r="H327" i="1" s="1"/>
  <c r="D335" i="1"/>
  <c r="F335" i="1" s="1"/>
  <c r="H335" i="1" s="1"/>
  <c r="D334" i="1"/>
  <c r="F334" i="1" s="1"/>
  <c r="H334" i="1" s="1"/>
  <c r="N333" i="1"/>
  <c r="M333" i="1"/>
  <c r="M335" i="1" s="1"/>
  <c r="I333" i="1"/>
  <c r="D333" i="1"/>
  <c r="F333" i="1" s="1"/>
  <c r="H333" i="1" s="1"/>
  <c r="D319" i="1" l="1"/>
  <c r="F319" i="1" s="1"/>
  <c r="H319" i="1" s="1"/>
  <c r="D318" i="1"/>
  <c r="F318" i="1" s="1"/>
  <c r="H318" i="1" s="1"/>
  <c r="D317" i="1"/>
  <c r="F317" i="1" s="1"/>
  <c r="H317" i="1" s="1"/>
  <c r="I315" i="1"/>
  <c r="D315" i="1"/>
  <c r="F315" i="1" s="1"/>
  <c r="H315" i="1" s="1"/>
  <c r="D323" i="1"/>
  <c r="F323" i="1" s="1"/>
  <c r="H323" i="1" s="1"/>
  <c r="D322" i="1"/>
  <c r="F322" i="1" s="1"/>
  <c r="H322" i="1" s="1"/>
  <c r="D311" i="1"/>
  <c r="F311" i="1" s="1"/>
  <c r="H311" i="1" s="1"/>
  <c r="D310" i="1"/>
  <c r="F310" i="1" s="1"/>
  <c r="H310" i="1" s="1"/>
  <c r="D304" i="1"/>
  <c r="F304" i="1" s="1"/>
  <c r="H304" i="1" s="1"/>
  <c r="M309" i="1"/>
  <c r="M311" i="1" s="1"/>
  <c r="D325" i="1"/>
  <c r="F325" i="1" s="1"/>
  <c r="H325" i="1" s="1"/>
  <c r="D324" i="1"/>
  <c r="F324" i="1" s="1"/>
  <c r="H324" i="1" s="1"/>
  <c r="N321" i="1"/>
  <c r="M321" i="1"/>
  <c r="M323" i="1" s="1"/>
  <c r="I321" i="1"/>
  <c r="D321" i="1"/>
  <c r="F321" i="1" s="1"/>
  <c r="H321" i="1" s="1"/>
  <c r="D307" i="1"/>
  <c r="F307" i="1" s="1"/>
  <c r="H307" i="1" s="1"/>
  <c r="D306" i="1"/>
  <c r="F306" i="1" s="1"/>
  <c r="H306" i="1" s="1"/>
  <c r="D305" i="1"/>
  <c r="F305" i="1" s="1"/>
  <c r="H305" i="1" s="1"/>
  <c r="I303" i="1"/>
  <c r="D303" i="1"/>
  <c r="F303" i="1" s="1"/>
  <c r="H303" i="1" s="1"/>
  <c r="D313" i="1"/>
  <c r="F313" i="1" s="1"/>
  <c r="H313" i="1" s="1"/>
  <c r="D312" i="1"/>
  <c r="F312" i="1" s="1"/>
  <c r="H312" i="1" s="1"/>
  <c r="N309" i="1"/>
  <c r="I309" i="1"/>
  <c r="D309" i="1"/>
  <c r="F309" i="1" s="1"/>
  <c r="H309" i="1" s="1"/>
  <c r="D299" i="1"/>
  <c r="F299" i="1" s="1"/>
  <c r="H299" i="1" s="1"/>
  <c r="D298" i="1"/>
  <c r="F298" i="1" s="1"/>
  <c r="H298" i="1" s="1"/>
  <c r="D287" i="1"/>
  <c r="F287" i="1" s="1"/>
  <c r="H287" i="1" s="1"/>
  <c r="D282" i="1"/>
  <c r="F282" i="1" s="1"/>
  <c r="H282" i="1" s="1"/>
  <c r="D279" i="1"/>
  <c r="F279" i="1" s="1"/>
  <c r="H279" i="1" s="1"/>
  <c r="D278" i="1"/>
  <c r="F278" i="1" s="1"/>
  <c r="H278" i="1" s="1"/>
  <c r="D275" i="1"/>
  <c r="F275" i="1" s="1"/>
  <c r="H275" i="1" s="1"/>
  <c r="D274" i="1"/>
  <c r="F274" i="1" s="1"/>
  <c r="H274" i="1" s="1"/>
  <c r="M297" i="1"/>
  <c r="M299" i="1" s="1"/>
  <c r="N297" i="1"/>
  <c r="D301" i="1"/>
  <c r="F301" i="1" s="1"/>
  <c r="H301" i="1" s="1"/>
  <c r="D300" i="1"/>
  <c r="F300" i="1" s="1"/>
  <c r="H300" i="1" s="1"/>
  <c r="I297" i="1"/>
  <c r="D297" i="1"/>
  <c r="F297" i="1" s="1"/>
  <c r="H297" i="1" s="1"/>
  <c r="D295" i="1"/>
  <c r="F295" i="1" s="1"/>
  <c r="H295" i="1" s="1"/>
  <c r="D294" i="1"/>
  <c r="F294" i="1" s="1"/>
  <c r="H294" i="1" s="1"/>
  <c r="D293" i="1"/>
  <c r="F293" i="1" s="1"/>
  <c r="H293" i="1" s="1"/>
  <c r="I291" i="1"/>
  <c r="D291" i="1"/>
  <c r="F291" i="1" s="1"/>
  <c r="H291" i="1" s="1"/>
  <c r="D289" i="1"/>
  <c r="F289" i="1" s="1"/>
  <c r="H289" i="1" s="1"/>
  <c r="D288" i="1"/>
  <c r="F288" i="1" s="1"/>
  <c r="H288" i="1" s="1"/>
  <c r="D286" i="1"/>
  <c r="F286" i="1" s="1"/>
  <c r="H286" i="1" s="1"/>
  <c r="I285" i="1"/>
  <c r="D285" i="1"/>
  <c r="F285" i="1" s="1"/>
  <c r="H285" i="1" s="1"/>
  <c r="D281" i="1"/>
  <c r="F281" i="1" s="1"/>
  <c r="H281" i="1" s="1"/>
  <c r="I277" i="1"/>
  <c r="D277" i="1"/>
  <c r="F277" i="1" s="1"/>
  <c r="H277" i="1" s="1"/>
  <c r="D273" i="1"/>
  <c r="F273" i="1" s="1"/>
  <c r="I273" i="1"/>
  <c r="D264" i="1"/>
  <c r="F264" i="1" s="1"/>
  <c r="H264" i="1" s="1"/>
  <c r="D259" i="1"/>
  <c r="F259" i="1" s="1"/>
  <c r="H259" i="1" s="1"/>
  <c r="D253" i="1"/>
  <c r="F253" i="1" s="1"/>
  <c r="H253" i="1" s="1"/>
  <c r="D248" i="1"/>
  <c r="F248" i="1" s="1"/>
  <c r="D266" i="1"/>
  <c r="F266" i="1" s="1"/>
  <c r="H266" i="1" s="1"/>
  <c r="D265" i="1"/>
  <c r="F265" i="1" s="1"/>
  <c r="H265" i="1" s="1"/>
  <c r="I263" i="1"/>
  <c r="D261" i="1"/>
  <c r="F261" i="1" s="1"/>
  <c r="H261" i="1" s="1"/>
  <c r="D260" i="1"/>
  <c r="F260" i="1" s="1"/>
  <c r="H260" i="1" s="1"/>
  <c r="I258" i="1"/>
  <c r="D256" i="1"/>
  <c r="F256" i="1" s="1"/>
  <c r="H256" i="1" s="1"/>
  <c r="D255" i="1"/>
  <c r="F255" i="1" s="1"/>
  <c r="H255" i="1" s="1"/>
  <c r="D254" i="1"/>
  <c r="F254" i="1" s="1"/>
  <c r="H254" i="1" s="1"/>
  <c r="I253" i="1"/>
  <c r="D249" i="1"/>
  <c r="F249" i="1" s="1"/>
  <c r="H249" i="1" s="1"/>
  <c r="I248" i="1"/>
  <c r="D218" i="1"/>
  <c r="F218" i="1" s="1"/>
  <c r="H218" i="1" s="1"/>
  <c r="D217" i="1"/>
  <c r="F217" i="1" s="1"/>
  <c r="H217" i="1" s="1"/>
  <c r="D216" i="1"/>
  <c r="F216" i="1" s="1"/>
  <c r="H216" i="1" s="1"/>
  <c r="I215" i="1"/>
  <c r="D201" i="1"/>
  <c r="F201" i="1" s="1"/>
  <c r="H201" i="1" s="1"/>
  <c r="D200" i="1"/>
  <c r="F200" i="1" s="1"/>
  <c r="D206" i="1"/>
  <c r="F206" i="1" s="1"/>
  <c r="H206" i="1" s="1"/>
  <c r="D208" i="1"/>
  <c r="F208" i="1" s="1"/>
  <c r="H208" i="1" s="1"/>
  <c r="D207" i="1"/>
  <c r="F207" i="1" s="1"/>
  <c r="H207" i="1" s="1"/>
  <c r="D205" i="1"/>
  <c r="F205" i="1" s="1"/>
  <c r="H205" i="1" s="1"/>
  <c r="I205" i="1"/>
  <c r="I200" i="1"/>
  <c r="D242" i="1"/>
  <c r="F242" i="1" s="1"/>
  <c r="H242" i="1" s="1"/>
  <c r="D239" i="1"/>
  <c r="F239" i="1" s="1"/>
  <c r="H239" i="1" s="1"/>
  <c r="D234" i="1"/>
  <c r="F234" i="1" s="1"/>
  <c r="H234" i="1" s="1"/>
  <c r="D213" i="1"/>
  <c r="F213" i="1" s="1"/>
  <c r="H213" i="1" s="1"/>
  <c r="D212" i="1"/>
  <c r="F212" i="1" s="1"/>
  <c r="H212" i="1" s="1"/>
  <c r="I210" i="1"/>
  <c r="D211" i="1"/>
  <c r="F211" i="1" s="1"/>
  <c r="H211" i="1" s="1"/>
  <c r="D237" i="1"/>
  <c r="F237" i="1" s="1"/>
  <c r="H237" i="1" s="1"/>
  <c r="D235" i="1"/>
  <c r="F235" i="1" s="1"/>
  <c r="H235" i="1" s="1"/>
  <c r="I234" i="1"/>
  <c r="D229" i="1"/>
  <c r="D232" i="1"/>
  <c r="D231" i="1"/>
  <c r="D230" i="1"/>
  <c r="D227" i="1"/>
  <c r="F227" i="1" s="1"/>
  <c r="H227" i="1" s="1"/>
  <c r="D226" i="1"/>
  <c r="F226" i="1" s="1"/>
  <c r="H226" i="1" s="1"/>
  <c r="D225" i="1"/>
  <c r="I239" i="1"/>
  <c r="C165" i="1" l="1"/>
  <c r="M165" i="1" s="1"/>
  <c r="D165" i="1"/>
  <c r="H248" i="1"/>
  <c r="D164" i="1"/>
  <c r="C164" i="1"/>
  <c r="H200" i="1"/>
  <c r="C162" i="1"/>
  <c r="D162" i="1"/>
  <c r="H273" i="1"/>
  <c r="G165" i="1" s="1"/>
  <c r="I229" i="1"/>
  <c r="I224" i="1"/>
  <c r="D194" i="1"/>
  <c r="F194" i="1" s="1"/>
  <c r="H194" i="1" s="1"/>
  <c r="D193" i="1"/>
  <c r="F193" i="1" s="1"/>
  <c r="H193" i="1" s="1"/>
  <c r="I191" i="1"/>
  <c r="I186" i="1"/>
  <c r="I181" i="1"/>
  <c r="D183" i="1"/>
  <c r="D182" i="1"/>
  <c r="D181" i="1"/>
  <c r="D177" i="1"/>
  <c r="D176" i="1"/>
  <c r="I176" i="1"/>
  <c r="K248" i="1" l="1"/>
  <c r="G164" i="1"/>
  <c r="K200" i="1"/>
  <c r="G162" i="1"/>
  <c r="C61" i="1"/>
  <c r="F3" i="1" l="1"/>
  <c r="L144" i="1" l="1"/>
  <c r="L143" i="1"/>
  <c r="L142" i="1"/>
  <c r="L141" i="1"/>
  <c r="K152" i="1"/>
  <c r="L130" i="1"/>
  <c r="L129" i="1"/>
  <c r="L88" i="1"/>
  <c r="L87" i="1"/>
  <c r="L102" i="1"/>
  <c r="L101" i="1"/>
  <c r="L116" i="1"/>
  <c r="L115" i="1"/>
  <c r="L72" i="1"/>
  <c r="L71" i="1"/>
  <c r="I76" i="1"/>
  <c r="I60" i="1"/>
  <c r="I134" i="1"/>
  <c r="I120" i="1"/>
  <c r="I92" i="1"/>
  <c r="I106" i="1"/>
  <c r="D112" i="1" l="1"/>
  <c r="L138" i="1"/>
  <c r="F137" i="1"/>
  <c r="D145" i="1"/>
  <c r="D139" i="1"/>
  <c r="D146" i="1"/>
  <c r="D144" i="1"/>
  <c r="D142" i="1"/>
  <c r="D140" i="1"/>
  <c r="D138" i="1"/>
  <c r="D143" i="1"/>
  <c r="L139" i="1"/>
  <c r="L140" i="1" s="1"/>
  <c r="L145" i="1" s="1"/>
  <c r="L146" i="1" s="1"/>
  <c r="L137" i="1"/>
  <c r="H137" i="1" s="1"/>
  <c r="D141" i="1"/>
  <c r="L136" i="1"/>
  <c r="L123" i="1"/>
  <c r="D132" i="1"/>
  <c r="D130" i="1"/>
  <c r="D128" i="1"/>
  <c r="D126" i="1"/>
  <c r="L124" i="1"/>
  <c r="C123" i="1" s="1"/>
  <c r="D123" i="1" s="1"/>
  <c r="L122" i="1"/>
  <c r="D129" i="1"/>
  <c r="D125" i="1"/>
  <c r="L125" i="1"/>
  <c r="D131" i="1"/>
  <c r="D127" i="1"/>
  <c r="D89" i="1"/>
  <c r="D87" i="1"/>
  <c r="D85" i="1"/>
  <c r="D83" i="1"/>
  <c r="L81" i="1"/>
  <c r="D90" i="1"/>
  <c r="D88" i="1"/>
  <c r="D86" i="1"/>
  <c r="D84" i="1"/>
  <c r="L82" i="1"/>
  <c r="C81" i="1" s="1"/>
  <c r="L80" i="1"/>
  <c r="L83" i="1"/>
  <c r="L84" i="1" s="1"/>
  <c r="L89" i="1" s="1"/>
  <c r="D97" i="1"/>
  <c r="L95" i="1"/>
  <c r="D104" i="1"/>
  <c r="D102" i="1"/>
  <c r="D100" i="1"/>
  <c r="D98" i="1"/>
  <c r="L96" i="1"/>
  <c r="C95" i="1" s="1"/>
  <c r="L94" i="1"/>
  <c r="L97" i="1"/>
  <c r="D103" i="1"/>
  <c r="D101" i="1"/>
  <c r="D99" i="1"/>
  <c r="D118" i="1"/>
  <c r="D116" i="1"/>
  <c r="D114" i="1"/>
  <c r="L110" i="1"/>
  <c r="C109" i="1" s="1"/>
  <c r="D109" i="1" s="1"/>
  <c r="L108" i="1"/>
  <c r="L111" i="1"/>
  <c r="L112" i="1" s="1"/>
  <c r="L117" i="1" s="1"/>
  <c r="D117" i="1"/>
  <c r="D115" i="1"/>
  <c r="D113" i="1"/>
  <c r="D111" i="1"/>
  <c r="L109" i="1"/>
  <c r="D67" i="1"/>
  <c r="L65" i="1"/>
  <c r="D73" i="1"/>
  <c r="D74" i="1"/>
  <c r="D72" i="1"/>
  <c r="D70" i="1"/>
  <c r="D68" i="1"/>
  <c r="L66" i="1"/>
  <c r="C65" i="1" s="1"/>
  <c r="D65" i="1" s="1"/>
  <c r="L64" i="1"/>
  <c r="L67" i="1"/>
  <c r="L68" i="1" s="1"/>
  <c r="L73" i="1" s="1"/>
  <c r="D71" i="1"/>
  <c r="D69" i="1"/>
  <c r="G6" i="19"/>
  <c r="G7" i="19"/>
  <c r="G8" i="19"/>
  <c r="G9" i="19"/>
  <c r="G10" i="19"/>
  <c r="G11" i="19"/>
  <c r="G12" i="19"/>
  <c r="G5" i="19"/>
  <c r="F11" i="19"/>
  <c r="F12" i="19"/>
  <c r="F9" i="19"/>
  <c r="F10" i="19"/>
  <c r="F8" i="19"/>
  <c r="F13" i="19"/>
  <c r="B16" i="18"/>
  <c r="E10" i="18" s="1"/>
  <c r="B14" i="18"/>
  <c r="N7" i="18" s="1"/>
  <c r="H18" i="18" s="1"/>
  <c r="B12" i="18"/>
  <c r="M7" i="18" s="1"/>
  <c r="H17" i="18" s="1"/>
  <c r="B10" i="18"/>
  <c r="L7" i="18" s="1"/>
  <c r="H16" i="18" s="1"/>
  <c r="B8" i="18"/>
  <c r="E6" i="18" s="1"/>
  <c r="K7" i="18"/>
  <c r="H15" i="18" s="1"/>
  <c r="O6" i="18"/>
  <c r="G19" i="18" s="1"/>
  <c r="I6" i="18"/>
  <c r="G13" i="18" s="1"/>
  <c r="B6" i="18"/>
  <c r="E5" i="18" s="1"/>
  <c r="E4" i="18"/>
  <c r="B16" i="16"/>
  <c r="O6" i="16" s="1"/>
  <c r="G19" i="16" s="1"/>
  <c r="B14" i="16"/>
  <c r="N6" i="16" s="1"/>
  <c r="G18" i="16" s="1"/>
  <c r="B12" i="16"/>
  <c r="E8" i="16" s="1"/>
  <c r="B10" i="16"/>
  <c r="L7" i="16" s="1"/>
  <c r="H16" i="16" s="1"/>
  <c r="B8" i="16"/>
  <c r="K7" i="16" s="1"/>
  <c r="H15" i="16" s="1"/>
  <c r="I6" i="16"/>
  <c r="G13" i="16" s="1"/>
  <c r="B6" i="16"/>
  <c r="J7" i="16" s="1"/>
  <c r="H14" i="16" s="1"/>
  <c r="E4" i="16"/>
  <c r="B16" i="15"/>
  <c r="O7" i="15" s="1"/>
  <c r="H19" i="15" s="1"/>
  <c r="B14" i="15"/>
  <c r="N7" i="15" s="1"/>
  <c r="H18" i="15" s="1"/>
  <c r="B12" i="15"/>
  <c r="M7" i="15" s="1"/>
  <c r="H17" i="15" s="1"/>
  <c r="B10" i="15"/>
  <c r="L7" i="15" s="1"/>
  <c r="H16" i="15" s="1"/>
  <c r="B8" i="15"/>
  <c r="K7" i="15" s="1"/>
  <c r="H15" i="15" s="1"/>
  <c r="I6" i="15"/>
  <c r="G13" i="15" s="1"/>
  <c r="B6" i="15"/>
  <c r="J7" i="15" s="1"/>
  <c r="H14" i="15" s="1"/>
  <c r="E5" i="15"/>
  <c r="E4" i="15"/>
  <c r="B16" i="14"/>
  <c r="O7" i="14" s="1"/>
  <c r="H19" i="14" s="1"/>
  <c r="B14" i="14"/>
  <c r="E9" i="14" s="1"/>
  <c r="B12" i="14"/>
  <c r="M6" i="14" s="1"/>
  <c r="G17" i="14" s="1"/>
  <c r="B10" i="14"/>
  <c r="E7" i="14" s="1"/>
  <c r="B8" i="14"/>
  <c r="K7" i="14" s="1"/>
  <c r="H15" i="14" s="1"/>
  <c r="I6" i="14"/>
  <c r="G13" i="14" s="1"/>
  <c r="B6" i="14"/>
  <c r="J7" i="14" s="1"/>
  <c r="H14" i="14" s="1"/>
  <c r="E4" i="14"/>
  <c r="F232" i="1"/>
  <c r="H232" i="1" s="1"/>
  <c r="F231" i="1"/>
  <c r="H231" i="1" s="1"/>
  <c r="F230" i="1"/>
  <c r="H230" i="1" s="1"/>
  <c r="F229" i="1"/>
  <c r="H229" i="1" s="1"/>
  <c r="F225" i="1"/>
  <c r="D189" i="1"/>
  <c r="F189" i="1" s="1"/>
  <c r="H189" i="1" s="1"/>
  <c r="D188" i="1"/>
  <c r="F188" i="1" s="1"/>
  <c r="H188" i="1" s="1"/>
  <c r="D186" i="1"/>
  <c r="F186" i="1" s="1"/>
  <c r="H186" i="1" s="1"/>
  <c r="F183" i="1"/>
  <c r="H183" i="1" s="1"/>
  <c r="D184" i="1"/>
  <c r="F182" i="1"/>
  <c r="H182" i="1" s="1"/>
  <c r="F181" i="1"/>
  <c r="H181" i="1" s="1"/>
  <c r="F177" i="1"/>
  <c r="H177" i="1" s="1"/>
  <c r="F176" i="1"/>
  <c r="D54" i="1"/>
  <c r="D52" i="1"/>
  <c r="G158"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N7" i="13"/>
  <c r="K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H45" i="1"/>
  <c r="C44" i="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N6" i="14"/>
  <c r="G18" i="14" s="1"/>
  <c r="J6" i="16"/>
  <c r="G14" i="16" s="1"/>
  <c r="L6" i="14"/>
  <c r="G16" i="14" s="1"/>
  <c r="K6" i="16"/>
  <c r="G15" i="16" s="1"/>
  <c r="J6" i="15"/>
  <c r="G14" i="15" s="1"/>
  <c r="E9" i="18"/>
  <c r="K6" i="15" l="1"/>
  <c r="G15" i="15" s="1"/>
  <c r="E7" i="16"/>
  <c r="M6" i="15"/>
  <c r="G17" i="15" s="1"/>
  <c r="E8" i="18"/>
  <c r="E6" i="15"/>
  <c r="N7" i="16"/>
  <c r="H18" i="16" s="1"/>
  <c r="G35" i="13"/>
  <c r="F35" i="13" s="1"/>
  <c r="I7" i="15"/>
  <c r="H13" i="15" s="1"/>
  <c r="H20" i="15" s="1"/>
  <c r="L7" i="14"/>
  <c r="H16" i="14" s="1"/>
  <c r="E5" i="16"/>
  <c r="J6" i="14"/>
  <c r="G14" i="14" s="1"/>
  <c r="M7" i="14"/>
  <c r="H17" i="14" s="1"/>
  <c r="I7" i="14"/>
  <c r="H13" i="14" s="1"/>
  <c r="N7" i="14"/>
  <c r="H18" i="14" s="1"/>
  <c r="N6" i="18"/>
  <c r="G18" i="18" s="1"/>
  <c r="M35" i="12"/>
  <c r="L35" i="12" s="1"/>
  <c r="E5" i="14"/>
  <c r="G13" i="19"/>
  <c r="O6" i="15"/>
  <c r="G19" i="15" s="1"/>
  <c r="E6" i="14"/>
  <c r="M6" i="16"/>
  <c r="G17" i="16" s="1"/>
  <c r="N6" i="15"/>
  <c r="G18" i="15" s="1"/>
  <c r="F34" i="11"/>
  <c r="E34" i="11" s="1"/>
  <c r="J35" i="12"/>
  <c r="I35" i="12" s="1"/>
  <c r="H225" i="1"/>
  <c r="G163" i="1" s="1"/>
  <c r="C163" i="1"/>
  <c r="D163" i="1"/>
  <c r="E8" i="15"/>
  <c r="E10" i="15"/>
  <c r="M7" i="16"/>
  <c r="H17" i="16" s="1"/>
  <c r="L6" i="16"/>
  <c r="G16" i="16" s="1"/>
  <c r="E9" i="16"/>
  <c r="H176" i="1"/>
  <c r="O7" i="16"/>
  <c r="H19" i="16" s="1"/>
  <c r="J34" i="11"/>
  <c r="I34" i="11" s="1"/>
  <c r="F35" i="12"/>
  <c r="E35" i="12" s="1"/>
  <c r="K35" i="13"/>
  <c r="J35" i="13" s="1"/>
  <c r="E6" i="16"/>
  <c r="M34" i="11"/>
  <c r="L34" i="11" s="1"/>
  <c r="N35" i="13"/>
  <c r="M35" i="13" s="1"/>
  <c r="E7" i="15"/>
  <c r="E9" i="15"/>
  <c r="E10" i="16"/>
  <c r="J6" i="18"/>
  <c r="G14" i="18" s="1"/>
  <c r="L113" i="1"/>
  <c r="L114" i="1" s="1"/>
  <c r="L85" i="1"/>
  <c r="L86" i="1" s="1"/>
  <c r="L69" i="1"/>
  <c r="L70" i="1" s="1"/>
  <c r="F184" i="1"/>
  <c r="H184" i="1" s="1"/>
  <c r="D137" i="1"/>
  <c r="K133" i="1"/>
  <c r="C135" i="1" s="1"/>
  <c r="D95" i="1"/>
  <c r="L98" i="1"/>
  <c r="E10" i="14"/>
  <c r="E8" i="14"/>
  <c r="K6" i="18"/>
  <c r="G15" i="18" s="1"/>
  <c r="J7" i="18"/>
  <c r="H14" i="18" s="1"/>
  <c r="O7" i="18"/>
  <c r="H19" i="18" s="1"/>
  <c r="L6" i="18"/>
  <c r="G16" i="18" s="1"/>
  <c r="O6" i="14"/>
  <c r="G19" i="14" s="1"/>
  <c r="I7" i="18"/>
  <c r="H13" i="18" s="1"/>
  <c r="M6" i="18"/>
  <c r="G17" i="18" s="1"/>
  <c r="L6" i="15"/>
  <c r="G16" i="15" s="1"/>
  <c r="G20" i="15" s="1"/>
  <c r="K6" i="14"/>
  <c r="G15" i="14" s="1"/>
  <c r="G20" i="14" s="1"/>
  <c r="E7" i="18"/>
  <c r="I7" i="16"/>
  <c r="H13" i="16" s="1"/>
  <c r="L126" i="1"/>
  <c r="L127" i="1" s="1"/>
  <c r="L128" i="1" s="1"/>
  <c r="D81" i="1"/>
  <c r="F95" i="1"/>
  <c r="D96" i="1"/>
  <c r="H95" i="1"/>
  <c r="H20" i="14" l="1"/>
  <c r="G20" i="16"/>
  <c r="H20" i="16"/>
  <c r="C161" i="1"/>
  <c r="C167" i="1" s="1"/>
  <c r="K176" i="1"/>
  <c r="G161" i="1"/>
  <c r="G167" i="1" s="1"/>
  <c r="D161" i="1"/>
  <c r="D167" i="1" s="1"/>
  <c r="G20" i="18"/>
  <c r="H20" i="18"/>
  <c r="L103" i="1"/>
  <c r="L99" i="1"/>
  <c r="L100" i="1" s="1"/>
  <c r="L118" i="1"/>
  <c r="C110" i="1" s="1"/>
  <c r="L90" i="1"/>
  <c r="C82" i="1" s="1"/>
  <c r="L74" i="1"/>
  <c r="C66" i="1" s="1"/>
  <c r="L131" i="1"/>
  <c r="L104" i="1" l="1"/>
  <c r="K91" i="1" s="1"/>
  <c r="C93" i="1" s="1"/>
  <c r="H109" i="1"/>
  <c r="F109" i="1"/>
  <c r="K105" i="1" s="1"/>
  <c r="C107" i="1" s="1"/>
  <c r="D110" i="1"/>
  <c r="H81" i="1"/>
  <c r="F81" i="1"/>
  <c r="K75" i="1" s="1"/>
  <c r="C77" i="1" s="1"/>
  <c r="D82" i="1"/>
  <c r="H65" i="1"/>
  <c r="F65" i="1"/>
  <c r="K59" i="1" s="1"/>
  <c r="D66" i="1"/>
  <c r="L132" i="1"/>
  <c r="F123" i="1"/>
  <c r="K119" i="1" l="1"/>
  <c r="C121" i="1" s="1"/>
  <c r="D124" i="1"/>
  <c r="H123" i="1"/>
</calcChain>
</file>

<file path=xl/sharedStrings.xml><?xml version="1.0" encoding="utf-8"?>
<sst xmlns="http://schemas.openxmlformats.org/spreadsheetml/2006/main" count="994" uniqueCount="302">
  <si>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</si>
  <si>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</si>
  <si>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</si>
  <si>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</si>
  <si>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</si>
  <si>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</si>
  <si>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</si>
  <si>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</si>
  <si>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</si>
  <si>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</si>
  <si>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</si>
  <si>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</si>
  <si>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</si>
  <si>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</si>
  <si>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</si>
  <si>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</si>
  <si>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</si>
  <si>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</si>
  <si>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</si>
  <si>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</si>
  <si>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</si>
  <si>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</si>
  <si>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</si>
  <si>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</si>
  <si>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</si>
  <si>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</si>
  <si>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Building details floor wise</t>
  </si>
  <si>
    <t>Undertaking :</t>
  </si>
  <si>
    <t>Authorized Signatory
                                                                                                                                                                                                                                                                                     Name &amp; Seal of the agency</t>
  </si>
  <si>
    <t>2) I/We have no direct or Indirect Interest in the property being valued</t>
  </si>
  <si>
    <t>Quality of infrastructure in vicinity</t>
  </si>
  <si>
    <t>Description</t>
  </si>
  <si>
    <t>Attached Terrace area</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</si>
  <si>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</si>
  <si>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</si>
  <si>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</si>
  <si>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</si>
  <si>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</si>
  <si>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</si>
  <si>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</si>
  <si>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</si>
  <si>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</si>
  <si>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</si>
  <si>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Gross Carpet area</t>
  </si>
  <si>
    <t xml:space="preserve">Latitude &amp; Longitude </t>
  </si>
  <si>
    <t>Flooring</t>
  </si>
  <si>
    <t>Finishing</t>
  </si>
  <si>
    <r>
      <t xml:space="preserve">Construction details:    </t>
    </r>
    <r>
      <rPr>
        <b/>
        <sz val="11"/>
        <color indexed="8"/>
        <rFont val="Times New Roman"/>
        <family val="1"/>
      </rPr>
      <t xml:space="preserve">                                                              </t>
    </r>
  </si>
  <si>
    <t xml:space="preserve">Valuation Report </t>
  </si>
  <si>
    <t xml:space="preserve">Details of Flats in Building   </t>
  </si>
  <si>
    <t>Yes</t>
  </si>
  <si>
    <t xml:space="preserve">Residential </t>
  </si>
  <si>
    <t>Type of Structure : RCC Framed Structure</t>
  </si>
  <si>
    <t>Approved usage of the Property: Residential                                                                                                                                                      (Restrictive convenants in regards to land use , if any)</t>
  </si>
  <si>
    <t>Expiry date:NA</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</si>
  <si>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</si>
  <si>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</si>
  <si>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</si>
  <si>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</si>
  <si>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</si>
  <si>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</si>
  <si>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</si>
  <si>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Material laying at Site: :Bricks, Cement &amp; Steel etc.</t>
  </si>
  <si>
    <t>Wheather the construction is as per approved Building plan : Under Construction</t>
  </si>
  <si>
    <t xml:space="preserve">4)  The saleable area is as per Our Calculation.  </t>
  </si>
  <si>
    <t>Does the boundaries at site match, as mentioned in the Docoumentation: NA</t>
  </si>
  <si>
    <t>Fungible area</t>
  </si>
  <si>
    <t>all available at  1 to 2 km.</t>
  </si>
  <si>
    <t xml:space="preserve">Approved Layout Plan :         </t>
  </si>
  <si>
    <t>Dated</t>
  </si>
  <si>
    <t xml:space="preserve">Project location details       </t>
  </si>
  <si>
    <t>CTS No</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</si>
  <si>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</si>
  <si>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</si>
  <si>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</si>
  <si>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</si>
  <si>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</si>
  <si>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</si>
  <si>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</si>
  <si>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</si>
  <si>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</si>
  <si>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</si>
  <si>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</si>
  <si>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units residential</t>
  </si>
  <si>
    <t>Approved no of Floors</t>
  </si>
  <si>
    <t>Development charges Per Sq. Ft.</t>
  </si>
  <si>
    <t>Distress valuation of the property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</si>
  <si>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</si>
  <si>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</si>
  <si>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</si>
  <si>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</si>
  <si>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</si>
  <si>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</si>
  <si>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</si>
  <si>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</si>
  <si>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</si>
  <si>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</si>
  <si>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</si>
  <si>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</si>
  <si>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</si>
  <si>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</si>
  <si>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</si>
  <si>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</si>
  <si>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</si>
  <si>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</si>
  <si>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</si>
  <si>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</si>
  <si>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</si>
  <si>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</si>
  <si>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</si>
  <si>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</si>
  <si>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</si>
  <si>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</si>
  <si>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</si>
  <si>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</si>
  <si>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</si>
  <si>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</si>
  <si>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Middle class</t>
  </si>
  <si>
    <t>Axis Goregaon.</t>
  </si>
  <si>
    <t>SRA/ENG/3249/PN/PL/AP</t>
  </si>
  <si>
    <t>04/02/2017.</t>
  </si>
  <si>
    <t>19, 19/1 to 67, 20, 20/1 to 121</t>
  </si>
  <si>
    <t>Village-Pahadi goregaon, Malad(E)</t>
  </si>
  <si>
    <t>Haji Bapu Road</t>
  </si>
  <si>
    <t>Mumbai.</t>
  </si>
  <si>
    <t>Malad</t>
  </si>
  <si>
    <t>Opp. Municipal School</t>
  </si>
  <si>
    <t>Railway Track</t>
  </si>
  <si>
    <t>Slum</t>
  </si>
  <si>
    <t>Building</t>
  </si>
  <si>
    <t>Total Approved Builtup area of Sale Building in Sq.Mt.</t>
  </si>
  <si>
    <t>Copy of Revised LOI No.</t>
  </si>
  <si>
    <t>Date of approval: 01/02/2014.</t>
  </si>
  <si>
    <t>Copy of Amended IOA No.</t>
  </si>
  <si>
    <t>Date of approval: 04/02/2017.</t>
  </si>
  <si>
    <t>1BHK</t>
  </si>
  <si>
    <t>2nd to 5th, 7th to 12th, 14th to 21st Floor</t>
  </si>
  <si>
    <t xml:space="preserve">Refuge Area </t>
  </si>
  <si>
    <t>2BHK</t>
  </si>
  <si>
    <t>Name and Number of the Person</t>
  </si>
  <si>
    <t>022-28728767</t>
  </si>
  <si>
    <t>Google Map :</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</si>
  <si>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</si>
  <si>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</si>
  <si>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</si>
  <si>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</si>
  <si>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</si>
  <si>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</si>
  <si>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</si>
  <si>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</si>
  <si>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</si>
  <si>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</si>
  <si>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</si>
  <si>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</si>
  <si>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</si>
  <si>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</si>
  <si>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</si>
  <si>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</si>
  <si>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</si>
  <si>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</si>
  <si>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</si>
  <si>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</si>
  <si>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</si>
  <si>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600000/-</t>
  </si>
  <si>
    <t>25000/-</t>
  </si>
  <si>
    <t>300000/-</t>
  </si>
  <si>
    <t>Saleable area</t>
  </si>
  <si>
    <t>Electric &amp; Water Meter Charges</t>
  </si>
  <si>
    <t>50000/-</t>
  </si>
  <si>
    <t>Mentenance &amp; other charges</t>
  </si>
  <si>
    <t>70000/-</t>
  </si>
  <si>
    <t>Tower 28 (Sale Building)</t>
  </si>
  <si>
    <t>Recommended rate of the flat Per Sq. Ft. ( on Carpet Area)</t>
  </si>
  <si>
    <t>21/08/2020.</t>
  </si>
  <si>
    <t>Pratiksha</t>
  </si>
  <si>
    <t>28/11/2020.</t>
  </si>
  <si>
    <t>Excavation in process</t>
  </si>
  <si>
    <t>Excavation Completed</t>
  </si>
  <si>
    <t>Footing in Process</t>
  </si>
  <si>
    <t>Footing Completed</t>
  </si>
  <si>
    <t>Plinth in process</t>
  </si>
  <si>
    <t>Plinth completed</t>
  </si>
  <si>
    <t>Market Research Data</t>
  </si>
  <si>
    <t>Source</t>
  </si>
  <si>
    <t>Distance from proposed property</t>
  </si>
  <si>
    <t>Net Carpet</t>
  </si>
  <si>
    <t>Saleable Area</t>
  </si>
  <si>
    <t>Rate on Saleable</t>
  </si>
  <si>
    <t>Market Value</t>
  </si>
  <si>
    <t>magicbricks</t>
  </si>
  <si>
    <t>3BHK</t>
  </si>
  <si>
    <t>99Acers</t>
  </si>
  <si>
    <t>Average</t>
  </si>
  <si>
    <t xml:space="preserve">Valuation Adopted </t>
  </si>
  <si>
    <t xml:space="preserve">Tower 28 </t>
  </si>
  <si>
    <t>Dhanashree</t>
  </si>
  <si>
    <t>OLD APF</t>
  </si>
  <si>
    <t>1. Rate has not Changed.</t>
  </si>
  <si>
    <t>RERA No.</t>
  </si>
  <si>
    <t>07 Wings</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</si>
  <si>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</si>
  <si>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</si>
  <si>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</si>
  <si>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</si>
  <si>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</si>
  <si>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</si>
  <si>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</si>
  <si>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</si>
  <si>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</si>
  <si>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</si>
  <si>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</si>
  <si>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</si>
  <si>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</si>
  <si>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</si>
  <si>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</si>
  <si>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</si>
  <si>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</si>
  <si>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</si>
  <si>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</si>
  <si>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</si>
  <si>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</si>
  <si>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</si>
  <si>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</si>
  <si>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</si>
  <si>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</si>
  <si>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</si>
  <si>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</si>
  <si>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03/09/2019.</t>
  </si>
  <si>
    <t>Wing G = G + 1st to 21st Floor</t>
  </si>
  <si>
    <t xml:space="preserve">SRA/ENG/3249/PN/PL/AP
Building A to H  = Gr + 1st to 21st floor as per approved amended plan date 14/05/2018                                                                                                                           </t>
  </si>
  <si>
    <t>Location Link</t>
  </si>
  <si>
    <t>Wing A, B, D, E &amp; G = P51800009511
Wing C &amp; F = P51800028777</t>
  </si>
  <si>
    <t xml:space="preserve">SRA/ENG/3249/PN/PL/AP
</t>
  </si>
  <si>
    <t xml:space="preserve">C.certificate No
Valid Up to: </t>
  </si>
  <si>
    <t>A Wing</t>
  </si>
  <si>
    <t>Ground Floor For Parking</t>
  </si>
  <si>
    <t>1st &amp; 2nd Basement Floor For Parking</t>
  </si>
  <si>
    <t>1st &amp; 2nd Podium Floor For Parking</t>
  </si>
  <si>
    <t>B Wing</t>
  </si>
  <si>
    <t>D Wing</t>
  </si>
  <si>
    <t>Floor</t>
  </si>
  <si>
    <t>6th Floor (Part Refuge Area)</t>
  </si>
  <si>
    <t>13th Floor (Part Refuge Area)</t>
  </si>
  <si>
    <t>Building &amp; Wing</t>
  </si>
  <si>
    <t>No. of Units</t>
  </si>
  <si>
    <t>Total Carpet Area</t>
  </si>
  <si>
    <t>Total Saleable Area</t>
  </si>
  <si>
    <t>Residential Area Details :</t>
  </si>
  <si>
    <t>1st Floor for Residential &amp; Fitness Center</t>
  </si>
  <si>
    <t>Fitness Center</t>
  </si>
  <si>
    <t>Refuge Area</t>
  </si>
  <si>
    <t>E Wing</t>
  </si>
  <si>
    <t>C Wing</t>
  </si>
  <si>
    <t>1st Floor For Parking</t>
  </si>
  <si>
    <t>2nd, 4th, 8th &amp; 10th Floor</t>
  </si>
  <si>
    <t>3rd, 5th, 7th, 9th &amp; 11th Floor</t>
  </si>
  <si>
    <t>12th Floor</t>
  </si>
  <si>
    <t>2.5BHK
Duplex with 13th Floor</t>
  </si>
  <si>
    <t>14th to 18th, 21st to 25th Floor</t>
  </si>
  <si>
    <t>26th &amp; 33rd Floor</t>
  </si>
  <si>
    <t>13th &amp; 20th Floor (Part Refuge Area)</t>
  </si>
  <si>
    <t>2.5BHK Duplex with 12th &amp; 19th Floor</t>
  </si>
  <si>
    <t>19th Floor</t>
  </si>
  <si>
    <t>28th to 32nd, 35th to 40th Floor</t>
  </si>
  <si>
    <t>2.5BHK
Duplex with 20th Floor</t>
  </si>
  <si>
    <t>2.5BHK
Duplex with 27th &amp; 34th Floor</t>
  </si>
  <si>
    <t>27th &amp; 34th Floor (Part Refuge Area)</t>
  </si>
  <si>
    <t>2.5BHK Duplex with 26th &amp; 33rd Floor</t>
  </si>
  <si>
    <t>42nd Floor</t>
  </si>
  <si>
    <t>2.5BHK
Duplex with 41st Floor</t>
  </si>
  <si>
    <t>F Wing</t>
  </si>
  <si>
    <t>4BHK
Duplex with 13th Floor</t>
  </si>
  <si>
    <t>4BHK Duplex with 12th &amp; 19th Floor</t>
  </si>
  <si>
    <t>4BHK
Duplex with 27th &amp; 34th Floor</t>
  </si>
  <si>
    <t>4BHK
Duplex with 20th Floor</t>
  </si>
  <si>
    <t>4BHK Duplex with 26th &amp; 33rd Floor</t>
  </si>
  <si>
    <t>4BHK Duplex with 41st Floor</t>
  </si>
  <si>
    <t>41st Floor (Part Refuge Area)</t>
  </si>
  <si>
    <t>41st Floor Floor (Part Refuge Area)</t>
  </si>
  <si>
    <t>2.5BHK Duplex with 42nd Floor</t>
  </si>
  <si>
    <t>Wing D = 3B + Gr. + 1st &amp; 2nd Podium + 1st to 21st Floor</t>
  </si>
  <si>
    <t xml:space="preserve">Wing E = 3B + Gr. + 1st &amp; 2nd Podium + 1st to 21st Floor </t>
  </si>
  <si>
    <t>Wing F = 3B + Gr. + 1st &amp; 2nd Podium + 1st to 42nd Floor</t>
  </si>
  <si>
    <t>Wing C = 3B + Gr. + 1st &amp; 2nd Podium + 1st to 42nd Floor</t>
  </si>
  <si>
    <t>Approved Plans, CC</t>
  </si>
  <si>
    <t>PHOTOGRAPHS OF PROPERTY : Tower 28 (Sale Building)</t>
  </si>
  <si>
    <t xml:space="preserve">Shiv Shakti Builders &amp; Developers </t>
  </si>
  <si>
    <t>19.177957,72.849899</t>
  </si>
  <si>
    <t>Projected life : 60 Years After Completion</t>
  </si>
  <si>
    <t>Wing A, B, E &amp; D = 3B + Gr. + 2P + 1st to 21st Floor
Wing C &amp; F = 3B + Gr. + 2P + 1st to 42nd Floor</t>
  </si>
  <si>
    <t>Office No. 1031, Wing J, Akshar Business Park, Plot No. 03 Sector 25, Near APMC Market, Vashi, Navi Mumbai, Maharashtra 400703 TEL: 022-46090378/79/80 
E mail : vsjcapf@gmail.com. Web site : www.vsjadon.com</t>
  </si>
  <si>
    <t>2.9 Km from Malad Railway Station</t>
  </si>
  <si>
    <t>This C.C is further extended for sale wing 'B' for 18th to 21st upper floors including OHWT &amp; LMR and for sale wing 'E' C.C further extended for 17th to 21st upper floors including OHWT + LMR and sale wing 'D' C.C further extended from ground + 1st to 2nd podium + 1st to 13th upper floors as per approved ammeded plans dated 10/12/2020.</t>
  </si>
  <si>
    <t>SRA/ENG/3249/PN/PL/AP
Wing A &amp; B = Gr + 1st to 21st Upper Floors</t>
  </si>
  <si>
    <t xml:space="preserve">O. Certificate No.: 
Approved upto : </t>
  </si>
  <si>
    <t>Tower 28, CTS No.19, 19/1 to 67, 20, 20/1 to 121, Haji Bapu Road, Opp. Municipal School, Village-Pahadi goregaon, Malad(E), Mumbai 400097</t>
  </si>
  <si>
    <t>Construction work For wing C given Extra Visit date 19/03/2024</t>
  </si>
  <si>
    <t>Wing C &amp; F = 31/12/2027
Wing A, B, D, E &amp; G = 31/12/2024</t>
  </si>
  <si>
    <t>https://maps.app.goo.gl/sHLB1eL5RKmiy9356</t>
  </si>
  <si>
    <t>Remark No. 14</t>
  </si>
  <si>
    <t xml:space="preserve">Wing A &amp; B = 3B + Gr. + 1st &amp; 2nd Podium + 1st to 21st Floor
Wing E = 3B + Gr. + 1st &amp; 2nd Podium + 1st to 21st Floor </t>
  </si>
  <si>
    <r>
      <t xml:space="preserve">Remarks:  
1. Wing A &amp; B = All work completed. OC Received. 
    Wing E = All work completed. Provide OC. 
    Wing  C &amp; F = Construction work is in process at the time of Visit. Internal visit was not allowed.
     Wing D = Finishing work is in process.
    Wing G = Work not yet started.
2. We considered saleable area as per our calculation.
3. Our valuation report is only for sale building.
4. We have considered rate by verifying it from market inquire.
5. We have considered Other charges from cost sheet.
6. Car parking is subjected to authentic documentation.
7.  We updated approved C.C on (09/07/2022)
8. We have updated OC for Wing A &amp; B (On 27/05/2023).
9. We have updated revised approved floor plan &amp; C.C for wing A, B, C, D, E &amp; F (on 22/09/2023).
10. Provide latest CC for D, C &amp; F Wing.
11. On site we meet Mr. Sushil Rahate.
12. Since Wing G have received CC on 03/09/2019, but as of construction work is not started.
</t>
    </r>
    <r>
      <rPr>
        <b/>
        <sz val="11"/>
        <color rgb="FFFF0000"/>
        <rFont val="Times New Roman"/>
        <family val="1"/>
      </rPr>
      <t>13. As per RERA, completion period of Wing D &amp; G is expired on 31/12/2024 but still project is under construction.</t>
    </r>
    <r>
      <rPr>
        <b/>
        <sz val="11"/>
        <color indexed="8"/>
        <rFont val="Times New Roman"/>
        <family val="1"/>
      </rPr>
      <t xml:space="preserve">
14. Project name mentioned on Banner which is attached on site have different project name mentioned on it.
project name as per banner : Passcode Right Choice. Please check this query. Banner attached below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</si>
</sst>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_(* #,##0_);_(* \(#,##0\);_(* &quot;-&quot;??_);_(@_)"/>
    <numFmt numFmtId="166" formatCode="0.0"/>
  </numFmts>
  <fonts count="24"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sz val="11"/>
      <name val="Calibri"/>
      <family val="2"/>
    </font>
    <font>
      <sz val="11"/>
      <color theme="1"/>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sz val="11"/>
      <color rgb="FF000000"/>
      <name val="Times New Roman"/>
      <family val="1"/>
    </font>
    <font>
      <sz val="11"/>
      <color rgb="FFFF0000"/>
      <name val="Calibri"/>
      <family val="2"/>
    </font>
    <font>
      <sz val="11"/>
      <color rgb="FF000000"/>
      <name val="Calibri"/>
      <family val="2"/>
    </font>
    <font>
      <sz val="12"/>
      <color theme="1"/>
      <name val="Times New Roman"/>
      <family val="1"/>
    </font>
    <font>
      <b/>
      <sz val="12"/>
      <color theme="1"/>
      <name val="Times New Roman"/>
      <family val="1"/>
    </font>
    <font>
      <b/>
      <sz val="12"/>
      <name val="Times New Roman"/>
      <family val="1"/>
    </font>
    <font>
      <b/>
      <sz val="11"/>
      <color rgb="FFFF0000"/>
      <name val="Calibri"/>
      <family val="2"/>
      <scheme val="minor"/>
    </font>
    <font>
      <b/>
      <sz val="11"/>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4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164" fontId="1" fillId="0" borderId="0" applyFont="0" applyFill="0" applyBorder="0" applyAlignment="0" applyProtection="0"/>
    <xf numFmtId="0" fontId="2" fillId="0" borderId="0"/>
    <xf numFmtId="0" fontId="1" fillId="0" borderId="0"/>
    <xf numFmtId="0" fontId="13" fillId="0" borderId="0" applyNumberFormat="0" applyFill="0" applyBorder="0" applyAlignment="0" applyProtection="0"/>
    <xf numFmtId="0" fontId="18" fillId="0" borderId="0"/>
    <xf numFmtId="0" fontId="12" fillId="0" borderId="0"/>
    <xf numFmtId="0" fontId="12" fillId="0" borderId="0"/>
  </cellStyleXfs>
  <cellXfs count="267">
    <xf numFmtId="0" fontId="0" fillId="0" borderId="0" xfId="0"/>
    <xf numFmtId="0" fontId="4" fillId="0" borderId="2" xfId="0" applyFont="1" applyBorder="1" applyAlignment="1">
      <alignment vertical="top"/>
    </xf>
    <xf numFmtId="1" fontId="6" fillId="0" borderId="2" xfId="0" applyNumberFormat="1" applyFont="1" applyBorder="1" applyAlignment="1">
      <alignment horizontal="center" vertical="top" wrapText="1"/>
    </xf>
    <xf numFmtId="1" fontId="3" fillId="0" borderId="2" xfId="0" applyNumberFormat="1" applyFont="1" applyBorder="1" applyAlignment="1">
      <alignment horizontal="center" vertical="top" wrapText="1"/>
    </xf>
    <xf numFmtId="0" fontId="0" fillId="0" borderId="2" xfId="0" applyBorder="1"/>
    <xf numFmtId="0" fontId="14" fillId="0" borderId="2" xfId="0" applyFont="1" applyBorder="1"/>
    <xf numFmtId="0" fontId="0" fillId="0" borderId="3" xfId="0" applyBorder="1"/>
    <xf numFmtId="0" fontId="0" fillId="2" borderId="2" xfId="0" applyFill="1" applyBorder="1"/>
    <xf numFmtId="0" fontId="14" fillId="0" borderId="2" xfId="0" applyFont="1" applyBorder="1" applyAlignment="1">
      <alignment horizontal="center"/>
    </xf>
    <xf numFmtId="0" fontId="14" fillId="2"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1" fontId="6" fillId="0" borderId="0" xfId="0" applyNumberFormat="1" applyFont="1" applyAlignment="1">
      <alignment horizontal="left" vertical="center"/>
    </xf>
    <xf numFmtId="0" fontId="16" fillId="0" borderId="5" xfId="0" applyFont="1" applyBorder="1" applyProtection="1">
      <protection hidden="1"/>
    </xf>
    <xf numFmtId="9" fontId="16" fillId="0" borderId="0" xfId="0" applyNumberFormat="1" applyFont="1" applyProtection="1">
      <protection hidden="1"/>
    </xf>
    <xf numFmtId="9" fontId="16" fillId="0" borderId="6" xfId="0" applyNumberFormat="1" applyFont="1" applyBorder="1" applyProtection="1">
      <protection hidden="1"/>
    </xf>
    <xf numFmtId="0" fontId="16" fillId="0" borderId="7" xfId="0" applyFont="1" applyBorder="1" applyProtection="1">
      <protection hidden="1"/>
    </xf>
    <xf numFmtId="9" fontId="16" fillId="0" borderId="8" xfId="0" applyNumberFormat="1" applyFont="1" applyBorder="1" applyProtection="1">
      <protection hidden="1"/>
    </xf>
    <xf numFmtId="9" fontId="16" fillId="0" borderId="9" xfId="0" applyNumberFormat="1" applyFont="1" applyBorder="1" applyProtection="1">
      <protection hidden="1"/>
    </xf>
    <xf numFmtId="0" fontId="1" fillId="0" borderId="0" xfId="3"/>
    <xf numFmtId="0" fontId="12" fillId="0" borderId="0" xfId="7"/>
    <xf numFmtId="0" fontId="14" fillId="0" borderId="2" xfId="7" applyFont="1" applyBorder="1" applyAlignment="1">
      <alignment horizontal="left"/>
    </xf>
    <xf numFmtId="0" fontId="14" fillId="0" borderId="2" xfId="7" applyFont="1" applyBorder="1" applyAlignment="1">
      <alignment horizontal="center" vertical="top" wrapText="1"/>
    </xf>
    <xf numFmtId="0" fontId="11" fillId="0" borderId="2" xfId="4" applyFont="1" applyBorder="1" applyAlignment="1">
      <alignment horizontal="center" vertical="top" wrapText="1"/>
    </xf>
    <xf numFmtId="0" fontId="12" fillId="0" borderId="2" xfId="7" applyBorder="1" applyAlignment="1">
      <alignment horizontal="center" vertical="center"/>
    </xf>
    <xf numFmtId="1" fontId="12" fillId="0" borderId="2" xfId="7" applyNumberFormat="1" applyBorder="1" applyAlignment="1">
      <alignment horizontal="center" vertical="center"/>
    </xf>
    <xf numFmtId="165" fontId="12" fillId="0" borderId="2" xfId="1" applyNumberFormat="1" applyFont="1" applyBorder="1" applyAlignment="1">
      <alignment horizontal="right" vertical="center"/>
    </xf>
    <xf numFmtId="43" fontId="1" fillId="0" borderId="0" xfId="3" applyNumberFormat="1"/>
    <xf numFmtId="0" fontId="14" fillId="0" borderId="2" xfId="7" applyFont="1" applyBorder="1" applyAlignment="1">
      <alignment horizontal="center" vertical="center"/>
    </xf>
    <xf numFmtId="1" fontId="15" fillId="0" borderId="2" xfId="7" applyNumberFormat="1" applyFont="1" applyBorder="1" applyAlignment="1">
      <alignment horizontal="center" vertical="center"/>
    </xf>
    <xf numFmtId="0" fontId="1" fillId="0" borderId="2" xfId="3" applyBorder="1" applyAlignment="1">
      <alignment horizontal="center" vertical="center"/>
    </xf>
    <xf numFmtId="0" fontId="17" fillId="0" borderId="0" xfId="3" applyFont="1"/>
    <xf numFmtId="1" fontId="1" fillId="0" borderId="0" xfId="3" applyNumberFormat="1"/>
    <xf numFmtId="0" fontId="1" fillId="0" borderId="0" xfId="3" applyAlignment="1">
      <alignment wrapText="1"/>
    </xf>
    <xf numFmtId="0" fontId="12" fillId="0" borderId="2" xfId="7" applyBorder="1" applyAlignment="1">
      <alignment horizontal="left" vertical="center"/>
    </xf>
    <xf numFmtId="14" fontId="0" fillId="0" borderId="0" xfId="0" applyNumberFormat="1"/>
    <xf numFmtId="0" fontId="9" fillId="0" borderId="24" xfId="6" applyFont="1" applyBorder="1" applyProtection="1">
      <protection hidden="1"/>
    </xf>
    <xf numFmtId="0" fontId="9" fillId="0" borderId="0" xfId="6" applyFont="1" applyProtection="1">
      <protection hidden="1"/>
    </xf>
    <xf numFmtId="0" fontId="9" fillId="0" borderId="0" xfId="5" applyFont="1" applyProtection="1">
      <protection hidden="1"/>
    </xf>
    <xf numFmtId="0" fontId="9" fillId="0" borderId="8" xfId="5" applyFont="1" applyBorder="1" applyProtection="1">
      <protection hidden="1"/>
    </xf>
    <xf numFmtId="0" fontId="9" fillId="0" borderId="2" xfId="6" applyFont="1" applyBorder="1" applyAlignment="1" applyProtection="1">
      <alignment horizontal="center" vertical="top" wrapText="1"/>
      <protection locked="0"/>
    </xf>
    <xf numFmtId="1" fontId="10" fillId="0" borderId="2" xfId="0" applyNumberFormat="1" applyFont="1" applyBorder="1" applyAlignment="1">
      <alignment horizontal="center" vertical="center" wrapText="1"/>
    </xf>
    <xf numFmtId="0" fontId="9" fillId="0" borderId="26" xfId="6" applyFont="1" applyBorder="1" applyAlignment="1" applyProtection="1">
      <alignment horizontal="center" vertical="top"/>
      <protection locked="0"/>
    </xf>
    <xf numFmtId="0" fontId="9" fillId="0" borderId="2" xfId="6" applyFont="1" applyBorder="1" applyAlignment="1" applyProtection="1">
      <alignment horizontal="center" vertical="top"/>
      <protection locked="0"/>
    </xf>
    <xf numFmtId="0" fontId="9" fillId="0" borderId="25" xfId="6" applyFont="1" applyBorder="1" applyProtection="1">
      <protection hidden="1"/>
    </xf>
    <xf numFmtId="0" fontId="9" fillId="0" borderId="6" xfId="6" applyFont="1" applyBorder="1" applyProtection="1">
      <protection hidden="1"/>
    </xf>
    <xf numFmtId="0" fontId="9" fillId="0" borderId="6" xfId="6" applyFont="1" applyBorder="1"/>
    <xf numFmtId="0" fontId="9" fillId="0" borderId="2" xfId="6" applyFont="1" applyBorder="1" applyAlignment="1" applyProtection="1">
      <alignment horizontal="center" wrapText="1"/>
      <protection locked="0"/>
    </xf>
    <xf numFmtId="0" fontId="9" fillId="0" borderId="6" xfId="5" applyFont="1" applyBorder="1" applyProtection="1">
      <protection hidden="1"/>
    </xf>
    <xf numFmtId="1" fontId="9" fillId="0" borderId="2" xfId="6" applyNumberFormat="1" applyFont="1" applyBorder="1" applyAlignment="1" applyProtection="1">
      <alignment horizontal="center" wrapText="1"/>
      <protection locked="0"/>
    </xf>
    <xf numFmtId="1" fontId="11" fillId="0" borderId="6" xfId="5" applyNumberFormat="1" applyFont="1" applyBorder="1"/>
    <xf numFmtId="1" fontId="11" fillId="0" borderId="6" xfId="5" applyNumberFormat="1" applyFont="1" applyBorder="1" applyAlignment="1">
      <alignment horizontal="right"/>
    </xf>
    <xf numFmtId="0" fontId="9" fillId="0" borderId="32" xfId="6" applyFont="1" applyBorder="1" applyAlignment="1" applyProtection="1">
      <alignment horizontal="center" wrapText="1"/>
      <protection locked="0"/>
    </xf>
    <xf numFmtId="1" fontId="11" fillId="0" borderId="9" xfId="5" applyNumberFormat="1" applyFont="1" applyBorder="1"/>
    <xf numFmtId="0" fontId="2" fillId="0" borderId="0" xfId="2"/>
    <xf numFmtId="0" fontId="14" fillId="0" borderId="0" xfId="0" applyFont="1"/>
    <xf numFmtId="0" fontId="3" fillId="0" borderId="2" xfId="0" applyFont="1" applyBorder="1" applyAlignment="1">
      <alignment vertical="top"/>
    </xf>
    <xf numFmtId="1" fontId="10" fillId="0" borderId="1" xfId="0" applyNumberFormat="1" applyFont="1" applyBorder="1" applyAlignment="1">
      <alignment horizontal="center" vertical="center" wrapText="1"/>
    </xf>
    <xf numFmtId="0" fontId="19" fillId="0" borderId="0" xfId="0" applyFont="1" applyAlignment="1">
      <alignment horizontal="center" vertical="center"/>
    </xf>
    <xf numFmtId="0" fontId="20" fillId="0" borderId="2" xfId="0" applyFont="1" applyBorder="1" applyAlignment="1">
      <alignment horizontal="center" vertical="center"/>
    </xf>
    <xf numFmtId="0" fontId="19" fillId="0" borderId="2" xfId="0" applyFont="1" applyBorder="1" applyAlignment="1">
      <alignment horizontal="center" vertical="center"/>
    </xf>
    <xf numFmtId="1" fontId="0" fillId="0" borderId="0" xfId="0" applyNumberFormat="1"/>
    <xf numFmtId="0" fontId="9" fillId="0" borderId="0" xfId="6" applyFont="1" applyAlignment="1" applyProtection="1">
      <alignment horizontal="center" vertical="center"/>
      <protection hidden="1"/>
    </xf>
    <xf numFmtId="0" fontId="9" fillId="0" borderId="6" xfId="6" applyFont="1" applyBorder="1" applyAlignment="1" applyProtection="1">
      <alignment horizontal="center" vertical="center"/>
      <protection hidden="1"/>
    </xf>
    <xf numFmtId="0" fontId="0" fillId="0" borderId="0" xfId="0" applyAlignment="1">
      <alignment horizontal="center" vertical="center"/>
    </xf>
    <xf numFmtId="0" fontId="9" fillId="0" borderId="37" xfId="6" applyFont="1" applyBorder="1" applyAlignment="1" applyProtection="1">
      <alignment horizontal="center" vertical="top" wrapText="1"/>
      <protection locked="0"/>
    </xf>
    <xf numFmtId="0" fontId="22" fillId="0" borderId="0" xfId="0" applyFont="1"/>
    <xf numFmtId="9" fontId="8" fillId="0" borderId="2" xfId="6" applyNumberFormat="1" applyFont="1" applyBorder="1" applyAlignment="1" applyProtection="1">
      <alignment horizontal="center" vertical="center" wrapText="1"/>
      <protection locked="0"/>
    </xf>
    <xf numFmtId="0" fontId="8" fillId="0" borderId="2" xfId="6" applyFont="1" applyBorder="1" applyAlignment="1" applyProtection="1">
      <alignment horizontal="center" vertical="center" wrapText="1"/>
      <protection locked="0"/>
    </xf>
    <xf numFmtId="0" fontId="8" fillId="0" borderId="29" xfId="6" applyFont="1" applyBorder="1" applyAlignment="1" applyProtection="1">
      <alignment horizontal="center" vertical="center" wrapText="1"/>
      <protection locked="0"/>
    </xf>
    <xf numFmtId="0" fontId="8" fillId="0" borderId="32" xfId="6" applyFont="1" applyBorder="1" applyAlignment="1" applyProtection="1">
      <alignment horizontal="center" vertical="center" wrapText="1"/>
      <protection locked="0"/>
    </xf>
    <xf numFmtId="0" fontId="8" fillId="0" borderId="39" xfId="6" applyFont="1" applyBorder="1" applyAlignment="1" applyProtection="1">
      <alignment horizontal="center" vertical="center" wrapText="1"/>
      <protection locked="0"/>
    </xf>
    <xf numFmtId="0" fontId="8" fillId="0" borderId="26" xfId="6" applyFont="1" applyBorder="1" applyAlignment="1" applyProtection="1">
      <alignment horizontal="center" vertical="center"/>
      <protection locked="0"/>
    </xf>
    <xf numFmtId="0" fontId="8" fillId="0" borderId="2" xfId="6" applyFont="1" applyBorder="1" applyAlignment="1" applyProtection="1">
      <alignment horizontal="center" vertical="center"/>
      <protection locked="0"/>
    </xf>
    <xf numFmtId="0" fontId="8" fillId="0" borderId="31" xfId="6" applyFont="1" applyBorder="1" applyAlignment="1" applyProtection="1">
      <alignment horizontal="center" vertical="center"/>
      <protection locked="0"/>
    </xf>
    <xf numFmtId="0" fontId="8" fillId="0" borderId="32" xfId="6" applyFont="1" applyBorder="1" applyAlignment="1" applyProtection="1">
      <alignment horizontal="center" vertical="center"/>
      <protection locked="0"/>
    </xf>
    <xf numFmtId="0" fontId="4" fillId="0" borderId="1"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9" fontId="9" fillId="0" borderId="2" xfId="6" applyNumberFormat="1" applyFont="1" applyBorder="1" applyAlignment="1" applyProtection="1">
      <alignment horizontal="center" vertical="center" wrapText="1"/>
      <protection hidden="1"/>
    </xf>
    <xf numFmtId="9" fontId="9" fillId="0" borderId="32" xfId="6" applyNumberFormat="1" applyFont="1" applyBorder="1" applyAlignment="1" applyProtection="1">
      <alignment horizontal="center" vertical="center" wrapText="1"/>
      <protection hidden="1"/>
    </xf>
    <xf numFmtId="9" fontId="9" fillId="0" borderId="12" xfId="6" applyNumberFormat="1" applyFont="1" applyBorder="1" applyAlignment="1" applyProtection="1">
      <alignment horizontal="center" vertical="center" wrapText="1"/>
      <protection hidden="1"/>
    </xf>
    <xf numFmtId="9" fontId="9" fillId="0" borderId="13" xfId="6" applyNumberFormat="1" applyFont="1" applyBorder="1" applyAlignment="1" applyProtection="1">
      <alignment horizontal="center" vertical="center" wrapText="1"/>
      <protection hidden="1"/>
    </xf>
    <xf numFmtId="9" fontId="9" fillId="0" borderId="30" xfId="6" applyNumberFormat="1" applyFont="1" applyBorder="1" applyAlignment="1" applyProtection="1">
      <alignment horizontal="center" vertical="center" wrapText="1"/>
      <protection hidden="1"/>
    </xf>
    <xf numFmtId="9" fontId="9" fillId="0" borderId="15" xfId="6" applyNumberFormat="1" applyFont="1" applyBorder="1" applyAlignment="1" applyProtection="1">
      <alignment horizontal="center" vertical="center" wrapText="1"/>
      <protection hidden="1"/>
    </xf>
    <xf numFmtId="9" fontId="9" fillId="0" borderId="0" xfId="6" applyNumberFormat="1" applyFont="1" applyAlignment="1" applyProtection="1">
      <alignment horizontal="center" vertical="center" wrapText="1"/>
      <protection hidden="1"/>
    </xf>
    <xf numFmtId="9" fontId="9" fillId="0" borderId="6" xfId="6" applyNumberFormat="1" applyFont="1" applyBorder="1" applyAlignment="1" applyProtection="1">
      <alignment horizontal="center" vertical="center" wrapText="1"/>
      <protection hidden="1"/>
    </xf>
    <xf numFmtId="9" fontId="9" fillId="0" borderId="35" xfId="6" applyNumberFormat="1" applyFont="1" applyBorder="1" applyAlignment="1" applyProtection="1">
      <alignment horizontal="center" vertical="center" wrapText="1"/>
      <protection hidden="1"/>
    </xf>
    <xf numFmtId="9" fontId="9" fillId="0" borderId="8" xfId="6" applyNumberFormat="1" applyFont="1" applyBorder="1" applyAlignment="1" applyProtection="1">
      <alignment horizontal="center" vertical="center" wrapText="1"/>
      <protection hidden="1"/>
    </xf>
    <xf numFmtId="9" fontId="9" fillId="0" borderId="9" xfId="6" applyNumberFormat="1" applyFont="1" applyBorder="1" applyAlignment="1" applyProtection="1">
      <alignment horizontal="center" vertical="center" wrapText="1"/>
      <protection hidden="1"/>
    </xf>
    <xf numFmtId="0" fontId="9" fillId="0" borderId="26" xfId="6" applyFont="1" applyBorder="1" applyAlignment="1" applyProtection="1">
      <alignment horizontal="center" vertical="top" wrapText="1"/>
      <protection locked="0"/>
    </xf>
    <xf numFmtId="0" fontId="9" fillId="0" borderId="2" xfId="6" applyFont="1" applyBorder="1" applyAlignment="1" applyProtection="1">
      <alignment horizontal="center" vertical="top" wrapText="1"/>
      <protection locked="0"/>
    </xf>
    <xf numFmtId="9" fontId="9" fillId="0" borderId="1" xfId="6" applyNumberFormat="1" applyFont="1" applyBorder="1" applyAlignment="1" applyProtection="1">
      <alignment horizontal="center" vertical="center" wrapText="1"/>
      <protection hidden="1"/>
    </xf>
    <xf numFmtId="9" fontId="9" fillId="0" borderId="11" xfId="6" applyNumberFormat="1" applyFont="1" applyBorder="1" applyAlignment="1" applyProtection="1">
      <alignment horizontal="center" vertical="center" wrapText="1"/>
      <protection hidden="1"/>
    </xf>
    <xf numFmtId="0" fontId="8" fillId="0" borderId="21" xfId="6" applyFont="1" applyBorder="1" applyAlignment="1" applyProtection="1">
      <alignment horizontal="left" vertical="top" wrapText="1"/>
      <protection locked="0"/>
    </xf>
    <xf numFmtId="0" fontId="8" fillId="0" borderId="22" xfId="6" applyFont="1" applyBorder="1" applyAlignment="1" applyProtection="1">
      <alignment horizontal="left" vertical="top" wrapText="1"/>
      <protection locked="0"/>
    </xf>
    <xf numFmtId="0" fontId="8" fillId="0" borderId="23" xfId="6" applyFont="1" applyBorder="1" applyAlignment="1" applyProtection="1">
      <alignment horizontal="left" vertical="top" wrapText="1"/>
      <protection locked="0"/>
    </xf>
    <xf numFmtId="0" fontId="9" fillId="0" borderId="1" xfId="6" applyFont="1" applyBorder="1" applyAlignment="1" applyProtection="1">
      <alignment horizontal="center" vertical="top"/>
      <protection locked="0"/>
    </xf>
    <xf numFmtId="0" fontId="9" fillId="0" borderId="11" xfId="6" applyFont="1" applyBorder="1" applyAlignment="1" applyProtection="1">
      <alignment horizontal="center" vertical="top"/>
      <protection locked="0"/>
    </xf>
    <xf numFmtId="0" fontId="9" fillId="0" borderId="27" xfId="6" applyFont="1" applyBorder="1" applyAlignment="1" applyProtection="1">
      <alignment horizontal="center" vertical="top"/>
      <protection locked="0"/>
    </xf>
    <xf numFmtId="0" fontId="8" fillId="0" borderId="26" xfId="6" applyFont="1" applyBorder="1" applyAlignment="1" applyProtection="1">
      <alignment horizontal="left" vertical="top"/>
      <protection locked="0"/>
    </xf>
    <xf numFmtId="0" fontId="8" fillId="0" borderId="2" xfId="6" applyFont="1" applyBorder="1" applyAlignment="1" applyProtection="1">
      <alignment horizontal="left" vertical="top"/>
      <protection locked="0"/>
    </xf>
    <xf numFmtId="0" fontId="8" fillId="0" borderId="1" xfId="6" applyFont="1" applyBorder="1" applyAlignment="1" applyProtection="1">
      <alignment horizontal="left" vertical="top" wrapText="1"/>
      <protection locked="0"/>
    </xf>
    <xf numFmtId="0" fontId="8" fillId="0" borderId="10" xfId="6" applyFont="1" applyBorder="1" applyAlignment="1" applyProtection="1">
      <alignment horizontal="left" vertical="top" wrapText="1"/>
      <protection locked="0"/>
    </xf>
    <xf numFmtId="0" fontId="8" fillId="0" borderId="27" xfId="6" applyFont="1" applyBorder="1" applyAlignment="1" applyProtection="1">
      <alignment horizontal="left" vertical="top" wrapText="1"/>
      <protection locked="0"/>
    </xf>
    <xf numFmtId="0" fontId="8" fillId="0" borderId="19" xfId="6" applyFont="1" applyBorder="1" applyAlignment="1" applyProtection="1">
      <alignment horizontal="center" vertical="top" wrapText="1"/>
      <protection locked="0"/>
    </xf>
    <xf numFmtId="0" fontId="8" fillId="0" borderId="20" xfId="6" applyFont="1" applyBorder="1" applyAlignment="1" applyProtection="1">
      <alignment horizontal="center" vertical="top" wrapText="1"/>
      <protection locked="0"/>
    </xf>
    <xf numFmtId="0" fontId="9" fillId="0" borderId="31" xfId="6" applyFont="1" applyBorder="1" applyAlignment="1" applyProtection="1">
      <alignment horizontal="center" vertical="top" wrapText="1"/>
      <protection locked="0"/>
    </xf>
    <xf numFmtId="0" fontId="9" fillId="0" borderId="32" xfId="6" applyFont="1" applyBorder="1" applyAlignment="1" applyProtection="1">
      <alignment horizontal="center" vertical="top" wrapText="1"/>
      <protection locked="0"/>
    </xf>
    <xf numFmtId="1" fontId="10" fillId="0" borderId="1"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10" xfId="0" applyNumberFormat="1" applyFont="1" applyBorder="1" applyAlignment="1">
      <alignment horizontal="center" vertical="center" wrapText="1"/>
    </xf>
    <xf numFmtId="1" fontId="6" fillId="0" borderId="11" xfId="0" applyNumberFormat="1" applyFont="1" applyBorder="1" applyAlignment="1">
      <alignment horizontal="center" vertical="center" wrapText="1"/>
    </xf>
    <xf numFmtId="1" fontId="10" fillId="0" borderId="1" xfId="0" applyNumberFormat="1" applyFont="1" applyBorder="1" applyAlignment="1">
      <alignment horizontal="center" vertical="top" wrapText="1"/>
    </xf>
    <xf numFmtId="1" fontId="10" fillId="0" borderId="11" xfId="0" applyNumberFormat="1" applyFont="1" applyBorder="1" applyAlignment="1">
      <alignment horizontal="center" vertical="top" wrapText="1"/>
    </xf>
    <xf numFmtId="1" fontId="10" fillId="0" borderId="12" xfId="0" applyNumberFormat="1" applyFont="1" applyBorder="1" applyAlignment="1">
      <alignment horizontal="center" vertical="center" wrapText="1"/>
    </xf>
    <xf numFmtId="1" fontId="10" fillId="0" borderId="14" xfId="0" applyNumberFormat="1" applyFont="1" applyBorder="1" applyAlignment="1">
      <alignment horizontal="center" vertical="center" wrapText="1"/>
    </xf>
    <xf numFmtId="1" fontId="10" fillId="0" borderId="15" xfId="0" applyNumberFormat="1" applyFont="1" applyBorder="1" applyAlignment="1">
      <alignment horizontal="center" vertical="center" wrapText="1"/>
    </xf>
    <xf numFmtId="1" fontId="10" fillId="0" borderId="16" xfId="0" applyNumberFormat="1" applyFont="1" applyBorder="1" applyAlignment="1">
      <alignment horizontal="center" vertical="center" wrapText="1"/>
    </xf>
    <xf numFmtId="1" fontId="10" fillId="0" borderId="17" xfId="0" applyNumberFormat="1" applyFont="1" applyBorder="1" applyAlignment="1">
      <alignment horizontal="center" vertical="center" wrapText="1"/>
    </xf>
    <xf numFmtId="1" fontId="10" fillId="0" borderId="18"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10" fillId="0" borderId="13" xfId="0" applyNumberFormat="1" applyFont="1" applyBorder="1" applyAlignment="1">
      <alignment horizontal="center" vertical="center" wrapText="1"/>
    </xf>
    <xf numFmtId="1" fontId="10" fillId="0" borderId="3" xfId="0" applyNumberFormat="1" applyFont="1" applyBorder="1" applyAlignment="1">
      <alignment horizontal="center" vertical="center" wrapText="1"/>
    </xf>
    <xf numFmtId="9" fontId="9" fillId="0" borderId="33" xfId="6" applyNumberFormat="1" applyFont="1" applyBorder="1" applyAlignment="1" applyProtection="1">
      <alignment horizontal="center" vertical="center" wrapText="1"/>
      <protection hidden="1"/>
    </xf>
    <xf numFmtId="9" fontId="9" fillId="0" borderId="34" xfId="6" applyNumberFormat="1" applyFont="1" applyBorder="1" applyAlignment="1" applyProtection="1">
      <alignment horizontal="center" vertical="center" wrapText="1"/>
      <protection hidden="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7" xfId="0" applyFont="1" applyBorder="1" applyAlignment="1">
      <alignment horizontal="left" vertical="top" wrapText="1"/>
    </xf>
    <xf numFmtId="0" fontId="4" fillId="0" borderId="3" xfId="0" applyFont="1" applyBorder="1" applyAlignment="1">
      <alignment horizontal="left" vertical="top" wrapText="1"/>
    </xf>
    <xf numFmtId="0" fontId="4" fillId="0" borderId="18" xfId="0" applyFont="1" applyBorder="1" applyAlignment="1">
      <alignment horizontal="left" vertical="top" wrapText="1"/>
    </xf>
    <xf numFmtId="0" fontId="5" fillId="0" borderId="1" xfId="0" applyFont="1" applyBorder="1" applyAlignment="1">
      <alignment horizontal="center" vertical="top"/>
    </xf>
    <xf numFmtId="0" fontId="5" fillId="0" borderId="11" xfId="0" applyFont="1" applyBorder="1" applyAlignment="1">
      <alignment horizontal="center" vertical="top"/>
    </xf>
    <xf numFmtId="0" fontId="4" fillId="0" borderId="1"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 xfId="0" applyFont="1" applyBorder="1" applyAlignment="1">
      <alignment horizontal="left" vertical="top"/>
    </xf>
    <xf numFmtId="166" fontId="4" fillId="0" borderId="1" xfId="0" applyNumberFormat="1" applyFont="1" applyBorder="1" applyAlignment="1">
      <alignment horizontal="left" vertical="top"/>
    </xf>
    <xf numFmtId="166" fontId="4" fillId="0" borderId="10" xfId="0" applyNumberFormat="1" applyFont="1" applyBorder="1" applyAlignment="1">
      <alignment horizontal="left" vertical="top"/>
    </xf>
    <xf numFmtId="166" fontId="4" fillId="0" borderId="11" xfId="0" applyNumberFormat="1" applyFont="1" applyBorder="1" applyAlignment="1">
      <alignment horizontal="left" vertical="top"/>
    </xf>
    <xf numFmtId="0" fontId="4" fillId="0" borderId="1" xfId="0" applyFont="1" applyBorder="1" applyAlignment="1">
      <alignment horizontal="center" vertical="top"/>
    </xf>
    <xf numFmtId="0" fontId="4" fillId="0" borderId="11" xfId="0" applyFont="1" applyBorder="1" applyAlignment="1">
      <alignment horizontal="center"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3" fillId="0" borderId="1"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13" fillId="0" borderId="1" xfId="4" applyFill="1" applyBorder="1" applyAlignment="1">
      <alignment horizontal="left" vertical="top"/>
    </xf>
    <xf numFmtId="2" fontId="4" fillId="0" borderId="1" xfId="0" applyNumberFormat="1" applyFont="1" applyBorder="1" applyAlignment="1">
      <alignment horizontal="left" vertical="top" wrapText="1"/>
    </xf>
    <xf numFmtId="2" fontId="4" fillId="0" borderId="10" xfId="0" applyNumberFormat="1" applyFont="1" applyBorder="1" applyAlignment="1">
      <alignment horizontal="left" vertical="top" wrapText="1"/>
    </xf>
    <xf numFmtId="2" fontId="4" fillId="0" borderId="11" xfId="0" applyNumberFormat="1" applyFont="1" applyBorder="1" applyAlignment="1">
      <alignment horizontal="left" vertical="top" wrapText="1"/>
    </xf>
    <xf numFmtId="0" fontId="4" fillId="0" borderId="1" xfId="0" applyFont="1" applyBorder="1" applyAlignment="1">
      <alignment vertical="top"/>
    </xf>
    <xf numFmtId="0" fontId="4" fillId="0" borderId="10" xfId="0" applyFont="1" applyBorder="1" applyAlignment="1">
      <alignment vertical="top"/>
    </xf>
    <xf numFmtId="0" fontId="4" fillId="0" borderId="11" xfId="0" applyFont="1" applyBorder="1" applyAlignment="1">
      <alignment vertical="top"/>
    </xf>
    <xf numFmtId="0" fontId="5" fillId="0" borderId="10" xfId="0" applyFont="1" applyBorder="1" applyAlignment="1">
      <alignment vertical="top"/>
    </xf>
    <xf numFmtId="0" fontId="5" fillId="0" borderId="11" xfId="0" applyFont="1" applyBorder="1" applyAlignment="1">
      <alignment vertical="top"/>
    </xf>
    <xf numFmtId="0" fontId="3" fillId="0" borderId="1" xfId="0" applyFont="1" applyBorder="1" applyAlignment="1">
      <alignment horizontal="center" vertical="top"/>
    </xf>
    <xf numFmtId="0" fontId="3" fillId="0" borderId="10" xfId="0" applyFont="1" applyBorder="1" applyAlignment="1">
      <alignment horizontal="center" vertical="top"/>
    </xf>
    <xf numFmtId="0" fontId="3" fillId="0" borderId="11" xfId="0" applyFont="1" applyBorder="1" applyAlignment="1">
      <alignment horizontal="center" vertical="top"/>
    </xf>
    <xf numFmtId="14" fontId="4" fillId="0" borderId="1" xfId="0" applyNumberFormat="1" applyFont="1" applyBorder="1" applyAlignment="1">
      <alignment horizontal="left" vertical="top"/>
    </xf>
    <xf numFmtId="14" fontId="4" fillId="0" borderId="10" xfId="0" applyNumberFormat="1" applyFont="1" applyBorder="1" applyAlignment="1">
      <alignment horizontal="left" vertical="top"/>
    </xf>
    <xf numFmtId="14" fontId="4" fillId="0" borderId="11" xfId="0" applyNumberFormat="1" applyFont="1" applyBorder="1" applyAlignment="1">
      <alignment horizontal="left" vertical="top"/>
    </xf>
    <xf numFmtId="0" fontId="4" fillId="0" borderId="2" xfId="0" applyFont="1" applyBorder="1" applyAlignment="1">
      <alignment horizontal="left" vertical="top"/>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17" xfId="0" applyFont="1" applyBorder="1" applyAlignment="1">
      <alignment horizontal="left" vertical="top"/>
    </xf>
    <xf numFmtId="0" fontId="4" fillId="0" borderId="3" xfId="0" applyFont="1" applyBorder="1" applyAlignment="1">
      <alignment horizontal="left" vertical="top"/>
    </xf>
    <xf numFmtId="0" fontId="4" fillId="0" borderId="18" xfId="0" applyFont="1" applyBorder="1" applyAlignment="1">
      <alignment horizontal="left" vertical="top"/>
    </xf>
    <xf numFmtId="0" fontId="4" fillId="0" borderId="2" xfId="0" applyFont="1" applyBorder="1" applyAlignment="1">
      <alignment horizontal="left" vertical="top" wrapText="1"/>
    </xf>
    <xf numFmtId="0" fontId="3" fillId="0" borderId="1"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3" fillId="0" borderId="2" xfId="0" applyFont="1" applyBorder="1" applyAlignment="1">
      <alignment horizontal="left" vertical="top" wrapText="1"/>
    </xf>
    <xf numFmtId="0" fontId="3" fillId="0" borderId="2" xfId="0" applyFont="1" applyBorder="1" applyAlignment="1">
      <alignment horizontal="left" vertical="top"/>
    </xf>
    <xf numFmtId="14" fontId="3" fillId="0" borderId="2" xfId="0" applyNumberFormat="1" applyFont="1" applyBorder="1" applyAlignment="1">
      <alignment horizontal="left" vertical="top"/>
    </xf>
    <xf numFmtId="0" fontId="9" fillId="0" borderId="2" xfId="0" applyFont="1" applyBorder="1" applyAlignment="1">
      <alignment horizontal="center" vertical="top" wrapText="1"/>
    </xf>
    <xf numFmtId="0" fontId="8" fillId="0" borderId="12" xfId="0" applyFont="1" applyBorder="1" applyAlignment="1">
      <alignmen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8" fillId="0" borderId="15" xfId="0" applyFont="1" applyBorder="1" applyAlignment="1">
      <alignment vertical="top" wrapText="1"/>
    </xf>
    <xf numFmtId="0" fontId="8" fillId="0" borderId="0" xfId="0" applyFont="1" applyAlignment="1">
      <alignment vertical="top" wrapText="1"/>
    </xf>
    <xf numFmtId="0" fontId="8" fillId="0" borderId="16" xfId="0" applyFont="1" applyBorder="1" applyAlignment="1">
      <alignment vertical="top" wrapText="1"/>
    </xf>
    <xf numFmtId="0" fontId="7" fillId="0" borderId="1" xfId="0" applyFont="1" applyBorder="1" applyAlignment="1">
      <alignment horizontal="left" vertical="top"/>
    </xf>
    <xf numFmtId="0" fontId="7" fillId="0" borderId="10" xfId="0" applyFont="1" applyBorder="1" applyAlignment="1">
      <alignment horizontal="left" vertical="top"/>
    </xf>
    <xf numFmtId="0" fontId="7" fillId="0" borderId="11" xfId="0" applyFont="1" applyBorder="1" applyAlignment="1">
      <alignment horizontal="left" vertical="top"/>
    </xf>
    <xf numFmtId="0" fontId="9" fillId="0" borderId="26" xfId="6" applyFont="1" applyBorder="1" applyAlignment="1" applyProtection="1">
      <alignment horizontal="center" vertical="top"/>
      <protection locked="0"/>
    </xf>
    <xf numFmtId="0" fontId="9" fillId="0" borderId="2" xfId="6" applyFont="1" applyBorder="1" applyAlignment="1" applyProtection="1">
      <alignment horizontal="center" vertical="top"/>
      <protection locked="0"/>
    </xf>
    <xf numFmtId="0" fontId="9" fillId="0" borderId="29" xfId="6" applyFont="1" applyBorder="1" applyAlignment="1" applyProtection="1">
      <alignment horizontal="center" vertical="top" wrapText="1"/>
      <protection locked="0"/>
    </xf>
    <xf numFmtId="3" fontId="3" fillId="0" borderId="1" xfId="0" applyNumberFormat="1" applyFont="1" applyBorder="1" applyAlignment="1">
      <alignment horizontal="left" vertical="top"/>
    </xf>
    <xf numFmtId="0" fontId="5" fillId="0" borderId="1" xfId="0" applyFont="1" applyBorder="1" applyAlignment="1">
      <alignment vertical="top"/>
    </xf>
    <xf numFmtId="0" fontId="3" fillId="0" borderId="12" xfId="2" applyFont="1" applyBorder="1" applyAlignment="1">
      <alignment horizontal="left" vertical="top" wrapText="1"/>
    </xf>
    <xf numFmtId="0" fontId="3" fillId="0" borderId="13" xfId="2" applyFont="1" applyBorder="1" applyAlignment="1">
      <alignment horizontal="left" vertical="top" wrapText="1"/>
    </xf>
    <xf numFmtId="0" fontId="3" fillId="0" borderId="14" xfId="2" applyFont="1" applyBorder="1" applyAlignment="1">
      <alignment horizontal="left" vertical="top" wrapText="1"/>
    </xf>
    <xf numFmtId="0" fontId="3" fillId="0" borderId="17" xfId="2" applyFont="1" applyBorder="1" applyAlignment="1">
      <alignment horizontal="left" vertical="top" wrapText="1"/>
    </xf>
    <xf numFmtId="0" fontId="3" fillId="0" borderId="3" xfId="2" applyFont="1" applyBorder="1" applyAlignment="1">
      <alignment horizontal="left" vertical="top" wrapText="1"/>
    </xf>
    <xf numFmtId="0" fontId="3" fillId="0" borderId="18" xfId="2" applyFont="1" applyBorder="1" applyAlignment="1">
      <alignment horizontal="left" vertical="top" wrapText="1"/>
    </xf>
    <xf numFmtId="1" fontId="6" fillId="3" borderId="1" xfId="0" applyNumberFormat="1" applyFont="1" applyFill="1" applyBorder="1" applyAlignment="1">
      <alignment horizontal="center" vertical="center" wrapText="1"/>
    </xf>
    <xf numFmtId="1" fontId="6" fillId="3" borderId="10" xfId="0" applyNumberFormat="1" applyFont="1" applyFill="1" applyBorder="1" applyAlignment="1">
      <alignment horizontal="center" vertical="center" wrapText="1"/>
    </xf>
    <xf numFmtId="1" fontId="6" fillId="3" borderId="11" xfId="0" applyNumberFormat="1" applyFont="1" applyFill="1" applyBorder="1" applyAlignment="1">
      <alignment horizontal="center" vertical="center" wrapText="1"/>
    </xf>
    <xf numFmtId="1" fontId="6" fillId="0" borderId="12" xfId="0" applyNumberFormat="1" applyFont="1" applyBorder="1" applyAlignment="1">
      <alignment horizontal="center" vertical="center" wrapText="1"/>
    </xf>
    <xf numFmtId="1" fontId="6" fillId="0" borderId="13" xfId="0" applyNumberFormat="1" applyFont="1" applyBorder="1" applyAlignment="1">
      <alignment horizontal="center" vertical="center" wrapText="1"/>
    </xf>
    <xf numFmtId="1" fontId="6" fillId="0" borderId="14" xfId="0" applyNumberFormat="1" applyFont="1" applyBorder="1" applyAlignment="1">
      <alignment horizontal="center" vertical="center"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15" xfId="0" applyFont="1" applyBorder="1" applyAlignment="1">
      <alignment horizontal="center" vertical="top" wrapText="1"/>
    </xf>
    <xf numFmtId="0" fontId="3" fillId="0" borderId="0" xfId="0" applyFont="1" applyAlignment="1">
      <alignment horizontal="center" vertical="top" wrapText="1"/>
    </xf>
    <xf numFmtId="0" fontId="3" fillId="0" borderId="16" xfId="0" applyFont="1" applyBorder="1" applyAlignment="1">
      <alignment horizontal="center" vertical="top" wrapText="1"/>
    </xf>
    <xf numFmtId="0" fontId="3" fillId="0" borderId="17" xfId="0" applyFont="1" applyBorder="1" applyAlignment="1">
      <alignment horizontal="center" vertical="top" wrapText="1"/>
    </xf>
    <xf numFmtId="0" fontId="3" fillId="0" borderId="3" xfId="0" applyFont="1" applyBorder="1" applyAlignment="1">
      <alignment horizontal="center" vertical="top" wrapText="1"/>
    </xf>
    <xf numFmtId="0" fontId="3" fillId="0" borderId="18" xfId="0" applyFont="1" applyBorder="1" applyAlignment="1">
      <alignment horizontal="center" vertical="top" wrapText="1"/>
    </xf>
    <xf numFmtId="3" fontId="4" fillId="0" borderId="1" xfId="0" applyNumberFormat="1" applyFont="1" applyBorder="1" applyAlignment="1">
      <alignment horizontal="left" vertical="top"/>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9" fillId="0" borderId="1"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1" fontId="6" fillId="0" borderId="1" xfId="0" applyNumberFormat="1" applyFont="1" applyBorder="1" applyAlignment="1">
      <alignment horizontal="center" vertical="top" wrapText="1"/>
    </xf>
    <xf numFmtId="1" fontId="6" fillId="0" borderId="11" xfId="0" applyNumberFormat="1" applyFont="1" applyBorder="1" applyAlignment="1">
      <alignment horizontal="center" vertical="top" wrapText="1"/>
    </xf>
    <xf numFmtId="0" fontId="3" fillId="0" borderId="1"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4" fillId="0" borderId="2" xfId="0" applyFont="1" applyBorder="1" applyAlignment="1">
      <alignment horizontal="center" vertical="top"/>
    </xf>
    <xf numFmtId="0" fontId="0" fillId="0" borderId="2" xfId="0" applyBorder="1"/>
    <xf numFmtId="2" fontId="4" fillId="0" borderId="1" xfId="0" applyNumberFormat="1" applyFont="1" applyBorder="1" applyAlignment="1">
      <alignment horizontal="left" vertical="top"/>
    </xf>
    <xf numFmtId="2" fontId="4" fillId="0" borderId="10" xfId="0" applyNumberFormat="1" applyFont="1" applyBorder="1" applyAlignment="1">
      <alignment horizontal="left" vertical="top"/>
    </xf>
    <xf numFmtId="2" fontId="4" fillId="0" borderId="11" xfId="0" applyNumberFormat="1" applyFont="1" applyBorder="1" applyAlignment="1">
      <alignment horizontal="left" vertical="top"/>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7" xfId="0" applyFont="1" applyBorder="1" applyAlignment="1">
      <alignment horizontal="left" vertical="top" wrapText="1"/>
    </xf>
    <xf numFmtId="0" fontId="5" fillId="0" borderId="3" xfId="0" applyFont="1" applyBorder="1" applyAlignment="1">
      <alignment horizontal="left" vertical="top" wrapText="1"/>
    </xf>
    <xf numFmtId="0" fontId="5" fillId="0" borderId="18" xfId="0" applyFont="1" applyBorder="1" applyAlignment="1">
      <alignment horizontal="left" vertical="top" wrapText="1"/>
    </xf>
    <xf numFmtId="0" fontId="9" fillId="0" borderId="2" xfId="0" applyFont="1" applyBorder="1" applyAlignment="1">
      <alignment horizontal="left" vertical="top" wrapText="1"/>
    </xf>
    <xf numFmtId="14" fontId="4" fillId="0" borderId="1" xfId="0" applyNumberFormat="1" applyFont="1" applyBorder="1" applyAlignment="1">
      <alignment horizontal="left" vertical="top" wrapText="1"/>
    </xf>
    <xf numFmtId="0" fontId="9" fillId="0" borderId="1" xfId="0" applyFont="1" applyBorder="1" applyAlignment="1">
      <alignment horizontal="left" vertical="top"/>
    </xf>
    <xf numFmtId="0" fontId="9" fillId="0" borderId="10" xfId="0" applyFont="1" applyBorder="1" applyAlignment="1">
      <alignment horizontal="left" vertical="top"/>
    </xf>
    <xf numFmtId="0" fontId="9" fillId="0" borderId="11" xfId="0" applyFont="1" applyBorder="1" applyAlignment="1">
      <alignment horizontal="left" vertical="top"/>
    </xf>
    <xf numFmtId="0" fontId="9" fillId="0" borderId="36" xfId="6" applyFont="1" applyBorder="1" applyAlignment="1" applyProtection="1">
      <alignment horizontal="center" vertical="top" wrapText="1"/>
      <protection locked="0"/>
    </xf>
    <xf numFmtId="0" fontId="9" fillId="0" borderId="18" xfId="6" applyFont="1" applyBorder="1" applyAlignment="1" applyProtection="1">
      <alignment horizontal="center" vertical="top" wrapText="1"/>
      <protection locked="0"/>
    </xf>
    <xf numFmtId="0" fontId="9" fillId="0" borderId="37" xfId="6" applyFont="1" applyBorder="1" applyAlignment="1" applyProtection="1">
      <alignment horizontal="center" vertical="top" wrapText="1"/>
      <protection locked="0"/>
    </xf>
    <xf numFmtId="0" fontId="9" fillId="0" borderId="38" xfId="6" applyFont="1" applyBorder="1" applyAlignment="1" applyProtection="1">
      <alignment horizontal="center" vertical="top" wrapText="1"/>
      <protection locked="0"/>
    </xf>
    <xf numFmtId="0" fontId="9" fillId="0" borderId="28" xfId="6" applyFont="1" applyBorder="1" applyAlignment="1" applyProtection="1">
      <alignment horizontal="center" vertical="top" wrapText="1"/>
      <protection locked="0"/>
    </xf>
    <xf numFmtId="0" fontId="9" fillId="0" borderId="11" xfId="6" applyFont="1" applyBorder="1" applyAlignment="1" applyProtection="1">
      <alignment horizontal="center" vertical="top" wrapText="1"/>
      <protection locked="0"/>
    </xf>
    <xf numFmtId="1" fontId="19" fillId="0" borderId="1" xfId="0" applyNumberFormat="1" applyFont="1" applyBorder="1" applyAlignment="1">
      <alignment horizontal="center" vertical="top" wrapText="1"/>
    </xf>
    <xf numFmtId="1" fontId="19" fillId="0" borderId="10" xfId="0" applyNumberFormat="1" applyFont="1" applyBorder="1" applyAlignment="1">
      <alignment horizontal="center" vertical="top" wrapText="1"/>
    </xf>
    <xf numFmtId="1" fontId="19" fillId="0" borderId="11" xfId="0" applyNumberFormat="1" applyFont="1" applyBorder="1" applyAlignment="1">
      <alignment horizontal="center" vertical="top" wrapText="1"/>
    </xf>
    <xf numFmtId="1" fontId="10" fillId="0" borderId="10" xfId="0" applyNumberFormat="1" applyFont="1" applyBorder="1" applyAlignment="1">
      <alignment horizontal="center" vertical="top" wrapText="1"/>
    </xf>
    <xf numFmtId="1" fontId="10" fillId="0" borderId="2" xfId="0" applyNumberFormat="1" applyFont="1" applyBorder="1" applyAlignment="1">
      <alignment horizontal="center" vertical="center" wrapText="1"/>
    </xf>
    <xf numFmtId="1" fontId="10" fillId="0" borderId="0" xfId="0" applyNumberFormat="1" applyFont="1" applyAlignment="1">
      <alignment horizontal="center" vertical="center" wrapText="1"/>
    </xf>
    <xf numFmtId="1" fontId="21" fillId="0" borderId="1" xfId="0" applyNumberFormat="1" applyFont="1" applyBorder="1" applyAlignment="1">
      <alignment horizontal="center" vertical="top" wrapText="1"/>
    </xf>
    <xf numFmtId="1" fontId="21" fillId="0" borderId="10" xfId="0" applyNumberFormat="1" applyFont="1" applyBorder="1" applyAlignment="1">
      <alignment horizontal="center" vertical="top" wrapText="1"/>
    </xf>
    <xf numFmtId="1" fontId="21" fillId="0" borderId="11" xfId="0" applyNumberFormat="1" applyFont="1" applyBorder="1" applyAlignment="1">
      <alignment horizontal="center" vertical="top" wrapText="1"/>
    </xf>
    <xf numFmtId="1" fontId="6" fillId="0" borderId="10" xfId="0" applyNumberFormat="1" applyFont="1" applyBorder="1" applyAlignment="1">
      <alignment horizontal="center" vertical="top" wrapText="1"/>
    </xf>
    <xf numFmtId="0" fontId="20" fillId="0" borderId="1" xfId="0" applyFont="1" applyBorder="1" applyAlignment="1">
      <alignment horizontal="center" vertical="top" wrapText="1"/>
    </xf>
    <xf numFmtId="0" fontId="20" fillId="0" borderId="10" xfId="0" applyFont="1" applyBorder="1" applyAlignment="1">
      <alignment horizontal="center" vertical="top" wrapText="1"/>
    </xf>
    <xf numFmtId="0" fontId="20" fillId="0" borderId="11" xfId="0" applyFont="1" applyBorder="1" applyAlignment="1">
      <alignment horizontal="center" vertical="top" wrapText="1"/>
    </xf>
    <xf numFmtId="0" fontId="0" fillId="2" borderId="2" xfId="0" applyFill="1" applyBorder="1" applyAlignment="1">
      <alignment horizontal="center" wrapText="1"/>
    </xf>
    <xf numFmtId="0" fontId="14" fillId="0" borderId="2" xfId="0" applyFont="1" applyBorder="1" applyAlignment="1">
      <alignment horizontal="center"/>
    </xf>
  </cellXfs>
  <cellStyles count="8">
    <cellStyle name="Comma 2" xfId="1" xr:uid="{00000000-0005-0000-0000-000000000000}"/>
    <cellStyle name="Excel Built-in Normal" xfId="2" xr:uid="{00000000-0005-0000-0000-000001000000}"/>
    <cellStyle name="Excel Built-in Normal 2" xfId="3" xr:uid="{00000000-0005-0000-0000-000002000000}"/>
    <cellStyle name="Hyperlink" xfId="4" builtinId="8"/>
    <cellStyle name="Normal" xfId="0" builtinId="0"/>
    <cellStyle name="Normal 2" xfId="5" xr:uid="{00000000-0005-0000-0000-000005000000}"/>
    <cellStyle name="Normal 3" xfId="6" xr:uid="{00000000-0005-0000-0000-000006000000}"/>
    <cellStyle name="Normal 4"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8" Type="http://schemas.openxmlformats.org/officeDocument/2006/relationships/image" Target="../media/image39.png"/><Relationship Id="rId3" Type="http://schemas.openxmlformats.org/officeDocument/2006/relationships/image" Target="../media/image34.png"/><Relationship Id="rId7" Type="http://schemas.openxmlformats.org/officeDocument/2006/relationships/image" Target="../media/image38.png"/><Relationship Id="rId2" Type="http://schemas.openxmlformats.org/officeDocument/2006/relationships/image" Target="../media/image33.png"/><Relationship Id="rId1" Type="http://schemas.openxmlformats.org/officeDocument/2006/relationships/image" Target="../media/image32.png"/><Relationship Id="rId6" Type="http://schemas.openxmlformats.org/officeDocument/2006/relationships/image" Target="../media/image37.png"/><Relationship Id="rId5" Type="http://schemas.openxmlformats.org/officeDocument/2006/relationships/image" Target="../media/image36.png"/><Relationship Id="rId4" Type="http://schemas.openxmlformats.org/officeDocument/2006/relationships/image" Target="../media/image35.png"/></Relationships>
</file>

<file path=xl/drawings/_rels/drawing3.xml.rels><?xml version="1.0" encoding="UTF-8" standalone="yes"?>
<Relationships xmlns="http://schemas.openxmlformats.org/package/2006/relationships"><Relationship Id="rId3" Type="http://schemas.openxmlformats.org/officeDocument/2006/relationships/image" Target="../media/image42.jpeg"/><Relationship Id="rId2" Type="http://schemas.openxmlformats.org/officeDocument/2006/relationships/image" Target="../media/image41.jpeg"/><Relationship Id="rId1" Type="http://schemas.openxmlformats.org/officeDocument/2006/relationships/image" Target="../media/image40.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526</xdr:row>
      <xdr:rowOff>9525</xdr:rowOff>
    </xdr:from>
    <xdr:to>
      <xdr:col>9</xdr:col>
      <xdr:colOff>43961</xdr:colOff>
      <xdr:row>545</xdr:row>
      <xdr:rowOff>104774</xdr:rowOff>
    </xdr:to>
    <xdr:pic>
      <xdr:nvPicPr>
        <xdr:cNvPr id="7503" name="Picture 1">
          <a:extLst>
            <a:ext uri="{FF2B5EF4-FFF2-40B4-BE49-F238E27FC236}">
              <a16:creationId xmlns:a16="http://schemas.microsoft.com/office/drawing/2014/main" id="{00000000-0008-0000-0000-00004F1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523875" y="99745800"/>
          <a:ext cx="5635136" cy="3714749"/>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542925</xdr:colOff>
      <xdr:row>546</xdr:row>
      <xdr:rowOff>76200</xdr:rowOff>
    </xdr:from>
    <xdr:to>
      <xdr:col>9</xdr:col>
      <xdr:colOff>63011</xdr:colOff>
      <xdr:row>565</xdr:row>
      <xdr:rowOff>171450</xdr:rowOff>
    </xdr:to>
    <xdr:pic>
      <xdr:nvPicPr>
        <xdr:cNvPr id="7504" name="Picture 2">
          <a:extLst>
            <a:ext uri="{FF2B5EF4-FFF2-40B4-BE49-F238E27FC236}">
              <a16:creationId xmlns:a16="http://schemas.microsoft.com/office/drawing/2014/main" id="{00000000-0008-0000-0000-0000501D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542925" y="103622475"/>
          <a:ext cx="5635136" cy="371475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305919</xdr:colOff>
      <xdr:row>434</xdr:row>
      <xdr:rowOff>110376</xdr:rowOff>
    </xdr:from>
    <xdr:to>
      <xdr:col>20</xdr:col>
      <xdr:colOff>90306</xdr:colOff>
      <xdr:row>473</xdr:row>
      <xdr:rowOff>151624</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7247739" y="89157696"/>
          <a:ext cx="6634767" cy="7219288"/>
          <a:chOff x="115419" y="91201873"/>
          <a:chExt cx="6475980" cy="7504366"/>
        </a:xfrm>
      </xdr:grpSpPr>
      <xdr:pic>
        <xdr:nvPicPr>
          <xdr:cNvPr id="12" name="Picture 11" descr="https://vsjcllp.vsjadon.com/upload/insp-220681-1525.jp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5293659" y="96948811"/>
            <a:ext cx="1297740" cy="174314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12" descr="https://vsjcllp.vsjadon.com/upload/insp-220681-843.jpg">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2308411" y="91204238"/>
            <a:ext cx="2080822" cy="27679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descr="https://vsjcllp.vsjadon.com/upload/insp-220681-845.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3894045" y="96958336"/>
            <a:ext cx="1306143" cy="174314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14" descr="https://vsjcllp.vsjadon.com/upload/insp-220681-847.jpg">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15419" y="91204237"/>
            <a:ext cx="2077515" cy="276794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descr="https://vsjcllp.vsjadon.com/upload/insp-220681-849.jpg">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4509247" y="91201873"/>
            <a:ext cx="2079813" cy="276958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descr="https://vsjcllp.vsjadon.com/upload/insp-220681-851.jp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136153" y="96963098"/>
            <a:ext cx="2310844" cy="174314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20681-861.jpg">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2308091" y="94070580"/>
            <a:ext cx="2081813" cy="277065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20681-862.jpg">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2521884" y="96958336"/>
            <a:ext cx="1297740" cy="174314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20681-883.jpg">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119659" y="94070580"/>
            <a:ext cx="2080615" cy="277065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20681-874.jpg">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4495553" y="94073383"/>
            <a:ext cx="2071871" cy="276537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2308411" y="91204238"/>
            <a:ext cx="696024" cy="31149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t>F Wing</a:t>
            </a:r>
          </a:p>
        </xdr:txBody>
      </xdr:sp>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5775511" y="91224285"/>
            <a:ext cx="696024" cy="31149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t>F Wing</a:t>
            </a:r>
          </a:p>
        </xdr:txBody>
      </xdr:sp>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283508" y="91215443"/>
            <a:ext cx="726802" cy="31149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t>D Wing</a:t>
            </a:r>
          </a:p>
        </xdr:txBody>
      </xdr:sp>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1430747" y="94126609"/>
            <a:ext cx="722442" cy="31149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t>A Wing</a:t>
            </a:r>
          </a:p>
        </xdr:txBody>
      </xdr:sp>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2420150" y="94126609"/>
            <a:ext cx="714298" cy="31149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t>B Wing</a:t>
            </a:r>
          </a:p>
        </xdr:txBody>
      </xdr:sp>
    </xdr:grpSp>
    <xdr:clientData/>
  </xdr:twoCellAnchor>
  <xdr:twoCellAnchor editAs="oneCell">
    <xdr:from>
      <xdr:col>0</xdr:col>
      <xdr:colOff>304800</xdr:colOff>
      <xdr:row>489</xdr:row>
      <xdr:rowOff>47625</xdr:rowOff>
    </xdr:from>
    <xdr:to>
      <xdr:col>9</xdr:col>
      <xdr:colOff>328696</xdr:colOff>
      <xdr:row>510</xdr:row>
      <xdr:rowOff>167099</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rcRect/>
        <a:stretch/>
      </xdr:blipFill>
      <xdr:spPr>
        <a:xfrm>
          <a:off x="304800" y="102069900"/>
          <a:ext cx="6138946" cy="4320000"/>
        </a:xfrm>
        <a:prstGeom prst="rect">
          <a:avLst/>
        </a:prstGeom>
        <a:ln>
          <a:solidFill>
            <a:schemeClr val="tx1"/>
          </a:solidFill>
        </a:ln>
      </xdr:spPr>
    </xdr:pic>
    <xdr:clientData/>
  </xdr:twoCellAnchor>
  <xdr:twoCellAnchor>
    <xdr:from>
      <xdr:col>10</xdr:col>
      <xdr:colOff>266700</xdr:colOff>
      <xdr:row>435</xdr:row>
      <xdr:rowOff>104775</xdr:rowOff>
    </xdr:from>
    <xdr:to>
      <xdr:col>19</xdr:col>
      <xdr:colOff>460915</xdr:colOff>
      <xdr:row>479</xdr:row>
      <xdr:rowOff>112923</xdr:rowOff>
    </xdr:to>
    <xdr:grpSp>
      <xdr:nvGrpSpPr>
        <xdr:cNvPr id="45" name="Group 44">
          <a:extLst>
            <a:ext uri="{FF2B5EF4-FFF2-40B4-BE49-F238E27FC236}">
              <a16:creationId xmlns:a16="http://schemas.microsoft.com/office/drawing/2014/main" id="{D74AF38B-D61F-4F4B-8B2B-0A09F009D83B}"/>
            </a:ext>
          </a:extLst>
        </xdr:cNvPr>
        <xdr:cNvGrpSpPr/>
      </xdr:nvGrpSpPr>
      <xdr:grpSpPr>
        <a:xfrm>
          <a:off x="7208520" y="89350215"/>
          <a:ext cx="6419755" cy="8176788"/>
          <a:chOff x="283073" y="363325"/>
          <a:chExt cx="6261640" cy="8466348"/>
        </a:xfrm>
      </xdr:grpSpPr>
      <xdr:pic>
        <xdr:nvPicPr>
          <xdr:cNvPr id="46" name="Picture 45">
            <a:extLst>
              <a:ext uri="{FF2B5EF4-FFF2-40B4-BE49-F238E27FC236}">
                <a16:creationId xmlns:a16="http://schemas.microsoft.com/office/drawing/2014/main" id="{6F888B3A-357B-43DA-809A-0EEB053DE65C}"/>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83073" y="363325"/>
            <a:ext cx="2172126" cy="3096338"/>
          </a:xfrm>
          <a:prstGeom prst="rect">
            <a:avLst/>
          </a:prstGeom>
          <a:ln>
            <a:solidFill>
              <a:schemeClr val="tx1"/>
            </a:solidFill>
          </a:ln>
        </xdr:spPr>
      </xdr:pic>
      <xdr:pic>
        <xdr:nvPicPr>
          <xdr:cNvPr id="47" name="Picture 46">
            <a:extLst>
              <a:ext uri="{FF2B5EF4-FFF2-40B4-BE49-F238E27FC236}">
                <a16:creationId xmlns:a16="http://schemas.microsoft.com/office/drawing/2014/main" id="{2FD3B6BA-E8C5-413D-BE43-CEF730B49D5F}"/>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448644" y="3687331"/>
            <a:ext cx="1861822" cy="2654004"/>
          </a:xfrm>
          <a:prstGeom prst="rect">
            <a:avLst/>
          </a:prstGeom>
          <a:ln>
            <a:solidFill>
              <a:schemeClr val="tx1"/>
            </a:solidFill>
          </a:ln>
        </xdr:spPr>
      </xdr:pic>
      <xdr:pic>
        <xdr:nvPicPr>
          <xdr:cNvPr id="48" name="Picture 47">
            <a:extLst>
              <a:ext uri="{FF2B5EF4-FFF2-40B4-BE49-F238E27FC236}">
                <a16:creationId xmlns:a16="http://schemas.microsoft.com/office/drawing/2014/main" id="{B1731C46-DD6C-4CC9-9F22-0BCF5EC268BE}"/>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4607365" y="3711831"/>
            <a:ext cx="1861822" cy="2654004"/>
          </a:xfrm>
          <a:prstGeom prst="rect">
            <a:avLst/>
          </a:prstGeom>
          <a:ln>
            <a:solidFill>
              <a:schemeClr val="tx1"/>
            </a:solidFill>
          </a:ln>
        </xdr:spPr>
      </xdr:pic>
      <xdr:pic>
        <xdr:nvPicPr>
          <xdr:cNvPr id="49" name="Picture 48">
            <a:extLst>
              <a:ext uri="{FF2B5EF4-FFF2-40B4-BE49-F238E27FC236}">
                <a16:creationId xmlns:a16="http://schemas.microsoft.com/office/drawing/2014/main" id="{0CA4F7DD-5172-4F1D-B12B-7C6E28463B31}"/>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2528004" y="3687331"/>
            <a:ext cx="1861822" cy="2654004"/>
          </a:xfrm>
          <a:prstGeom prst="rect">
            <a:avLst/>
          </a:prstGeom>
          <a:ln>
            <a:solidFill>
              <a:schemeClr val="tx1"/>
            </a:solidFill>
          </a:ln>
        </xdr:spPr>
      </xdr:pic>
      <xdr:pic>
        <xdr:nvPicPr>
          <xdr:cNvPr id="50" name="Picture 49">
            <a:extLst>
              <a:ext uri="{FF2B5EF4-FFF2-40B4-BE49-F238E27FC236}">
                <a16:creationId xmlns:a16="http://schemas.microsoft.com/office/drawing/2014/main" id="{40890966-3D16-409E-A3EB-241A6E72BEDA}"/>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2683156" y="6618003"/>
            <a:ext cx="1551519" cy="2211670"/>
          </a:xfrm>
          <a:prstGeom prst="rect">
            <a:avLst/>
          </a:prstGeom>
          <a:ln>
            <a:solidFill>
              <a:schemeClr val="tx1"/>
            </a:solidFill>
          </a:ln>
        </xdr:spPr>
      </xdr:pic>
      <xdr:pic>
        <xdr:nvPicPr>
          <xdr:cNvPr id="51" name="Picture 50">
            <a:extLst>
              <a:ext uri="{FF2B5EF4-FFF2-40B4-BE49-F238E27FC236}">
                <a16:creationId xmlns:a16="http://schemas.microsoft.com/office/drawing/2014/main" id="{CF613F78-157C-44F2-9D7A-927099B9A75C}"/>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4419205" y="6618003"/>
            <a:ext cx="1551519" cy="2211670"/>
          </a:xfrm>
          <a:prstGeom prst="rect">
            <a:avLst/>
          </a:prstGeom>
          <a:ln>
            <a:solidFill>
              <a:schemeClr val="tx1"/>
            </a:solidFill>
          </a:ln>
        </xdr:spPr>
      </xdr:pic>
      <xdr:sp macro="" textlink="">
        <xdr:nvSpPr>
          <xdr:cNvPr id="52" name="TextBox 30">
            <a:extLst>
              <a:ext uri="{FF2B5EF4-FFF2-40B4-BE49-F238E27FC236}">
                <a16:creationId xmlns:a16="http://schemas.microsoft.com/office/drawing/2014/main" id="{F80E35E2-1808-41D9-95C3-8CF8A2F5C118}"/>
              </a:ext>
            </a:extLst>
          </xdr:cNvPr>
          <xdr:cNvSpPr txBox="1"/>
        </xdr:nvSpPr>
        <xdr:spPr>
          <a:xfrm>
            <a:off x="1265540" y="457750"/>
            <a:ext cx="435149" cy="56725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D</a:t>
            </a:r>
            <a:endParaRPr lang="en-IN" sz="2400" b="1">
              <a:solidFill>
                <a:srgbClr val="FF0000"/>
              </a:solidFill>
            </a:endParaRPr>
          </a:p>
        </xdr:txBody>
      </xdr:sp>
      <xdr:sp macro="" textlink="">
        <xdr:nvSpPr>
          <xdr:cNvPr id="53" name="TextBox 31">
            <a:extLst>
              <a:ext uri="{FF2B5EF4-FFF2-40B4-BE49-F238E27FC236}">
                <a16:creationId xmlns:a16="http://schemas.microsoft.com/office/drawing/2014/main" id="{FC415106-37F9-47F1-A4BF-8E8A7A5BDDCB}"/>
              </a:ext>
            </a:extLst>
          </xdr:cNvPr>
          <xdr:cNvSpPr txBox="1"/>
        </xdr:nvSpPr>
        <xdr:spPr>
          <a:xfrm>
            <a:off x="2528004" y="3687331"/>
            <a:ext cx="385406" cy="56725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E</a:t>
            </a:r>
            <a:endParaRPr lang="en-IN" sz="2400" b="1">
              <a:solidFill>
                <a:srgbClr val="FF0000"/>
              </a:solidFill>
            </a:endParaRPr>
          </a:p>
        </xdr:txBody>
      </xdr:sp>
      <xdr:sp macro="" textlink="">
        <xdr:nvSpPr>
          <xdr:cNvPr id="54" name="TextBox 32">
            <a:extLst>
              <a:ext uri="{FF2B5EF4-FFF2-40B4-BE49-F238E27FC236}">
                <a16:creationId xmlns:a16="http://schemas.microsoft.com/office/drawing/2014/main" id="{E426901C-6957-4F73-9135-1190E5899E0B}"/>
              </a:ext>
            </a:extLst>
          </xdr:cNvPr>
          <xdr:cNvSpPr txBox="1"/>
        </xdr:nvSpPr>
        <xdr:spPr>
          <a:xfrm>
            <a:off x="4753682" y="3662830"/>
            <a:ext cx="374353" cy="56725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F</a:t>
            </a:r>
            <a:endParaRPr lang="en-IN" sz="2400" b="1">
              <a:solidFill>
                <a:srgbClr val="FF0000"/>
              </a:solidFill>
            </a:endParaRPr>
          </a:p>
        </xdr:txBody>
      </xdr:sp>
      <xdr:sp macro="" textlink="">
        <xdr:nvSpPr>
          <xdr:cNvPr id="55" name="TextBox 34">
            <a:extLst>
              <a:ext uri="{FF2B5EF4-FFF2-40B4-BE49-F238E27FC236}">
                <a16:creationId xmlns:a16="http://schemas.microsoft.com/office/drawing/2014/main" id="{0AA94C9E-FD83-418C-826E-E30863DC57A8}"/>
              </a:ext>
            </a:extLst>
          </xdr:cNvPr>
          <xdr:cNvSpPr txBox="1"/>
        </xdr:nvSpPr>
        <xdr:spPr>
          <a:xfrm>
            <a:off x="1192379" y="4414923"/>
            <a:ext cx="400145" cy="56725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C</a:t>
            </a:r>
            <a:endParaRPr lang="en-IN" sz="2400" b="1">
              <a:solidFill>
                <a:srgbClr val="FF0000"/>
              </a:solidFill>
            </a:endParaRPr>
          </a:p>
        </xdr:txBody>
      </xdr:sp>
      <xdr:pic>
        <xdr:nvPicPr>
          <xdr:cNvPr id="56" name="Picture 55">
            <a:extLst>
              <a:ext uri="{FF2B5EF4-FFF2-40B4-BE49-F238E27FC236}">
                <a16:creationId xmlns:a16="http://schemas.microsoft.com/office/drawing/2014/main" id="{6D0CC6F5-ABD3-41ED-B41E-B3F414FCDE8F}"/>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947108" y="6618003"/>
            <a:ext cx="1551519" cy="2211670"/>
          </a:xfrm>
          <a:prstGeom prst="rect">
            <a:avLst/>
          </a:prstGeom>
          <a:ln>
            <a:solidFill>
              <a:schemeClr val="tx1"/>
            </a:solidFill>
          </a:ln>
        </xdr:spPr>
      </xdr:pic>
      <xdr:pic>
        <xdr:nvPicPr>
          <xdr:cNvPr id="57" name="Picture 56">
            <a:extLst>
              <a:ext uri="{FF2B5EF4-FFF2-40B4-BE49-F238E27FC236}">
                <a16:creationId xmlns:a16="http://schemas.microsoft.com/office/drawing/2014/main" id="{A2DBD1B9-C5E9-4371-94F9-CEAAA2589946}"/>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683156" y="363325"/>
            <a:ext cx="3861557" cy="3096338"/>
          </a:xfrm>
          <a:prstGeom prst="rect">
            <a:avLst/>
          </a:prstGeom>
          <a:ln>
            <a:solidFill>
              <a:schemeClr val="tx1"/>
            </a:solidFill>
          </a:ln>
        </xdr:spPr>
      </xdr:pic>
      <xdr:sp macro="" textlink="">
        <xdr:nvSpPr>
          <xdr:cNvPr id="58" name="TextBox 28">
            <a:extLst>
              <a:ext uri="{FF2B5EF4-FFF2-40B4-BE49-F238E27FC236}">
                <a16:creationId xmlns:a16="http://schemas.microsoft.com/office/drawing/2014/main" id="{F0381A75-F3DE-4E6A-B43C-C7683D01F453}"/>
              </a:ext>
            </a:extLst>
          </xdr:cNvPr>
          <xdr:cNvSpPr txBox="1"/>
        </xdr:nvSpPr>
        <xdr:spPr>
          <a:xfrm>
            <a:off x="5870610" y="363325"/>
            <a:ext cx="374353" cy="56725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F</a:t>
            </a:r>
            <a:endParaRPr lang="en-IN" sz="2400" b="1">
              <a:solidFill>
                <a:srgbClr val="FF0000"/>
              </a:solidFill>
            </a:endParaRPr>
          </a:p>
        </xdr:txBody>
      </xdr:sp>
      <xdr:sp macro="" textlink="">
        <xdr:nvSpPr>
          <xdr:cNvPr id="59" name="TextBox 29">
            <a:extLst>
              <a:ext uri="{FF2B5EF4-FFF2-40B4-BE49-F238E27FC236}">
                <a16:creationId xmlns:a16="http://schemas.microsoft.com/office/drawing/2014/main" id="{E3F5E41D-26C1-4EF9-805A-2FC38F12846E}"/>
              </a:ext>
            </a:extLst>
          </xdr:cNvPr>
          <xdr:cNvSpPr txBox="1"/>
        </xdr:nvSpPr>
        <xdr:spPr>
          <a:xfrm>
            <a:off x="3921593" y="363325"/>
            <a:ext cx="385406" cy="56725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E</a:t>
            </a:r>
            <a:endParaRPr lang="en-IN" sz="2400" b="1">
              <a:solidFill>
                <a:srgbClr val="FF0000"/>
              </a:solidFill>
            </a:endParaRPr>
          </a:p>
        </xdr:txBody>
      </xdr:sp>
    </xdr:grpSp>
    <xdr:clientData/>
  </xdr:twoCellAnchor>
  <xdr:twoCellAnchor>
    <xdr:from>
      <xdr:col>0</xdr:col>
      <xdr:colOff>142875</xdr:colOff>
      <xdr:row>435</xdr:row>
      <xdr:rowOff>123825</xdr:rowOff>
    </xdr:from>
    <xdr:to>
      <xdr:col>9</xdr:col>
      <xdr:colOff>510121</xdr:colOff>
      <xdr:row>473</xdr:row>
      <xdr:rowOff>23177</xdr:rowOff>
    </xdr:to>
    <xdr:grpSp>
      <xdr:nvGrpSpPr>
        <xdr:cNvPr id="36" name="Group 35">
          <a:extLst>
            <a:ext uri="{FF2B5EF4-FFF2-40B4-BE49-F238E27FC236}">
              <a16:creationId xmlns:a16="http://schemas.microsoft.com/office/drawing/2014/main" id="{67C9B8EC-12F8-4AFB-97F7-69DCD76A2673}"/>
            </a:ext>
          </a:extLst>
        </xdr:cNvPr>
        <xdr:cNvGrpSpPr/>
      </xdr:nvGrpSpPr>
      <xdr:grpSpPr>
        <a:xfrm>
          <a:off x="142875" y="89369265"/>
          <a:ext cx="6661366" cy="6879272"/>
          <a:chOff x="246225" y="273750"/>
          <a:chExt cx="6482296" cy="7157402"/>
        </a:xfrm>
      </xdr:grpSpPr>
      <xdr:grpSp>
        <xdr:nvGrpSpPr>
          <xdr:cNvPr id="37" name="Group 36">
            <a:extLst>
              <a:ext uri="{FF2B5EF4-FFF2-40B4-BE49-F238E27FC236}">
                <a16:creationId xmlns:a16="http://schemas.microsoft.com/office/drawing/2014/main" id="{AB9062E1-7314-42D2-BDCA-2F2B9EFE017E}"/>
              </a:ext>
            </a:extLst>
          </xdr:cNvPr>
          <xdr:cNvGrpSpPr/>
        </xdr:nvGrpSpPr>
        <xdr:grpSpPr>
          <a:xfrm>
            <a:off x="246225" y="273750"/>
            <a:ext cx="6482296" cy="7157402"/>
            <a:chOff x="246225" y="273750"/>
            <a:chExt cx="6482296" cy="7157402"/>
          </a:xfrm>
        </xdr:grpSpPr>
        <xdr:pic>
          <xdr:nvPicPr>
            <xdr:cNvPr id="60" name="Picture 59">
              <a:extLst>
                <a:ext uri="{FF2B5EF4-FFF2-40B4-BE49-F238E27FC236}">
                  <a16:creationId xmlns:a16="http://schemas.microsoft.com/office/drawing/2014/main" id="{2A04DE34-F503-4468-860C-74E284FF3AF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246225" y="292801"/>
              <a:ext cx="2022891" cy="2700000"/>
            </a:xfrm>
            <a:prstGeom prst="rect">
              <a:avLst/>
            </a:prstGeom>
            <a:ln>
              <a:solidFill>
                <a:schemeClr val="tx1"/>
              </a:solidFill>
            </a:ln>
          </xdr:spPr>
        </xdr:pic>
        <xdr:pic>
          <xdr:nvPicPr>
            <xdr:cNvPr id="61" name="Picture 60">
              <a:extLst>
                <a:ext uri="{FF2B5EF4-FFF2-40B4-BE49-F238E27FC236}">
                  <a16:creationId xmlns:a16="http://schemas.microsoft.com/office/drawing/2014/main" id="{1233DF5D-A392-4E6C-9087-08F22ADCF8F9}"/>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2475928" y="273750"/>
              <a:ext cx="2022891" cy="2700000"/>
            </a:xfrm>
            <a:prstGeom prst="rect">
              <a:avLst/>
            </a:prstGeom>
            <a:ln>
              <a:solidFill>
                <a:schemeClr val="tx1"/>
              </a:solidFill>
            </a:ln>
          </xdr:spPr>
        </xdr:pic>
        <xdr:pic>
          <xdr:nvPicPr>
            <xdr:cNvPr id="62" name="Picture 61">
              <a:extLst>
                <a:ext uri="{FF2B5EF4-FFF2-40B4-BE49-F238E27FC236}">
                  <a16:creationId xmlns:a16="http://schemas.microsoft.com/office/drawing/2014/main" id="{4E483EC8-D574-4C21-B903-83DAA266EF04}"/>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255389" y="3132451"/>
              <a:ext cx="2877333" cy="2160000"/>
            </a:xfrm>
            <a:prstGeom prst="rect">
              <a:avLst/>
            </a:prstGeom>
            <a:ln>
              <a:solidFill>
                <a:schemeClr val="tx1"/>
              </a:solidFill>
            </a:ln>
          </xdr:spPr>
        </xdr:pic>
        <xdr:pic>
          <xdr:nvPicPr>
            <xdr:cNvPr id="63" name="Picture 62">
              <a:extLst>
                <a:ext uri="{FF2B5EF4-FFF2-40B4-BE49-F238E27FC236}">
                  <a16:creationId xmlns:a16="http://schemas.microsoft.com/office/drawing/2014/main" id="{F8653823-2A13-410E-8849-B2315535D634}"/>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4705631" y="273750"/>
              <a:ext cx="2022890" cy="2700000"/>
            </a:xfrm>
            <a:prstGeom prst="rect">
              <a:avLst/>
            </a:prstGeom>
            <a:ln>
              <a:solidFill>
                <a:schemeClr val="tx1"/>
              </a:solidFill>
            </a:ln>
          </xdr:spPr>
        </xdr:pic>
        <xdr:pic>
          <xdr:nvPicPr>
            <xdr:cNvPr id="64" name="Picture 63">
              <a:extLst>
                <a:ext uri="{FF2B5EF4-FFF2-40B4-BE49-F238E27FC236}">
                  <a16:creationId xmlns:a16="http://schemas.microsoft.com/office/drawing/2014/main" id="{6D611C6B-3047-462B-B48F-185D383DFDD4}"/>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3283191" y="3132451"/>
              <a:ext cx="1618313" cy="2160000"/>
            </a:xfrm>
            <a:prstGeom prst="rect">
              <a:avLst/>
            </a:prstGeom>
            <a:ln>
              <a:solidFill>
                <a:schemeClr val="tx1"/>
              </a:solidFill>
            </a:ln>
          </xdr:spPr>
        </xdr:pic>
        <xdr:pic>
          <xdr:nvPicPr>
            <xdr:cNvPr id="65" name="Picture 64">
              <a:extLst>
                <a:ext uri="{FF2B5EF4-FFF2-40B4-BE49-F238E27FC236}">
                  <a16:creationId xmlns:a16="http://schemas.microsoft.com/office/drawing/2014/main" id="{60E7DDE7-D6A7-4F37-BB82-F98BA854E2D3}"/>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5051973" y="3132451"/>
              <a:ext cx="1618313" cy="2160000"/>
            </a:xfrm>
            <a:prstGeom prst="rect">
              <a:avLst/>
            </a:prstGeom>
            <a:ln>
              <a:solidFill>
                <a:schemeClr val="tx1"/>
              </a:solidFill>
            </a:ln>
          </xdr:spPr>
        </xdr:pic>
        <xdr:pic>
          <xdr:nvPicPr>
            <xdr:cNvPr id="66" name="Picture 65">
              <a:extLst>
                <a:ext uri="{FF2B5EF4-FFF2-40B4-BE49-F238E27FC236}">
                  <a16:creationId xmlns:a16="http://schemas.microsoft.com/office/drawing/2014/main" id="{409418B5-B8B3-4A15-9E84-F76A7046B856}"/>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1898727" y="5451152"/>
              <a:ext cx="1483453" cy="1980000"/>
            </a:xfrm>
            <a:prstGeom prst="rect">
              <a:avLst/>
            </a:prstGeom>
            <a:ln>
              <a:solidFill>
                <a:schemeClr val="tx1"/>
              </a:solidFill>
            </a:ln>
          </xdr:spPr>
        </xdr:pic>
        <xdr:pic>
          <xdr:nvPicPr>
            <xdr:cNvPr id="67" name="Picture 66">
              <a:extLst>
                <a:ext uri="{FF2B5EF4-FFF2-40B4-BE49-F238E27FC236}">
                  <a16:creationId xmlns:a16="http://schemas.microsoft.com/office/drawing/2014/main" id="{CE8427AD-7F10-497F-96BD-FEE50C16C063}"/>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a:ext>
              </a:extLst>
            </a:blip>
            <a:stretch>
              <a:fillRect/>
            </a:stretch>
          </xdr:blipFill>
          <xdr:spPr>
            <a:xfrm>
              <a:off x="3568801" y="5451152"/>
              <a:ext cx="1483453" cy="1980000"/>
            </a:xfrm>
            <a:prstGeom prst="rect">
              <a:avLst/>
            </a:prstGeom>
            <a:ln>
              <a:solidFill>
                <a:schemeClr val="tx1"/>
              </a:solidFill>
            </a:ln>
          </xdr:spPr>
        </xdr:pic>
      </xdr:grpSp>
      <xdr:sp macro="" textlink="">
        <xdr:nvSpPr>
          <xdr:cNvPr id="38" name="TextBox 51">
            <a:extLst>
              <a:ext uri="{FF2B5EF4-FFF2-40B4-BE49-F238E27FC236}">
                <a16:creationId xmlns:a16="http://schemas.microsoft.com/office/drawing/2014/main" id="{01062B70-1B45-49DE-BC13-BD1DDF8E2D0A}"/>
              </a:ext>
            </a:extLst>
          </xdr:cNvPr>
          <xdr:cNvSpPr txBox="1"/>
        </xdr:nvSpPr>
        <xdr:spPr>
          <a:xfrm>
            <a:off x="1376339" y="292801"/>
            <a:ext cx="32412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a:t>
            </a:r>
            <a:endParaRPr lang="en-IN" b="1">
              <a:solidFill>
                <a:srgbClr val="FF0000"/>
              </a:solidFill>
            </a:endParaRPr>
          </a:p>
        </xdr:txBody>
      </xdr:sp>
      <xdr:sp macro="" textlink="">
        <xdr:nvSpPr>
          <xdr:cNvPr id="39" name="TextBox 52">
            <a:extLst>
              <a:ext uri="{FF2B5EF4-FFF2-40B4-BE49-F238E27FC236}">
                <a16:creationId xmlns:a16="http://schemas.microsoft.com/office/drawing/2014/main" id="{811336EE-87C4-4937-A316-DC48EEE1B9E2}"/>
              </a:ext>
            </a:extLst>
          </xdr:cNvPr>
          <xdr:cNvSpPr txBox="1"/>
        </xdr:nvSpPr>
        <xdr:spPr>
          <a:xfrm>
            <a:off x="2882513" y="273750"/>
            <a:ext cx="32412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a:t>
            </a:r>
            <a:endParaRPr lang="en-IN" b="1">
              <a:solidFill>
                <a:srgbClr val="FF0000"/>
              </a:solidFill>
            </a:endParaRPr>
          </a:p>
        </xdr:txBody>
      </xdr:sp>
      <xdr:sp macro="" textlink="">
        <xdr:nvSpPr>
          <xdr:cNvPr id="40" name="TextBox 53">
            <a:extLst>
              <a:ext uri="{FF2B5EF4-FFF2-40B4-BE49-F238E27FC236}">
                <a16:creationId xmlns:a16="http://schemas.microsoft.com/office/drawing/2014/main" id="{2541F018-6A1F-40FB-BD4B-867EC1E274D6}"/>
              </a:ext>
            </a:extLst>
          </xdr:cNvPr>
          <xdr:cNvSpPr txBox="1"/>
        </xdr:nvSpPr>
        <xdr:spPr>
          <a:xfrm>
            <a:off x="5274280" y="819032"/>
            <a:ext cx="29687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E</a:t>
            </a:r>
            <a:endParaRPr lang="en-IN" b="1">
              <a:solidFill>
                <a:srgbClr val="FF0000"/>
              </a:solidFill>
            </a:endParaRPr>
          </a:p>
        </xdr:txBody>
      </xdr:sp>
      <xdr:sp macro="" textlink="">
        <xdr:nvSpPr>
          <xdr:cNvPr id="41" name="TextBox 54">
            <a:extLst>
              <a:ext uri="{FF2B5EF4-FFF2-40B4-BE49-F238E27FC236}">
                <a16:creationId xmlns:a16="http://schemas.microsoft.com/office/drawing/2014/main" id="{87F97F25-22E5-4799-A4F9-E5FC92442FA5}"/>
              </a:ext>
            </a:extLst>
          </xdr:cNvPr>
          <xdr:cNvSpPr txBox="1"/>
        </xdr:nvSpPr>
        <xdr:spPr>
          <a:xfrm>
            <a:off x="5540887" y="323598"/>
            <a:ext cx="29687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F</a:t>
            </a:r>
            <a:endParaRPr lang="en-IN" b="1">
              <a:solidFill>
                <a:srgbClr val="FF0000"/>
              </a:solidFill>
            </a:endParaRPr>
          </a:p>
        </xdr:txBody>
      </xdr:sp>
      <xdr:sp macro="" textlink="">
        <xdr:nvSpPr>
          <xdr:cNvPr id="42" name="TextBox 55">
            <a:extLst>
              <a:ext uri="{FF2B5EF4-FFF2-40B4-BE49-F238E27FC236}">
                <a16:creationId xmlns:a16="http://schemas.microsoft.com/office/drawing/2014/main" id="{C6E8127F-B652-4AE2-8275-EF103891D3BE}"/>
              </a:ext>
            </a:extLst>
          </xdr:cNvPr>
          <xdr:cNvSpPr txBox="1"/>
        </xdr:nvSpPr>
        <xdr:spPr>
          <a:xfrm>
            <a:off x="1257670" y="3562232"/>
            <a:ext cx="30649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C</a:t>
            </a:r>
            <a:endParaRPr lang="en-IN" b="1">
              <a:solidFill>
                <a:srgbClr val="FF0000"/>
              </a:solidFill>
            </a:endParaRPr>
          </a:p>
        </xdr:txBody>
      </xdr:sp>
      <xdr:sp macro="" textlink="">
        <xdr:nvSpPr>
          <xdr:cNvPr id="43" name="TextBox 56">
            <a:extLst>
              <a:ext uri="{FF2B5EF4-FFF2-40B4-BE49-F238E27FC236}">
                <a16:creationId xmlns:a16="http://schemas.microsoft.com/office/drawing/2014/main" id="{B82D77B1-D755-46B8-8A47-113A0A935252}"/>
              </a:ext>
            </a:extLst>
          </xdr:cNvPr>
          <xdr:cNvSpPr txBox="1"/>
        </xdr:nvSpPr>
        <xdr:spPr>
          <a:xfrm>
            <a:off x="4062803" y="3132451"/>
            <a:ext cx="33054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D</a:t>
            </a:r>
            <a:endParaRPr lang="en-IN" b="1">
              <a:solidFill>
                <a:srgbClr val="FF0000"/>
              </a:solidFill>
            </a:endParaRPr>
          </a:p>
        </xdr:txBody>
      </xdr:sp>
      <xdr:sp macro="" textlink="">
        <xdr:nvSpPr>
          <xdr:cNvPr id="44" name="TextBox 57">
            <a:extLst>
              <a:ext uri="{FF2B5EF4-FFF2-40B4-BE49-F238E27FC236}">
                <a16:creationId xmlns:a16="http://schemas.microsoft.com/office/drawing/2014/main" id="{009AA9AF-8CEE-4322-B90B-9A38332A1D07}"/>
              </a:ext>
            </a:extLst>
          </xdr:cNvPr>
          <xdr:cNvSpPr txBox="1"/>
        </xdr:nvSpPr>
        <xdr:spPr>
          <a:xfrm>
            <a:off x="5473243" y="3149700"/>
            <a:ext cx="29687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F</a:t>
            </a:r>
            <a:endParaRPr lang="en-IN"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6</xdr:col>
      <xdr:colOff>352425</xdr:colOff>
      <xdr:row>33</xdr:row>
      <xdr:rowOff>171450</xdr:rowOff>
    </xdr:to>
    <xdr:pic>
      <xdr:nvPicPr>
        <xdr:cNvPr id="6465" name="Picture 1">
          <a:extLst>
            <a:ext uri="{FF2B5EF4-FFF2-40B4-BE49-F238E27FC236}">
              <a16:creationId xmlns:a16="http://schemas.microsoft.com/office/drawing/2014/main" id="{00000000-0008-0000-0100-0000411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28670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35</xdr:row>
      <xdr:rowOff>0</xdr:rowOff>
    </xdr:from>
    <xdr:to>
      <xdr:col>6</xdr:col>
      <xdr:colOff>352425</xdr:colOff>
      <xdr:row>53</xdr:row>
      <xdr:rowOff>171450</xdr:rowOff>
    </xdr:to>
    <xdr:pic>
      <xdr:nvPicPr>
        <xdr:cNvPr id="6466" name="Picture 2">
          <a:extLst>
            <a:ext uri="{FF2B5EF4-FFF2-40B4-BE49-F238E27FC236}">
              <a16:creationId xmlns:a16="http://schemas.microsoft.com/office/drawing/2014/main" id="{00000000-0008-0000-0100-00004219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025" y="66770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600075</xdr:colOff>
      <xdr:row>15</xdr:row>
      <xdr:rowOff>0</xdr:rowOff>
    </xdr:from>
    <xdr:to>
      <xdr:col>16</xdr:col>
      <xdr:colOff>209550</xdr:colOff>
      <xdr:row>33</xdr:row>
      <xdr:rowOff>171450</xdr:rowOff>
    </xdr:to>
    <xdr:pic>
      <xdr:nvPicPr>
        <xdr:cNvPr id="6467" name="Picture 3">
          <a:extLst>
            <a:ext uri="{FF2B5EF4-FFF2-40B4-BE49-F238E27FC236}">
              <a16:creationId xmlns:a16="http://schemas.microsoft.com/office/drawing/2014/main" id="{00000000-0008-0000-0100-00004319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81900" y="2867025"/>
          <a:ext cx="676275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600075</xdr:colOff>
      <xdr:row>34</xdr:row>
      <xdr:rowOff>95250</xdr:rowOff>
    </xdr:from>
    <xdr:to>
      <xdr:col>16</xdr:col>
      <xdr:colOff>209550</xdr:colOff>
      <xdr:row>53</xdr:row>
      <xdr:rowOff>76200</xdr:rowOff>
    </xdr:to>
    <xdr:pic>
      <xdr:nvPicPr>
        <xdr:cNvPr id="6468" name="Picture 4">
          <a:extLst>
            <a:ext uri="{FF2B5EF4-FFF2-40B4-BE49-F238E27FC236}">
              <a16:creationId xmlns:a16="http://schemas.microsoft.com/office/drawing/2014/main" id="{00000000-0008-0000-0100-00004419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81900" y="6581775"/>
          <a:ext cx="676275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457200</xdr:colOff>
      <xdr:row>15</xdr:row>
      <xdr:rowOff>0</xdr:rowOff>
    </xdr:from>
    <xdr:to>
      <xdr:col>28</xdr:col>
      <xdr:colOff>238125</xdr:colOff>
      <xdr:row>33</xdr:row>
      <xdr:rowOff>171450</xdr:rowOff>
    </xdr:to>
    <xdr:pic>
      <xdr:nvPicPr>
        <xdr:cNvPr id="6469" name="Picture 5">
          <a:extLst>
            <a:ext uri="{FF2B5EF4-FFF2-40B4-BE49-F238E27FC236}">
              <a16:creationId xmlns:a16="http://schemas.microsoft.com/office/drawing/2014/main" id="{00000000-0008-0000-0100-00004519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592300" y="28670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285750</xdr:colOff>
      <xdr:row>34</xdr:row>
      <xdr:rowOff>95250</xdr:rowOff>
    </xdr:from>
    <xdr:to>
      <xdr:col>28</xdr:col>
      <xdr:colOff>66675</xdr:colOff>
      <xdr:row>53</xdr:row>
      <xdr:rowOff>76200</xdr:rowOff>
    </xdr:to>
    <xdr:pic>
      <xdr:nvPicPr>
        <xdr:cNvPr id="6470" name="Picture 6">
          <a:extLst>
            <a:ext uri="{FF2B5EF4-FFF2-40B4-BE49-F238E27FC236}">
              <a16:creationId xmlns:a16="http://schemas.microsoft.com/office/drawing/2014/main" id="{00000000-0008-0000-0100-00004619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4420850" y="658177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55</xdr:row>
      <xdr:rowOff>0</xdr:rowOff>
    </xdr:from>
    <xdr:to>
      <xdr:col>6</xdr:col>
      <xdr:colOff>371475</xdr:colOff>
      <xdr:row>73</xdr:row>
      <xdr:rowOff>171450</xdr:rowOff>
    </xdr:to>
    <xdr:pic>
      <xdr:nvPicPr>
        <xdr:cNvPr id="6471" name="Picture 7">
          <a:extLst>
            <a:ext uri="{FF2B5EF4-FFF2-40B4-BE49-F238E27FC236}">
              <a16:creationId xmlns:a16="http://schemas.microsoft.com/office/drawing/2014/main" id="{00000000-0008-0000-0100-00004719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00075" y="104870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581025</xdr:colOff>
      <xdr:row>55</xdr:row>
      <xdr:rowOff>9525</xdr:rowOff>
    </xdr:from>
    <xdr:to>
      <xdr:col>16</xdr:col>
      <xdr:colOff>180975</xdr:colOff>
      <xdr:row>73</xdr:row>
      <xdr:rowOff>171450</xdr:rowOff>
    </xdr:to>
    <xdr:pic>
      <xdr:nvPicPr>
        <xdr:cNvPr id="6472" name="Picture 8">
          <a:extLst>
            <a:ext uri="{FF2B5EF4-FFF2-40B4-BE49-F238E27FC236}">
              <a16:creationId xmlns:a16="http://schemas.microsoft.com/office/drawing/2014/main" id="{00000000-0008-0000-0100-00004819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562850" y="10496550"/>
          <a:ext cx="6753225" cy="3590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7</xdr:col>
      <xdr:colOff>257175</xdr:colOff>
      <xdr:row>20</xdr:row>
      <xdr:rowOff>123825</xdr:rowOff>
    </xdr:to>
    <xdr:pic>
      <xdr:nvPicPr>
        <xdr:cNvPr id="4219" name="Picture 1">
          <a:extLst>
            <a:ext uri="{FF2B5EF4-FFF2-40B4-BE49-F238E27FC236}">
              <a16:creationId xmlns:a16="http://schemas.microsoft.com/office/drawing/2014/main" id="{00000000-0008-0000-0200-00007B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6450" y="190500"/>
          <a:ext cx="2695575"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438150</xdr:colOff>
      <xdr:row>25</xdr:row>
      <xdr:rowOff>0</xdr:rowOff>
    </xdr:from>
    <xdr:to>
      <xdr:col>11</xdr:col>
      <xdr:colOff>95250</xdr:colOff>
      <xdr:row>44</xdr:row>
      <xdr:rowOff>123825</xdr:rowOff>
    </xdr:to>
    <xdr:pic>
      <xdr:nvPicPr>
        <xdr:cNvPr id="4220" name="Picture 2">
          <a:extLst>
            <a:ext uri="{FF2B5EF4-FFF2-40B4-BE49-F238E27FC236}">
              <a16:creationId xmlns:a16="http://schemas.microsoft.com/office/drawing/2014/main" id="{00000000-0008-0000-0200-00007C1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43400" y="4762500"/>
          <a:ext cx="2705100"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25</xdr:row>
      <xdr:rowOff>0</xdr:rowOff>
    </xdr:from>
    <xdr:to>
      <xdr:col>6</xdr:col>
      <xdr:colOff>257175</xdr:colOff>
      <xdr:row>44</xdr:row>
      <xdr:rowOff>123825</xdr:rowOff>
    </xdr:to>
    <xdr:pic>
      <xdr:nvPicPr>
        <xdr:cNvPr id="4221" name="Picture 3">
          <a:extLst>
            <a:ext uri="{FF2B5EF4-FFF2-40B4-BE49-F238E27FC236}">
              <a16:creationId xmlns:a16="http://schemas.microsoft.com/office/drawing/2014/main" id="{00000000-0008-0000-0200-00007D1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66850" y="4762500"/>
          <a:ext cx="2695575"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11</xdr:col>
      <xdr:colOff>0</xdr:colOff>
      <xdr:row>20</xdr:row>
      <xdr:rowOff>57150</xdr:rowOff>
    </xdr:to>
    <xdr:pic>
      <xdr:nvPicPr>
        <xdr:cNvPr id="2100" name="Picture 1">
          <a:extLst>
            <a:ext uri="{FF2B5EF4-FFF2-40B4-BE49-F238E27FC236}">
              <a16:creationId xmlns:a16="http://schemas.microsoft.com/office/drawing/2014/main" id="{00000000-0008-0000-0300-000034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0" y="20955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sHLB1eL5RKmiy935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25"/>
  <sheetViews>
    <sheetView tabSelected="1" view="pageBreakPreview" zoomScaleNormal="100" zoomScaleSheetLayoutView="100" zoomScalePageLayoutView="85" workbookViewId="0">
      <selection activeCell="N13" sqref="N13"/>
    </sheetView>
  </sheetViews>
  <sheetFormatPr defaultColWidth="9.109375" defaultRowHeight="14.4" x14ac:dyDescent="0.3"/>
  <cols>
    <col min="1" max="1" width="9.44140625" customWidth="1"/>
    <col min="2" max="2" width="9.88671875" customWidth="1"/>
    <col min="3" max="3" width="14.44140625" customWidth="1"/>
    <col min="4" max="4" width="9.5546875" customWidth="1"/>
    <col min="5" max="5" width="8.5546875" customWidth="1"/>
    <col min="6" max="6" width="9" customWidth="1"/>
    <col min="7" max="8" width="9.88671875" customWidth="1"/>
    <col min="9" max="9" width="11.109375" customWidth="1"/>
    <col min="10" max="10" width="9.44140625" customWidth="1"/>
    <col min="11" max="11" width="17.88671875" customWidth="1"/>
    <col min="13" max="13" width="9.109375" customWidth="1"/>
  </cols>
  <sheetData>
    <row r="1" spans="1:17" ht="44.1" customHeight="1" x14ac:dyDescent="0.3">
      <c r="A1" s="224" t="s">
        <v>290</v>
      </c>
      <c r="B1" s="225"/>
      <c r="C1" s="225"/>
      <c r="D1" s="225"/>
      <c r="E1" s="225"/>
      <c r="F1" s="225"/>
      <c r="G1" s="225"/>
      <c r="H1" s="225"/>
      <c r="I1" s="225"/>
      <c r="J1" s="226"/>
    </row>
    <row r="2" spans="1:17" x14ac:dyDescent="0.3">
      <c r="A2" s="159" t="s">
        <v>48</v>
      </c>
      <c r="B2" s="160"/>
      <c r="C2" s="160"/>
      <c r="D2" s="160"/>
      <c r="E2" s="160"/>
      <c r="F2" s="160"/>
      <c r="G2" s="160"/>
      <c r="H2" s="160"/>
      <c r="I2" s="160"/>
      <c r="J2" s="161"/>
    </row>
    <row r="3" spans="1:17" x14ac:dyDescent="0.3">
      <c r="A3" s="139" t="s">
        <v>0</v>
      </c>
      <c r="B3" s="137"/>
      <c r="C3" s="137"/>
      <c r="D3" s="137"/>
      <c r="E3" s="138"/>
      <c r="F3" s="162" t="str">
        <f ca="1">TEXT(TODAY(),"DD/MM/YYYY")</f>
        <v>14/09/2025</v>
      </c>
      <c r="G3" s="163"/>
      <c r="H3" s="163"/>
      <c r="I3" s="163"/>
      <c r="J3" s="164"/>
    </row>
    <row r="4" spans="1:17" x14ac:dyDescent="0.3">
      <c r="A4" s="139" t="s">
        <v>1</v>
      </c>
      <c r="B4" s="137"/>
      <c r="C4" s="137"/>
      <c r="D4" s="137"/>
      <c r="E4" s="138"/>
      <c r="F4" s="136" t="s">
        <v>118</v>
      </c>
      <c r="G4" s="145"/>
      <c r="H4" s="145"/>
      <c r="I4" s="145"/>
      <c r="J4" s="146"/>
    </row>
    <row r="5" spans="1:17" x14ac:dyDescent="0.3">
      <c r="A5" s="139" t="s">
        <v>2</v>
      </c>
      <c r="B5" s="137"/>
      <c r="C5" s="137"/>
      <c r="D5" s="137"/>
      <c r="E5" s="138"/>
      <c r="F5" s="162">
        <v>45909</v>
      </c>
      <c r="G5" s="163"/>
      <c r="H5" s="163"/>
      <c r="I5" s="163"/>
      <c r="J5" s="164"/>
    </row>
    <row r="6" spans="1:17" ht="16.5" customHeight="1" x14ac:dyDescent="0.3">
      <c r="A6" s="139" t="s">
        <v>3</v>
      </c>
      <c r="B6" s="137"/>
      <c r="C6" s="137"/>
      <c r="D6" s="137"/>
      <c r="E6" s="138"/>
      <c r="F6" s="77" t="s">
        <v>286</v>
      </c>
      <c r="G6" s="78"/>
      <c r="H6" s="78"/>
      <c r="I6" s="78"/>
      <c r="J6" s="79"/>
    </row>
    <row r="7" spans="1:17" ht="15" customHeight="1" x14ac:dyDescent="0.3">
      <c r="A7" s="139" t="s">
        <v>4</v>
      </c>
      <c r="B7" s="137"/>
      <c r="C7" s="137"/>
      <c r="D7" s="137"/>
      <c r="E7" s="138"/>
      <c r="F7" s="77" t="str">
        <f>F6</f>
        <v xml:space="preserve">Shiv Shakti Builders &amp; Developers </v>
      </c>
      <c r="G7" s="78"/>
      <c r="H7" s="78"/>
      <c r="I7" s="78"/>
      <c r="J7" s="79"/>
      <c r="K7" s="67" t="s">
        <v>296</v>
      </c>
      <c r="L7" s="67"/>
      <c r="M7" s="67"/>
      <c r="N7" s="67"/>
      <c r="O7" s="67"/>
      <c r="P7" s="67"/>
      <c r="Q7" s="67"/>
    </row>
    <row r="8" spans="1:17" x14ac:dyDescent="0.3">
      <c r="A8" s="139" t="s">
        <v>5</v>
      </c>
      <c r="B8" s="137"/>
      <c r="C8" s="137"/>
      <c r="D8" s="137"/>
      <c r="E8" s="138"/>
      <c r="F8" s="147" t="s">
        <v>171</v>
      </c>
      <c r="G8" s="148"/>
      <c r="H8" s="148"/>
      <c r="I8" s="148"/>
      <c r="J8" s="149"/>
    </row>
    <row r="9" spans="1:17" x14ac:dyDescent="0.3">
      <c r="A9" s="136" t="s">
        <v>139</v>
      </c>
      <c r="B9" s="137"/>
      <c r="C9" s="137"/>
      <c r="D9" s="137"/>
      <c r="E9" s="138"/>
      <c r="F9" s="136" t="s">
        <v>140</v>
      </c>
      <c r="G9" s="145"/>
      <c r="H9" s="145"/>
      <c r="I9" s="145"/>
      <c r="J9" s="146"/>
    </row>
    <row r="10" spans="1:17" x14ac:dyDescent="0.3">
      <c r="A10" s="139" t="s">
        <v>6</v>
      </c>
      <c r="B10" s="137"/>
      <c r="C10" s="137"/>
      <c r="D10" s="137"/>
      <c r="E10" s="138"/>
      <c r="F10" s="77" t="s">
        <v>284</v>
      </c>
      <c r="G10" s="78"/>
      <c r="H10" s="78"/>
      <c r="I10" s="78"/>
      <c r="J10" s="79"/>
    </row>
    <row r="11" spans="1:17" ht="32.25" customHeight="1" x14ac:dyDescent="0.3">
      <c r="A11" s="136" t="s">
        <v>198</v>
      </c>
      <c r="B11" s="137"/>
      <c r="C11" s="137"/>
      <c r="D11" s="137"/>
      <c r="E11" s="138"/>
      <c r="F11" s="77" t="s">
        <v>231</v>
      </c>
      <c r="G11" s="78"/>
      <c r="H11" s="78"/>
      <c r="I11" s="78"/>
      <c r="J11" s="79"/>
    </row>
    <row r="12" spans="1:17" hidden="1" x14ac:dyDescent="0.3">
      <c r="A12" s="165" t="s">
        <v>68</v>
      </c>
      <c r="B12" s="165"/>
      <c r="C12" s="136" t="s">
        <v>119</v>
      </c>
      <c r="D12" s="145"/>
      <c r="E12" s="145"/>
      <c r="F12" s="145"/>
      <c r="G12" s="146"/>
      <c r="H12" s="1" t="s">
        <v>69</v>
      </c>
      <c r="I12" s="230" t="s">
        <v>120</v>
      </c>
      <c r="J12" s="230"/>
    </row>
    <row r="13" spans="1:17" ht="31.5" customHeight="1" x14ac:dyDescent="0.3">
      <c r="A13" s="165" t="s">
        <v>70</v>
      </c>
      <c r="B13" s="165"/>
      <c r="C13" s="77" t="s">
        <v>295</v>
      </c>
      <c r="D13" s="78"/>
      <c r="E13" s="78"/>
      <c r="F13" s="78"/>
      <c r="G13" s="78"/>
      <c r="H13" s="78"/>
      <c r="I13" s="78"/>
      <c r="J13" s="79"/>
    </row>
    <row r="14" spans="1:17" ht="30.75" customHeight="1" x14ac:dyDescent="0.3">
      <c r="A14" s="165" t="s">
        <v>71</v>
      </c>
      <c r="B14" s="165"/>
      <c r="C14" s="165" t="s">
        <v>121</v>
      </c>
      <c r="D14" s="165"/>
      <c r="E14" s="165"/>
      <c r="F14" s="172" t="s">
        <v>72</v>
      </c>
      <c r="G14" s="172"/>
      <c r="H14" s="78" t="s">
        <v>122</v>
      </c>
      <c r="I14" s="78"/>
      <c r="J14" s="79"/>
    </row>
    <row r="15" spans="1:17" x14ac:dyDescent="0.3">
      <c r="A15" s="165" t="s">
        <v>7</v>
      </c>
      <c r="B15" s="165"/>
      <c r="C15" s="165" t="s">
        <v>123</v>
      </c>
      <c r="D15" s="165"/>
      <c r="E15" s="165"/>
      <c r="F15" s="172" t="s">
        <v>73</v>
      </c>
      <c r="G15" s="172"/>
      <c r="H15" s="78" t="s">
        <v>124</v>
      </c>
      <c r="I15" s="78"/>
      <c r="J15" s="79"/>
    </row>
    <row r="16" spans="1:17" x14ac:dyDescent="0.3">
      <c r="A16" s="165" t="s">
        <v>8</v>
      </c>
      <c r="B16" s="165"/>
      <c r="C16" s="165" t="s">
        <v>125</v>
      </c>
      <c r="D16" s="165"/>
      <c r="E16" s="165"/>
      <c r="F16" s="172" t="s">
        <v>74</v>
      </c>
      <c r="G16" s="172"/>
      <c r="H16" s="78">
        <v>400097</v>
      </c>
      <c r="I16" s="78"/>
      <c r="J16" s="79"/>
    </row>
    <row r="17" spans="1:10" ht="32.25" customHeight="1" x14ac:dyDescent="0.3">
      <c r="A17" s="165" t="s">
        <v>75</v>
      </c>
      <c r="B17" s="165"/>
      <c r="C17" s="165" t="s">
        <v>126</v>
      </c>
      <c r="D17" s="165"/>
      <c r="E17" s="165"/>
      <c r="F17" s="172" t="s">
        <v>59</v>
      </c>
      <c r="G17" s="172"/>
      <c r="H17" s="78" t="s">
        <v>291</v>
      </c>
      <c r="I17" s="78"/>
      <c r="J17" s="79"/>
    </row>
    <row r="18" spans="1:10" ht="15" customHeight="1" x14ac:dyDescent="0.3">
      <c r="A18" s="128" t="s">
        <v>61</v>
      </c>
      <c r="B18" s="129"/>
      <c r="C18" s="129"/>
      <c r="D18" s="129"/>
      <c r="E18" s="130"/>
      <c r="F18" s="166" t="s">
        <v>67</v>
      </c>
      <c r="G18" s="167"/>
      <c r="H18" s="167"/>
      <c r="I18" s="167"/>
      <c r="J18" s="168"/>
    </row>
    <row r="19" spans="1:10" x14ac:dyDescent="0.3">
      <c r="A19" s="131"/>
      <c r="B19" s="132"/>
      <c r="C19" s="132"/>
      <c r="D19" s="132"/>
      <c r="E19" s="133"/>
      <c r="F19" s="169"/>
      <c r="G19" s="170"/>
      <c r="H19" s="170"/>
      <c r="I19" s="170"/>
      <c r="J19" s="171"/>
    </row>
    <row r="20" spans="1:10" ht="15" customHeight="1" x14ac:dyDescent="0.3">
      <c r="A20" s="235" t="s">
        <v>9</v>
      </c>
      <c r="B20" s="236"/>
      <c r="C20" s="236"/>
      <c r="D20" s="236"/>
      <c r="E20" s="237"/>
      <c r="F20" s="128" t="s">
        <v>50</v>
      </c>
      <c r="G20" s="129"/>
      <c r="H20" s="129"/>
      <c r="I20" s="129"/>
      <c r="J20" s="130"/>
    </row>
    <row r="21" spans="1:10" x14ac:dyDescent="0.3">
      <c r="A21" s="238"/>
      <c r="B21" s="239"/>
      <c r="C21" s="239"/>
      <c r="D21" s="239"/>
      <c r="E21" s="240"/>
      <c r="F21" s="131"/>
      <c r="G21" s="132"/>
      <c r="H21" s="132"/>
      <c r="I21" s="132"/>
      <c r="J21" s="133"/>
    </row>
    <row r="22" spans="1:10" x14ac:dyDescent="0.3">
      <c r="A22" s="139" t="s">
        <v>10</v>
      </c>
      <c r="B22" s="137"/>
      <c r="C22" s="137"/>
      <c r="D22" s="137"/>
      <c r="E22" s="138"/>
      <c r="F22" s="154" t="s">
        <v>117</v>
      </c>
      <c r="G22" s="155"/>
      <c r="H22" s="155"/>
      <c r="I22" s="155"/>
      <c r="J22" s="156"/>
    </row>
    <row r="23" spans="1:10" x14ac:dyDescent="0.3">
      <c r="A23" s="139" t="s">
        <v>11</v>
      </c>
      <c r="B23" s="137"/>
      <c r="C23" s="137"/>
      <c r="D23" s="137"/>
      <c r="E23" s="138"/>
      <c r="F23" s="154" t="s">
        <v>60</v>
      </c>
      <c r="G23" s="155"/>
      <c r="H23" s="155"/>
      <c r="I23" s="155"/>
      <c r="J23" s="156"/>
    </row>
    <row r="24" spans="1:10" x14ac:dyDescent="0.3">
      <c r="A24" s="139" t="s">
        <v>12</v>
      </c>
      <c r="B24" s="137"/>
      <c r="C24" s="137"/>
      <c r="D24" s="137"/>
      <c r="E24" s="138"/>
      <c r="F24" s="154" t="s">
        <v>51</v>
      </c>
      <c r="G24" s="155"/>
      <c r="H24" s="155"/>
      <c r="I24" s="155"/>
      <c r="J24" s="156"/>
    </row>
    <row r="25" spans="1:10" x14ac:dyDescent="0.3">
      <c r="A25" s="139" t="s">
        <v>30</v>
      </c>
      <c r="B25" s="137"/>
      <c r="C25" s="137"/>
      <c r="D25" s="137"/>
      <c r="E25" s="138"/>
      <c r="F25" s="154" t="s">
        <v>76</v>
      </c>
      <c r="G25" s="157"/>
      <c r="H25" s="157"/>
      <c r="I25" s="157"/>
      <c r="J25" s="158"/>
    </row>
    <row r="26" spans="1:10" x14ac:dyDescent="0.3">
      <c r="A26" s="134" t="s">
        <v>13</v>
      </c>
      <c r="B26" s="135"/>
      <c r="C26" s="134" t="s">
        <v>14</v>
      </c>
      <c r="D26" s="135"/>
      <c r="E26" s="143" t="s">
        <v>15</v>
      </c>
      <c r="F26" s="135"/>
      <c r="G26" s="143" t="s">
        <v>58</v>
      </c>
      <c r="H26" s="144"/>
      <c r="I26" s="134" t="s">
        <v>16</v>
      </c>
      <c r="J26" s="135"/>
    </row>
    <row r="27" spans="1:10" x14ac:dyDescent="0.3">
      <c r="A27" s="143" t="s">
        <v>17</v>
      </c>
      <c r="B27" s="144"/>
      <c r="C27" s="143" t="s">
        <v>57</v>
      </c>
      <c r="D27" s="144"/>
      <c r="E27" s="143" t="s">
        <v>57</v>
      </c>
      <c r="F27" s="144"/>
      <c r="G27" s="143" t="s">
        <v>57</v>
      </c>
      <c r="H27" s="144"/>
      <c r="I27" s="143" t="s">
        <v>57</v>
      </c>
      <c r="J27" s="144"/>
    </row>
    <row r="28" spans="1:10" x14ac:dyDescent="0.3">
      <c r="A28" s="134" t="s">
        <v>18</v>
      </c>
      <c r="B28" s="135"/>
      <c r="C28" s="143" t="s">
        <v>127</v>
      </c>
      <c r="D28" s="144"/>
      <c r="E28" s="143" t="s">
        <v>7</v>
      </c>
      <c r="F28" s="144"/>
      <c r="G28" s="143" t="s">
        <v>128</v>
      </c>
      <c r="H28" s="144"/>
      <c r="I28" s="143" t="s">
        <v>129</v>
      </c>
      <c r="J28" s="144"/>
    </row>
    <row r="29" spans="1:10" x14ac:dyDescent="0.3">
      <c r="A29" s="136" t="s">
        <v>65</v>
      </c>
      <c r="B29" s="145"/>
      <c r="C29" s="145"/>
      <c r="D29" s="145"/>
      <c r="E29" s="145"/>
      <c r="F29" s="145"/>
      <c r="G29" s="145"/>
      <c r="H29" s="145"/>
      <c r="I29" s="145"/>
      <c r="J29" s="146"/>
    </row>
    <row r="30" spans="1:10" x14ac:dyDescent="0.3">
      <c r="A30" s="136" t="s">
        <v>52</v>
      </c>
      <c r="B30" s="145"/>
      <c r="C30" s="145"/>
      <c r="D30" s="145"/>
      <c r="E30" s="145"/>
      <c r="F30" s="145"/>
      <c r="G30" s="145"/>
      <c r="H30" s="145"/>
      <c r="I30" s="145"/>
      <c r="J30" s="146"/>
    </row>
    <row r="31" spans="1:10" x14ac:dyDescent="0.3">
      <c r="A31" s="136" t="s">
        <v>44</v>
      </c>
      <c r="B31" s="146"/>
      <c r="C31" s="147" t="s">
        <v>287</v>
      </c>
      <c r="D31" s="148"/>
      <c r="E31" s="148"/>
      <c r="F31" s="148"/>
      <c r="G31" s="148"/>
      <c r="H31" s="148"/>
      <c r="I31" s="148"/>
      <c r="J31" s="149"/>
    </row>
    <row r="32" spans="1:10" x14ac:dyDescent="0.3">
      <c r="A32" s="136" t="s">
        <v>230</v>
      </c>
      <c r="B32" s="146"/>
      <c r="C32" s="150" t="s">
        <v>298</v>
      </c>
      <c r="D32" s="145"/>
      <c r="E32" s="145"/>
      <c r="F32" s="145"/>
      <c r="G32" s="145"/>
      <c r="H32" s="145"/>
      <c r="I32" s="145"/>
      <c r="J32" s="146"/>
    </row>
    <row r="33" spans="1:10" x14ac:dyDescent="0.3">
      <c r="A33" s="147" t="s">
        <v>19</v>
      </c>
      <c r="B33" s="148"/>
      <c r="C33" s="148"/>
      <c r="D33" s="148"/>
      <c r="E33" s="148"/>
      <c r="F33" s="148"/>
      <c r="G33" s="148"/>
      <c r="H33" s="148"/>
      <c r="I33" s="148"/>
      <c r="J33" s="149"/>
    </row>
    <row r="34" spans="1:10" ht="15" customHeight="1" x14ac:dyDescent="0.3">
      <c r="A34" s="128" t="s">
        <v>53</v>
      </c>
      <c r="B34" s="129"/>
      <c r="C34" s="129"/>
      <c r="D34" s="129"/>
      <c r="E34" s="129"/>
      <c r="F34" s="129"/>
      <c r="G34" s="129"/>
      <c r="H34" s="129"/>
      <c r="I34" s="129"/>
      <c r="J34" s="130"/>
    </row>
    <row r="35" spans="1:10" x14ac:dyDescent="0.3">
      <c r="A35" s="131"/>
      <c r="B35" s="132"/>
      <c r="C35" s="132"/>
      <c r="D35" s="132"/>
      <c r="E35" s="132"/>
      <c r="F35" s="132"/>
      <c r="G35" s="132"/>
      <c r="H35" s="132"/>
      <c r="I35" s="132"/>
      <c r="J35" s="133"/>
    </row>
    <row r="36" spans="1:10" ht="16.5" customHeight="1" x14ac:dyDescent="0.3">
      <c r="A36" s="136" t="s">
        <v>77</v>
      </c>
      <c r="B36" s="137"/>
      <c r="C36" s="137"/>
      <c r="D36" s="137"/>
      <c r="E36" s="138"/>
      <c r="F36" s="151">
        <v>9169.8700000000008</v>
      </c>
      <c r="G36" s="152"/>
      <c r="H36" s="152"/>
      <c r="I36" s="152"/>
      <c r="J36" s="153"/>
    </row>
    <row r="37" spans="1:10" x14ac:dyDescent="0.3">
      <c r="A37" s="139" t="s">
        <v>20</v>
      </c>
      <c r="B37" s="137"/>
      <c r="C37" s="137"/>
      <c r="D37" s="137"/>
      <c r="E37" s="138"/>
      <c r="F37" s="136">
        <v>4</v>
      </c>
      <c r="G37" s="145"/>
      <c r="H37" s="145"/>
      <c r="I37" s="145"/>
      <c r="J37" s="146"/>
    </row>
    <row r="38" spans="1:10" x14ac:dyDescent="0.3">
      <c r="A38" s="139" t="s">
        <v>21</v>
      </c>
      <c r="B38" s="137"/>
      <c r="C38" s="137"/>
      <c r="D38" s="137"/>
      <c r="E38" s="138"/>
      <c r="F38" s="140">
        <f>(F40/F36)-F37</f>
        <v>3.9058012818066112</v>
      </c>
      <c r="G38" s="141"/>
      <c r="H38" s="141"/>
      <c r="I38" s="141"/>
      <c r="J38" s="142"/>
    </row>
    <row r="39" spans="1:10" x14ac:dyDescent="0.3">
      <c r="A39" s="139" t="s">
        <v>22</v>
      </c>
      <c r="B39" s="137"/>
      <c r="C39" s="137"/>
      <c r="D39" s="137"/>
      <c r="E39" s="138"/>
      <c r="F39" s="140">
        <f>F37+F38</f>
        <v>7.9058012818066112</v>
      </c>
      <c r="G39" s="141"/>
      <c r="H39" s="141"/>
      <c r="I39" s="141"/>
      <c r="J39" s="142"/>
    </row>
    <row r="40" spans="1:10" x14ac:dyDescent="0.3">
      <c r="A40" s="136" t="s">
        <v>78</v>
      </c>
      <c r="B40" s="137"/>
      <c r="C40" s="137"/>
      <c r="D40" s="137"/>
      <c r="E40" s="138"/>
      <c r="F40" s="232">
        <v>72495.17</v>
      </c>
      <c r="G40" s="233"/>
      <c r="H40" s="233"/>
      <c r="I40" s="233"/>
      <c r="J40" s="234"/>
    </row>
    <row r="41" spans="1:10" x14ac:dyDescent="0.3">
      <c r="A41" s="136" t="s">
        <v>130</v>
      </c>
      <c r="B41" s="145"/>
      <c r="C41" s="145"/>
      <c r="D41" s="145"/>
      <c r="E41" s="146"/>
      <c r="F41" s="136">
        <v>24566.63</v>
      </c>
      <c r="G41" s="145"/>
      <c r="H41" s="145"/>
      <c r="I41" s="145"/>
      <c r="J41" s="146"/>
    </row>
    <row r="42" spans="1:10" x14ac:dyDescent="0.3">
      <c r="A42" s="139" t="s">
        <v>23</v>
      </c>
      <c r="B42" s="137"/>
      <c r="C42" s="137"/>
      <c r="D42" s="137"/>
      <c r="E42" s="138"/>
      <c r="F42" s="243" t="s">
        <v>199</v>
      </c>
      <c r="G42" s="244"/>
      <c r="H42" s="244"/>
      <c r="I42" s="244"/>
      <c r="J42" s="245"/>
    </row>
    <row r="43" spans="1:10" x14ac:dyDescent="0.3">
      <c r="A43" s="147" t="s">
        <v>80</v>
      </c>
      <c r="B43" s="148"/>
      <c r="C43" s="148"/>
      <c r="D43" s="148"/>
      <c r="E43" s="148"/>
      <c r="F43" s="148"/>
      <c r="G43" s="148"/>
      <c r="H43" s="148"/>
      <c r="I43" s="148"/>
      <c r="J43" s="149"/>
    </row>
    <row r="44" spans="1:10" ht="16.5" customHeight="1" x14ac:dyDescent="0.3">
      <c r="A44" s="172" t="s">
        <v>79</v>
      </c>
      <c r="B44" s="172"/>
      <c r="C44" s="136" t="str">
        <f>C12</f>
        <v>SRA/ENG/3249/PN/PL/AP</v>
      </c>
      <c r="D44" s="145"/>
      <c r="E44" s="145"/>
      <c r="F44" s="146"/>
      <c r="G44" s="1" t="s">
        <v>69</v>
      </c>
      <c r="H44" s="162">
        <v>44426</v>
      </c>
      <c r="I44" s="145"/>
      <c r="J44" s="146"/>
    </row>
    <row r="45" spans="1:10" x14ac:dyDescent="0.3">
      <c r="A45" s="77" t="s">
        <v>81</v>
      </c>
      <c r="B45" s="79"/>
      <c r="C45" s="77" t="s">
        <v>232</v>
      </c>
      <c r="D45" s="78"/>
      <c r="E45" s="78"/>
      <c r="F45" s="79"/>
      <c r="G45" s="1" t="s">
        <v>69</v>
      </c>
      <c r="H45" s="162">
        <f>H44</f>
        <v>44426</v>
      </c>
      <c r="I45" s="163" t="s">
        <v>54</v>
      </c>
      <c r="J45" s="164"/>
    </row>
    <row r="46" spans="1:10" ht="48.75" customHeight="1" x14ac:dyDescent="0.3">
      <c r="A46" s="77" t="s">
        <v>233</v>
      </c>
      <c r="B46" s="79"/>
      <c r="C46" s="77" t="s">
        <v>229</v>
      </c>
      <c r="D46" s="78"/>
      <c r="E46" s="78"/>
      <c r="F46" s="79"/>
      <c r="G46" s="1" t="s">
        <v>69</v>
      </c>
      <c r="H46" s="162" t="s">
        <v>227</v>
      </c>
      <c r="I46" s="163"/>
      <c r="J46" s="164"/>
    </row>
    <row r="47" spans="1:10" x14ac:dyDescent="0.3">
      <c r="A47" s="128" t="s">
        <v>233</v>
      </c>
      <c r="B47" s="130"/>
      <c r="C47" s="77" t="s">
        <v>232</v>
      </c>
      <c r="D47" s="78"/>
      <c r="E47" s="78"/>
      <c r="F47" s="79"/>
      <c r="G47" s="1" t="s">
        <v>69</v>
      </c>
      <c r="H47" s="162">
        <v>44207</v>
      </c>
      <c r="I47" s="163"/>
      <c r="J47" s="164"/>
    </row>
    <row r="48" spans="1:10" ht="63" customHeight="1" x14ac:dyDescent="0.3">
      <c r="A48" s="131"/>
      <c r="B48" s="133"/>
      <c r="C48" s="77" t="s">
        <v>292</v>
      </c>
      <c r="D48" s="78"/>
      <c r="E48" s="78"/>
      <c r="F48" s="78"/>
      <c r="G48" s="78"/>
      <c r="H48" s="78"/>
      <c r="I48" s="78"/>
      <c r="J48" s="79"/>
    </row>
    <row r="49" spans="1:12" s="56" customFormat="1" ht="31.5" customHeight="1" x14ac:dyDescent="0.3">
      <c r="A49" s="176" t="s">
        <v>294</v>
      </c>
      <c r="B49" s="177"/>
      <c r="C49" s="176" t="s">
        <v>293</v>
      </c>
      <c r="D49" s="177"/>
      <c r="E49" s="177"/>
      <c r="F49" s="177"/>
      <c r="G49" s="57" t="s">
        <v>69</v>
      </c>
      <c r="H49" s="178">
        <v>45058</v>
      </c>
      <c r="I49" s="177"/>
      <c r="J49" s="177"/>
    </row>
    <row r="50" spans="1:12" hidden="1" x14ac:dyDescent="0.3">
      <c r="A50" s="136" t="s">
        <v>131</v>
      </c>
      <c r="B50" s="145"/>
      <c r="C50" s="145"/>
      <c r="D50" s="145"/>
      <c r="E50" s="146"/>
      <c r="F50" s="136" t="s">
        <v>132</v>
      </c>
      <c r="G50" s="145"/>
      <c r="H50" s="145"/>
      <c r="I50" s="145"/>
      <c r="J50" s="146"/>
    </row>
    <row r="51" spans="1:12" hidden="1" x14ac:dyDescent="0.3">
      <c r="A51" s="136" t="s">
        <v>133</v>
      </c>
      <c r="B51" s="145"/>
      <c r="C51" s="145"/>
      <c r="D51" s="145"/>
      <c r="E51" s="146"/>
      <c r="F51" s="136" t="s">
        <v>134</v>
      </c>
      <c r="G51" s="145"/>
      <c r="H51" s="145"/>
      <c r="I51" s="145"/>
      <c r="J51" s="146"/>
    </row>
    <row r="52" spans="1:12" ht="29.4" customHeight="1" x14ac:dyDescent="0.3">
      <c r="A52" s="165" t="s">
        <v>88</v>
      </c>
      <c r="B52" s="165"/>
      <c r="C52" s="165"/>
      <c r="D52" s="230" t="str">
        <f>H46</f>
        <v>03/09/2019.</v>
      </c>
      <c r="E52" s="230"/>
      <c r="F52" s="230" t="s">
        <v>82</v>
      </c>
      <c r="G52" s="231"/>
      <c r="H52" s="242" t="s">
        <v>297</v>
      </c>
      <c r="I52" s="145"/>
      <c r="J52" s="146"/>
    </row>
    <row r="53" spans="1:12" x14ac:dyDescent="0.3">
      <c r="A53" s="173" t="s">
        <v>24</v>
      </c>
      <c r="B53" s="174"/>
      <c r="C53" s="174"/>
      <c r="D53" s="174"/>
      <c r="E53" s="174"/>
      <c r="F53" s="174"/>
      <c r="G53" s="174"/>
      <c r="H53" s="174"/>
      <c r="I53" s="174"/>
      <c r="J53" s="175"/>
    </row>
    <row r="54" spans="1:12" x14ac:dyDescent="0.3">
      <c r="A54" s="136" t="s">
        <v>116</v>
      </c>
      <c r="B54" s="145"/>
      <c r="C54" s="146"/>
      <c r="D54" s="143">
        <f>F40</f>
        <v>72495.17</v>
      </c>
      <c r="E54" s="144"/>
      <c r="F54" s="241" t="s">
        <v>83</v>
      </c>
      <c r="G54" s="241"/>
      <c r="H54" s="241"/>
      <c r="I54" s="179">
        <v>702</v>
      </c>
      <c r="J54" s="179"/>
    </row>
    <row r="55" spans="1:12" ht="30" customHeight="1" x14ac:dyDescent="0.3">
      <c r="A55" s="77" t="s">
        <v>84</v>
      </c>
      <c r="B55" s="78"/>
      <c r="C55" s="79"/>
      <c r="D55" s="77" t="s">
        <v>289</v>
      </c>
      <c r="E55" s="78"/>
      <c r="F55" s="78"/>
      <c r="G55" s="78"/>
      <c r="H55" s="78"/>
      <c r="I55" s="78"/>
      <c r="J55" s="79"/>
    </row>
    <row r="56" spans="1:12" x14ac:dyDescent="0.3">
      <c r="A56" s="136" t="s">
        <v>55</v>
      </c>
      <c r="B56" s="145"/>
      <c r="C56" s="145"/>
      <c r="D56" s="145"/>
      <c r="E56" s="146"/>
      <c r="F56" s="77" t="s">
        <v>288</v>
      </c>
      <c r="G56" s="78"/>
      <c r="H56" s="78"/>
      <c r="I56" s="78"/>
      <c r="J56" s="79"/>
    </row>
    <row r="57" spans="1:12" x14ac:dyDescent="0.3">
      <c r="A57" s="136" t="s">
        <v>62</v>
      </c>
      <c r="B57" s="145"/>
      <c r="C57" s="145"/>
      <c r="D57" s="145"/>
      <c r="E57" s="145"/>
      <c r="F57" s="145"/>
      <c r="G57" s="145"/>
      <c r="H57" s="145"/>
      <c r="I57" s="145"/>
      <c r="J57" s="146"/>
    </row>
    <row r="58" spans="1:12" ht="15" customHeight="1" thickBot="1" x14ac:dyDescent="0.35">
      <c r="A58" s="227" t="s">
        <v>47</v>
      </c>
      <c r="B58" s="228"/>
      <c r="C58" s="228"/>
      <c r="D58" s="228"/>
      <c r="E58" s="228"/>
      <c r="F58" s="228"/>
      <c r="G58" s="228"/>
      <c r="H58" s="228"/>
      <c r="I58" s="228"/>
      <c r="J58" s="229"/>
    </row>
    <row r="59" spans="1:12" ht="30" customHeight="1" x14ac:dyDescent="0.3">
      <c r="A59" s="106" t="s">
        <v>200</v>
      </c>
      <c r="B59" s="107"/>
      <c r="C59" s="95" t="s">
        <v>300</v>
      </c>
      <c r="D59" s="96"/>
      <c r="E59" s="96"/>
      <c r="F59" s="96"/>
      <c r="G59" s="96"/>
      <c r="H59" s="96"/>
      <c r="I59" s="96"/>
      <c r="J59" s="97"/>
      <c r="K59" s="37" t="str">
        <f ca="1">(IF(F65&gt;99%,"All work completed. Please provide OC.",IF(F65&gt;89.8%,"Plinth, RCC, Brick, Plaster, Flooring, Painting work Completed. Finishing work is in process.",IF(F65&lt;94%,(IF(C65=0,"Work not yet Started.",IF(D65=25%,"Piling work in process",IF(D65=50%,"Excavation work in process",IF(D65=100%,"Excavation work Completed. ","0")))&amp;(IF(C66=0%,"",IF(C66=L67,"Footing work is process",IF(C66=L68,"Footing work Completed",IF(C66=L69,"1st Basement Completed",IF(C66=L70,"1st &amp; 2nd Basement Completed",IF(C66=L71,"1st to 3rd Basement Completed",IF(C66=L72,"1st to 4th Basement Completed",IF(C66=L73,"Plinth work is process",IF(C66=L74,"Plinth work completed","0")))))))))))&amp;(IF(C67=(D60+G60+I60),", RCC Slab",IF(C67&gt;0,", RCC upto "&amp;C67&amp;" Slab",""))&amp;(IF(C68=I60,", Brickwork",IF(C68&gt;0,", Brickwork upto "&amp;C68&amp;" Floor",""))&amp;(IF(C69=I60,", Internal Plaster",IF(C69&gt;0,", Internal Plaster upto "&amp;C69&amp;" Floor",""))&amp;(IF(C70=I60,", External Plaster",IF(C70&gt;0,", External Plaster upto "&amp;C70&amp;" Floor",""))&amp;(IF(C71=I60,", Flooring",IF(C71&gt;0,", Flooring upto "&amp;C71&amp;" Floor",""))&amp;(IF(C72=I60,", Painting",IF(C72&gt;0,", Painting upto "&amp;C72&amp;" Floor",""))&amp;(IF(C73&gt;0,", Finishing upto "&amp;C73&amp;" Floor","")&amp;(IF(C67&gt;0.5," Completed",""))))))))))))))</f>
        <v>All work completed. Please provide OC.</v>
      </c>
      <c r="L59" s="45"/>
    </row>
    <row r="60" spans="1:12" ht="15" customHeight="1" x14ac:dyDescent="0.3">
      <c r="A60" s="43" t="s">
        <v>201</v>
      </c>
      <c r="B60" s="44">
        <v>3</v>
      </c>
      <c r="C60" s="44" t="s">
        <v>202</v>
      </c>
      <c r="D60" s="44">
        <v>1</v>
      </c>
      <c r="E60" s="98" t="s">
        <v>203</v>
      </c>
      <c r="F60" s="99"/>
      <c r="G60" s="44">
        <v>2</v>
      </c>
      <c r="H60" s="44" t="s">
        <v>204</v>
      </c>
      <c r="I60" s="98">
        <f ca="1">--TRIM(RIGHT(SUBSTITUTE(LEFT(C59,_xlfn.AGGREGATE(16,6,FIND({0,1,2,3,4,5,6,7,8,9},C59,ROW(INDIRECT("1:"&amp;LEN(C59)))),1))," ",REPT(" ",LEN(C59))),LEN(C59)))</f>
        <v>21</v>
      </c>
      <c r="J60" s="100"/>
      <c r="K60" s="38"/>
      <c r="L60" s="46"/>
    </row>
    <row r="61" spans="1:12" x14ac:dyDescent="0.3">
      <c r="A61" s="101" t="s">
        <v>205</v>
      </c>
      <c r="B61" s="102"/>
      <c r="C61" s="103" t="str">
        <f>K61</f>
        <v>All work Completed. OC Received.</v>
      </c>
      <c r="D61" s="104"/>
      <c r="E61" s="104"/>
      <c r="F61" s="104"/>
      <c r="G61" s="104"/>
      <c r="H61" s="104"/>
      <c r="I61" s="104"/>
      <c r="J61" s="105"/>
      <c r="K61" s="38" t="s">
        <v>206</v>
      </c>
      <c r="L61" s="46"/>
    </row>
    <row r="62" spans="1:12" s="65" customFormat="1" x14ac:dyDescent="0.3">
      <c r="A62" s="73" t="s">
        <v>209</v>
      </c>
      <c r="B62" s="74"/>
      <c r="C62" s="68">
        <v>1</v>
      </c>
      <c r="D62" s="69"/>
      <c r="E62" s="69"/>
      <c r="F62" s="69" t="s">
        <v>210</v>
      </c>
      <c r="G62" s="69"/>
      <c r="H62" s="68">
        <v>1</v>
      </c>
      <c r="I62" s="69"/>
      <c r="J62" s="70"/>
      <c r="K62" s="63"/>
      <c r="L62" s="64"/>
    </row>
    <row r="63" spans="1:12" s="65" customFormat="1" ht="15" thickBot="1" x14ac:dyDescent="0.35">
      <c r="A63" s="75"/>
      <c r="B63" s="76"/>
      <c r="C63" s="71"/>
      <c r="D63" s="71"/>
      <c r="E63" s="71"/>
      <c r="F63" s="71"/>
      <c r="G63" s="71"/>
      <c r="H63" s="71"/>
      <c r="I63" s="71"/>
      <c r="J63" s="72"/>
      <c r="K63" s="63"/>
      <c r="L63" s="64"/>
    </row>
    <row r="64" spans="1:12" ht="15" hidden="1" customHeight="1" x14ac:dyDescent="0.3">
      <c r="A64" s="246" t="s">
        <v>35</v>
      </c>
      <c r="B64" s="247"/>
      <c r="C64" s="66" t="s">
        <v>207</v>
      </c>
      <c r="D64" s="248" t="s">
        <v>208</v>
      </c>
      <c r="E64" s="248"/>
      <c r="F64" s="248" t="s">
        <v>209</v>
      </c>
      <c r="G64" s="248"/>
      <c r="H64" s="248" t="s">
        <v>210</v>
      </c>
      <c r="I64" s="248"/>
      <c r="J64" s="249"/>
      <c r="K64" s="39" t="s">
        <v>211</v>
      </c>
      <c r="L64" s="47">
        <f ca="1">I60*25%</f>
        <v>5.25</v>
      </c>
    </row>
    <row r="65" spans="1:12" ht="15" hidden="1" customHeight="1" x14ac:dyDescent="0.3">
      <c r="A65" s="91" t="s">
        <v>212</v>
      </c>
      <c r="B65" s="92"/>
      <c r="C65" s="48">
        <f ca="1">L66</f>
        <v>21</v>
      </c>
      <c r="D65" s="93">
        <f ca="1">((100/I60)*C65)/100</f>
        <v>1</v>
      </c>
      <c r="E65" s="94"/>
      <c r="F65" s="80">
        <f ca="1">(((C66/I60*10)+(40/(D60+G60+I60)*C67)+(7.5/(I60)*C68)+(7.5/(I60)*C69)+(10/I60*C70)+(10/I60*C71)+(5/I60*C72)+(5/I60*C73)+(5/I60*C74))/100)</f>
        <v>1</v>
      </c>
      <c r="G65" s="80"/>
      <c r="H65" s="82">
        <f ca="1">((((C65/I60)*20)+((C66/I60)*25)+(30/(I60+G60+D60)*C67)+(5/I60*C68)+(5/I60*C69)+(5/I60*C70)+(5/I60*C71)+(0/I60*C72)+(0/I60*C73)+(5/I60*C74))/100)</f>
        <v>1</v>
      </c>
      <c r="I65" s="83"/>
      <c r="J65" s="84"/>
      <c r="K65" s="39" t="s">
        <v>176</v>
      </c>
      <c r="L65" s="49">
        <f ca="1">I60*50%</f>
        <v>10.5</v>
      </c>
    </row>
    <row r="66" spans="1:12" ht="15" hidden="1" customHeight="1" x14ac:dyDescent="0.3">
      <c r="A66" s="91" t="s">
        <v>36</v>
      </c>
      <c r="B66" s="92"/>
      <c r="C66" s="50">
        <f ca="1">L74</f>
        <v>21.000000000000004</v>
      </c>
      <c r="D66" s="93">
        <f ca="1">((100/I60)*C66)/100</f>
        <v>1.0000000000000002</v>
      </c>
      <c r="E66" s="94"/>
      <c r="F66" s="80"/>
      <c r="G66" s="80"/>
      <c r="H66" s="85"/>
      <c r="I66" s="86"/>
      <c r="J66" s="87"/>
      <c r="K66" s="39" t="s">
        <v>177</v>
      </c>
      <c r="L66" s="49">
        <f ca="1">I60</f>
        <v>21</v>
      </c>
    </row>
    <row r="67" spans="1:12" ht="15" hidden="1" customHeight="1" x14ac:dyDescent="0.3">
      <c r="A67" s="91" t="s">
        <v>213</v>
      </c>
      <c r="B67" s="92"/>
      <c r="C67" s="50">
        <v>24</v>
      </c>
      <c r="D67" s="93">
        <f ca="1">((100/(D60+G60+I60))*C67)/100</f>
        <v>1</v>
      </c>
      <c r="E67" s="94"/>
      <c r="F67" s="80"/>
      <c r="G67" s="80"/>
      <c r="H67" s="85"/>
      <c r="I67" s="86"/>
      <c r="J67" s="87"/>
      <c r="K67" s="39" t="s">
        <v>178</v>
      </c>
      <c r="L67" s="51">
        <f ca="1">(IF(B60&gt;1,(I60/(B60+2)),I60/4))</f>
        <v>4.2</v>
      </c>
    </row>
    <row r="68" spans="1:12" ht="15" hidden="1" customHeight="1" x14ac:dyDescent="0.3">
      <c r="A68" s="91" t="s">
        <v>214</v>
      </c>
      <c r="B68" s="92" t="s">
        <v>215</v>
      </c>
      <c r="C68" s="48">
        <v>21</v>
      </c>
      <c r="D68" s="93">
        <f ca="1">((100/I60)*C68)/100</f>
        <v>1</v>
      </c>
      <c r="E68" s="94"/>
      <c r="F68" s="80"/>
      <c r="G68" s="80"/>
      <c r="H68" s="85"/>
      <c r="I68" s="86"/>
      <c r="J68" s="87"/>
      <c r="K68" s="39" t="s">
        <v>179</v>
      </c>
      <c r="L68" s="51">
        <f ca="1">(IF(B60&gt;1,(I60/(B60+2)+L67),I60/4+L67))</f>
        <v>8.4</v>
      </c>
    </row>
    <row r="69" spans="1:12" ht="15" hidden="1" customHeight="1" x14ac:dyDescent="0.3">
      <c r="A69" s="91" t="s">
        <v>216</v>
      </c>
      <c r="B69" s="92" t="s">
        <v>215</v>
      </c>
      <c r="C69" s="48">
        <v>21</v>
      </c>
      <c r="D69" s="93">
        <f ca="1">((100/I60)*C69)/100</f>
        <v>1</v>
      </c>
      <c r="E69" s="94"/>
      <c r="F69" s="80"/>
      <c r="G69" s="80"/>
      <c r="H69" s="85"/>
      <c r="I69" s="86"/>
      <c r="J69" s="87"/>
      <c r="K69" s="39" t="s">
        <v>217</v>
      </c>
      <c r="L69" s="51">
        <f ca="1">(IF(B60&gt;1,(I60/(B60+2)+L68),0))</f>
        <v>12.600000000000001</v>
      </c>
    </row>
    <row r="70" spans="1:12" ht="15" hidden="1" customHeight="1" x14ac:dyDescent="0.3">
      <c r="A70" s="189" t="s">
        <v>218</v>
      </c>
      <c r="B70" s="190" t="s">
        <v>219</v>
      </c>
      <c r="C70" s="48">
        <v>21</v>
      </c>
      <c r="D70" s="93">
        <f ca="1">((100/(I60))*C70)/100</f>
        <v>1</v>
      </c>
      <c r="E70" s="94"/>
      <c r="F70" s="80"/>
      <c r="G70" s="80"/>
      <c r="H70" s="85"/>
      <c r="I70" s="86"/>
      <c r="J70" s="87"/>
      <c r="K70" s="39" t="s">
        <v>220</v>
      </c>
      <c r="L70" s="51">
        <f ca="1">(IF(B60&gt;2,(I60/(B60+2)+L69),0))</f>
        <v>16.8</v>
      </c>
    </row>
    <row r="71" spans="1:12" ht="15" hidden="1" customHeight="1" x14ac:dyDescent="0.3">
      <c r="A71" s="91" t="s">
        <v>221</v>
      </c>
      <c r="B71" s="92" t="s">
        <v>221</v>
      </c>
      <c r="C71" s="48">
        <v>21</v>
      </c>
      <c r="D71" s="93">
        <f ca="1">((100/I60)*C71)/100</f>
        <v>1</v>
      </c>
      <c r="E71" s="94"/>
      <c r="F71" s="80"/>
      <c r="G71" s="80"/>
      <c r="H71" s="85"/>
      <c r="I71" s="86"/>
      <c r="J71" s="87"/>
      <c r="K71" s="39" t="s">
        <v>222</v>
      </c>
      <c r="L71" s="52">
        <f>(IF(B60&gt;3,(I60/(B60+2)+L70),0))</f>
        <v>0</v>
      </c>
    </row>
    <row r="72" spans="1:12" ht="15" hidden="1" customHeight="1" x14ac:dyDescent="0.3">
      <c r="A72" s="91" t="s">
        <v>223</v>
      </c>
      <c r="B72" s="92"/>
      <c r="C72" s="48">
        <v>21</v>
      </c>
      <c r="D72" s="93">
        <f ca="1">((100/I60)*C72)/100</f>
        <v>1</v>
      </c>
      <c r="E72" s="94"/>
      <c r="F72" s="80"/>
      <c r="G72" s="80"/>
      <c r="H72" s="85"/>
      <c r="I72" s="86"/>
      <c r="J72" s="87"/>
      <c r="K72" s="39" t="s">
        <v>224</v>
      </c>
      <c r="L72" s="51">
        <f>(IF(B60&gt;4,(I60/(B60+2)+L71),0))</f>
        <v>0</v>
      </c>
    </row>
    <row r="73" spans="1:12" ht="15" hidden="1" customHeight="1" x14ac:dyDescent="0.3">
      <c r="A73" s="91" t="s">
        <v>225</v>
      </c>
      <c r="B73" s="92" t="s">
        <v>225</v>
      </c>
      <c r="C73" s="48">
        <v>21</v>
      </c>
      <c r="D73" s="93">
        <f ca="1">((100/(I60))*C73)/100</f>
        <v>1</v>
      </c>
      <c r="E73" s="94"/>
      <c r="F73" s="80"/>
      <c r="G73" s="80"/>
      <c r="H73" s="85"/>
      <c r="I73" s="86"/>
      <c r="J73" s="87"/>
      <c r="K73" s="39" t="s">
        <v>180</v>
      </c>
      <c r="L73" s="51">
        <f>(IF(B60=1,(I60/(B60+3)+L68),IF(B60=0,(I60/4+L68),IF(B60&gt;1,0))))</f>
        <v>0</v>
      </c>
    </row>
    <row r="74" spans="1:12" ht="15" hidden="1" customHeight="1" thickBot="1" x14ac:dyDescent="0.35">
      <c r="A74" s="108" t="s">
        <v>226</v>
      </c>
      <c r="B74" s="109"/>
      <c r="C74" s="53">
        <v>21</v>
      </c>
      <c r="D74" s="126">
        <f ca="1">((100/(I60))*C74)/100</f>
        <v>1</v>
      </c>
      <c r="E74" s="127"/>
      <c r="F74" s="81"/>
      <c r="G74" s="81"/>
      <c r="H74" s="88"/>
      <c r="I74" s="89"/>
      <c r="J74" s="90"/>
      <c r="K74" s="40" t="s">
        <v>181</v>
      </c>
      <c r="L74" s="54">
        <f ca="1">(IF(B60&gt;1.5,(I60/(B60+2)+L68+MAX(0,L69-L68)+MAX(0,L70-L69)+MAX(0,L71-L70)+MAX(0,L72-L71)+MAX(0,L73-L72)),IF(B60=1,(I60/(B60+3)+L73),IF(B60=0,I60/4+L73))))</f>
        <v>21.000000000000004</v>
      </c>
    </row>
    <row r="75" spans="1:12" ht="15" hidden="1" customHeight="1" x14ac:dyDescent="0.3">
      <c r="A75" s="106" t="s">
        <v>200</v>
      </c>
      <c r="B75" s="107"/>
      <c r="C75" s="95" t="s">
        <v>281</v>
      </c>
      <c r="D75" s="96"/>
      <c r="E75" s="96"/>
      <c r="F75" s="96"/>
      <c r="G75" s="96"/>
      <c r="H75" s="96"/>
      <c r="I75" s="96"/>
      <c r="J75" s="97"/>
      <c r="K75" s="37" t="str">
        <f ca="1">(IF(F81&gt;99%,"All work completed. Please provide OC.",IF(F81&gt;89.8%,"Plinth, RCC, Brick, Plaster, Flooring, Painting work Completed. Finishing work is in process.",IF(F81&lt;94%,(IF(C81=0,"Work not yet Started.",IF(D81=25%,"Piling work in process",IF(D81=50%,"Excavation work in process",IF(D81=100%,"Excavation work Completed. ","0")))&amp;(IF(C82=0%,"",IF(C82=L83,"Footing work is process",IF(C82=L84,"Footing work Completed",IF(C82=L85,"1st Basement Completed",IF(C82=L86,"1st &amp; 2nd Basement Completed",IF(C82=L87,"1st to 3rd Basement Completed",IF(C82=L88,"1st to 4th Basement Completed",IF(C82=L89,"Plinth work is process",IF(C82=L90,"Plinth work completed","0")))))))))))&amp;(IF(C83=(D76+G76+I76),", RCC Slab",IF(C83&gt;0,", RCC upto "&amp;C83&amp;" Slab",""))&amp;(IF(C84=I76,", Brickwork",IF(C84&gt;0,", Brickwork upto "&amp;C84&amp;" Floor",""))&amp;(IF(C85=I76,", Internal Plaster",IF(C85&gt;0,", Internal Plaster upto "&amp;C85&amp;" Floor",""))&amp;(IF(C86=I76,", External Plaster",IF(C86&gt;0,", External Plaster upto "&amp;C86&amp;" Floor",""))&amp;(IF(C87=I76,", Flooring",IF(C87&gt;0,", Flooring upto "&amp;C87&amp;" Floor",""))&amp;(IF(C88=I76,", Painting",IF(C88&gt;0,", Painting upto "&amp;C88&amp;" Floor",""))&amp;(IF(C89&gt;0,", Finishing upto "&amp;C89&amp;" Floor","")&amp;(IF(C83&gt;0.5," Completed",""))))))))))))))</f>
        <v>All work completed. Please provide OC.</v>
      </c>
      <c r="L75" s="45"/>
    </row>
    <row r="76" spans="1:12" ht="15" hidden="1" customHeight="1" x14ac:dyDescent="0.3">
      <c r="A76" s="43" t="s">
        <v>201</v>
      </c>
      <c r="B76" s="44">
        <v>3</v>
      </c>
      <c r="C76" s="44" t="s">
        <v>202</v>
      </c>
      <c r="D76" s="44">
        <v>1</v>
      </c>
      <c r="E76" s="98" t="s">
        <v>203</v>
      </c>
      <c r="F76" s="99"/>
      <c r="G76" s="44">
        <v>2</v>
      </c>
      <c r="H76" s="44" t="s">
        <v>204</v>
      </c>
      <c r="I76" s="98">
        <f ca="1">--TRIM(RIGHT(SUBSTITUTE(LEFT(C75,_xlfn.AGGREGATE(16,6,FIND({0,1,2,3,4,5,6,7,8,9},C75,ROW(INDIRECT("1:"&amp;LEN(C75)))),1))," ",REPT(" ",LEN(C75))),LEN(C75)))</f>
        <v>21</v>
      </c>
      <c r="J76" s="100"/>
      <c r="K76" s="38"/>
      <c r="L76" s="46"/>
    </row>
    <row r="77" spans="1:12" hidden="1" x14ac:dyDescent="0.3">
      <c r="A77" s="101" t="s">
        <v>205</v>
      </c>
      <c r="B77" s="102"/>
      <c r="C77" s="103" t="str">
        <f ca="1">K75</f>
        <v>All work completed. Please provide OC.</v>
      </c>
      <c r="D77" s="104"/>
      <c r="E77" s="104"/>
      <c r="F77" s="104"/>
      <c r="G77" s="104"/>
      <c r="H77" s="104"/>
      <c r="I77" s="104"/>
      <c r="J77" s="105"/>
      <c r="K77" s="38" t="s">
        <v>206</v>
      </c>
      <c r="L77" s="46"/>
    </row>
    <row r="78" spans="1:12" s="65" customFormat="1" hidden="1" x14ac:dyDescent="0.3">
      <c r="A78" s="73" t="s">
        <v>209</v>
      </c>
      <c r="B78" s="74"/>
      <c r="C78" s="68">
        <v>1</v>
      </c>
      <c r="D78" s="69"/>
      <c r="E78" s="69"/>
      <c r="F78" s="69" t="s">
        <v>210</v>
      </c>
      <c r="G78" s="69"/>
      <c r="H78" s="68">
        <v>1</v>
      </c>
      <c r="I78" s="69"/>
      <c r="J78" s="70"/>
      <c r="K78" s="63"/>
      <c r="L78" s="64"/>
    </row>
    <row r="79" spans="1:12" s="65" customFormat="1" ht="15" hidden="1" thickBot="1" x14ac:dyDescent="0.35">
      <c r="A79" s="75"/>
      <c r="B79" s="76"/>
      <c r="C79" s="71"/>
      <c r="D79" s="71"/>
      <c r="E79" s="71"/>
      <c r="F79" s="71"/>
      <c r="G79" s="71"/>
      <c r="H79" s="71"/>
      <c r="I79" s="71"/>
      <c r="J79" s="72"/>
      <c r="K79" s="63"/>
      <c r="L79" s="64"/>
    </row>
    <row r="80" spans="1:12" ht="15" hidden="1" customHeight="1" x14ac:dyDescent="0.3">
      <c r="A80" s="250" t="s">
        <v>35</v>
      </c>
      <c r="B80" s="251"/>
      <c r="C80" s="41" t="s">
        <v>207</v>
      </c>
      <c r="D80" s="92" t="s">
        <v>208</v>
      </c>
      <c r="E80" s="92"/>
      <c r="F80" s="92" t="s">
        <v>209</v>
      </c>
      <c r="G80" s="92"/>
      <c r="H80" s="92" t="s">
        <v>210</v>
      </c>
      <c r="I80" s="92"/>
      <c r="J80" s="191"/>
      <c r="K80" s="39" t="s">
        <v>211</v>
      </c>
      <c r="L80" s="47">
        <f ca="1">I76*25%</f>
        <v>5.25</v>
      </c>
    </row>
    <row r="81" spans="1:12" ht="15" hidden="1" customHeight="1" x14ac:dyDescent="0.3">
      <c r="A81" s="91" t="s">
        <v>212</v>
      </c>
      <c r="B81" s="92"/>
      <c r="C81" s="48">
        <f ca="1">L82</f>
        <v>21</v>
      </c>
      <c r="D81" s="93">
        <f ca="1">((100/I76)*C81)/100</f>
        <v>1</v>
      </c>
      <c r="E81" s="94"/>
      <c r="F81" s="80">
        <f ca="1">(((C82/I76*10)+(40/(D76+G76+I76)*C83)+(7.5/(I76)*C84)+(7.5/(I76)*C85)+(10/I76*C86)+(10/I76*C87)+(5/I76*C88)+(5/I76*C89)+(5/I76*C90))/100)</f>
        <v>1</v>
      </c>
      <c r="G81" s="80"/>
      <c r="H81" s="82">
        <f ca="1">((((C81/I76)*20)+((C82/I76)*25)+(30/(I76+G76+D76)*C83)+(5/I76*C84)+(5/I76*C85)+(5/I76*C86)+(5/I76*C87)+(0/I76*C88)+(0/I76*C89)+(5/I76*C90))/100)</f>
        <v>1</v>
      </c>
      <c r="I81" s="83"/>
      <c r="J81" s="84"/>
      <c r="K81" s="39" t="s">
        <v>176</v>
      </c>
      <c r="L81" s="49">
        <f ca="1">I76*50%</f>
        <v>10.5</v>
      </c>
    </row>
    <row r="82" spans="1:12" ht="15" hidden="1" customHeight="1" x14ac:dyDescent="0.3">
      <c r="A82" s="91" t="s">
        <v>36</v>
      </c>
      <c r="B82" s="92"/>
      <c r="C82" s="50">
        <f ca="1">L90</f>
        <v>21.000000000000004</v>
      </c>
      <c r="D82" s="93">
        <f ca="1">((100/I76)*C82)/100</f>
        <v>1.0000000000000002</v>
      </c>
      <c r="E82" s="94"/>
      <c r="F82" s="80"/>
      <c r="G82" s="80"/>
      <c r="H82" s="85"/>
      <c r="I82" s="86"/>
      <c r="J82" s="87"/>
      <c r="K82" s="39" t="s">
        <v>177</v>
      </c>
      <c r="L82" s="49">
        <f ca="1">I76</f>
        <v>21</v>
      </c>
    </row>
    <row r="83" spans="1:12" ht="15" hidden="1" customHeight="1" x14ac:dyDescent="0.3">
      <c r="A83" s="91" t="s">
        <v>213</v>
      </c>
      <c r="B83" s="92"/>
      <c r="C83" s="50">
        <v>24</v>
      </c>
      <c r="D83" s="93">
        <f ca="1">((100/(D76+G76+I76))*C83)/100</f>
        <v>1</v>
      </c>
      <c r="E83" s="94"/>
      <c r="F83" s="80"/>
      <c r="G83" s="80"/>
      <c r="H83" s="85"/>
      <c r="I83" s="86"/>
      <c r="J83" s="87"/>
      <c r="K83" s="39" t="s">
        <v>178</v>
      </c>
      <c r="L83" s="51">
        <f ca="1">(IF(B76&gt;1,(I76/(B76+2)),I76/4))</f>
        <v>4.2</v>
      </c>
    </row>
    <row r="84" spans="1:12" ht="15" hidden="1" customHeight="1" x14ac:dyDescent="0.3">
      <c r="A84" s="91" t="s">
        <v>214</v>
      </c>
      <c r="B84" s="92" t="s">
        <v>215</v>
      </c>
      <c r="C84" s="48">
        <v>21</v>
      </c>
      <c r="D84" s="93">
        <f ca="1">((100/I76)*C84)/100</f>
        <v>1</v>
      </c>
      <c r="E84" s="94"/>
      <c r="F84" s="80"/>
      <c r="G84" s="80"/>
      <c r="H84" s="85"/>
      <c r="I84" s="86"/>
      <c r="J84" s="87"/>
      <c r="K84" s="39" t="s">
        <v>179</v>
      </c>
      <c r="L84" s="51">
        <f ca="1">(IF(B76&gt;1,(I76/(B76+2)+L83),I76/4+L83))</f>
        <v>8.4</v>
      </c>
    </row>
    <row r="85" spans="1:12" ht="15" hidden="1" customHeight="1" x14ac:dyDescent="0.3">
      <c r="A85" s="91" t="s">
        <v>216</v>
      </c>
      <c r="B85" s="92" t="s">
        <v>215</v>
      </c>
      <c r="C85" s="48">
        <v>21</v>
      </c>
      <c r="D85" s="93">
        <f ca="1">((100/I76)*C85)/100</f>
        <v>1</v>
      </c>
      <c r="E85" s="94"/>
      <c r="F85" s="80"/>
      <c r="G85" s="80"/>
      <c r="H85" s="85"/>
      <c r="I85" s="86"/>
      <c r="J85" s="87"/>
      <c r="K85" s="39" t="s">
        <v>217</v>
      </c>
      <c r="L85" s="51">
        <f ca="1">(IF(B76&gt;1,(I76/(B76+2)+L84),0))</f>
        <v>12.600000000000001</v>
      </c>
    </row>
    <row r="86" spans="1:12" ht="15" hidden="1" customHeight="1" x14ac:dyDescent="0.3">
      <c r="A86" s="189" t="s">
        <v>218</v>
      </c>
      <c r="B86" s="190" t="s">
        <v>219</v>
      </c>
      <c r="C86" s="48">
        <v>21</v>
      </c>
      <c r="D86" s="93">
        <f ca="1">((100/(I76))*C86)/100</f>
        <v>1</v>
      </c>
      <c r="E86" s="94"/>
      <c r="F86" s="80"/>
      <c r="G86" s="80"/>
      <c r="H86" s="85"/>
      <c r="I86" s="86"/>
      <c r="J86" s="87"/>
      <c r="K86" s="39" t="s">
        <v>220</v>
      </c>
      <c r="L86" s="51">
        <f ca="1">(IF(B76&gt;2,(I76/(B76+2)+L85),0))</f>
        <v>16.8</v>
      </c>
    </row>
    <row r="87" spans="1:12" ht="15" hidden="1" customHeight="1" x14ac:dyDescent="0.3">
      <c r="A87" s="91" t="s">
        <v>221</v>
      </c>
      <c r="B87" s="92" t="s">
        <v>221</v>
      </c>
      <c r="C87" s="48">
        <v>21</v>
      </c>
      <c r="D87" s="93">
        <f ca="1">((100/I76)*C87)/100</f>
        <v>1</v>
      </c>
      <c r="E87" s="94"/>
      <c r="F87" s="80"/>
      <c r="G87" s="80"/>
      <c r="H87" s="85"/>
      <c r="I87" s="86"/>
      <c r="J87" s="87"/>
      <c r="K87" s="39" t="s">
        <v>222</v>
      </c>
      <c r="L87" s="52">
        <f>(IF(B76&gt;3,(I76/(B76+2)+L86),0))</f>
        <v>0</v>
      </c>
    </row>
    <row r="88" spans="1:12" ht="15" hidden="1" customHeight="1" x14ac:dyDescent="0.3">
      <c r="A88" s="91" t="s">
        <v>223</v>
      </c>
      <c r="B88" s="92"/>
      <c r="C88" s="48">
        <v>21</v>
      </c>
      <c r="D88" s="93">
        <f ca="1">((100/I76)*C88)/100</f>
        <v>1</v>
      </c>
      <c r="E88" s="94"/>
      <c r="F88" s="80"/>
      <c r="G88" s="80"/>
      <c r="H88" s="85"/>
      <c r="I88" s="86"/>
      <c r="J88" s="87"/>
      <c r="K88" s="39" t="s">
        <v>224</v>
      </c>
      <c r="L88" s="51">
        <f>(IF(B76&gt;4,(I76/(B76+2)+L87),0))</f>
        <v>0</v>
      </c>
    </row>
    <row r="89" spans="1:12" ht="15" hidden="1" customHeight="1" x14ac:dyDescent="0.3">
      <c r="A89" s="91" t="s">
        <v>225</v>
      </c>
      <c r="B89" s="92" t="s">
        <v>225</v>
      </c>
      <c r="C89" s="48">
        <v>21</v>
      </c>
      <c r="D89" s="93">
        <f ca="1">((100/(I76))*C89)/100</f>
        <v>1</v>
      </c>
      <c r="E89" s="94"/>
      <c r="F89" s="80"/>
      <c r="G89" s="80"/>
      <c r="H89" s="85"/>
      <c r="I89" s="86"/>
      <c r="J89" s="87"/>
      <c r="K89" s="39" t="s">
        <v>180</v>
      </c>
      <c r="L89" s="51">
        <f>(IF(B76=1,(I76/(B76+3)+L84),IF(B76=0,(I76/4+L84),IF(B76&gt;1,0))))</f>
        <v>0</v>
      </c>
    </row>
    <row r="90" spans="1:12" ht="15" hidden="1" customHeight="1" thickBot="1" x14ac:dyDescent="0.35">
      <c r="A90" s="108" t="s">
        <v>226</v>
      </c>
      <c r="B90" s="109"/>
      <c r="C90" s="53">
        <v>21</v>
      </c>
      <c r="D90" s="126">
        <f ca="1">((100/(I76))*C90)/100</f>
        <v>1</v>
      </c>
      <c r="E90" s="127"/>
      <c r="F90" s="81"/>
      <c r="G90" s="81"/>
      <c r="H90" s="88"/>
      <c r="I90" s="89"/>
      <c r="J90" s="90"/>
      <c r="K90" s="40" t="s">
        <v>181</v>
      </c>
      <c r="L90" s="54">
        <f ca="1">(IF(B76&gt;1.5,(I76/(B76+2)+L84+MAX(0,L85-L84)+MAX(0,L86-L85)+MAX(0,L87-L86)+MAX(0,L88-L87)+MAX(0,L89-L88)),IF(B76=1,(I76/(B76+3)+L89),IF(B76=0,I76/4+L89))))</f>
        <v>21.000000000000004</v>
      </c>
    </row>
    <row r="91" spans="1:12" ht="15" customHeight="1" x14ac:dyDescent="0.3">
      <c r="A91" s="106" t="s">
        <v>200</v>
      </c>
      <c r="B91" s="107"/>
      <c r="C91" s="95" t="s">
        <v>283</v>
      </c>
      <c r="D91" s="96"/>
      <c r="E91" s="96"/>
      <c r="F91" s="96"/>
      <c r="G91" s="96"/>
      <c r="H91" s="96"/>
      <c r="I91" s="96"/>
      <c r="J91" s="97"/>
      <c r="K91" s="37" t="str">
        <f ca="1">(IF(F95&gt;99%,"All work completed. Please provide OC.",IF(F95&gt;89.8%,"Plinth, RCC, Brick, Plaster, Flooring, Painting work Completed. Finishing work is in process.",IF(F95&lt;94%,(IF(C95=0,"Work not yet Started.",IF(D95=25%,"Piling work in process",IF(D95=50%,"Excavation work in process",IF(D95=100%,"Excavation work Completed. ","0")))&amp;(IF(C96=0%,"",IF(C96=L97,"Footing work is process",IF(C96=L98,"Footing work Completed",IF(C96=L99,"1st Basement Completed",IF(C96=L100,"1st &amp; 2nd Basement Completed",IF(C96=L101,"1st to 3rd Basement Completed",IF(C96=L102,"1st to 4th Basement Completed",IF(C96=L103,"Plinth work is process",IF(C96=L104,"Plinth work completed","0")))))))))))&amp;(IF(C97=(D92+G92+I92),", RCC Slab",IF(C97&gt;0,", RCC upto "&amp;C97&amp;" Slab",""))&amp;(IF(C98=I92,", Brickwork",IF(C98&gt;0,", Brickwork upto "&amp;C98&amp;" Floor",""))&amp;(IF(C99=I92,", Internal Plaster",IF(C99&gt;0,", Internal Plaster upto "&amp;C99&amp;" Floor",""))&amp;(IF(C100=I92,", External Plaster",IF(C100&gt;0,", External Plaster upto "&amp;C100&amp;" Floor",""))&amp;(IF(C101=I92,", Flooring",IF(C101&gt;0,", Flooring upto "&amp;C101&amp;" Floor",""))&amp;(IF(C102=I92,", Painting",IF(C102&gt;0,", Painting upto "&amp;C102&amp;" Floor",""))&amp;(IF(C103&gt;0,", Finishing upto "&amp;C103&amp;" Floor","")&amp;(IF(C97&gt;0.5," Completed",""))))))))))))))</f>
        <v>Excavation work Completed. Plinth work completed, RCC upto 2 Slab Completed</v>
      </c>
      <c r="L91" s="45"/>
    </row>
    <row r="92" spans="1:12" ht="15" customHeight="1" x14ac:dyDescent="0.3">
      <c r="A92" s="43" t="s">
        <v>201</v>
      </c>
      <c r="B92" s="44">
        <v>3</v>
      </c>
      <c r="C92" s="44" t="s">
        <v>202</v>
      </c>
      <c r="D92" s="44">
        <v>1</v>
      </c>
      <c r="E92" s="98" t="s">
        <v>203</v>
      </c>
      <c r="F92" s="99"/>
      <c r="G92" s="44">
        <v>2</v>
      </c>
      <c r="H92" s="44" t="s">
        <v>204</v>
      </c>
      <c r="I92" s="98">
        <f ca="1">--TRIM(RIGHT(SUBSTITUTE(LEFT(C91,_xlfn.AGGREGATE(16,6,FIND({0,1,2,3,4,5,6,7,8,9},C91,ROW(INDIRECT("1:"&amp;LEN(C91)))),1))," ",REPT(" ",LEN(C91))),LEN(C91)))</f>
        <v>42</v>
      </c>
      <c r="J92" s="100"/>
      <c r="K92" s="38"/>
      <c r="L92" s="46"/>
    </row>
    <row r="93" spans="1:12" ht="15" customHeight="1" x14ac:dyDescent="0.3">
      <c r="A93" s="101" t="s">
        <v>205</v>
      </c>
      <c r="B93" s="102"/>
      <c r="C93" s="103" t="str">
        <f ca="1">K91</f>
        <v>Excavation work Completed. Plinth work completed, RCC upto 2 Slab Completed</v>
      </c>
      <c r="D93" s="104"/>
      <c r="E93" s="104"/>
      <c r="F93" s="104"/>
      <c r="G93" s="104"/>
      <c r="H93" s="104"/>
      <c r="I93" s="104"/>
      <c r="J93" s="105"/>
      <c r="K93" s="38" t="s">
        <v>206</v>
      </c>
      <c r="L93" s="46"/>
    </row>
    <row r="94" spans="1:12" ht="15" customHeight="1" x14ac:dyDescent="0.3">
      <c r="A94" s="250" t="s">
        <v>35</v>
      </c>
      <c r="B94" s="251"/>
      <c r="C94" s="41" t="s">
        <v>207</v>
      </c>
      <c r="D94" s="92" t="s">
        <v>208</v>
      </c>
      <c r="E94" s="92"/>
      <c r="F94" s="92" t="s">
        <v>209</v>
      </c>
      <c r="G94" s="92"/>
      <c r="H94" s="92" t="s">
        <v>210</v>
      </c>
      <c r="I94" s="92"/>
      <c r="J94" s="191"/>
      <c r="K94" s="39" t="s">
        <v>211</v>
      </c>
      <c r="L94" s="47">
        <f ca="1">I92*25%</f>
        <v>10.5</v>
      </c>
    </row>
    <row r="95" spans="1:12" ht="15" customHeight="1" x14ac:dyDescent="0.3">
      <c r="A95" s="91" t="s">
        <v>212</v>
      </c>
      <c r="B95" s="92"/>
      <c r="C95" s="50">
        <f ca="1">L96</f>
        <v>42</v>
      </c>
      <c r="D95" s="93">
        <f ca="1">((100/I92)*C95)/100</f>
        <v>1</v>
      </c>
      <c r="E95" s="94"/>
      <c r="F95" s="80">
        <f ca="1">(((C96/I92*10)+(40/(D92+G92+I92)*C97)+(7.5/(I92)*C98)+(7.5/(I92)*C99)+(10/I92*C100)+(10/I92*C101)+(5/I92*C102)+(5/I92*C103)+(5/I92*C104))/100)</f>
        <v>0.11777777777777779</v>
      </c>
      <c r="G95" s="80"/>
      <c r="H95" s="82">
        <f ca="1">((((C95/I92)*20)+((C96/I92)*25)+(30/(I92+G92+D92)*C97)+(5/I92*C98)+(5/I92*C99)+(5/I92*C100)+(5/I92*C101)+(0/I92*C102)+(0/I92*C103)+(5/I92*C104))/100)</f>
        <v>0.46333333333333337</v>
      </c>
      <c r="I95" s="83"/>
      <c r="J95" s="84"/>
      <c r="K95" s="39" t="s">
        <v>176</v>
      </c>
      <c r="L95" s="49">
        <f ca="1">I92*50%</f>
        <v>21</v>
      </c>
    </row>
    <row r="96" spans="1:12" ht="15" customHeight="1" x14ac:dyDescent="0.3">
      <c r="A96" s="91" t="s">
        <v>36</v>
      </c>
      <c r="B96" s="92"/>
      <c r="C96" s="50">
        <v>42</v>
      </c>
      <c r="D96" s="93">
        <f ca="1">((100/I92)*C96)/100</f>
        <v>1</v>
      </c>
      <c r="E96" s="94"/>
      <c r="F96" s="80"/>
      <c r="G96" s="80"/>
      <c r="H96" s="85"/>
      <c r="I96" s="86"/>
      <c r="J96" s="87"/>
      <c r="K96" s="39" t="s">
        <v>177</v>
      </c>
      <c r="L96" s="49">
        <f ca="1">I92</f>
        <v>42</v>
      </c>
    </row>
    <row r="97" spans="1:12" ht="15" customHeight="1" x14ac:dyDescent="0.3">
      <c r="A97" s="91" t="s">
        <v>213</v>
      </c>
      <c r="B97" s="92"/>
      <c r="C97" s="50">
        <v>2</v>
      </c>
      <c r="D97" s="93">
        <f ca="1">((100/(D92+G92+I92))*C97)/100</f>
        <v>4.4444444444444446E-2</v>
      </c>
      <c r="E97" s="94"/>
      <c r="F97" s="80"/>
      <c r="G97" s="80"/>
      <c r="H97" s="85"/>
      <c r="I97" s="86"/>
      <c r="J97" s="87"/>
      <c r="K97" s="39" t="s">
        <v>178</v>
      </c>
      <c r="L97" s="51">
        <f ca="1">(IF(B92&gt;1,(I92/(B92+2)),I92/4))</f>
        <v>8.4</v>
      </c>
    </row>
    <row r="98" spans="1:12" ht="15" customHeight="1" x14ac:dyDescent="0.3">
      <c r="A98" s="91" t="s">
        <v>214</v>
      </c>
      <c r="B98" s="92" t="s">
        <v>215</v>
      </c>
      <c r="C98" s="48">
        <v>0</v>
      </c>
      <c r="D98" s="93">
        <f ca="1">((100/I92)*C98)/100</f>
        <v>0</v>
      </c>
      <c r="E98" s="94"/>
      <c r="F98" s="80"/>
      <c r="G98" s="80"/>
      <c r="H98" s="85"/>
      <c r="I98" s="86"/>
      <c r="J98" s="87"/>
      <c r="K98" s="39" t="s">
        <v>179</v>
      </c>
      <c r="L98" s="51">
        <f ca="1">(IF(B92&gt;1,(I92/(B92+2)+L97),I92/4+L97))</f>
        <v>16.8</v>
      </c>
    </row>
    <row r="99" spans="1:12" ht="15" customHeight="1" x14ac:dyDescent="0.3">
      <c r="A99" s="91" t="s">
        <v>216</v>
      </c>
      <c r="B99" s="92" t="s">
        <v>215</v>
      </c>
      <c r="C99" s="48">
        <v>0</v>
      </c>
      <c r="D99" s="93">
        <f ca="1">((100/I92)*C99)/100</f>
        <v>0</v>
      </c>
      <c r="E99" s="94"/>
      <c r="F99" s="80"/>
      <c r="G99" s="80"/>
      <c r="H99" s="85"/>
      <c r="I99" s="86"/>
      <c r="J99" s="87"/>
      <c r="K99" s="39" t="s">
        <v>217</v>
      </c>
      <c r="L99" s="51">
        <f ca="1">(IF(B92&gt;1,(I92/(B92+2)+L98),0))</f>
        <v>25.200000000000003</v>
      </c>
    </row>
    <row r="100" spans="1:12" ht="15" customHeight="1" x14ac:dyDescent="0.3">
      <c r="A100" s="91" t="s">
        <v>218</v>
      </c>
      <c r="B100" s="92" t="s">
        <v>219</v>
      </c>
      <c r="C100" s="48">
        <v>0</v>
      </c>
      <c r="D100" s="93">
        <f ca="1">((100/(I92))*C100)/100</f>
        <v>0</v>
      </c>
      <c r="E100" s="94"/>
      <c r="F100" s="80"/>
      <c r="G100" s="80"/>
      <c r="H100" s="85"/>
      <c r="I100" s="86"/>
      <c r="J100" s="87"/>
      <c r="K100" s="39" t="s">
        <v>220</v>
      </c>
      <c r="L100" s="51">
        <f ca="1">(IF(B92&gt;2,(I92/(B92+2)+L99),0))</f>
        <v>33.6</v>
      </c>
    </row>
    <row r="101" spans="1:12" ht="15" customHeight="1" x14ac:dyDescent="0.3">
      <c r="A101" s="91" t="s">
        <v>221</v>
      </c>
      <c r="B101" s="92" t="s">
        <v>221</v>
      </c>
      <c r="C101" s="48">
        <v>0</v>
      </c>
      <c r="D101" s="93">
        <f ca="1">((100/I92)*C101)/100</f>
        <v>0</v>
      </c>
      <c r="E101" s="94"/>
      <c r="F101" s="80"/>
      <c r="G101" s="80"/>
      <c r="H101" s="85"/>
      <c r="I101" s="86"/>
      <c r="J101" s="87"/>
      <c r="K101" s="39" t="s">
        <v>222</v>
      </c>
      <c r="L101" s="52">
        <f>(IF(B92&gt;3,(I92/(B92+2)+L100),0))</f>
        <v>0</v>
      </c>
    </row>
    <row r="102" spans="1:12" ht="15" customHeight="1" x14ac:dyDescent="0.3">
      <c r="A102" s="91" t="s">
        <v>223</v>
      </c>
      <c r="B102" s="92"/>
      <c r="C102" s="48">
        <v>0</v>
      </c>
      <c r="D102" s="93">
        <f ca="1">((100/I92)*C102)/100</f>
        <v>0</v>
      </c>
      <c r="E102" s="94"/>
      <c r="F102" s="80"/>
      <c r="G102" s="80"/>
      <c r="H102" s="85"/>
      <c r="I102" s="86"/>
      <c r="J102" s="87"/>
      <c r="K102" s="39" t="s">
        <v>224</v>
      </c>
      <c r="L102" s="51">
        <f>(IF(B92&gt;4,(I92/(B92+2)+L101),0))</f>
        <v>0</v>
      </c>
    </row>
    <row r="103" spans="1:12" ht="15" customHeight="1" x14ac:dyDescent="0.3">
      <c r="A103" s="91" t="s">
        <v>225</v>
      </c>
      <c r="B103" s="92" t="s">
        <v>225</v>
      </c>
      <c r="C103" s="48">
        <v>0</v>
      </c>
      <c r="D103" s="93">
        <f ca="1">((100/(I92))*C103)/100</f>
        <v>0</v>
      </c>
      <c r="E103" s="94"/>
      <c r="F103" s="80"/>
      <c r="G103" s="80"/>
      <c r="H103" s="85"/>
      <c r="I103" s="86"/>
      <c r="J103" s="87"/>
      <c r="K103" s="39" t="s">
        <v>180</v>
      </c>
      <c r="L103" s="51">
        <f>(IF(B92=1,(I92/(B92+3)+L98),IF(B92=0,(I92/4+L98),IF(B92&gt;1,0))))</f>
        <v>0</v>
      </c>
    </row>
    <row r="104" spans="1:12" ht="15" customHeight="1" thickBot="1" x14ac:dyDescent="0.35">
      <c r="A104" s="108" t="s">
        <v>226</v>
      </c>
      <c r="B104" s="109"/>
      <c r="C104" s="53">
        <v>0</v>
      </c>
      <c r="D104" s="126">
        <f ca="1">((100/(I92))*C104)/100</f>
        <v>0</v>
      </c>
      <c r="E104" s="127"/>
      <c r="F104" s="81"/>
      <c r="G104" s="81"/>
      <c r="H104" s="88"/>
      <c r="I104" s="89"/>
      <c r="J104" s="90"/>
      <c r="K104" s="40" t="s">
        <v>181</v>
      </c>
      <c r="L104" s="54">
        <f ca="1">(IF(B92&gt;1.5,(I92/(B92+2)+L98+MAX(0,L99-L98)+MAX(0,L100-L99)+MAX(0,L101-L100)+MAX(0,L102-L101)+MAX(0,L103-L102)),IF(B92=1,(I92/(B92+3)+L103),IF(B92=0,I92/4+L103))))</f>
        <v>42.000000000000007</v>
      </c>
    </row>
    <row r="105" spans="1:12" ht="15" customHeight="1" x14ac:dyDescent="0.3">
      <c r="A105" s="106" t="s">
        <v>200</v>
      </c>
      <c r="B105" s="107"/>
      <c r="C105" s="95" t="s">
        <v>280</v>
      </c>
      <c r="D105" s="96"/>
      <c r="E105" s="96"/>
      <c r="F105" s="96"/>
      <c r="G105" s="96"/>
      <c r="H105" s="96"/>
      <c r="I105" s="96"/>
      <c r="J105" s="97"/>
      <c r="K105" s="37" t="str">
        <f ca="1">(IF(F109&gt;99%,"All work completed. Please provide OC.",IF(F109&gt;89.8%,"Plinth, RCC, Brick, Plaster, Flooring, Painting work Completed. Finishing work is in process.",IF(F109&lt;94%,(IF(C109=0,"Work not yet Started.",IF(D109=25%,"Piling work in process",IF(D109=50%,"Excavation work in process",IF(D109=100%,"Excavation work Completed. ","0")))&amp;(IF(C110=0%,"",IF(C110=L111,"Footing work is process",IF(C110=L112,"Footing work Completed",IF(C110=L113,"1st Basement Completed",IF(C110=L114,"1st &amp; 2nd Basement Completed",IF(C110=L115,"1st to 3rd Basement Completed",IF(C110=L116,"1st to 4th Basement Completed",IF(C110=L117,"Plinth work is process",IF(C110=L118,"Plinth work completed","0")))))))))))&amp;(IF(C111=(D106+G106+I106),", RCC Slab",IF(C111&gt;0,", RCC upto "&amp;C111&amp;" Slab",""))&amp;(IF(C112=I106,", Brickwork",IF(C112&gt;0,", Brickwork upto "&amp;C112&amp;" Floor",""))&amp;(IF(C113=I106,", Internal Plaster",IF(C113&gt;0,", Internal Plaster upto "&amp;C113&amp;" Floor",""))&amp;(IF(C114=I106,", External Plaster",IF(C114&gt;0,", External Plaster upto "&amp;C114&amp;" Floor",""))&amp;(IF(C115=I106,", Flooring",IF(C115&gt;0,", Flooring upto "&amp;C115&amp;" Floor",""))&amp;(IF(C116=I106,", Painting",IF(C116&gt;0,", Painting upto "&amp;C116&amp;" Floor",""))&amp;(IF(C117&gt;0,", Finishing upto "&amp;C117&amp;" Floor","")&amp;(IF(C111&gt;0.5," Completed",""))))))))))))))</f>
        <v>Plinth, RCC, Brick, Plaster, Flooring, Painting work Completed. Finishing work is in process.</v>
      </c>
      <c r="L105" s="45"/>
    </row>
    <row r="106" spans="1:12" ht="15" customHeight="1" x14ac:dyDescent="0.3">
      <c r="A106" s="43" t="s">
        <v>201</v>
      </c>
      <c r="B106" s="44">
        <v>3</v>
      </c>
      <c r="C106" s="44" t="s">
        <v>202</v>
      </c>
      <c r="D106" s="44">
        <v>1</v>
      </c>
      <c r="E106" s="98" t="s">
        <v>203</v>
      </c>
      <c r="F106" s="99"/>
      <c r="G106" s="44">
        <v>2</v>
      </c>
      <c r="H106" s="44" t="s">
        <v>204</v>
      </c>
      <c r="I106" s="98">
        <f ca="1">--TRIM(RIGHT(SUBSTITUTE(LEFT(C105,_xlfn.AGGREGATE(16,6,FIND({0,1,2,3,4,5,6,7,8,9},C105,ROW(INDIRECT("1:"&amp;LEN(C105)))),1))," ",REPT(" ",LEN(C105))),LEN(C105)))</f>
        <v>21</v>
      </c>
      <c r="J106" s="100"/>
      <c r="K106" s="38"/>
      <c r="L106" s="46"/>
    </row>
    <row r="107" spans="1:12" ht="16.2" customHeight="1" x14ac:dyDescent="0.3">
      <c r="A107" s="101" t="s">
        <v>205</v>
      </c>
      <c r="B107" s="102"/>
      <c r="C107" s="103" t="str">
        <f ca="1">K105</f>
        <v>Plinth, RCC, Brick, Plaster, Flooring, Painting work Completed. Finishing work is in process.</v>
      </c>
      <c r="D107" s="104"/>
      <c r="E107" s="104"/>
      <c r="F107" s="104"/>
      <c r="G107" s="104"/>
      <c r="H107" s="104"/>
      <c r="I107" s="104"/>
      <c r="J107" s="105"/>
      <c r="K107" s="38" t="s">
        <v>206</v>
      </c>
      <c r="L107" s="46"/>
    </row>
    <row r="108" spans="1:12" ht="15" customHeight="1" x14ac:dyDescent="0.3">
      <c r="A108" s="250" t="s">
        <v>35</v>
      </c>
      <c r="B108" s="251"/>
      <c r="C108" s="41" t="s">
        <v>207</v>
      </c>
      <c r="D108" s="92" t="s">
        <v>208</v>
      </c>
      <c r="E108" s="92"/>
      <c r="F108" s="92" t="s">
        <v>209</v>
      </c>
      <c r="G108" s="92"/>
      <c r="H108" s="92" t="s">
        <v>210</v>
      </c>
      <c r="I108" s="92"/>
      <c r="J108" s="191"/>
      <c r="K108" s="39" t="s">
        <v>211</v>
      </c>
      <c r="L108" s="47">
        <f ca="1">I106*25%</f>
        <v>5.25</v>
      </c>
    </row>
    <row r="109" spans="1:12" ht="15" customHeight="1" x14ac:dyDescent="0.3">
      <c r="A109" s="91" t="s">
        <v>212</v>
      </c>
      <c r="B109" s="92"/>
      <c r="C109" s="48">
        <f ca="1">L110</f>
        <v>21</v>
      </c>
      <c r="D109" s="93">
        <f ca="1">((100/I106)*C109)/100</f>
        <v>1</v>
      </c>
      <c r="E109" s="94"/>
      <c r="F109" s="80">
        <f ca="1">(((C110/I106*10)+(40/(D106+G106+I106)*C111)+(7.5/(I106)*C112)+(7.5/(I106)*C113)+(10/I106*C114)+(10/I106*C115)+(5/I106*C116)+(5/I106*C117)+(5/I106*C118))/100)</f>
        <v>0.9285714285714286</v>
      </c>
      <c r="G109" s="80"/>
      <c r="H109" s="82">
        <f ca="1">((((C109/I106)*20)+((C110/I106)*25)+(30/(I106+G106+D106)*C111)+(5/I106*C112)+(5/I106*C113)+(5/I106*C114)+(5/I106*C115)+(0/I106*C116)+(0/I106*C117)+(5/I106*C118))/100)</f>
        <v>0.95</v>
      </c>
      <c r="I109" s="83"/>
      <c r="J109" s="84"/>
      <c r="K109" s="39" t="s">
        <v>176</v>
      </c>
      <c r="L109" s="49">
        <f ca="1">I106*50%</f>
        <v>10.5</v>
      </c>
    </row>
    <row r="110" spans="1:12" ht="15" customHeight="1" x14ac:dyDescent="0.3">
      <c r="A110" s="91" t="s">
        <v>36</v>
      </c>
      <c r="B110" s="92"/>
      <c r="C110" s="50">
        <f ca="1">L118</f>
        <v>21.000000000000004</v>
      </c>
      <c r="D110" s="93">
        <f ca="1">((100/I106)*C110)/100</f>
        <v>1.0000000000000002</v>
      </c>
      <c r="E110" s="94"/>
      <c r="F110" s="80"/>
      <c r="G110" s="80"/>
      <c r="H110" s="85"/>
      <c r="I110" s="86"/>
      <c r="J110" s="87"/>
      <c r="K110" s="39" t="s">
        <v>177</v>
      </c>
      <c r="L110" s="49">
        <f ca="1">I106</f>
        <v>21</v>
      </c>
    </row>
    <row r="111" spans="1:12" ht="15" customHeight="1" x14ac:dyDescent="0.3">
      <c r="A111" s="91" t="s">
        <v>213</v>
      </c>
      <c r="B111" s="92"/>
      <c r="C111" s="50">
        <v>24</v>
      </c>
      <c r="D111" s="93">
        <f ca="1">((100/(D106+G106+I106))*C111)/100</f>
        <v>1</v>
      </c>
      <c r="E111" s="94"/>
      <c r="F111" s="80"/>
      <c r="G111" s="80"/>
      <c r="H111" s="85"/>
      <c r="I111" s="86"/>
      <c r="J111" s="87"/>
      <c r="K111" s="39" t="s">
        <v>178</v>
      </c>
      <c r="L111" s="51">
        <f ca="1">(IF(B106&gt;1,(I106/(B106+2)),I106/4))</f>
        <v>4.2</v>
      </c>
    </row>
    <row r="112" spans="1:12" ht="15" customHeight="1" x14ac:dyDescent="0.3">
      <c r="A112" s="91" t="s">
        <v>214</v>
      </c>
      <c r="B112" s="92" t="s">
        <v>215</v>
      </c>
      <c r="C112" s="48">
        <v>21</v>
      </c>
      <c r="D112" s="93">
        <f ca="1">((100/I106)*C112)/100</f>
        <v>1</v>
      </c>
      <c r="E112" s="94"/>
      <c r="F112" s="80"/>
      <c r="G112" s="80"/>
      <c r="H112" s="85"/>
      <c r="I112" s="86"/>
      <c r="J112" s="87"/>
      <c r="K112" s="39" t="s">
        <v>179</v>
      </c>
      <c r="L112" s="51">
        <f ca="1">(IF(B106&gt;1,(I106/(B106+2)+L111),I106/4+L111))</f>
        <v>8.4</v>
      </c>
    </row>
    <row r="113" spans="1:12" ht="15" customHeight="1" x14ac:dyDescent="0.3">
      <c r="A113" s="91" t="s">
        <v>216</v>
      </c>
      <c r="B113" s="92" t="s">
        <v>215</v>
      </c>
      <c r="C113" s="48">
        <v>21</v>
      </c>
      <c r="D113" s="93">
        <f ca="1">((100/I106)*C113)/100</f>
        <v>1</v>
      </c>
      <c r="E113" s="94"/>
      <c r="F113" s="80"/>
      <c r="G113" s="80"/>
      <c r="H113" s="85"/>
      <c r="I113" s="86"/>
      <c r="J113" s="87"/>
      <c r="K113" s="39" t="s">
        <v>217</v>
      </c>
      <c r="L113" s="51">
        <f ca="1">(IF(B106&gt;1,(I106/(B106+2)+L112),0))</f>
        <v>12.600000000000001</v>
      </c>
    </row>
    <row r="114" spans="1:12" ht="15" customHeight="1" x14ac:dyDescent="0.3">
      <c r="A114" s="91" t="s">
        <v>218</v>
      </c>
      <c r="B114" s="92" t="s">
        <v>219</v>
      </c>
      <c r="C114" s="48">
        <v>21</v>
      </c>
      <c r="D114" s="93">
        <f ca="1">((100/(I106))*C114)/100</f>
        <v>1</v>
      </c>
      <c r="E114" s="94"/>
      <c r="F114" s="80"/>
      <c r="G114" s="80"/>
      <c r="H114" s="85"/>
      <c r="I114" s="86"/>
      <c r="J114" s="87"/>
      <c r="K114" s="39" t="s">
        <v>220</v>
      </c>
      <c r="L114" s="51">
        <f ca="1">(IF(B106&gt;2,(I106/(B106+2)+L113),0))</f>
        <v>16.8</v>
      </c>
    </row>
    <row r="115" spans="1:12" ht="15" customHeight="1" x14ac:dyDescent="0.3">
      <c r="A115" s="91" t="s">
        <v>221</v>
      </c>
      <c r="B115" s="92" t="s">
        <v>221</v>
      </c>
      <c r="C115" s="48">
        <v>21</v>
      </c>
      <c r="D115" s="93">
        <f ca="1">((100/I106)*C115)/100</f>
        <v>1</v>
      </c>
      <c r="E115" s="94"/>
      <c r="F115" s="80"/>
      <c r="G115" s="80"/>
      <c r="H115" s="85"/>
      <c r="I115" s="86"/>
      <c r="J115" s="87"/>
      <c r="K115" s="39" t="s">
        <v>222</v>
      </c>
      <c r="L115" s="52">
        <f>(IF(B106&gt;3,(I106/(B106+2)+L114),0))</f>
        <v>0</v>
      </c>
    </row>
    <row r="116" spans="1:12" ht="15" customHeight="1" x14ac:dyDescent="0.3">
      <c r="A116" s="91" t="s">
        <v>223</v>
      </c>
      <c r="B116" s="92"/>
      <c r="C116" s="48">
        <v>21</v>
      </c>
      <c r="D116" s="93">
        <f ca="1">((100/I106)*C116)/100</f>
        <v>1</v>
      </c>
      <c r="E116" s="94"/>
      <c r="F116" s="80"/>
      <c r="G116" s="80"/>
      <c r="H116" s="85"/>
      <c r="I116" s="86"/>
      <c r="J116" s="87"/>
      <c r="K116" s="39" t="s">
        <v>224</v>
      </c>
      <c r="L116" s="51">
        <f>(IF(B106&gt;4,(I106/(B106+2)+L115),0))</f>
        <v>0</v>
      </c>
    </row>
    <row r="117" spans="1:12" ht="15" customHeight="1" x14ac:dyDescent="0.3">
      <c r="A117" s="91" t="s">
        <v>225</v>
      </c>
      <c r="B117" s="92" t="s">
        <v>225</v>
      </c>
      <c r="C117" s="48">
        <v>12</v>
      </c>
      <c r="D117" s="93">
        <f ca="1">((100/(I106))*C117)/100</f>
        <v>0.5714285714285714</v>
      </c>
      <c r="E117" s="94"/>
      <c r="F117" s="80"/>
      <c r="G117" s="80"/>
      <c r="H117" s="85"/>
      <c r="I117" s="86"/>
      <c r="J117" s="87"/>
      <c r="K117" s="39" t="s">
        <v>180</v>
      </c>
      <c r="L117" s="51">
        <f>(IF(B106=1,(I106/(B106+3)+L112),IF(B106=0,(I106/4+L112),IF(B106&gt;1,0))))</f>
        <v>0</v>
      </c>
    </row>
    <row r="118" spans="1:12" ht="15" customHeight="1" thickBot="1" x14ac:dyDescent="0.35">
      <c r="A118" s="108" t="s">
        <v>226</v>
      </c>
      <c r="B118" s="109"/>
      <c r="C118" s="53">
        <v>0</v>
      </c>
      <c r="D118" s="126">
        <f ca="1">((100/(I106))*C118)/100</f>
        <v>0</v>
      </c>
      <c r="E118" s="127"/>
      <c r="F118" s="81"/>
      <c r="G118" s="81"/>
      <c r="H118" s="88"/>
      <c r="I118" s="89"/>
      <c r="J118" s="90"/>
      <c r="K118" s="40" t="s">
        <v>181</v>
      </c>
      <c r="L118" s="54">
        <f ca="1">(IF(B106&gt;1.5,(I106/(B106+2)+L112+MAX(0,L113-L112)+MAX(0,L114-L113)+MAX(0,L115-L114)+MAX(0,L116-L115)+MAX(0,L117-L116)),IF(B106=1,(I106/(B106+3)+L117),IF(B106=0,I106/4+L117))))</f>
        <v>21.000000000000004</v>
      </c>
    </row>
    <row r="119" spans="1:12" ht="15" customHeight="1" x14ac:dyDescent="0.3">
      <c r="A119" s="106" t="s">
        <v>200</v>
      </c>
      <c r="B119" s="107"/>
      <c r="C119" s="95" t="s">
        <v>282</v>
      </c>
      <c r="D119" s="96"/>
      <c r="E119" s="96"/>
      <c r="F119" s="96"/>
      <c r="G119" s="96"/>
      <c r="H119" s="96"/>
      <c r="I119" s="96"/>
      <c r="J119" s="97"/>
      <c r="K119" s="37" t="str">
        <f ca="1">(IF(F123&gt;99%,"All work completed. Please provide OC.",IF(F123&gt;89.8%,"Plinth, RCC, Brick, Plaster, Flooring, Painting work Completed. Finishing work is in process.",IF(F123&lt;94%,(IF(C123=0,"Work not yet Started.",IF(D123=25%,"Piling work in process",IF(D123=50%,"Excavation work in process",IF(D123=100%,"Excavation work Completed. ","0")))&amp;(IF(C124=0%,"",IF(C124=L125,"Footing work is process",IF(C124=L126,"Footing work Completed",IF(C124=L127,"1st Basement Completed",IF(C124=L128,"1st &amp; 2nd Basement Completed",IF(C124=L129,"1st to 3rd Basement Completed",IF(C124=L130,"1st to 4th Basement Completed",IF(C124=L131,"Plinth work is process",IF(C124=L132,"Plinth work completed","0")))))))))))&amp;(IF(C125=(D120+G120+I120),", RCC Slab",IF(C125&gt;0,", RCC upto "&amp;C125&amp;" Slab",""))&amp;(IF(C126=I120,", Brickwork",IF(C126&gt;0,", Brickwork upto "&amp;C126&amp;" Floor",""))&amp;(IF(C127=I120,", Internal Plaster",IF(C127&gt;0,", Internal Plaster upto "&amp;C127&amp;" Floor",""))&amp;(IF(C128=I120,", External Plaster",IF(C128&gt;0,", External Plaster upto "&amp;C128&amp;" Floor",""))&amp;(IF(C129=I120,", Flooring",IF(C129&gt;0,", Flooring upto "&amp;C129&amp;" Floor",""))&amp;(IF(C130=I120,", Painting",IF(C130&gt;0,", Painting upto "&amp;C130&amp;" Floor",""))&amp;(IF(C131&gt;0,", Finishing upto "&amp;C131&amp;" Floor","")&amp;(IF(C125&gt;0.5," Completed",""))))))))))))))</f>
        <v>Excavation work Completed. Plinth work completed, RCC upto 27 Slab, Brickwork upto 24 Floor, Internal Plaster upto 18 Floor, External Plaster upto 15.6 Floor Completed</v>
      </c>
      <c r="L119" s="45"/>
    </row>
    <row r="120" spans="1:12" ht="15" customHeight="1" x14ac:dyDescent="0.3">
      <c r="A120" s="43" t="s">
        <v>201</v>
      </c>
      <c r="B120" s="44">
        <v>3</v>
      </c>
      <c r="C120" s="44" t="s">
        <v>202</v>
      </c>
      <c r="D120" s="44">
        <v>1</v>
      </c>
      <c r="E120" s="98" t="s">
        <v>203</v>
      </c>
      <c r="F120" s="99"/>
      <c r="G120" s="44">
        <v>2</v>
      </c>
      <c r="H120" s="44" t="s">
        <v>204</v>
      </c>
      <c r="I120" s="98">
        <f ca="1">--TRIM(RIGHT(SUBSTITUTE(LEFT(C119,_xlfn.AGGREGATE(16,6,FIND({0,1,2,3,4,5,6,7,8,9},C119,ROW(INDIRECT("1:"&amp;LEN(C119)))),1))," ",REPT(" ",LEN(C119))),LEN(C119)))</f>
        <v>42</v>
      </c>
      <c r="J120" s="100"/>
      <c r="K120" s="38"/>
      <c r="L120" s="46"/>
    </row>
    <row r="121" spans="1:12" ht="30.9" customHeight="1" x14ac:dyDescent="0.3">
      <c r="A121" s="101" t="s">
        <v>205</v>
      </c>
      <c r="B121" s="102"/>
      <c r="C121" s="103" t="str">
        <f ca="1">K119</f>
        <v>Excavation work Completed. Plinth work completed, RCC upto 27 Slab, Brickwork upto 24 Floor, Internal Plaster upto 18 Floor, External Plaster upto 15.6 Floor Completed</v>
      </c>
      <c r="D121" s="104"/>
      <c r="E121" s="104"/>
      <c r="F121" s="104"/>
      <c r="G121" s="104"/>
      <c r="H121" s="104"/>
      <c r="I121" s="104"/>
      <c r="J121" s="105"/>
      <c r="K121" s="38" t="s">
        <v>206</v>
      </c>
      <c r="L121" s="46"/>
    </row>
    <row r="122" spans="1:12" ht="15" customHeight="1" x14ac:dyDescent="0.3">
      <c r="A122" s="250" t="s">
        <v>35</v>
      </c>
      <c r="B122" s="251"/>
      <c r="C122" s="41" t="s">
        <v>207</v>
      </c>
      <c r="D122" s="92" t="s">
        <v>208</v>
      </c>
      <c r="E122" s="92"/>
      <c r="F122" s="92" t="s">
        <v>209</v>
      </c>
      <c r="G122" s="92"/>
      <c r="H122" s="92" t="s">
        <v>210</v>
      </c>
      <c r="I122" s="92"/>
      <c r="J122" s="191"/>
      <c r="K122" s="39" t="s">
        <v>211</v>
      </c>
      <c r="L122" s="47">
        <f ca="1">I120*25%</f>
        <v>10.5</v>
      </c>
    </row>
    <row r="123" spans="1:12" ht="15" customHeight="1" x14ac:dyDescent="0.3">
      <c r="A123" s="91" t="s">
        <v>212</v>
      </c>
      <c r="B123" s="92"/>
      <c r="C123" s="48">
        <f ca="1">L124</f>
        <v>42</v>
      </c>
      <c r="D123" s="93">
        <f ca="1">((100/I120)*C123)/100</f>
        <v>1</v>
      </c>
      <c r="E123" s="94"/>
      <c r="F123" s="80">
        <f ca="1">(((C124/I120*10)+(40/(D120+G120+I120)*C125)+(7.5/(I120)*C126)+(7.5/(I120)*C127)+(10/I120*C128)+(10/I120*C129)+(5/I120*C130)+(5/I120*C131)+(5/I120*C132))/100)</f>
        <v>0.45214285714285718</v>
      </c>
      <c r="G123" s="80"/>
      <c r="H123" s="82">
        <f ca="1">((((C123/I120)*20)+((C124/I120)*25)+(30/(I120+G120+D120)*C125)+(5/I120*C126)+(5/I120*C127)+(5/I120*C128)+(5/I120*C129)+(0/I120*C130)+(0/I120*C131)+(5/I120*C132))/100)</f>
        <v>0.69857142857142862</v>
      </c>
      <c r="I123" s="83"/>
      <c r="J123" s="84"/>
      <c r="K123" s="39" t="s">
        <v>176</v>
      </c>
      <c r="L123" s="49">
        <f ca="1">I120*50%</f>
        <v>21</v>
      </c>
    </row>
    <row r="124" spans="1:12" ht="15" customHeight="1" x14ac:dyDescent="0.3">
      <c r="A124" s="91" t="s">
        <v>36</v>
      </c>
      <c r="B124" s="92"/>
      <c r="C124" s="50">
        <v>42</v>
      </c>
      <c r="D124" s="93">
        <f ca="1">((100/I120)*C124)/100</f>
        <v>1</v>
      </c>
      <c r="E124" s="94"/>
      <c r="F124" s="80"/>
      <c r="G124" s="80"/>
      <c r="H124" s="85"/>
      <c r="I124" s="86"/>
      <c r="J124" s="87"/>
      <c r="K124" s="39" t="s">
        <v>177</v>
      </c>
      <c r="L124" s="49">
        <f ca="1">I120</f>
        <v>42</v>
      </c>
    </row>
    <row r="125" spans="1:12" ht="15" customHeight="1" x14ac:dyDescent="0.3">
      <c r="A125" s="91" t="s">
        <v>213</v>
      </c>
      <c r="B125" s="92"/>
      <c r="C125" s="50">
        <v>27</v>
      </c>
      <c r="D125" s="93">
        <f ca="1">((100/(D120+G120+I120))*C125)/100</f>
        <v>0.6</v>
      </c>
      <c r="E125" s="94"/>
      <c r="F125" s="80"/>
      <c r="G125" s="80"/>
      <c r="H125" s="85"/>
      <c r="I125" s="86"/>
      <c r="J125" s="87"/>
      <c r="K125" s="39" t="s">
        <v>178</v>
      </c>
      <c r="L125" s="51">
        <f ca="1">(IF(B120&gt;1,(I120/(B120+2)),I120/4))</f>
        <v>8.4</v>
      </c>
    </row>
    <row r="126" spans="1:12" ht="15" customHeight="1" x14ac:dyDescent="0.3">
      <c r="A126" s="91" t="s">
        <v>214</v>
      </c>
      <c r="B126" s="92" t="s">
        <v>215</v>
      </c>
      <c r="C126" s="50">
        <f>C125-G120-1</f>
        <v>24</v>
      </c>
      <c r="D126" s="93">
        <f ca="1">((100/I120)*C126)/100</f>
        <v>0.5714285714285714</v>
      </c>
      <c r="E126" s="94"/>
      <c r="F126" s="80"/>
      <c r="G126" s="80"/>
      <c r="H126" s="85"/>
      <c r="I126" s="86"/>
      <c r="J126" s="87"/>
      <c r="K126" s="39" t="s">
        <v>179</v>
      </c>
      <c r="L126" s="51">
        <f ca="1">(IF(B120&gt;1,(I120/(B120+2)+L125),I120/4+L125))</f>
        <v>16.8</v>
      </c>
    </row>
    <row r="127" spans="1:12" ht="15" customHeight="1" x14ac:dyDescent="0.3">
      <c r="A127" s="91" t="s">
        <v>216</v>
      </c>
      <c r="B127" s="92" t="s">
        <v>215</v>
      </c>
      <c r="C127" s="50">
        <f>C126*0.75</f>
        <v>18</v>
      </c>
      <c r="D127" s="93">
        <f ca="1">((100/I120)*C127)/100</f>
        <v>0.42857142857142855</v>
      </c>
      <c r="E127" s="94"/>
      <c r="F127" s="80"/>
      <c r="G127" s="80"/>
      <c r="H127" s="85"/>
      <c r="I127" s="86"/>
      <c r="J127" s="87"/>
      <c r="K127" s="39" t="s">
        <v>217</v>
      </c>
      <c r="L127" s="51">
        <f ca="1">(IF(B120&gt;1,(I120/(B120+2)+L126),0))</f>
        <v>25.200000000000003</v>
      </c>
    </row>
    <row r="128" spans="1:12" ht="15" customHeight="1" x14ac:dyDescent="0.3">
      <c r="A128" s="91" t="s">
        <v>218</v>
      </c>
      <c r="B128" s="92" t="s">
        <v>219</v>
      </c>
      <c r="C128" s="50">
        <f>C126*0.65</f>
        <v>15.600000000000001</v>
      </c>
      <c r="D128" s="93">
        <f ca="1">((100/(I120))*C128)/100</f>
        <v>0.37142857142857144</v>
      </c>
      <c r="E128" s="94"/>
      <c r="F128" s="80"/>
      <c r="G128" s="80"/>
      <c r="H128" s="85"/>
      <c r="I128" s="86"/>
      <c r="J128" s="87"/>
      <c r="K128" s="39" t="s">
        <v>220</v>
      </c>
      <c r="L128" s="51">
        <f ca="1">(IF(B120&gt;2,(I120/(B120+2)+L127),0))</f>
        <v>33.6</v>
      </c>
    </row>
    <row r="129" spans="1:12" ht="15" customHeight="1" x14ac:dyDescent="0.3">
      <c r="A129" s="91" t="s">
        <v>221</v>
      </c>
      <c r="B129" s="92" t="s">
        <v>221</v>
      </c>
      <c r="C129" s="48">
        <v>0</v>
      </c>
      <c r="D129" s="93">
        <f ca="1">((100/I120)*C129)/100</f>
        <v>0</v>
      </c>
      <c r="E129" s="94"/>
      <c r="F129" s="80"/>
      <c r="G129" s="80"/>
      <c r="H129" s="85"/>
      <c r="I129" s="86"/>
      <c r="J129" s="87"/>
      <c r="K129" s="39" t="s">
        <v>222</v>
      </c>
      <c r="L129" s="52">
        <f>(IF(B120&gt;3,(I120/(B120+2)+L128),0))</f>
        <v>0</v>
      </c>
    </row>
    <row r="130" spans="1:12" ht="15" customHeight="1" x14ac:dyDescent="0.3">
      <c r="A130" s="91" t="s">
        <v>223</v>
      </c>
      <c r="B130" s="92"/>
      <c r="C130" s="48">
        <v>0</v>
      </c>
      <c r="D130" s="93">
        <f ca="1">((100/I120)*C130)/100</f>
        <v>0</v>
      </c>
      <c r="E130" s="94"/>
      <c r="F130" s="80"/>
      <c r="G130" s="80"/>
      <c r="H130" s="85"/>
      <c r="I130" s="86"/>
      <c r="J130" s="87"/>
      <c r="K130" s="39" t="s">
        <v>224</v>
      </c>
      <c r="L130" s="51">
        <f>(IF(B120&gt;4,(I120/(B120+2)+L129),0))</f>
        <v>0</v>
      </c>
    </row>
    <row r="131" spans="1:12" ht="15" customHeight="1" x14ac:dyDescent="0.3">
      <c r="A131" s="91" t="s">
        <v>225</v>
      </c>
      <c r="B131" s="92" t="s">
        <v>225</v>
      </c>
      <c r="C131" s="48">
        <v>0</v>
      </c>
      <c r="D131" s="93">
        <f ca="1">((100/(I120))*C131)/100</f>
        <v>0</v>
      </c>
      <c r="E131" s="94"/>
      <c r="F131" s="80"/>
      <c r="G131" s="80"/>
      <c r="H131" s="85"/>
      <c r="I131" s="86"/>
      <c r="J131" s="87"/>
      <c r="K131" s="39" t="s">
        <v>180</v>
      </c>
      <c r="L131" s="51">
        <f>(IF(B120=1,(I120/(B120+3)+L126),IF(B120=0,(I120/4+L126),IF(B120&gt;1,0))))</f>
        <v>0</v>
      </c>
    </row>
    <row r="132" spans="1:12" ht="15" customHeight="1" thickBot="1" x14ac:dyDescent="0.35">
      <c r="A132" s="108" t="s">
        <v>226</v>
      </c>
      <c r="B132" s="109"/>
      <c r="C132" s="53">
        <v>0</v>
      </c>
      <c r="D132" s="126">
        <f ca="1">((100/(I120))*C132)/100</f>
        <v>0</v>
      </c>
      <c r="E132" s="127"/>
      <c r="F132" s="81"/>
      <c r="G132" s="81"/>
      <c r="H132" s="88"/>
      <c r="I132" s="89"/>
      <c r="J132" s="90"/>
      <c r="K132" s="40" t="s">
        <v>181</v>
      </c>
      <c r="L132" s="54">
        <f ca="1">(IF(B120&gt;1.5,(I120/(B120+2)+L126+MAX(0,L127-L126)+MAX(0,L128-L127)+MAX(0,L129-L128)+MAX(0,L130-L129)+MAX(0,L131-L130)),IF(B120=1,(I120/(B120+3)+L131),IF(B120=0,I120/4+L131))))</f>
        <v>42.000000000000007</v>
      </c>
    </row>
    <row r="133" spans="1:12" ht="15" customHeight="1" x14ac:dyDescent="0.3">
      <c r="A133" s="106" t="s">
        <v>200</v>
      </c>
      <c r="B133" s="107"/>
      <c r="C133" s="95" t="s">
        <v>228</v>
      </c>
      <c r="D133" s="96"/>
      <c r="E133" s="96"/>
      <c r="F133" s="96"/>
      <c r="G133" s="96"/>
      <c r="H133" s="96"/>
      <c r="I133" s="96"/>
      <c r="J133" s="97"/>
      <c r="K133" s="37" t="str">
        <f ca="1">(IF(F137&gt;99%,"All work completed. Please provide OC.",IF(F137&gt;89.8%,"Plinth, RCC, Brick, Plaster, Flooring, Painting work Completed. Finishing work is in process.",IF(F137&lt;94%,(IF(C137=0,"Work not yet Started.",IF(D137=25%,"Piling work in process",IF(D137=50%,"Excavation work in process",IF(D137=100%,"Excavation work Completed. ","0")))&amp;(IF(C138=0%,"",IF(C138=L139,"Footing work is process",IF(C138=L140,"Footing work Completed",IF(C138=L141,"1st Basement Completed",IF(C138=L142,"1st &amp; 2nd Basement Completed",IF(C138=L143,"1st to 3rd Basement Completed",IF(C138=L144,"1st to 4th Basement Completed",IF(C138=L145,"Plinth work is process",IF(C138=L146,"Plinth work completed","0")))))))))))&amp;(IF(C139=(D134+G134+I134),", RCC Slab",IF(C139&gt;0,", RCC upto "&amp;C139&amp;" Slab",""))&amp;(IF(C140=I134,", Brickwork",IF(C140&gt;0,", Brickwork upto "&amp;C140&amp;" Floor",""))&amp;(IF(C141=I134,", Internal Plaster",IF(C141&gt;0,", Internal Plaster upto "&amp;C141&amp;" Floor",""))&amp;(IF(C142=I134,", External Plaster",IF(C142&gt;0,", External Plaster upto "&amp;C142&amp;" Floor",""))&amp;(IF(C143=I134,", Flooring",IF(C143&gt;0,", Flooring upto "&amp;C143&amp;" Floor",""))&amp;(IF(C144=I134,", Painting",IF(C144&gt;0,", Painting upto "&amp;C144&amp;" Floor",""))&amp;(IF(C145&gt;0,", Finishing upto "&amp;C145&amp;" Floor","")&amp;(IF(C139&gt;0.5," Completed",""))))))))))))))</f>
        <v>Work not yet Started.</v>
      </c>
      <c r="L133" s="45"/>
    </row>
    <row r="134" spans="1:12" ht="15" customHeight="1" x14ac:dyDescent="0.3">
      <c r="A134" s="43" t="s">
        <v>201</v>
      </c>
      <c r="B134" s="44">
        <v>0</v>
      </c>
      <c r="C134" s="44" t="s">
        <v>202</v>
      </c>
      <c r="D134" s="44">
        <v>1</v>
      </c>
      <c r="E134" s="98" t="s">
        <v>203</v>
      </c>
      <c r="F134" s="99"/>
      <c r="G134" s="44">
        <v>0</v>
      </c>
      <c r="H134" s="44" t="s">
        <v>204</v>
      </c>
      <c r="I134" s="98">
        <f ca="1">--TRIM(RIGHT(SUBSTITUTE(LEFT(C133,_xlfn.AGGREGATE(16,6,FIND({0,1,2,3,4,5,6,7,8,9},C133,ROW(INDIRECT("1:"&amp;LEN(C133)))),1))," ",REPT(" ",LEN(C133))),LEN(C133)))</f>
        <v>21</v>
      </c>
      <c r="J134" s="100"/>
      <c r="K134" s="38"/>
      <c r="L134" s="46"/>
    </row>
    <row r="135" spans="1:12" ht="15" customHeight="1" x14ac:dyDescent="0.3">
      <c r="A135" s="101" t="s">
        <v>205</v>
      </c>
      <c r="B135" s="102"/>
      <c r="C135" s="103" t="str">
        <f ca="1">K133</f>
        <v>Work not yet Started.</v>
      </c>
      <c r="D135" s="104"/>
      <c r="E135" s="104"/>
      <c r="F135" s="104"/>
      <c r="G135" s="104"/>
      <c r="H135" s="104"/>
      <c r="I135" s="104"/>
      <c r="J135" s="105"/>
      <c r="K135" s="38" t="s">
        <v>206</v>
      </c>
      <c r="L135" s="46"/>
    </row>
    <row r="136" spans="1:12" ht="15" customHeight="1" x14ac:dyDescent="0.3">
      <c r="A136" s="250" t="s">
        <v>35</v>
      </c>
      <c r="B136" s="251"/>
      <c r="C136" s="41" t="s">
        <v>207</v>
      </c>
      <c r="D136" s="92" t="s">
        <v>208</v>
      </c>
      <c r="E136" s="92"/>
      <c r="F136" s="92" t="s">
        <v>209</v>
      </c>
      <c r="G136" s="92"/>
      <c r="H136" s="92" t="s">
        <v>210</v>
      </c>
      <c r="I136" s="92"/>
      <c r="J136" s="191"/>
      <c r="K136" s="39" t="s">
        <v>211</v>
      </c>
      <c r="L136" s="47">
        <f ca="1">I134*25%</f>
        <v>5.25</v>
      </c>
    </row>
    <row r="137" spans="1:12" ht="15" customHeight="1" x14ac:dyDescent="0.3">
      <c r="A137" s="91" t="s">
        <v>212</v>
      </c>
      <c r="B137" s="92"/>
      <c r="C137" s="50">
        <v>0</v>
      </c>
      <c r="D137" s="93">
        <f ca="1">((100/I134)*C137)/100</f>
        <v>0</v>
      </c>
      <c r="E137" s="94"/>
      <c r="F137" s="80">
        <f ca="1">(((C138/I134*10)+(40/(D134+G134+I134)*C139)+(7.5/(I134)*C140)+(7.5/(I134)*C141)+(10/I134*C142)+(10/I134*C143)+(5/I134*C144)+(5/I134*C145)+(5/I134*C146))/100)</f>
        <v>0</v>
      </c>
      <c r="G137" s="80"/>
      <c r="H137" s="82">
        <f ca="1">((((C137/I134)*20)+((C138/I134)*25)+(30/(I134+G134+D134)*C139)+(5/I134*C140)+(5/I134*C141)+(5/I134*C142)+(5/I134*C143)+(0/I134*C144)+(0/I134*C145)+(5/I134*C146))/100)</f>
        <v>0</v>
      </c>
      <c r="I137" s="83"/>
      <c r="J137" s="84"/>
      <c r="K137" s="39" t="s">
        <v>176</v>
      </c>
      <c r="L137" s="49">
        <f ca="1">I134*50%</f>
        <v>10.5</v>
      </c>
    </row>
    <row r="138" spans="1:12" ht="15" customHeight="1" x14ac:dyDescent="0.3">
      <c r="A138" s="91" t="s">
        <v>36</v>
      </c>
      <c r="B138" s="92"/>
      <c r="C138" s="50">
        <v>0</v>
      </c>
      <c r="D138" s="93">
        <f ca="1">((100/I134)*C138)/100</f>
        <v>0</v>
      </c>
      <c r="E138" s="94"/>
      <c r="F138" s="80"/>
      <c r="G138" s="80"/>
      <c r="H138" s="85"/>
      <c r="I138" s="86"/>
      <c r="J138" s="87"/>
      <c r="K138" s="39" t="s">
        <v>177</v>
      </c>
      <c r="L138" s="49">
        <f ca="1">I134</f>
        <v>21</v>
      </c>
    </row>
    <row r="139" spans="1:12" ht="15" customHeight="1" x14ac:dyDescent="0.3">
      <c r="A139" s="91" t="s">
        <v>213</v>
      </c>
      <c r="B139" s="92"/>
      <c r="C139" s="50">
        <v>0</v>
      </c>
      <c r="D139" s="93">
        <f ca="1">((100/(D134+G134+I134))*C139)/100</f>
        <v>0</v>
      </c>
      <c r="E139" s="94"/>
      <c r="F139" s="80"/>
      <c r="G139" s="80"/>
      <c r="H139" s="85"/>
      <c r="I139" s="86"/>
      <c r="J139" s="87"/>
      <c r="K139" s="39" t="s">
        <v>178</v>
      </c>
      <c r="L139" s="51">
        <f ca="1">(IF(B134&gt;1,(I134/(B134+2)),I134/4))</f>
        <v>5.25</v>
      </c>
    </row>
    <row r="140" spans="1:12" ht="15" customHeight="1" x14ac:dyDescent="0.3">
      <c r="A140" s="91" t="s">
        <v>214</v>
      </c>
      <c r="B140" s="92" t="s">
        <v>215</v>
      </c>
      <c r="C140" s="48">
        <v>0</v>
      </c>
      <c r="D140" s="93">
        <f ca="1">((100/I134)*C140)/100</f>
        <v>0</v>
      </c>
      <c r="E140" s="94"/>
      <c r="F140" s="80"/>
      <c r="G140" s="80"/>
      <c r="H140" s="85"/>
      <c r="I140" s="86"/>
      <c r="J140" s="87"/>
      <c r="K140" s="39" t="s">
        <v>179</v>
      </c>
      <c r="L140" s="51">
        <f ca="1">(IF(B134&gt;1,(I134/(B134+2)+L139),I134/4+L139))</f>
        <v>10.5</v>
      </c>
    </row>
    <row r="141" spans="1:12" ht="15" customHeight="1" x14ac:dyDescent="0.3">
      <c r="A141" s="91" t="s">
        <v>216</v>
      </c>
      <c r="B141" s="92" t="s">
        <v>215</v>
      </c>
      <c r="C141" s="48">
        <v>0</v>
      </c>
      <c r="D141" s="93">
        <f ca="1">((100/I134)*C141)/100</f>
        <v>0</v>
      </c>
      <c r="E141" s="94"/>
      <c r="F141" s="80"/>
      <c r="G141" s="80"/>
      <c r="H141" s="85"/>
      <c r="I141" s="86"/>
      <c r="J141" s="87"/>
      <c r="K141" s="39" t="s">
        <v>217</v>
      </c>
      <c r="L141" s="51">
        <f>(IF(B134&gt;1,(I134/(B134+2)+L140),0))</f>
        <v>0</v>
      </c>
    </row>
    <row r="142" spans="1:12" ht="15" customHeight="1" x14ac:dyDescent="0.3">
      <c r="A142" s="91" t="s">
        <v>218</v>
      </c>
      <c r="B142" s="92" t="s">
        <v>219</v>
      </c>
      <c r="C142" s="48">
        <v>0</v>
      </c>
      <c r="D142" s="93">
        <f ca="1">((100/(I134))*C142)/100</f>
        <v>0</v>
      </c>
      <c r="E142" s="94"/>
      <c r="F142" s="80"/>
      <c r="G142" s="80"/>
      <c r="H142" s="85"/>
      <c r="I142" s="86"/>
      <c r="J142" s="87"/>
      <c r="K142" s="39" t="s">
        <v>220</v>
      </c>
      <c r="L142" s="51">
        <f>(IF(B134&gt;2,(I134/(B134+2)+L141),0))</f>
        <v>0</v>
      </c>
    </row>
    <row r="143" spans="1:12" ht="15" customHeight="1" x14ac:dyDescent="0.3">
      <c r="A143" s="91" t="s">
        <v>221</v>
      </c>
      <c r="B143" s="92" t="s">
        <v>221</v>
      </c>
      <c r="C143" s="48">
        <v>0</v>
      </c>
      <c r="D143" s="93">
        <f ca="1">((100/I134)*C143)/100</f>
        <v>0</v>
      </c>
      <c r="E143" s="94"/>
      <c r="F143" s="80"/>
      <c r="G143" s="80"/>
      <c r="H143" s="85"/>
      <c r="I143" s="86"/>
      <c r="J143" s="87"/>
      <c r="K143" s="39" t="s">
        <v>222</v>
      </c>
      <c r="L143" s="52">
        <f>(IF(B134&gt;3,(I134/(B134+2)+L142),0))</f>
        <v>0</v>
      </c>
    </row>
    <row r="144" spans="1:12" ht="15" customHeight="1" x14ac:dyDescent="0.3">
      <c r="A144" s="91" t="s">
        <v>223</v>
      </c>
      <c r="B144" s="92"/>
      <c r="C144" s="48">
        <v>0</v>
      </c>
      <c r="D144" s="93">
        <f ca="1">((100/I134)*C144)/100</f>
        <v>0</v>
      </c>
      <c r="E144" s="94"/>
      <c r="F144" s="80"/>
      <c r="G144" s="80"/>
      <c r="H144" s="85"/>
      <c r="I144" s="86"/>
      <c r="J144" s="87"/>
      <c r="K144" s="39" t="s">
        <v>224</v>
      </c>
      <c r="L144" s="51">
        <f>(IF(B134&gt;4,(I134/(B134+2)+L143),0))</f>
        <v>0</v>
      </c>
    </row>
    <row r="145" spans="1:12" ht="15" customHeight="1" x14ac:dyDescent="0.3">
      <c r="A145" s="91" t="s">
        <v>225</v>
      </c>
      <c r="B145" s="92" t="s">
        <v>225</v>
      </c>
      <c r="C145" s="48">
        <v>0</v>
      </c>
      <c r="D145" s="93">
        <f ca="1">((100/(I134))*C145)/100</f>
        <v>0</v>
      </c>
      <c r="E145" s="94"/>
      <c r="F145" s="80"/>
      <c r="G145" s="80"/>
      <c r="H145" s="85"/>
      <c r="I145" s="86"/>
      <c r="J145" s="87"/>
      <c r="K145" s="39" t="s">
        <v>180</v>
      </c>
      <c r="L145" s="51">
        <f ca="1">(IF(B134=1,(I134/(B134+3)+L140),IF(B134=0,(I134/4+L140),IF(B134&gt;1,0))))</f>
        <v>15.75</v>
      </c>
    </row>
    <row r="146" spans="1:12" ht="15" customHeight="1" thickBot="1" x14ac:dyDescent="0.35">
      <c r="A146" s="108" t="s">
        <v>226</v>
      </c>
      <c r="B146" s="109"/>
      <c r="C146" s="53">
        <v>0</v>
      </c>
      <c r="D146" s="126">
        <f ca="1">((100/(I134))*C146)/100</f>
        <v>0</v>
      </c>
      <c r="E146" s="127"/>
      <c r="F146" s="81"/>
      <c r="G146" s="81"/>
      <c r="H146" s="88"/>
      <c r="I146" s="89"/>
      <c r="J146" s="90"/>
      <c r="K146" s="40" t="s">
        <v>181</v>
      </c>
      <c r="L146" s="54">
        <f ca="1">(IF(B134&gt;1.5,(I134/(B134+2)+L140+MAX(0,L141-L140)+MAX(0,L142-L141)+MAX(0,L143-L142)+MAX(0,L144-L143)+MAX(0,L145-L144)),IF(B134=1,(I134/(B134+3)+L145),IF(B134=0,I134/4+L145))))</f>
        <v>21</v>
      </c>
    </row>
    <row r="147" spans="1:12" x14ac:dyDescent="0.3">
      <c r="A147" s="136" t="s">
        <v>63</v>
      </c>
      <c r="B147" s="145"/>
      <c r="C147" s="145"/>
      <c r="D147" s="145"/>
      <c r="E147" s="145"/>
      <c r="F147" s="145"/>
      <c r="G147" s="145"/>
      <c r="H147" s="145"/>
      <c r="I147" s="145"/>
      <c r="J147" s="146"/>
    </row>
    <row r="148" spans="1:12" x14ac:dyDescent="0.3">
      <c r="A148" s="136" t="s">
        <v>56</v>
      </c>
      <c r="B148" s="145"/>
      <c r="C148" s="145"/>
      <c r="D148" s="145"/>
      <c r="E148" s="145"/>
      <c r="F148" s="145"/>
      <c r="G148" s="145"/>
      <c r="H148" s="145"/>
      <c r="I148" s="145"/>
      <c r="J148" s="146"/>
    </row>
    <row r="149" spans="1:12" ht="15" customHeight="1" x14ac:dyDescent="0.3">
      <c r="A149" s="180" t="s">
        <v>87</v>
      </c>
      <c r="B149" s="181"/>
      <c r="C149" s="181"/>
      <c r="D149" s="181"/>
      <c r="E149" s="181"/>
      <c r="F149" s="181"/>
      <c r="G149" s="181"/>
      <c r="H149" s="181"/>
      <c r="I149" s="181"/>
      <c r="J149" s="182"/>
    </row>
    <row r="150" spans="1:12" ht="16.5" customHeight="1" x14ac:dyDescent="0.3">
      <c r="A150" s="183"/>
      <c r="B150" s="184"/>
      <c r="C150" s="184"/>
      <c r="D150" s="184"/>
      <c r="E150" s="184"/>
      <c r="F150" s="184"/>
      <c r="G150" s="184"/>
      <c r="H150" s="184"/>
      <c r="I150" s="184"/>
      <c r="J150" s="185"/>
    </row>
    <row r="151" spans="1:12" x14ac:dyDescent="0.3">
      <c r="A151" s="186" t="s">
        <v>25</v>
      </c>
      <c r="B151" s="187"/>
      <c r="C151" s="187"/>
      <c r="D151" s="187"/>
      <c r="E151" s="187"/>
      <c r="F151" s="187"/>
      <c r="G151" s="187"/>
      <c r="H151" s="187"/>
      <c r="I151" s="187"/>
      <c r="J151" s="188"/>
    </row>
    <row r="152" spans="1:12" ht="16.5" customHeight="1" x14ac:dyDescent="0.3">
      <c r="A152" s="136" t="s">
        <v>172</v>
      </c>
      <c r="B152" s="137"/>
      <c r="C152" s="137"/>
      <c r="D152" s="137"/>
      <c r="E152" s="137"/>
      <c r="F152" s="138"/>
      <c r="G152" s="192">
        <v>21500</v>
      </c>
      <c r="H152" s="148"/>
      <c r="I152" s="148"/>
      <c r="J152" s="149"/>
      <c r="K152">
        <f>G152/1.45</f>
        <v>14827.586206896553</v>
      </c>
    </row>
    <row r="153" spans="1:12" ht="15" customHeight="1" x14ac:dyDescent="0.3">
      <c r="A153" s="136" t="s">
        <v>89</v>
      </c>
      <c r="B153" s="145"/>
      <c r="C153" s="145"/>
      <c r="D153" s="145"/>
      <c r="E153" s="145"/>
      <c r="F153" s="146"/>
      <c r="G153" s="77" t="s">
        <v>164</v>
      </c>
      <c r="H153" s="78"/>
      <c r="I153" s="78"/>
      <c r="J153" s="79"/>
    </row>
    <row r="154" spans="1:12" x14ac:dyDescent="0.3">
      <c r="A154" s="136" t="s">
        <v>167</v>
      </c>
      <c r="B154" s="137"/>
      <c r="C154" s="137"/>
      <c r="D154" s="137"/>
      <c r="E154" s="137"/>
      <c r="F154" s="138"/>
      <c r="G154" s="77" t="s">
        <v>168</v>
      </c>
      <c r="H154" s="78"/>
      <c r="I154" s="78"/>
      <c r="J154" s="79"/>
    </row>
    <row r="155" spans="1:12" x14ac:dyDescent="0.3">
      <c r="A155" s="136" t="s">
        <v>169</v>
      </c>
      <c r="B155" s="137"/>
      <c r="C155" s="137"/>
      <c r="D155" s="137"/>
      <c r="E155" s="137"/>
      <c r="F155" s="138"/>
      <c r="G155" s="77" t="s">
        <v>170</v>
      </c>
      <c r="H155" s="78"/>
      <c r="I155" s="78"/>
      <c r="J155" s="79"/>
    </row>
    <row r="156" spans="1:12" x14ac:dyDescent="0.3">
      <c r="A156" s="136" t="s">
        <v>112</v>
      </c>
      <c r="B156" s="137"/>
      <c r="C156" s="137"/>
      <c r="D156" s="137"/>
      <c r="E156" s="137"/>
      <c r="F156" s="138"/>
      <c r="G156" s="77" t="s">
        <v>163</v>
      </c>
      <c r="H156" s="78"/>
      <c r="I156" s="78"/>
      <c r="J156" s="79"/>
    </row>
    <row r="157" spans="1:12" x14ac:dyDescent="0.3">
      <c r="A157" s="136" t="s">
        <v>85</v>
      </c>
      <c r="B157" s="145"/>
      <c r="C157" s="145"/>
      <c r="D157" s="145"/>
      <c r="E157" s="145"/>
      <c r="F157" s="146"/>
      <c r="G157" s="77" t="s">
        <v>165</v>
      </c>
      <c r="H157" s="78"/>
      <c r="I157" s="78"/>
      <c r="J157" s="79"/>
    </row>
    <row r="158" spans="1:12" s="55" customFormat="1" ht="14.4" customHeight="1" x14ac:dyDescent="0.3">
      <c r="A158" s="147" t="s">
        <v>86</v>
      </c>
      <c r="B158" s="187"/>
      <c r="C158" s="187"/>
      <c r="D158" s="187"/>
      <c r="E158" s="187"/>
      <c r="F158" s="188"/>
      <c r="G158" s="215">
        <f>G152*0.8</f>
        <v>17200</v>
      </c>
      <c r="H158" s="145"/>
      <c r="I158" s="145"/>
      <c r="J158" s="146"/>
    </row>
    <row r="159" spans="1:12" s="59" customFormat="1" ht="15.6" x14ac:dyDescent="0.3">
      <c r="A159" s="112" t="s">
        <v>247</v>
      </c>
      <c r="B159" s="113"/>
      <c r="C159" s="113"/>
      <c r="D159" s="113"/>
      <c r="E159" s="113"/>
      <c r="F159" s="113"/>
      <c r="G159" s="113"/>
      <c r="H159" s="113"/>
      <c r="I159" s="113"/>
      <c r="J159" s="114"/>
    </row>
    <row r="160" spans="1:12" s="59" customFormat="1" ht="15.6" x14ac:dyDescent="0.3">
      <c r="A160" s="222" t="s">
        <v>243</v>
      </c>
      <c r="B160" s="223"/>
      <c r="C160" s="60" t="s">
        <v>244</v>
      </c>
      <c r="D160" s="262" t="s">
        <v>245</v>
      </c>
      <c r="E160" s="263"/>
      <c r="F160" s="264"/>
      <c r="G160" s="222" t="s">
        <v>246</v>
      </c>
      <c r="H160" s="261"/>
      <c r="I160" s="261"/>
      <c r="J160" s="223"/>
    </row>
    <row r="161" spans="1:15" s="59" customFormat="1" ht="15.6" x14ac:dyDescent="0.3">
      <c r="A161" s="110" t="s">
        <v>234</v>
      </c>
      <c r="B161" s="111"/>
      <c r="C161" s="61">
        <f>COUNT(F176:F177)+COUNT(F181:F184)*18+COUNT(F186,F188:F189)+COUNT(F193:F194)</f>
        <v>79</v>
      </c>
      <c r="D161" s="252">
        <f>SUM(F176:F177)+SUM(F181:F184)*18+SUM(F186,F188:F189)+SUM(F193:F194)</f>
        <v>35302.260239999996</v>
      </c>
      <c r="E161" s="253"/>
      <c r="F161" s="254"/>
      <c r="G161" s="115">
        <f>SUM(H176:H177)+SUM(H181:H184)*18+SUM(H186,H188:H189)+SUM(H193:H194)</f>
        <v>51188.277347999989</v>
      </c>
      <c r="H161" s="255"/>
      <c r="I161" s="255"/>
      <c r="J161" s="116"/>
      <c r="N161" s="59">
        <f>20+18+20+20</f>
        <v>78</v>
      </c>
    </row>
    <row r="162" spans="1:15" s="59" customFormat="1" ht="15.6" x14ac:dyDescent="0.3">
      <c r="A162" s="110" t="s">
        <v>238</v>
      </c>
      <c r="B162" s="111"/>
      <c r="C162" s="61">
        <f>COUNT(F200:F201)+COUNT(F205:F208)*18+COUNT(F211:F213)+COUNT(F216:F218)</f>
        <v>80</v>
      </c>
      <c r="D162" s="252">
        <f>SUM(F200:F201)+SUM(F205:F208)*18+SUM(F211:F213)+SUM(F216:F218)</f>
        <v>49577.58468</v>
      </c>
      <c r="E162" s="253"/>
      <c r="F162" s="254"/>
      <c r="G162" s="115">
        <f>SUM(H200:H201)+SUM(H205:H208)*18+SUM(H211:H213)+SUM(H216:H218)</f>
        <v>71887.497785999993</v>
      </c>
      <c r="H162" s="255"/>
      <c r="I162" s="255"/>
      <c r="J162" s="116"/>
    </row>
    <row r="163" spans="1:15" s="59" customFormat="1" ht="15.6" x14ac:dyDescent="0.3">
      <c r="A163" s="110" t="s">
        <v>239</v>
      </c>
      <c r="B163" s="111"/>
      <c r="C163" s="61">
        <f>COUNT(F225:F227)+COUNT(F229:F232)*18+COUNT(F234:F235,F237)+COUNT(F239,F242)</f>
        <v>80</v>
      </c>
      <c r="D163" s="252">
        <f>SUM(F225:F227)+SUM(F229:F232)*18+SUM(F234:F235,F237)+SUM(F239,F242)</f>
        <v>35094.730319999988</v>
      </c>
      <c r="E163" s="253"/>
      <c r="F163" s="254"/>
      <c r="G163" s="115">
        <f>SUM(H225:H227)+SUM(H229:H232)*18+SUM(H234:H235,H237)+SUM(H239,H242)</f>
        <v>50887.358963999985</v>
      </c>
      <c r="H163" s="255"/>
      <c r="I163" s="255"/>
      <c r="J163" s="116"/>
    </row>
    <row r="164" spans="1:15" s="59" customFormat="1" ht="15.6" x14ac:dyDescent="0.3">
      <c r="A164" s="110" t="s">
        <v>251</v>
      </c>
      <c r="B164" s="111"/>
      <c r="C164" s="61">
        <f>COUNT(F248:F249)+COUNT(F253:F256)*18+COUNT(F259:F261)+COUNT(F264:F266)</f>
        <v>80</v>
      </c>
      <c r="D164" s="252">
        <f>SUM(F248:F249)+SUM(F253:F256)*18+SUM(F259:F261)+SUM(F264:F266)</f>
        <v>49471.344000000005</v>
      </c>
      <c r="E164" s="253"/>
      <c r="F164" s="254"/>
      <c r="G164" s="115">
        <f>SUM(H248:H249)+SUM(H253:H256)*18+SUM(H259:H261)+SUM(H264:H266)</f>
        <v>71733.448799999984</v>
      </c>
      <c r="H164" s="255"/>
      <c r="I164" s="255"/>
      <c r="J164" s="116"/>
    </row>
    <row r="165" spans="1:15" s="59" customFormat="1" ht="15.6" x14ac:dyDescent="0.3">
      <c r="A165" s="110" t="s">
        <v>252</v>
      </c>
      <c r="B165" s="111"/>
      <c r="C165" s="61">
        <f>COUNT(F273:F275)*4+COUNT(F277:F279)*5+COUNT(F281:F282)+COUNT(F285:F289)+COUNT(F291,F294:F295)*2+COUNT(F297:F301)*10+COUNT(F303:F307)+COUNT(F309:F313)*2+COUNT(F315,F318:F319)*2+COUNT(F321:F325)*11+COUNT(F327,F329)+COUNT(F333:F335)</f>
        <v>171</v>
      </c>
      <c r="D165" s="252">
        <f t="shared" ref="D165" si="0">SUM(F273:F275)*4+SUM(F277:F279)*5+SUM(F281:F282)+SUM(F285:F289)+SUM(F291,F294:F295)*2+SUM(F297:F301)*10+SUM(F303:F307)+SUM(F309:F313)*2+SUM(F315,F318:F319)*2+SUM(F321:F325)*11+SUM(F327,F329)+SUM(F333:F335)</f>
        <v>105365.08242000001</v>
      </c>
      <c r="E165" s="253"/>
      <c r="F165" s="254"/>
      <c r="G165" s="115">
        <f>SUM(H273:H275)*4+SUM(H277:H279)*5+SUM(H281:H282)+SUM(H285:H289)+SUM(H291,H294:H295)*2+SUM(H297:H301)*10+SUM(H303:H307)+SUM(H309:H313)*2+SUM(H315,H318:H319)*2+SUM(H321:H325)*11+SUM(H327,H329)+SUM(H333:H335)</f>
        <v>152779.36950900001</v>
      </c>
      <c r="H165" s="255"/>
      <c r="I165" s="255"/>
      <c r="J165" s="116"/>
      <c r="L165" s="59">
        <f>95+76</f>
        <v>171</v>
      </c>
      <c r="M165" s="59">
        <f>L165-C165</f>
        <v>0</v>
      </c>
      <c r="N165" s="59">
        <f>24+20+2+9+12+14+14</f>
        <v>95</v>
      </c>
      <c r="O165" s="59">
        <f>17+11+3+15+15+15</f>
        <v>76</v>
      </c>
    </row>
    <row r="166" spans="1:15" s="59" customFormat="1" ht="15.6" x14ac:dyDescent="0.3">
      <c r="A166" s="110" t="s">
        <v>270</v>
      </c>
      <c r="B166" s="111"/>
      <c r="C166" s="61">
        <f>COUNT(F344:F347)*4+COUNT(F349:F352)*5+COUNT(F354:F356)+COUNT(F359:F364)+COUNT(F366:F367,F370:F371)*2+COUNT(F373:F378)*10+COUNT(F380:F385)+COUNT(F387:F392)*2+COUNT(F394:F395,F398:F399)*2+COUNT(F401:F406)*11+COUNT(F408:F409,F411)+COUNT(F415:F418)</f>
        <v>212</v>
      </c>
      <c r="D166" s="252">
        <f>SUM(F344:F347)*4+SUM(F349:F352)*5+SUM(F354:F356)+SUM(F359:F364)+SUM(F366:F367,F370:F371)*2+SUM(F373:F378)*10+SUM(F380:F385)+SUM(F387:F392)*2+SUM(F394:F395,F398:F399)*2+SUM(F401:F406)*11+SUM(F408:F409,F411)+SUM(F415:F418)</f>
        <v>151314.28416000001</v>
      </c>
      <c r="E166" s="253"/>
      <c r="F166" s="254"/>
      <c r="G166" s="115">
        <f>SUM(H344:H347)*4+SUM(H349:H352)*5+SUM(H354:H356)+SUM(H359:H364)+SUM(H366:H367,H370:H371)*2+SUM(H373:H378)*10+SUM(H380:H385)+SUM(H387:H392)*2+SUM(H394:H395,H398:H399)*2+SUM(H401:H406)*11+SUM(H408:H409,H411)+SUM(H415:H418)</f>
        <v>219405.71203199998</v>
      </c>
      <c r="H166" s="255"/>
      <c r="I166" s="255"/>
      <c r="J166" s="116"/>
      <c r="L166" s="59">
        <f>119+93</f>
        <v>212</v>
      </c>
    </row>
    <row r="167" spans="1:15" s="59" customFormat="1" ht="15.6" x14ac:dyDescent="0.3">
      <c r="A167" s="112" t="s">
        <v>109</v>
      </c>
      <c r="B167" s="113"/>
      <c r="C167" s="60">
        <f>SUM(C161:C166)</f>
        <v>702</v>
      </c>
      <c r="D167" s="258">
        <f>SUM(D161:F166)</f>
        <v>426125.28581999999</v>
      </c>
      <c r="E167" s="259"/>
      <c r="F167" s="260"/>
      <c r="G167" s="222">
        <f>SUM(G161:J166)</f>
        <v>617881.66443899996</v>
      </c>
      <c r="H167" s="261"/>
      <c r="I167" s="261"/>
      <c r="J167" s="223"/>
    </row>
    <row r="168" spans="1:15" s="55" customFormat="1" x14ac:dyDescent="0.3">
      <c r="A168" s="216" t="s">
        <v>26</v>
      </c>
      <c r="B168" s="217"/>
      <c r="C168" s="217"/>
      <c r="D168" s="217"/>
      <c r="E168" s="217"/>
      <c r="F168" s="217"/>
      <c r="G168" s="217"/>
      <c r="H168" s="217"/>
      <c r="I168" s="217"/>
      <c r="J168" s="218"/>
    </row>
    <row r="169" spans="1:15" x14ac:dyDescent="0.3">
      <c r="A169" s="159" t="s">
        <v>49</v>
      </c>
      <c r="B169" s="160"/>
      <c r="C169" s="160"/>
      <c r="D169" s="160"/>
      <c r="E169" s="160"/>
      <c r="F169" s="160"/>
      <c r="G169" s="160"/>
      <c r="H169" s="160"/>
      <c r="I169" s="160"/>
      <c r="J169" s="161"/>
    </row>
    <row r="170" spans="1:15" ht="50.25" customHeight="1" x14ac:dyDescent="0.3">
      <c r="A170" s="222" t="s">
        <v>33</v>
      </c>
      <c r="B170" s="223"/>
      <c r="C170" s="2" t="s">
        <v>31</v>
      </c>
      <c r="D170" s="3" t="s">
        <v>90</v>
      </c>
      <c r="E170" s="2" t="s">
        <v>66</v>
      </c>
      <c r="F170" s="2" t="s">
        <v>43</v>
      </c>
      <c r="G170" s="3" t="s">
        <v>32</v>
      </c>
      <c r="H170" s="2" t="s">
        <v>166</v>
      </c>
      <c r="I170" s="222" t="s">
        <v>240</v>
      </c>
      <c r="J170" s="223"/>
    </row>
    <row r="171" spans="1:15" ht="15.6" x14ac:dyDescent="0.3">
      <c r="A171" s="200" t="s">
        <v>234</v>
      </c>
      <c r="B171" s="201"/>
      <c r="C171" s="201"/>
      <c r="D171" s="201"/>
      <c r="E171" s="201"/>
      <c r="F171" s="201"/>
      <c r="G171" s="201"/>
      <c r="H171" s="201"/>
      <c r="I171" s="201"/>
      <c r="J171" s="202"/>
    </row>
    <row r="172" spans="1:15" ht="15.6" x14ac:dyDescent="0.3">
      <c r="A172" s="203" t="s">
        <v>236</v>
      </c>
      <c r="B172" s="204"/>
      <c r="C172" s="204"/>
      <c r="D172" s="204"/>
      <c r="E172" s="204"/>
      <c r="F172" s="204"/>
      <c r="G172" s="204"/>
      <c r="H172" s="204"/>
      <c r="I172" s="204"/>
      <c r="J172" s="205"/>
    </row>
    <row r="173" spans="1:15" ht="15.6" x14ac:dyDescent="0.3">
      <c r="A173" s="203" t="s">
        <v>235</v>
      </c>
      <c r="B173" s="204"/>
      <c r="C173" s="204"/>
      <c r="D173" s="204"/>
      <c r="E173" s="204"/>
      <c r="F173" s="204"/>
      <c r="G173" s="204"/>
      <c r="H173" s="204"/>
      <c r="I173" s="204"/>
      <c r="J173" s="205"/>
    </row>
    <row r="174" spans="1:15" ht="15.6" x14ac:dyDescent="0.3">
      <c r="A174" s="203" t="s">
        <v>237</v>
      </c>
      <c r="B174" s="204"/>
      <c r="C174" s="204"/>
      <c r="D174" s="204"/>
      <c r="E174" s="204"/>
      <c r="F174" s="204"/>
      <c r="G174" s="204"/>
      <c r="H174" s="204"/>
      <c r="I174" s="204"/>
      <c r="J174" s="205"/>
    </row>
    <row r="175" spans="1:15" ht="15.6" x14ac:dyDescent="0.3">
      <c r="A175" s="112" t="s">
        <v>248</v>
      </c>
      <c r="B175" s="113"/>
      <c r="C175" s="113"/>
      <c r="D175" s="113"/>
      <c r="E175" s="113"/>
      <c r="F175" s="113"/>
      <c r="G175" s="113"/>
      <c r="H175" s="113"/>
      <c r="I175" s="113"/>
      <c r="J175" s="114"/>
    </row>
    <row r="176" spans="1:15" ht="15.6" x14ac:dyDescent="0.3">
      <c r="A176" s="115">
        <v>1</v>
      </c>
      <c r="B176" s="116">
        <v>1</v>
      </c>
      <c r="C176" s="42" t="s">
        <v>135</v>
      </c>
      <c r="D176" s="42">
        <f>41.51*10.764</f>
        <v>446.81363999999996</v>
      </c>
      <c r="E176" s="42">
        <v>0</v>
      </c>
      <c r="F176" s="42">
        <f>E176+D176</f>
        <v>446.81363999999996</v>
      </c>
      <c r="G176" s="42">
        <v>0</v>
      </c>
      <c r="H176" s="58">
        <f>F176*1.45+G176</f>
        <v>647.87977799999987</v>
      </c>
      <c r="I176" s="256" t="str">
        <f>A175</f>
        <v>1st Floor for Residential &amp; Fitness Center</v>
      </c>
      <c r="J176" s="256"/>
      <c r="K176">
        <f>H176/F176</f>
        <v>1.4499999999999997</v>
      </c>
    </row>
    <row r="177" spans="1:10" ht="15.6" x14ac:dyDescent="0.3">
      <c r="A177" s="115">
        <v>2</v>
      </c>
      <c r="B177" s="116">
        <v>2</v>
      </c>
      <c r="C177" s="42" t="s">
        <v>135</v>
      </c>
      <c r="D177" s="42">
        <f>41.42*10.764</f>
        <v>445.84487999999999</v>
      </c>
      <c r="E177" s="42">
        <v>0</v>
      </c>
      <c r="F177" s="42">
        <f>E177+D177</f>
        <v>445.84487999999999</v>
      </c>
      <c r="G177" s="42">
        <v>0</v>
      </c>
      <c r="H177" s="58">
        <f>F177*1.45+G177</f>
        <v>646.47507599999994</v>
      </c>
      <c r="I177" s="256"/>
      <c r="J177" s="256"/>
    </row>
    <row r="178" spans="1:10" ht="15.75" customHeight="1" x14ac:dyDescent="0.3">
      <c r="A178" s="115">
        <v>3</v>
      </c>
      <c r="B178" s="116">
        <v>3</v>
      </c>
      <c r="C178" s="117" t="s">
        <v>249</v>
      </c>
      <c r="D178" s="124"/>
      <c r="E178" s="124"/>
      <c r="F178" s="124"/>
      <c r="G178" s="124"/>
      <c r="H178" s="124"/>
      <c r="I178" s="256"/>
      <c r="J178" s="256"/>
    </row>
    <row r="179" spans="1:10" ht="15.75" customHeight="1" x14ac:dyDescent="0.3">
      <c r="A179" s="115">
        <v>4</v>
      </c>
      <c r="B179" s="116">
        <v>4</v>
      </c>
      <c r="C179" s="121"/>
      <c r="D179" s="125"/>
      <c r="E179" s="125"/>
      <c r="F179" s="125"/>
      <c r="G179" s="125"/>
      <c r="H179" s="125"/>
      <c r="I179" s="256"/>
      <c r="J179" s="256"/>
    </row>
    <row r="180" spans="1:10" ht="15.75" customHeight="1" x14ac:dyDescent="0.3">
      <c r="A180" s="112" t="s">
        <v>136</v>
      </c>
      <c r="B180" s="113"/>
      <c r="C180" s="113"/>
      <c r="D180" s="113"/>
      <c r="E180" s="113"/>
      <c r="F180" s="113"/>
      <c r="G180" s="113"/>
      <c r="H180" s="113"/>
      <c r="I180" s="113"/>
      <c r="J180" s="114"/>
    </row>
    <row r="181" spans="1:10" ht="15.6" x14ac:dyDescent="0.3">
      <c r="A181" s="115">
        <v>1</v>
      </c>
      <c r="B181" s="116">
        <v>1</v>
      </c>
      <c r="C181" s="42" t="s">
        <v>135</v>
      </c>
      <c r="D181" s="42">
        <f>41.51*10.764</f>
        <v>446.81363999999996</v>
      </c>
      <c r="E181" s="42">
        <v>0</v>
      </c>
      <c r="F181" s="42">
        <f>E181+D181</f>
        <v>446.81363999999996</v>
      </c>
      <c r="G181" s="42">
        <v>0</v>
      </c>
      <c r="H181" s="42">
        <f>F181*1.45+G181</f>
        <v>647.87977799999987</v>
      </c>
      <c r="I181" s="256" t="str">
        <f>A180</f>
        <v>2nd to 5th, 7th to 12th, 14th to 21st Floor</v>
      </c>
      <c r="J181" s="256"/>
    </row>
    <row r="182" spans="1:10" ht="15.6" x14ac:dyDescent="0.3">
      <c r="A182" s="115">
        <v>2</v>
      </c>
      <c r="B182" s="116">
        <v>2</v>
      </c>
      <c r="C182" s="42" t="s">
        <v>135</v>
      </c>
      <c r="D182" s="42">
        <f>41.42*10.764</f>
        <v>445.84487999999999</v>
      </c>
      <c r="E182" s="42">
        <v>0</v>
      </c>
      <c r="F182" s="42">
        <f>E182+D182</f>
        <v>445.84487999999999</v>
      </c>
      <c r="G182" s="42">
        <v>0</v>
      </c>
      <c r="H182" s="42">
        <f>F182*1.45+G182</f>
        <v>646.47507599999994</v>
      </c>
      <c r="I182" s="256"/>
      <c r="J182" s="256"/>
    </row>
    <row r="183" spans="1:10" ht="15.6" x14ac:dyDescent="0.3">
      <c r="A183" s="115">
        <v>3</v>
      </c>
      <c r="B183" s="116">
        <v>3</v>
      </c>
      <c r="C183" s="42" t="s">
        <v>135</v>
      </c>
      <c r="D183" s="42">
        <f>41.42*10.764</f>
        <v>445.84487999999999</v>
      </c>
      <c r="E183" s="42">
        <v>0</v>
      </c>
      <c r="F183" s="42">
        <f>E183+D183</f>
        <v>445.84487999999999</v>
      </c>
      <c r="G183" s="42">
        <v>0</v>
      </c>
      <c r="H183" s="42">
        <f>F183*1.45+G183</f>
        <v>646.47507599999994</v>
      </c>
      <c r="I183" s="256"/>
      <c r="J183" s="256"/>
    </row>
    <row r="184" spans="1:10" ht="15.6" x14ac:dyDescent="0.3">
      <c r="A184" s="115">
        <v>4</v>
      </c>
      <c r="B184" s="116">
        <v>4</v>
      </c>
      <c r="C184" s="42" t="s">
        <v>135</v>
      </c>
      <c r="D184" s="42">
        <f>41.51*10.764</f>
        <v>446.81363999999996</v>
      </c>
      <c r="E184" s="42">
        <v>0</v>
      </c>
      <c r="F184" s="42">
        <f>E184+D184</f>
        <v>446.81363999999996</v>
      </c>
      <c r="G184" s="42">
        <v>0</v>
      </c>
      <c r="H184" s="42">
        <f>F184*1.45+G184</f>
        <v>647.87977799999987</v>
      </c>
      <c r="I184" s="256"/>
      <c r="J184" s="256"/>
    </row>
    <row r="185" spans="1:10" ht="15.75" customHeight="1" x14ac:dyDescent="0.3">
      <c r="A185" s="112" t="s">
        <v>241</v>
      </c>
      <c r="B185" s="113"/>
      <c r="C185" s="113"/>
      <c r="D185" s="113"/>
      <c r="E185" s="113"/>
      <c r="F185" s="113"/>
      <c r="G185" s="113"/>
      <c r="H185" s="113"/>
      <c r="I185" s="113"/>
      <c r="J185" s="114"/>
    </row>
    <row r="186" spans="1:10" ht="15.6" x14ac:dyDescent="0.3">
      <c r="A186" s="115">
        <v>1</v>
      </c>
      <c r="B186" s="116">
        <v>1</v>
      </c>
      <c r="C186" s="42" t="s">
        <v>135</v>
      </c>
      <c r="D186" s="42">
        <f>41.51*10.764</f>
        <v>446.81363999999996</v>
      </c>
      <c r="E186" s="42">
        <v>0</v>
      </c>
      <c r="F186" s="42">
        <f>E186+D186</f>
        <v>446.81363999999996</v>
      </c>
      <c r="G186" s="42">
        <v>0</v>
      </c>
      <c r="H186" s="42">
        <f>F186*1.45+G186</f>
        <v>647.87977799999987</v>
      </c>
      <c r="I186" s="117" t="str">
        <f>A185</f>
        <v>6th Floor (Part Refuge Area)</v>
      </c>
      <c r="J186" s="124"/>
    </row>
    <row r="187" spans="1:10" ht="15.6" x14ac:dyDescent="0.3">
      <c r="A187" s="115">
        <v>2</v>
      </c>
      <c r="B187" s="116">
        <v>2</v>
      </c>
      <c r="C187" s="117" t="s">
        <v>137</v>
      </c>
      <c r="D187" s="124"/>
      <c r="E187" s="124"/>
      <c r="F187" s="124"/>
      <c r="G187" s="124"/>
      <c r="H187" s="124"/>
      <c r="I187" s="119"/>
      <c r="J187" s="257"/>
    </row>
    <row r="188" spans="1:10" ht="15.6" x14ac:dyDescent="0.3">
      <c r="A188" s="115">
        <v>3</v>
      </c>
      <c r="B188" s="116">
        <v>3</v>
      </c>
      <c r="C188" s="42" t="s">
        <v>135</v>
      </c>
      <c r="D188" s="42">
        <f>43.36*10.764</f>
        <v>466.72703999999999</v>
      </c>
      <c r="E188" s="42">
        <v>0</v>
      </c>
      <c r="F188" s="42">
        <f>E188+D188</f>
        <v>466.72703999999999</v>
      </c>
      <c r="G188" s="42">
        <v>0</v>
      </c>
      <c r="H188" s="42">
        <f>F188*1.45+G188</f>
        <v>676.75420799999995</v>
      </c>
      <c r="I188" s="119"/>
      <c r="J188" s="257"/>
    </row>
    <row r="189" spans="1:10" ht="15.6" x14ac:dyDescent="0.3">
      <c r="A189" s="115">
        <v>4</v>
      </c>
      <c r="B189" s="116">
        <v>4</v>
      </c>
      <c r="C189" s="42" t="s">
        <v>135</v>
      </c>
      <c r="D189" s="42">
        <f>41.51*10.764</f>
        <v>446.81363999999996</v>
      </c>
      <c r="E189" s="42">
        <v>0</v>
      </c>
      <c r="F189" s="42">
        <f>E189+D189</f>
        <v>446.81363999999996</v>
      </c>
      <c r="G189" s="42">
        <v>0</v>
      </c>
      <c r="H189" s="42">
        <f>F189*1.45+G189</f>
        <v>647.87977799999987</v>
      </c>
      <c r="I189" s="121"/>
      <c r="J189" s="125"/>
    </row>
    <row r="190" spans="1:10" ht="15.75" customHeight="1" x14ac:dyDescent="0.3">
      <c r="A190" s="112" t="s">
        <v>242</v>
      </c>
      <c r="B190" s="113"/>
      <c r="C190" s="113"/>
      <c r="D190" s="113"/>
      <c r="E190" s="113"/>
      <c r="F190" s="113"/>
      <c r="G190" s="113"/>
      <c r="H190" s="113"/>
      <c r="I190" s="113"/>
      <c r="J190" s="114"/>
    </row>
    <row r="191" spans="1:10" ht="15" customHeight="1" x14ac:dyDescent="0.3">
      <c r="A191" s="115">
        <v>1</v>
      </c>
      <c r="B191" s="116">
        <v>1</v>
      </c>
      <c r="C191" s="117" t="s">
        <v>137</v>
      </c>
      <c r="D191" s="124"/>
      <c r="E191" s="124"/>
      <c r="F191" s="124"/>
      <c r="G191" s="124"/>
      <c r="H191" s="118"/>
      <c r="I191" s="117" t="str">
        <f>A190</f>
        <v>13th Floor (Part Refuge Area)</v>
      </c>
      <c r="J191" s="124"/>
    </row>
    <row r="192" spans="1:10" ht="15.75" customHeight="1" x14ac:dyDescent="0.3">
      <c r="A192" s="115">
        <v>2</v>
      </c>
      <c r="B192" s="116">
        <v>2</v>
      </c>
      <c r="C192" s="121"/>
      <c r="D192" s="125"/>
      <c r="E192" s="125"/>
      <c r="F192" s="125"/>
      <c r="G192" s="125"/>
      <c r="H192" s="122"/>
      <c r="I192" s="119"/>
      <c r="J192" s="257"/>
    </row>
    <row r="193" spans="1:11" ht="15.6" x14ac:dyDescent="0.3">
      <c r="A193" s="115">
        <v>3</v>
      </c>
      <c r="B193" s="116">
        <v>3</v>
      </c>
      <c r="C193" s="42" t="s">
        <v>135</v>
      </c>
      <c r="D193" s="42">
        <f>43.36*10.764</f>
        <v>466.72703999999999</v>
      </c>
      <c r="E193" s="42">
        <v>0</v>
      </c>
      <c r="F193" s="42">
        <f>E193+D193</f>
        <v>466.72703999999999</v>
      </c>
      <c r="G193" s="42">
        <v>0</v>
      </c>
      <c r="H193" s="42">
        <f>F193*1.45+G193</f>
        <v>676.75420799999995</v>
      </c>
      <c r="I193" s="119"/>
      <c r="J193" s="257"/>
    </row>
    <row r="194" spans="1:11" ht="15.6" x14ac:dyDescent="0.3">
      <c r="A194" s="115">
        <v>4</v>
      </c>
      <c r="B194" s="116">
        <v>4</v>
      </c>
      <c r="C194" s="42" t="s">
        <v>135</v>
      </c>
      <c r="D194" s="42">
        <f>41.51*10.764</f>
        <v>446.81363999999996</v>
      </c>
      <c r="E194" s="42">
        <v>0</v>
      </c>
      <c r="F194" s="42">
        <f>E194+D194</f>
        <v>446.81363999999996</v>
      </c>
      <c r="G194" s="42">
        <v>0</v>
      </c>
      <c r="H194" s="42">
        <f>F194*1.45+G194</f>
        <v>647.87977799999987</v>
      </c>
      <c r="I194" s="121"/>
      <c r="J194" s="125"/>
    </row>
    <row r="195" spans="1:11" ht="15.6" x14ac:dyDescent="0.3">
      <c r="A195" s="200" t="s">
        <v>238</v>
      </c>
      <c r="B195" s="201"/>
      <c r="C195" s="201"/>
      <c r="D195" s="201"/>
      <c r="E195" s="201"/>
      <c r="F195" s="201"/>
      <c r="G195" s="201"/>
      <c r="H195" s="201"/>
      <c r="I195" s="201"/>
      <c r="J195" s="202"/>
    </row>
    <row r="196" spans="1:11" ht="15.6" x14ac:dyDescent="0.3">
      <c r="A196" s="203" t="s">
        <v>236</v>
      </c>
      <c r="B196" s="204"/>
      <c r="C196" s="204"/>
      <c r="D196" s="204"/>
      <c r="E196" s="204"/>
      <c r="F196" s="204"/>
      <c r="G196" s="204"/>
      <c r="H196" s="204"/>
      <c r="I196" s="204"/>
      <c r="J196" s="205"/>
    </row>
    <row r="197" spans="1:11" ht="15.6" x14ac:dyDescent="0.3">
      <c r="A197" s="203" t="s">
        <v>235</v>
      </c>
      <c r="B197" s="204"/>
      <c r="C197" s="204"/>
      <c r="D197" s="204"/>
      <c r="E197" s="204"/>
      <c r="F197" s="204"/>
      <c r="G197" s="204"/>
      <c r="H197" s="204"/>
      <c r="I197" s="204"/>
      <c r="J197" s="205"/>
    </row>
    <row r="198" spans="1:11" ht="15.6" x14ac:dyDescent="0.3">
      <c r="A198" s="203" t="s">
        <v>237</v>
      </c>
      <c r="B198" s="204"/>
      <c r="C198" s="204"/>
      <c r="D198" s="204"/>
      <c r="E198" s="204"/>
      <c r="F198" s="204"/>
      <c r="G198" s="204"/>
      <c r="H198" s="204"/>
      <c r="I198" s="204"/>
      <c r="J198" s="205"/>
    </row>
    <row r="199" spans="1:11" ht="15.6" x14ac:dyDescent="0.3">
      <c r="A199" s="112" t="s">
        <v>248</v>
      </c>
      <c r="B199" s="113"/>
      <c r="C199" s="113"/>
      <c r="D199" s="113"/>
      <c r="E199" s="113"/>
      <c r="F199" s="113"/>
      <c r="G199" s="113"/>
      <c r="H199" s="113"/>
      <c r="I199" s="113"/>
      <c r="J199" s="114"/>
    </row>
    <row r="200" spans="1:11" ht="15.6" x14ac:dyDescent="0.3">
      <c r="A200" s="115">
        <v>1</v>
      </c>
      <c r="B200" s="116">
        <v>1</v>
      </c>
      <c r="C200" s="42" t="s">
        <v>138</v>
      </c>
      <c r="D200" s="42">
        <f>57.92*10.764</f>
        <v>623.45087999999998</v>
      </c>
      <c r="E200" s="42">
        <v>0</v>
      </c>
      <c r="F200" s="42">
        <f>E200+D200</f>
        <v>623.45087999999998</v>
      </c>
      <c r="G200" s="42">
        <v>0</v>
      </c>
      <c r="H200" s="58">
        <f>F200*1.45+G200</f>
        <v>904.0037759999999</v>
      </c>
      <c r="I200" s="256" t="str">
        <f>A199</f>
        <v>1st Floor for Residential &amp; Fitness Center</v>
      </c>
      <c r="J200" s="256"/>
      <c r="K200">
        <f>H200/F200</f>
        <v>1.45</v>
      </c>
    </row>
    <row r="201" spans="1:11" ht="15.6" x14ac:dyDescent="0.3">
      <c r="A201" s="115">
        <v>2</v>
      </c>
      <c r="B201" s="116">
        <v>2</v>
      </c>
      <c r="C201" s="42" t="s">
        <v>138</v>
      </c>
      <c r="D201" s="42">
        <f>57.45*10.764</f>
        <v>618.39179999999999</v>
      </c>
      <c r="E201" s="42">
        <v>0</v>
      </c>
      <c r="F201" s="42">
        <f>E201+D201</f>
        <v>618.39179999999999</v>
      </c>
      <c r="G201" s="42">
        <v>0</v>
      </c>
      <c r="H201" s="58">
        <f>F201*1.45+G201</f>
        <v>896.66810999999996</v>
      </c>
      <c r="I201" s="256"/>
      <c r="J201" s="256"/>
    </row>
    <row r="202" spans="1:11" ht="15.75" customHeight="1" x14ac:dyDescent="0.3">
      <c r="A202" s="115">
        <v>3</v>
      </c>
      <c r="B202" s="116">
        <v>3</v>
      </c>
      <c r="C202" s="117" t="s">
        <v>249</v>
      </c>
      <c r="D202" s="124"/>
      <c r="E202" s="124"/>
      <c r="F202" s="124"/>
      <c r="G202" s="124"/>
      <c r="H202" s="124"/>
      <c r="I202" s="256"/>
      <c r="J202" s="256"/>
    </row>
    <row r="203" spans="1:11" ht="15.75" customHeight="1" x14ac:dyDescent="0.3">
      <c r="A203" s="115">
        <v>4</v>
      </c>
      <c r="B203" s="116">
        <v>4</v>
      </c>
      <c r="C203" s="121"/>
      <c r="D203" s="125"/>
      <c r="E203" s="125"/>
      <c r="F203" s="125"/>
      <c r="G203" s="125"/>
      <c r="H203" s="125"/>
      <c r="I203" s="256"/>
      <c r="J203" s="256"/>
    </row>
    <row r="204" spans="1:11" ht="15.75" customHeight="1" x14ac:dyDescent="0.3">
      <c r="A204" s="112" t="s">
        <v>136</v>
      </c>
      <c r="B204" s="113"/>
      <c r="C204" s="113"/>
      <c r="D204" s="113"/>
      <c r="E204" s="113"/>
      <c r="F204" s="113"/>
      <c r="G204" s="113"/>
      <c r="H204" s="113"/>
      <c r="I204" s="113"/>
      <c r="J204" s="114"/>
    </row>
    <row r="205" spans="1:11" ht="15.6" x14ac:dyDescent="0.3">
      <c r="A205" s="115">
        <v>1</v>
      </c>
      <c r="B205" s="116">
        <v>1</v>
      </c>
      <c r="C205" s="42" t="s">
        <v>138</v>
      </c>
      <c r="D205" s="42">
        <f>57.92*10.764</f>
        <v>623.45087999999998</v>
      </c>
      <c r="E205" s="42">
        <v>0</v>
      </c>
      <c r="F205" s="42">
        <f>E205+D205</f>
        <v>623.45087999999998</v>
      </c>
      <c r="G205" s="42">
        <v>0</v>
      </c>
      <c r="H205" s="42">
        <f>F205*1.45+G205</f>
        <v>904.0037759999999</v>
      </c>
      <c r="I205" s="256" t="str">
        <f>A204</f>
        <v>2nd to 5th, 7th to 12th, 14th to 21st Floor</v>
      </c>
      <c r="J205" s="256"/>
    </row>
    <row r="206" spans="1:11" ht="15.6" x14ac:dyDescent="0.3">
      <c r="A206" s="115">
        <v>2</v>
      </c>
      <c r="B206" s="116">
        <v>2</v>
      </c>
      <c r="C206" s="42" t="s">
        <v>138</v>
      </c>
      <c r="D206" s="42">
        <f>57.45*10.764</f>
        <v>618.39179999999999</v>
      </c>
      <c r="E206" s="42">
        <v>0</v>
      </c>
      <c r="F206" s="42">
        <f>E206+D206</f>
        <v>618.39179999999999</v>
      </c>
      <c r="G206" s="42">
        <v>0</v>
      </c>
      <c r="H206" s="42">
        <f>F206*1.45+G206</f>
        <v>896.66810999999996</v>
      </c>
      <c r="I206" s="256"/>
      <c r="J206" s="256"/>
    </row>
    <row r="207" spans="1:11" ht="15.6" x14ac:dyDescent="0.3">
      <c r="A207" s="115">
        <v>3</v>
      </c>
      <c r="B207" s="116">
        <v>3</v>
      </c>
      <c r="C207" s="42" t="s">
        <v>138</v>
      </c>
      <c r="D207" s="42">
        <f>57.45*10.764</f>
        <v>618.39179999999999</v>
      </c>
      <c r="E207" s="42">
        <v>0</v>
      </c>
      <c r="F207" s="42">
        <f>E207+D207</f>
        <v>618.39179999999999</v>
      </c>
      <c r="G207" s="42">
        <v>0</v>
      </c>
      <c r="H207" s="42">
        <f>F207*1.45+G207</f>
        <v>896.66810999999996</v>
      </c>
      <c r="I207" s="256"/>
      <c r="J207" s="256"/>
    </row>
    <row r="208" spans="1:11" ht="15.6" x14ac:dyDescent="0.3">
      <c r="A208" s="115">
        <v>4</v>
      </c>
      <c r="B208" s="116">
        <v>4</v>
      </c>
      <c r="C208" s="42" t="s">
        <v>138</v>
      </c>
      <c r="D208" s="42">
        <f>57.45*10.764</f>
        <v>618.39179999999999</v>
      </c>
      <c r="E208" s="42">
        <v>0</v>
      </c>
      <c r="F208" s="42">
        <f>E208+D208</f>
        <v>618.39179999999999</v>
      </c>
      <c r="G208" s="42">
        <v>0</v>
      </c>
      <c r="H208" s="42">
        <f>F208*1.45+G208</f>
        <v>896.66810999999996</v>
      </c>
      <c r="I208" s="256"/>
      <c r="J208" s="256"/>
    </row>
    <row r="209" spans="1:10" ht="15.75" customHeight="1" x14ac:dyDescent="0.3">
      <c r="A209" s="112" t="s">
        <v>241</v>
      </c>
      <c r="B209" s="113"/>
      <c r="C209" s="113"/>
      <c r="D209" s="113"/>
      <c r="E209" s="113"/>
      <c r="F209" s="113"/>
      <c r="G209" s="113"/>
      <c r="H209" s="113"/>
      <c r="I209" s="113"/>
      <c r="J209" s="114"/>
    </row>
    <row r="210" spans="1:10" ht="15.6" x14ac:dyDescent="0.3">
      <c r="A210" s="115">
        <v>1</v>
      </c>
      <c r="B210" s="116">
        <v>2</v>
      </c>
      <c r="C210" s="110" t="s">
        <v>250</v>
      </c>
      <c r="D210" s="123"/>
      <c r="E210" s="123"/>
      <c r="F210" s="123"/>
      <c r="G210" s="123"/>
      <c r="H210" s="111"/>
      <c r="I210" s="117" t="str">
        <f>A209</f>
        <v>6th Floor (Part Refuge Area)</v>
      </c>
      <c r="J210" s="118"/>
    </row>
    <row r="211" spans="1:10" ht="15.75" customHeight="1" x14ac:dyDescent="0.3">
      <c r="A211" s="115">
        <v>2</v>
      </c>
      <c r="B211" s="116">
        <v>1</v>
      </c>
      <c r="C211" s="42" t="s">
        <v>138</v>
      </c>
      <c r="D211" s="42">
        <f>57.92*10.764</f>
        <v>623.45087999999998</v>
      </c>
      <c r="E211" s="42">
        <v>0</v>
      </c>
      <c r="F211" s="42">
        <f>E211+D211</f>
        <v>623.45087999999998</v>
      </c>
      <c r="G211" s="42">
        <v>0</v>
      </c>
      <c r="H211" s="42">
        <f>F211*1.45+G211</f>
        <v>904.0037759999999</v>
      </c>
      <c r="I211" s="119"/>
      <c r="J211" s="120"/>
    </row>
    <row r="212" spans="1:10" ht="15.6" x14ac:dyDescent="0.3">
      <c r="A212" s="115">
        <v>3</v>
      </c>
      <c r="B212" s="116">
        <v>3</v>
      </c>
      <c r="C212" s="42" t="s">
        <v>138</v>
      </c>
      <c r="D212" s="42">
        <f>57.45*10.764</f>
        <v>618.39179999999999</v>
      </c>
      <c r="E212" s="42">
        <v>0</v>
      </c>
      <c r="F212" s="42">
        <f>E212+D212</f>
        <v>618.39179999999999</v>
      </c>
      <c r="G212" s="42">
        <v>0</v>
      </c>
      <c r="H212" s="42">
        <f>F212*1.45+G212</f>
        <v>896.66810999999996</v>
      </c>
      <c r="I212" s="119"/>
      <c r="J212" s="120"/>
    </row>
    <row r="213" spans="1:10" ht="15.6" x14ac:dyDescent="0.3">
      <c r="A213" s="115">
        <v>4</v>
      </c>
      <c r="B213" s="116">
        <v>4</v>
      </c>
      <c r="C213" s="42" t="s">
        <v>138</v>
      </c>
      <c r="D213" s="42">
        <f>57.45*10.764</f>
        <v>618.39179999999999</v>
      </c>
      <c r="E213" s="42">
        <v>0</v>
      </c>
      <c r="F213" s="42">
        <f>E213+D213</f>
        <v>618.39179999999999</v>
      </c>
      <c r="G213" s="42">
        <v>0</v>
      </c>
      <c r="H213" s="42">
        <f>F213*1.45+G213</f>
        <v>896.66810999999996</v>
      </c>
      <c r="I213" s="121"/>
      <c r="J213" s="122"/>
    </row>
    <row r="214" spans="1:10" ht="15.75" customHeight="1" x14ac:dyDescent="0.3">
      <c r="A214" s="112" t="s">
        <v>242</v>
      </c>
      <c r="B214" s="113"/>
      <c r="C214" s="113"/>
      <c r="D214" s="113"/>
      <c r="E214" s="113"/>
      <c r="F214" s="113"/>
      <c r="G214" s="113"/>
      <c r="H214" s="113"/>
      <c r="I214" s="113"/>
      <c r="J214" s="114"/>
    </row>
    <row r="215" spans="1:10" ht="15.6" x14ac:dyDescent="0.3">
      <c r="A215" s="115">
        <v>1</v>
      </c>
      <c r="B215" s="116">
        <v>2</v>
      </c>
      <c r="C215" s="110" t="s">
        <v>250</v>
      </c>
      <c r="D215" s="123"/>
      <c r="E215" s="123"/>
      <c r="F215" s="123"/>
      <c r="G215" s="123"/>
      <c r="H215" s="111"/>
      <c r="I215" s="117" t="str">
        <f>A214</f>
        <v>13th Floor (Part Refuge Area)</v>
      </c>
      <c r="J215" s="118"/>
    </row>
    <row r="216" spans="1:10" ht="15.75" customHeight="1" x14ac:dyDescent="0.3">
      <c r="A216" s="115">
        <v>2</v>
      </c>
      <c r="B216" s="116">
        <v>1</v>
      </c>
      <c r="C216" s="42" t="s">
        <v>138</v>
      </c>
      <c r="D216" s="42">
        <f>57.92*10.764</f>
        <v>623.45087999999998</v>
      </c>
      <c r="E216" s="42">
        <v>0</v>
      </c>
      <c r="F216" s="42">
        <f>E216+D216</f>
        <v>623.45087999999998</v>
      </c>
      <c r="G216" s="42">
        <v>0</v>
      </c>
      <c r="H216" s="42">
        <f>F216*1.45+G216</f>
        <v>904.0037759999999</v>
      </c>
      <c r="I216" s="119"/>
      <c r="J216" s="120"/>
    </row>
    <row r="217" spans="1:10" ht="15.6" x14ac:dyDescent="0.3">
      <c r="A217" s="115">
        <v>3</v>
      </c>
      <c r="B217" s="116">
        <v>3</v>
      </c>
      <c r="C217" s="42" t="s">
        <v>138</v>
      </c>
      <c r="D217" s="42">
        <f>57.45*10.764</f>
        <v>618.39179999999999</v>
      </c>
      <c r="E217" s="42">
        <v>0</v>
      </c>
      <c r="F217" s="42">
        <f>E217+D217</f>
        <v>618.39179999999999</v>
      </c>
      <c r="G217" s="42">
        <v>0</v>
      </c>
      <c r="H217" s="42">
        <f>F217*1.45+G217</f>
        <v>896.66810999999996</v>
      </c>
      <c r="I217" s="119"/>
      <c r="J217" s="120"/>
    </row>
    <row r="218" spans="1:10" ht="15.6" x14ac:dyDescent="0.3">
      <c r="A218" s="115">
        <v>4</v>
      </c>
      <c r="B218" s="116">
        <v>4</v>
      </c>
      <c r="C218" s="42" t="s">
        <v>138</v>
      </c>
      <c r="D218" s="42">
        <f>57.45*10.764</f>
        <v>618.39179999999999</v>
      </c>
      <c r="E218" s="42">
        <v>0</v>
      </c>
      <c r="F218" s="42">
        <f>E218+D218</f>
        <v>618.39179999999999</v>
      </c>
      <c r="G218" s="42">
        <v>0</v>
      </c>
      <c r="H218" s="42">
        <f>F218*1.45+G218</f>
        <v>896.66810999999996</v>
      </c>
      <c r="I218" s="121"/>
      <c r="J218" s="122"/>
    </row>
    <row r="219" spans="1:10" ht="15.75" customHeight="1" x14ac:dyDescent="0.3">
      <c r="A219" s="200" t="s">
        <v>239</v>
      </c>
      <c r="B219" s="201"/>
      <c r="C219" s="201"/>
      <c r="D219" s="201"/>
      <c r="E219" s="201"/>
      <c r="F219" s="201"/>
      <c r="G219" s="201"/>
      <c r="H219" s="201"/>
      <c r="I219" s="201"/>
      <c r="J219" s="202"/>
    </row>
    <row r="220" spans="1:10" ht="15.6" x14ac:dyDescent="0.3">
      <c r="A220" s="203" t="s">
        <v>236</v>
      </c>
      <c r="B220" s="204"/>
      <c r="C220" s="204"/>
      <c r="D220" s="204"/>
      <c r="E220" s="204"/>
      <c r="F220" s="204"/>
      <c r="G220" s="204"/>
      <c r="H220" s="204"/>
      <c r="I220" s="204"/>
      <c r="J220" s="205"/>
    </row>
    <row r="221" spans="1:10" ht="15.6" x14ac:dyDescent="0.3">
      <c r="A221" s="203" t="s">
        <v>235</v>
      </c>
      <c r="B221" s="204"/>
      <c r="C221" s="204"/>
      <c r="D221" s="204"/>
      <c r="E221" s="204"/>
      <c r="F221" s="204"/>
      <c r="G221" s="204"/>
      <c r="H221" s="204"/>
      <c r="I221" s="204"/>
      <c r="J221" s="205"/>
    </row>
    <row r="222" spans="1:10" ht="15.6" x14ac:dyDescent="0.3">
      <c r="A222" s="203" t="s">
        <v>237</v>
      </c>
      <c r="B222" s="204"/>
      <c r="C222" s="204"/>
      <c r="D222" s="204"/>
      <c r="E222" s="204"/>
      <c r="F222" s="204"/>
      <c r="G222" s="204"/>
      <c r="H222" s="204"/>
      <c r="I222" s="204"/>
      <c r="J222" s="205"/>
    </row>
    <row r="223" spans="1:10" ht="15.75" customHeight="1" x14ac:dyDescent="0.3">
      <c r="A223" s="112" t="s">
        <v>248</v>
      </c>
      <c r="B223" s="113"/>
      <c r="C223" s="113"/>
      <c r="D223" s="113"/>
      <c r="E223" s="113"/>
      <c r="F223" s="113"/>
      <c r="G223" s="113"/>
      <c r="H223" s="113"/>
      <c r="I223" s="113"/>
      <c r="J223" s="114"/>
    </row>
    <row r="224" spans="1:10" ht="15.75" customHeight="1" x14ac:dyDescent="0.3">
      <c r="A224" s="115">
        <v>1</v>
      </c>
      <c r="B224" s="116">
        <v>1</v>
      </c>
      <c r="C224" s="110" t="s">
        <v>249</v>
      </c>
      <c r="D224" s="123"/>
      <c r="E224" s="123"/>
      <c r="F224" s="123"/>
      <c r="G224" s="123"/>
      <c r="H224" s="111"/>
      <c r="I224" s="117" t="str">
        <f>A223</f>
        <v>1st Floor for Residential &amp; Fitness Center</v>
      </c>
      <c r="J224" s="118"/>
    </row>
    <row r="225" spans="1:10" ht="15.6" x14ac:dyDescent="0.3">
      <c r="A225" s="115">
        <v>2</v>
      </c>
      <c r="B225" s="116">
        <v>2</v>
      </c>
      <c r="C225" s="42" t="s">
        <v>135</v>
      </c>
      <c r="D225" s="42">
        <f>40.73*10.764</f>
        <v>438.41771999999992</v>
      </c>
      <c r="E225" s="42">
        <v>0</v>
      </c>
      <c r="F225" s="42">
        <f>E225+D225</f>
        <v>438.41771999999992</v>
      </c>
      <c r="G225" s="42">
        <v>0</v>
      </c>
      <c r="H225" s="42">
        <f>F225*1.45+G225</f>
        <v>635.70569399999988</v>
      </c>
      <c r="I225" s="119"/>
      <c r="J225" s="120"/>
    </row>
    <row r="226" spans="1:10" ht="15.6" x14ac:dyDescent="0.3">
      <c r="A226" s="115">
        <v>3</v>
      </c>
      <c r="B226" s="116">
        <v>1</v>
      </c>
      <c r="C226" s="42" t="s">
        <v>135</v>
      </c>
      <c r="D226" s="42">
        <f>40.73*10.764</f>
        <v>438.41771999999992</v>
      </c>
      <c r="E226" s="42">
        <v>0</v>
      </c>
      <c r="F226" s="42">
        <f>E226+D226</f>
        <v>438.41771999999992</v>
      </c>
      <c r="G226" s="42">
        <v>0</v>
      </c>
      <c r="H226" s="42">
        <f>F226*1.45+G226</f>
        <v>635.70569399999988</v>
      </c>
      <c r="I226" s="119"/>
      <c r="J226" s="120"/>
    </row>
    <row r="227" spans="1:10" ht="15.6" x14ac:dyDescent="0.3">
      <c r="A227" s="115">
        <v>4</v>
      </c>
      <c r="B227" s="116">
        <v>2</v>
      </c>
      <c r="C227" s="42" t="s">
        <v>135</v>
      </c>
      <c r="D227" s="42">
        <f>40.91*10.764</f>
        <v>440.35523999999992</v>
      </c>
      <c r="E227" s="42">
        <v>0</v>
      </c>
      <c r="F227" s="42">
        <f>E227+D227</f>
        <v>440.35523999999992</v>
      </c>
      <c r="G227" s="42">
        <v>0</v>
      </c>
      <c r="H227" s="42">
        <f>F227*1.45+G227</f>
        <v>638.51509799999985</v>
      </c>
      <c r="I227" s="121"/>
      <c r="J227" s="122"/>
    </row>
    <row r="228" spans="1:10" ht="15" customHeight="1" x14ac:dyDescent="0.3">
      <c r="A228" s="112" t="s">
        <v>136</v>
      </c>
      <c r="B228" s="113"/>
      <c r="C228" s="113"/>
      <c r="D228" s="113"/>
      <c r="E228" s="113"/>
      <c r="F228" s="113"/>
      <c r="G228" s="113"/>
      <c r="H228" s="113"/>
      <c r="I228" s="113"/>
      <c r="J228" s="114"/>
    </row>
    <row r="229" spans="1:10" ht="15.6" x14ac:dyDescent="0.3">
      <c r="A229" s="115">
        <v>1</v>
      </c>
      <c r="B229" s="116">
        <v>1</v>
      </c>
      <c r="C229" s="42" t="s">
        <v>135</v>
      </c>
      <c r="D229" s="42">
        <f>40.64*10.764</f>
        <v>437.44896</v>
      </c>
      <c r="E229" s="42">
        <v>0</v>
      </c>
      <c r="F229" s="42">
        <f>E229+D229</f>
        <v>437.44896</v>
      </c>
      <c r="G229" s="42">
        <v>0</v>
      </c>
      <c r="H229" s="42">
        <f>F229*1.45+G229</f>
        <v>634.30099199999995</v>
      </c>
      <c r="I229" s="117" t="str">
        <f>A228</f>
        <v>2nd to 5th, 7th to 12th, 14th to 21st Floor</v>
      </c>
      <c r="J229" s="118"/>
    </row>
    <row r="230" spans="1:10" ht="15.6" x14ac:dyDescent="0.3">
      <c r="A230" s="115">
        <v>2</v>
      </c>
      <c r="B230" s="116">
        <v>2</v>
      </c>
      <c r="C230" s="42" t="s">
        <v>135</v>
      </c>
      <c r="D230" s="42">
        <f>40.73*10.764</f>
        <v>438.41771999999992</v>
      </c>
      <c r="E230" s="42">
        <v>0</v>
      </c>
      <c r="F230" s="42">
        <f>E230+D230</f>
        <v>438.41771999999992</v>
      </c>
      <c r="G230" s="42">
        <v>0</v>
      </c>
      <c r="H230" s="42">
        <f>F230*1.45+G230</f>
        <v>635.70569399999988</v>
      </c>
      <c r="I230" s="119"/>
      <c r="J230" s="120"/>
    </row>
    <row r="231" spans="1:10" ht="15.6" x14ac:dyDescent="0.3">
      <c r="A231" s="115">
        <v>3</v>
      </c>
      <c r="B231" s="116">
        <v>3</v>
      </c>
      <c r="C231" s="42" t="s">
        <v>135</v>
      </c>
      <c r="D231" s="42">
        <f>40.73*10.764</f>
        <v>438.41771999999992</v>
      </c>
      <c r="E231" s="42">
        <v>0</v>
      </c>
      <c r="F231" s="42">
        <f>E231+D231</f>
        <v>438.41771999999992</v>
      </c>
      <c r="G231" s="42">
        <v>0</v>
      </c>
      <c r="H231" s="42">
        <f>F231*1.45+G231</f>
        <v>635.70569399999988</v>
      </c>
      <c r="I231" s="119"/>
      <c r="J231" s="120"/>
    </row>
    <row r="232" spans="1:10" ht="15.6" x14ac:dyDescent="0.3">
      <c r="A232" s="115">
        <v>4</v>
      </c>
      <c r="B232" s="116">
        <v>4</v>
      </c>
      <c r="C232" s="42" t="s">
        <v>135</v>
      </c>
      <c r="D232" s="42">
        <f>40.91*10.764</f>
        <v>440.35523999999992</v>
      </c>
      <c r="E232" s="42">
        <v>0</v>
      </c>
      <c r="F232" s="42">
        <f>E232+D232</f>
        <v>440.35523999999992</v>
      </c>
      <c r="G232" s="42">
        <v>0</v>
      </c>
      <c r="H232" s="42">
        <f>F232*1.45+G232</f>
        <v>638.51509799999985</v>
      </c>
      <c r="I232" s="121"/>
      <c r="J232" s="122"/>
    </row>
    <row r="233" spans="1:10" ht="15" customHeight="1" x14ac:dyDescent="0.3">
      <c r="A233" s="112" t="s">
        <v>241</v>
      </c>
      <c r="B233" s="113"/>
      <c r="C233" s="113"/>
      <c r="D233" s="113"/>
      <c r="E233" s="113"/>
      <c r="F233" s="113"/>
      <c r="G233" s="113"/>
      <c r="H233" s="113"/>
      <c r="I233" s="113"/>
      <c r="J233" s="114"/>
    </row>
    <row r="234" spans="1:10" ht="15.6" x14ac:dyDescent="0.3">
      <c r="A234" s="115">
        <v>1</v>
      </c>
      <c r="B234" s="116">
        <v>1</v>
      </c>
      <c r="C234" s="42" t="s">
        <v>135</v>
      </c>
      <c r="D234" s="42">
        <f>40.64*10.764</f>
        <v>437.44896</v>
      </c>
      <c r="E234" s="42">
        <v>0</v>
      </c>
      <c r="F234" s="42">
        <f>E234+D234</f>
        <v>437.44896</v>
      </c>
      <c r="G234" s="42">
        <v>0</v>
      </c>
      <c r="H234" s="42">
        <f>F234*1.45+G234</f>
        <v>634.30099199999995</v>
      </c>
      <c r="I234" s="117" t="str">
        <f>A233</f>
        <v>6th Floor (Part Refuge Area)</v>
      </c>
      <c r="J234" s="118"/>
    </row>
    <row r="235" spans="1:10" ht="15.6" x14ac:dyDescent="0.3">
      <c r="A235" s="115">
        <v>2</v>
      </c>
      <c r="B235" s="116">
        <v>2</v>
      </c>
      <c r="C235" s="42" t="s">
        <v>135</v>
      </c>
      <c r="D235" s="42">
        <f>40.73*10.764</f>
        <v>438.41771999999992</v>
      </c>
      <c r="E235" s="42">
        <v>0</v>
      </c>
      <c r="F235" s="42">
        <f>E235+D235</f>
        <v>438.41771999999992</v>
      </c>
      <c r="G235" s="42">
        <v>0</v>
      </c>
      <c r="H235" s="42">
        <f>F235*1.45+G235</f>
        <v>635.70569399999988</v>
      </c>
      <c r="I235" s="119"/>
      <c r="J235" s="120"/>
    </row>
    <row r="236" spans="1:10" ht="15.6" x14ac:dyDescent="0.3">
      <c r="A236" s="115">
        <v>3</v>
      </c>
      <c r="B236" s="116">
        <v>3</v>
      </c>
      <c r="C236" s="110" t="s">
        <v>250</v>
      </c>
      <c r="D236" s="123"/>
      <c r="E236" s="123"/>
      <c r="F236" s="123"/>
      <c r="G236" s="123"/>
      <c r="H236" s="111"/>
      <c r="I236" s="119"/>
      <c r="J236" s="120"/>
    </row>
    <row r="237" spans="1:10" ht="15.6" x14ac:dyDescent="0.3">
      <c r="A237" s="115">
        <v>4</v>
      </c>
      <c r="B237" s="116">
        <v>4</v>
      </c>
      <c r="C237" s="42" t="s">
        <v>135</v>
      </c>
      <c r="D237" s="42">
        <f>40.91*10.764</f>
        <v>440.35523999999992</v>
      </c>
      <c r="E237" s="42">
        <v>0</v>
      </c>
      <c r="F237" s="42">
        <f>E237+D237</f>
        <v>440.35523999999992</v>
      </c>
      <c r="G237" s="42">
        <v>0</v>
      </c>
      <c r="H237" s="42">
        <f>F237*1.45+G237</f>
        <v>638.51509799999985</v>
      </c>
      <c r="I237" s="121"/>
      <c r="J237" s="122"/>
    </row>
    <row r="238" spans="1:10" ht="15.75" customHeight="1" x14ac:dyDescent="0.3">
      <c r="A238" s="112" t="s">
        <v>242</v>
      </c>
      <c r="B238" s="113"/>
      <c r="C238" s="113"/>
      <c r="D238" s="113"/>
      <c r="E238" s="113"/>
      <c r="F238" s="113"/>
      <c r="G238" s="113"/>
      <c r="H238" s="113"/>
      <c r="I238" s="113"/>
      <c r="J238" s="114"/>
    </row>
    <row r="239" spans="1:10" ht="15.6" x14ac:dyDescent="0.3">
      <c r="A239" s="115">
        <v>1</v>
      </c>
      <c r="B239" s="116">
        <v>1</v>
      </c>
      <c r="C239" s="42" t="s">
        <v>135</v>
      </c>
      <c r="D239" s="42">
        <f>40.64*10.764</f>
        <v>437.44896</v>
      </c>
      <c r="E239" s="42">
        <v>0</v>
      </c>
      <c r="F239" s="42">
        <f>E239+D239</f>
        <v>437.44896</v>
      </c>
      <c r="G239" s="42">
        <v>0</v>
      </c>
      <c r="H239" s="42">
        <f>F239*1.45+G239</f>
        <v>634.30099199999995</v>
      </c>
      <c r="I239" s="117" t="str">
        <f>A238</f>
        <v>13th Floor (Part Refuge Area)</v>
      </c>
      <c r="J239" s="118"/>
    </row>
    <row r="240" spans="1:10" ht="15.75" customHeight="1" x14ac:dyDescent="0.3">
      <c r="A240" s="115">
        <v>2</v>
      </c>
      <c r="B240" s="116">
        <v>2</v>
      </c>
      <c r="C240" s="117" t="s">
        <v>250</v>
      </c>
      <c r="D240" s="124"/>
      <c r="E240" s="124"/>
      <c r="F240" s="124"/>
      <c r="G240" s="124"/>
      <c r="H240" s="118"/>
      <c r="I240" s="119"/>
      <c r="J240" s="120"/>
    </row>
    <row r="241" spans="1:11" ht="15.75" customHeight="1" x14ac:dyDescent="0.3">
      <c r="A241" s="115">
        <v>3</v>
      </c>
      <c r="B241" s="116">
        <v>3</v>
      </c>
      <c r="C241" s="121"/>
      <c r="D241" s="125"/>
      <c r="E241" s="125"/>
      <c r="F241" s="125"/>
      <c r="G241" s="125"/>
      <c r="H241" s="122"/>
      <c r="I241" s="119"/>
      <c r="J241" s="120"/>
    </row>
    <row r="242" spans="1:11" ht="15.6" x14ac:dyDescent="0.3">
      <c r="A242" s="115">
        <v>4</v>
      </c>
      <c r="B242" s="116">
        <v>4</v>
      </c>
      <c r="C242" s="42" t="s">
        <v>135</v>
      </c>
      <c r="D242" s="42">
        <f>40.91*10.764</f>
        <v>440.35523999999992</v>
      </c>
      <c r="E242" s="42">
        <v>0</v>
      </c>
      <c r="F242" s="42">
        <f>E242+D242</f>
        <v>440.35523999999992</v>
      </c>
      <c r="G242" s="42">
        <v>0</v>
      </c>
      <c r="H242" s="42">
        <f>F242*1.45+G242</f>
        <v>638.51509799999985</v>
      </c>
      <c r="I242" s="121"/>
      <c r="J242" s="122"/>
    </row>
    <row r="243" spans="1:11" ht="15.6" x14ac:dyDescent="0.3">
      <c r="A243" s="200" t="s">
        <v>251</v>
      </c>
      <c r="B243" s="201"/>
      <c r="C243" s="201"/>
      <c r="D243" s="201"/>
      <c r="E243" s="201"/>
      <c r="F243" s="201"/>
      <c r="G243" s="201"/>
      <c r="H243" s="201"/>
      <c r="I243" s="201"/>
      <c r="J243" s="202"/>
    </row>
    <row r="244" spans="1:11" ht="15.6" x14ac:dyDescent="0.3">
      <c r="A244" s="203" t="s">
        <v>236</v>
      </c>
      <c r="B244" s="204"/>
      <c r="C244" s="204"/>
      <c r="D244" s="204"/>
      <c r="E244" s="204"/>
      <c r="F244" s="204"/>
      <c r="G244" s="204"/>
      <c r="H244" s="204"/>
      <c r="I244" s="204"/>
      <c r="J244" s="205"/>
    </row>
    <row r="245" spans="1:11" ht="15.6" x14ac:dyDescent="0.3">
      <c r="A245" s="203" t="s">
        <v>235</v>
      </c>
      <c r="B245" s="204"/>
      <c r="C245" s="204"/>
      <c r="D245" s="204"/>
      <c r="E245" s="204"/>
      <c r="F245" s="204"/>
      <c r="G245" s="204"/>
      <c r="H245" s="204"/>
      <c r="I245" s="204"/>
      <c r="J245" s="205"/>
    </row>
    <row r="246" spans="1:11" ht="15.6" x14ac:dyDescent="0.3">
      <c r="A246" s="203" t="s">
        <v>237</v>
      </c>
      <c r="B246" s="204"/>
      <c r="C246" s="204"/>
      <c r="D246" s="204"/>
      <c r="E246" s="204"/>
      <c r="F246" s="204"/>
      <c r="G246" s="204"/>
      <c r="H246" s="204"/>
      <c r="I246" s="204"/>
      <c r="J246" s="205"/>
    </row>
    <row r="247" spans="1:11" ht="15.6" x14ac:dyDescent="0.3">
      <c r="A247" s="112" t="s">
        <v>248</v>
      </c>
      <c r="B247" s="113"/>
      <c r="C247" s="113"/>
      <c r="D247" s="113"/>
      <c r="E247" s="113"/>
      <c r="F247" s="113"/>
      <c r="G247" s="113"/>
      <c r="H247" s="113"/>
      <c r="I247" s="113"/>
      <c r="J247" s="114"/>
    </row>
    <row r="248" spans="1:11" ht="15.6" x14ac:dyDescent="0.3">
      <c r="A248" s="115">
        <v>1</v>
      </c>
      <c r="B248" s="116">
        <v>1</v>
      </c>
      <c r="C248" s="42" t="s">
        <v>138</v>
      </c>
      <c r="D248" s="42">
        <f>57.45*10.764</f>
        <v>618.39179999999999</v>
      </c>
      <c r="E248" s="42">
        <v>0</v>
      </c>
      <c r="F248" s="42">
        <f>E248+D248</f>
        <v>618.39179999999999</v>
      </c>
      <c r="G248" s="42">
        <v>0</v>
      </c>
      <c r="H248" s="58">
        <f>F248*1.45+G248</f>
        <v>896.66810999999996</v>
      </c>
      <c r="I248" s="256" t="str">
        <f>A247</f>
        <v>1st Floor for Residential &amp; Fitness Center</v>
      </c>
      <c r="J248" s="256"/>
      <c r="K248">
        <f>H248/F248</f>
        <v>1.45</v>
      </c>
    </row>
    <row r="249" spans="1:11" ht="15.6" x14ac:dyDescent="0.3">
      <c r="A249" s="115">
        <v>2</v>
      </c>
      <c r="B249" s="116">
        <v>2</v>
      </c>
      <c r="C249" s="42" t="s">
        <v>138</v>
      </c>
      <c r="D249" s="42">
        <f>57.45*10.764</f>
        <v>618.39179999999999</v>
      </c>
      <c r="E249" s="42">
        <v>0</v>
      </c>
      <c r="F249" s="42">
        <f>E249+D249</f>
        <v>618.39179999999999</v>
      </c>
      <c r="G249" s="42">
        <v>0</v>
      </c>
      <c r="H249" s="58">
        <f>F249*1.45+G249</f>
        <v>896.66810999999996</v>
      </c>
      <c r="I249" s="256"/>
      <c r="J249" s="256"/>
    </row>
    <row r="250" spans="1:11" ht="15.75" customHeight="1" x14ac:dyDescent="0.3">
      <c r="A250" s="115">
        <v>3</v>
      </c>
      <c r="B250" s="116">
        <v>3</v>
      </c>
      <c r="C250" s="117" t="s">
        <v>249</v>
      </c>
      <c r="D250" s="124"/>
      <c r="E250" s="124"/>
      <c r="F250" s="124"/>
      <c r="G250" s="124"/>
      <c r="H250" s="124"/>
      <c r="I250" s="256"/>
      <c r="J250" s="256"/>
    </row>
    <row r="251" spans="1:11" ht="15.75" customHeight="1" x14ac:dyDescent="0.3">
      <c r="A251" s="115">
        <v>4</v>
      </c>
      <c r="B251" s="116">
        <v>4</v>
      </c>
      <c r="C251" s="121"/>
      <c r="D251" s="125"/>
      <c r="E251" s="125"/>
      <c r="F251" s="125"/>
      <c r="G251" s="125"/>
      <c r="H251" s="125"/>
      <c r="I251" s="256"/>
      <c r="J251" s="256"/>
    </row>
    <row r="252" spans="1:11" ht="15.75" customHeight="1" x14ac:dyDescent="0.3">
      <c r="A252" s="112" t="s">
        <v>136</v>
      </c>
      <c r="B252" s="113"/>
      <c r="C252" s="113"/>
      <c r="D252" s="113"/>
      <c r="E252" s="113"/>
      <c r="F252" s="113"/>
      <c r="G252" s="113"/>
      <c r="H252" s="113"/>
      <c r="I252" s="113"/>
      <c r="J252" s="114"/>
    </row>
    <row r="253" spans="1:11" ht="15.6" x14ac:dyDescent="0.3">
      <c r="A253" s="115">
        <v>1</v>
      </c>
      <c r="B253" s="116">
        <v>1</v>
      </c>
      <c r="C253" s="42" t="s">
        <v>138</v>
      </c>
      <c r="D253" s="42">
        <f>57.45*10.764</f>
        <v>618.39179999999999</v>
      </c>
      <c r="E253" s="42">
        <v>0</v>
      </c>
      <c r="F253" s="42">
        <f>E253+D253</f>
        <v>618.39179999999999</v>
      </c>
      <c r="G253" s="42">
        <v>0</v>
      </c>
      <c r="H253" s="42">
        <f>F253*1.45+G253</f>
        <v>896.66810999999996</v>
      </c>
      <c r="I253" s="256" t="str">
        <f>A252</f>
        <v>2nd to 5th, 7th to 12th, 14th to 21st Floor</v>
      </c>
      <c r="J253" s="256"/>
    </row>
    <row r="254" spans="1:11" ht="15.6" x14ac:dyDescent="0.3">
      <c r="A254" s="115">
        <v>2</v>
      </c>
      <c r="B254" s="116">
        <v>2</v>
      </c>
      <c r="C254" s="42" t="s">
        <v>138</v>
      </c>
      <c r="D254" s="42">
        <f>57.45*10.764</f>
        <v>618.39179999999999</v>
      </c>
      <c r="E254" s="42">
        <v>0</v>
      </c>
      <c r="F254" s="42">
        <f>E254+D254</f>
        <v>618.39179999999999</v>
      </c>
      <c r="G254" s="42">
        <v>0</v>
      </c>
      <c r="H254" s="42">
        <f>F254*1.45+G254</f>
        <v>896.66810999999996</v>
      </c>
      <c r="I254" s="256"/>
      <c r="J254" s="256"/>
    </row>
    <row r="255" spans="1:11" ht="15.6" x14ac:dyDescent="0.3">
      <c r="A255" s="115">
        <v>3</v>
      </c>
      <c r="B255" s="116">
        <v>3</v>
      </c>
      <c r="C255" s="42" t="s">
        <v>138</v>
      </c>
      <c r="D255" s="42">
        <f>57.45*10.764</f>
        <v>618.39179999999999</v>
      </c>
      <c r="E255" s="42">
        <v>0</v>
      </c>
      <c r="F255" s="42">
        <f>E255+D255</f>
        <v>618.39179999999999</v>
      </c>
      <c r="G255" s="42">
        <v>0</v>
      </c>
      <c r="H255" s="42">
        <f>F255*1.45+G255</f>
        <v>896.66810999999996</v>
      </c>
      <c r="I255" s="256"/>
      <c r="J255" s="256"/>
    </row>
    <row r="256" spans="1:11" ht="15.6" x14ac:dyDescent="0.3">
      <c r="A256" s="115">
        <v>4</v>
      </c>
      <c r="B256" s="116">
        <v>4</v>
      </c>
      <c r="C256" s="42" t="s">
        <v>138</v>
      </c>
      <c r="D256" s="42">
        <f>57.45*10.764</f>
        <v>618.39179999999999</v>
      </c>
      <c r="E256" s="42">
        <v>0</v>
      </c>
      <c r="F256" s="42">
        <f>E256+D256</f>
        <v>618.39179999999999</v>
      </c>
      <c r="G256" s="42">
        <v>0</v>
      </c>
      <c r="H256" s="42">
        <f>F256*1.45+G256</f>
        <v>896.66810999999996</v>
      </c>
      <c r="I256" s="256"/>
      <c r="J256" s="256"/>
    </row>
    <row r="257" spans="1:10" ht="15.75" customHeight="1" x14ac:dyDescent="0.3">
      <c r="A257" s="112" t="s">
        <v>241</v>
      </c>
      <c r="B257" s="113"/>
      <c r="C257" s="113"/>
      <c r="D257" s="113"/>
      <c r="E257" s="113"/>
      <c r="F257" s="113"/>
      <c r="G257" s="113"/>
      <c r="H257" s="113"/>
      <c r="I257" s="113"/>
      <c r="J257" s="114"/>
    </row>
    <row r="258" spans="1:10" ht="15.6" x14ac:dyDescent="0.3">
      <c r="A258" s="115">
        <v>1</v>
      </c>
      <c r="B258" s="116">
        <v>2</v>
      </c>
      <c r="C258" s="110" t="s">
        <v>250</v>
      </c>
      <c r="D258" s="123"/>
      <c r="E258" s="123"/>
      <c r="F258" s="123"/>
      <c r="G258" s="123"/>
      <c r="H258" s="111"/>
      <c r="I258" s="117" t="str">
        <f>A257</f>
        <v>6th Floor (Part Refuge Area)</v>
      </c>
      <c r="J258" s="118"/>
    </row>
    <row r="259" spans="1:10" ht="15.75" customHeight="1" x14ac:dyDescent="0.3">
      <c r="A259" s="115">
        <v>2</v>
      </c>
      <c r="B259" s="116">
        <v>1</v>
      </c>
      <c r="C259" s="42" t="s">
        <v>138</v>
      </c>
      <c r="D259" s="42">
        <f>57.45*10.764</f>
        <v>618.39179999999999</v>
      </c>
      <c r="E259" s="42">
        <v>0</v>
      </c>
      <c r="F259" s="42">
        <f>E259+D259</f>
        <v>618.39179999999999</v>
      </c>
      <c r="G259" s="42">
        <v>0</v>
      </c>
      <c r="H259" s="42">
        <f>F259*1.45+G259</f>
        <v>896.66810999999996</v>
      </c>
      <c r="I259" s="119"/>
      <c r="J259" s="120"/>
    </row>
    <row r="260" spans="1:10" ht="15.6" x14ac:dyDescent="0.3">
      <c r="A260" s="115">
        <v>3</v>
      </c>
      <c r="B260" s="116">
        <v>3</v>
      </c>
      <c r="C260" s="42" t="s">
        <v>138</v>
      </c>
      <c r="D260" s="42">
        <f>57.45*10.764</f>
        <v>618.39179999999999</v>
      </c>
      <c r="E260" s="42">
        <v>0</v>
      </c>
      <c r="F260" s="42">
        <f>E260+D260</f>
        <v>618.39179999999999</v>
      </c>
      <c r="G260" s="42">
        <v>0</v>
      </c>
      <c r="H260" s="42">
        <f>F260*1.45+G260</f>
        <v>896.66810999999996</v>
      </c>
      <c r="I260" s="119"/>
      <c r="J260" s="120"/>
    </row>
    <row r="261" spans="1:10" ht="15.6" x14ac:dyDescent="0.3">
      <c r="A261" s="115">
        <v>4</v>
      </c>
      <c r="B261" s="116">
        <v>4</v>
      </c>
      <c r="C261" s="42" t="s">
        <v>138</v>
      </c>
      <c r="D261" s="42">
        <f>57.45*10.764</f>
        <v>618.39179999999999</v>
      </c>
      <c r="E261" s="42">
        <v>0</v>
      </c>
      <c r="F261" s="42">
        <f>E261+D261</f>
        <v>618.39179999999999</v>
      </c>
      <c r="G261" s="42">
        <v>0</v>
      </c>
      <c r="H261" s="42">
        <f>F261*1.45+G261</f>
        <v>896.66810999999996</v>
      </c>
      <c r="I261" s="121"/>
      <c r="J261" s="122"/>
    </row>
    <row r="262" spans="1:10" ht="15.75" customHeight="1" x14ac:dyDescent="0.3">
      <c r="A262" s="112" t="s">
        <v>242</v>
      </c>
      <c r="B262" s="113"/>
      <c r="C262" s="113"/>
      <c r="D262" s="113"/>
      <c r="E262" s="113"/>
      <c r="F262" s="113"/>
      <c r="G262" s="113"/>
      <c r="H262" s="113"/>
      <c r="I262" s="113"/>
      <c r="J262" s="114"/>
    </row>
    <row r="263" spans="1:10" ht="15.6" x14ac:dyDescent="0.3">
      <c r="A263" s="115">
        <v>1</v>
      </c>
      <c r="B263" s="116">
        <v>2</v>
      </c>
      <c r="C263" s="110" t="s">
        <v>250</v>
      </c>
      <c r="D263" s="123"/>
      <c r="E263" s="123"/>
      <c r="F263" s="123"/>
      <c r="G263" s="123"/>
      <c r="H263" s="111"/>
      <c r="I263" s="117" t="str">
        <f>A262</f>
        <v>13th Floor (Part Refuge Area)</v>
      </c>
      <c r="J263" s="118"/>
    </row>
    <row r="264" spans="1:10" ht="15.75" customHeight="1" x14ac:dyDescent="0.3">
      <c r="A264" s="115">
        <v>2</v>
      </c>
      <c r="B264" s="116">
        <v>1</v>
      </c>
      <c r="C264" s="42" t="s">
        <v>138</v>
      </c>
      <c r="D264" s="42">
        <f>57.45*10.764</f>
        <v>618.39179999999999</v>
      </c>
      <c r="E264" s="42">
        <v>0</v>
      </c>
      <c r="F264" s="42">
        <f>E264+D264</f>
        <v>618.39179999999999</v>
      </c>
      <c r="G264" s="42">
        <v>0</v>
      </c>
      <c r="H264" s="42">
        <f>F264*1.45+G264</f>
        <v>896.66810999999996</v>
      </c>
      <c r="I264" s="119"/>
      <c r="J264" s="120"/>
    </row>
    <row r="265" spans="1:10" ht="15.6" x14ac:dyDescent="0.3">
      <c r="A265" s="115">
        <v>3</v>
      </c>
      <c r="B265" s="116">
        <v>3</v>
      </c>
      <c r="C265" s="42" t="s">
        <v>138</v>
      </c>
      <c r="D265" s="42">
        <f>57.45*10.764</f>
        <v>618.39179999999999</v>
      </c>
      <c r="E265" s="42">
        <v>0</v>
      </c>
      <c r="F265" s="42">
        <f>E265+D265</f>
        <v>618.39179999999999</v>
      </c>
      <c r="G265" s="42">
        <v>0</v>
      </c>
      <c r="H265" s="42">
        <f>F265*1.45+G265</f>
        <v>896.66810999999996</v>
      </c>
      <c r="I265" s="119"/>
      <c r="J265" s="120"/>
    </row>
    <row r="266" spans="1:10" ht="15.6" x14ac:dyDescent="0.3">
      <c r="A266" s="115">
        <v>4</v>
      </c>
      <c r="B266" s="116">
        <v>4</v>
      </c>
      <c r="C266" s="42" t="s">
        <v>138</v>
      </c>
      <c r="D266" s="42">
        <f>57.45*10.764</f>
        <v>618.39179999999999</v>
      </c>
      <c r="E266" s="42">
        <v>0</v>
      </c>
      <c r="F266" s="42">
        <f>E266+D266</f>
        <v>618.39179999999999</v>
      </c>
      <c r="G266" s="42">
        <v>0</v>
      </c>
      <c r="H266" s="42">
        <f>F266*1.45+G266</f>
        <v>896.66810999999996</v>
      </c>
      <c r="I266" s="121"/>
      <c r="J266" s="122"/>
    </row>
    <row r="267" spans="1:10" ht="15.6" x14ac:dyDescent="0.3">
      <c r="A267" s="200" t="s">
        <v>252</v>
      </c>
      <c r="B267" s="201"/>
      <c r="C267" s="201"/>
      <c r="D267" s="201"/>
      <c r="E267" s="201"/>
      <c r="F267" s="201"/>
      <c r="G267" s="201"/>
      <c r="H267" s="201"/>
      <c r="I267" s="201"/>
      <c r="J267" s="202"/>
    </row>
    <row r="268" spans="1:10" ht="15.6" x14ac:dyDescent="0.3">
      <c r="A268" s="203" t="s">
        <v>236</v>
      </c>
      <c r="B268" s="204"/>
      <c r="C268" s="204"/>
      <c r="D268" s="204"/>
      <c r="E268" s="204"/>
      <c r="F268" s="204"/>
      <c r="G268" s="204"/>
      <c r="H268" s="204"/>
      <c r="I268" s="204"/>
      <c r="J268" s="205"/>
    </row>
    <row r="269" spans="1:10" ht="15.6" x14ac:dyDescent="0.3">
      <c r="A269" s="203" t="s">
        <v>235</v>
      </c>
      <c r="B269" s="204"/>
      <c r="C269" s="204"/>
      <c r="D269" s="204"/>
      <c r="E269" s="204"/>
      <c r="F269" s="204"/>
      <c r="G269" s="204"/>
      <c r="H269" s="204"/>
      <c r="I269" s="204"/>
      <c r="J269" s="205"/>
    </row>
    <row r="270" spans="1:10" ht="15.6" x14ac:dyDescent="0.3">
      <c r="A270" s="203" t="s">
        <v>237</v>
      </c>
      <c r="B270" s="204"/>
      <c r="C270" s="204"/>
      <c r="D270" s="204"/>
      <c r="E270" s="204"/>
      <c r="F270" s="204"/>
      <c r="G270" s="204"/>
      <c r="H270" s="204"/>
      <c r="I270" s="204"/>
      <c r="J270" s="205"/>
    </row>
    <row r="271" spans="1:10" ht="15.6" x14ac:dyDescent="0.3">
      <c r="A271" s="112" t="s">
        <v>253</v>
      </c>
      <c r="B271" s="113"/>
      <c r="C271" s="113"/>
      <c r="D271" s="113"/>
      <c r="E271" s="113"/>
      <c r="F271" s="113"/>
      <c r="G271" s="113"/>
      <c r="H271" s="113"/>
      <c r="I271" s="113"/>
      <c r="J271" s="114"/>
    </row>
    <row r="272" spans="1:10" ht="15.75" customHeight="1" x14ac:dyDescent="0.3">
      <c r="A272" s="112" t="s">
        <v>254</v>
      </c>
      <c r="B272" s="113"/>
      <c r="C272" s="113"/>
      <c r="D272" s="113"/>
      <c r="E272" s="113"/>
      <c r="F272" s="113"/>
      <c r="G272" s="113"/>
      <c r="H272" s="113"/>
      <c r="I272" s="113"/>
      <c r="J272" s="114"/>
    </row>
    <row r="273" spans="1:10" ht="15.6" x14ac:dyDescent="0.3">
      <c r="A273" s="115">
        <v>1</v>
      </c>
      <c r="B273" s="116">
        <v>1</v>
      </c>
      <c r="C273" s="42" t="s">
        <v>138</v>
      </c>
      <c r="D273" s="42">
        <f>57.96*10.764</f>
        <v>623.88144</v>
      </c>
      <c r="E273" s="42">
        <v>0</v>
      </c>
      <c r="F273" s="42">
        <f>E273+D273</f>
        <v>623.88144</v>
      </c>
      <c r="G273" s="42">
        <v>0</v>
      </c>
      <c r="H273" s="42">
        <f>F273*1.45+G273</f>
        <v>904.62808799999993</v>
      </c>
      <c r="I273" s="256" t="str">
        <f>A272</f>
        <v>2nd, 4th, 8th &amp; 10th Floor</v>
      </c>
      <c r="J273" s="256"/>
    </row>
    <row r="274" spans="1:10" ht="15.6" x14ac:dyDescent="0.3">
      <c r="A274" s="115">
        <v>2</v>
      </c>
      <c r="B274" s="116">
        <v>2</v>
      </c>
      <c r="C274" s="42" t="s">
        <v>138</v>
      </c>
      <c r="D274" s="42">
        <f>(3.05*5.35+3.25*2.95+3.5*3.05+2.2*3+1.05*1.65+2.15*1.35+1.5*2.16+1.25*0.6+0.6*3.25)*10.764</f>
        <v>578.61882000000003</v>
      </c>
      <c r="E274" s="42">
        <v>0</v>
      </c>
      <c r="F274" s="42">
        <f>E274+D274</f>
        <v>578.61882000000003</v>
      </c>
      <c r="G274" s="42">
        <v>0</v>
      </c>
      <c r="H274" s="42">
        <f>F274*1.45+G274</f>
        <v>838.99728900000002</v>
      </c>
      <c r="I274" s="256"/>
      <c r="J274" s="256"/>
    </row>
    <row r="275" spans="1:10" ht="15.6" x14ac:dyDescent="0.3">
      <c r="A275" s="115">
        <v>3</v>
      </c>
      <c r="B275" s="116">
        <v>3</v>
      </c>
      <c r="C275" s="42" t="s">
        <v>138</v>
      </c>
      <c r="D275" s="42">
        <f>(3.05*5.35+3.25*2.95+3.5*3.05+2.2*3+1.05*1.65+2.15*1.35+1.5*2.16+1.25*0.6+0.6*3.25)*10.764</f>
        <v>578.61882000000003</v>
      </c>
      <c r="E275" s="42">
        <v>0</v>
      </c>
      <c r="F275" s="42">
        <f>E275+D275</f>
        <v>578.61882000000003</v>
      </c>
      <c r="G275" s="42">
        <v>0</v>
      </c>
      <c r="H275" s="42">
        <f>F275*1.45+G275</f>
        <v>838.99728900000002</v>
      </c>
      <c r="I275" s="256"/>
      <c r="J275" s="256"/>
    </row>
    <row r="276" spans="1:10" ht="15.75" customHeight="1" x14ac:dyDescent="0.3">
      <c r="A276" s="112" t="s">
        <v>255</v>
      </c>
      <c r="B276" s="113"/>
      <c r="C276" s="113"/>
      <c r="D276" s="113"/>
      <c r="E276" s="113"/>
      <c r="F276" s="113"/>
      <c r="G276" s="113"/>
      <c r="H276" s="113"/>
      <c r="I276" s="113"/>
      <c r="J276" s="114"/>
    </row>
    <row r="277" spans="1:10" ht="15.6" x14ac:dyDescent="0.3">
      <c r="A277" s="115">
        <v>1</v>
      </c>
      <c r="B277" s="116">
        <v>1</v>
      </c>
      <c r="C277" s="42" t="s">
        <v>138</v>
      </c>
      <c r="D277" s="42">
        <f>57.96*10.764</f>
        <v>623.88144</v>
      </c>
      <c r="E277" s="42">
        <v>0</v>
      </c>
      <c r="F277" s="42">
        <f>E277+D277</f>
        <v>623.88144</v>
      </c>
      <c r="G277" s="42">
        <v>0</v>
      </c>
      <c r="H277" s="42">
        <f>F277*1.45+G277</f>
        <v>904.62808799999993</v>
      </c>
      <c r="I277" s="256" t="str">
        <f>A276</f>
        <v>3rd, 5th, 7th, 9th &amp; 11th Floor</v>
      </c>
      <c r="J277" s="256"/>
    </row>
    <row r="278" spans="1:10" ht="15.6" x14ac:dyDescent="0.3">
      <c r="A278" s="115">
        <v>2</v>
      </c>
      <c r="B278" s="116">
        <v>2</v>
      </c>
      <c r="C278" s="42" t="s">
        <v>138</v>
      </c>
      <c r="D278" s="42">
        <f>(3.05*5.35+3.25*2.95+3.5*3.05+2.2*3+1.05*1.65+2.15*1.35+1.5*2.16+1.25*0.6+0.6*3.25)*10.764</f>
        <v>578.61882000000003</v>
      </c>
      <c r="E278" s="42">
        <v>0</v>
      </c>
      <c r="F278" s="42">
        <f>E278+D278</f>
        <v>578.61882000000003</v>
      </c>
      <c r="G278" s="42">
        <v>0</v>
      </c>
      <c r="H278" s="42">
        <f>F278*1.45+G278</f>
        <v>838.99728900000002</v>
      </c>
      <c r="I278" s="256"/>
      <c r="J278" s="256"/>
    </row>
    <row r="279" spans="1:10" ht="15.6" x14ac:dyDescent="0.3">
      <c r="A279" s="115">
        <v>3</v>
      </c>
      <c r="B279" s="116">
        <v>3</v>
      </c>
      <c r="C279" s="42" t="s">
        <v>138</v>
      </c>
      <c r="D279" s="42">
        <f>(3.05*5.35+3.25*2.95+3.5*3.05+2.2*3+1.05*1.65+2.15*1.35+1.5*2.16+1.25*0.6+0.6*3.25)*10.764</f>
        <v>578.61882000000003</v>
      </c>
      <c r="E279" s="42">
        <v>0</v>
      </c>
      <c r="F279" s="42">
        <f>E279+D279</f>
        <v>578.61882000000003</v>
      </c>
      <c r="G279" s="42">
        <v>0</v>
      </c>
      <c r="H279" s="42">
        <f>F279*1.45+G279</f>
        <v>838.99728900000002</v>
      </c>
      <c r="I279" s="256"/>
      <c r="J279" s="256"/>
    </row>
    <row r="280" spans="1:10" ht="15.75" customHeight="1" x14ac:dyDescent="0.3">
      <c r="A280" s="112" t="s">
        <v>241</v>
      </c>
      <c r="B280" s="113"/>
      <c r="C280" s="113"/>
      <c r="D280" s="113"/>
      <c r="E280" s="113"/>
      <c r="F280" s="113"/>
      <c r="G280" s="113"/>
      <c r="H280" s="113"/>
      <c r="I280" s="113"/>
      <c r="J280" s="114"/>
    </row>
    <row r="281" spans="1:10" ht="15.75" customHeight="1" x14ac:dyDescent="0.3">
      <c r="A281" s="115">
        <v>1</v>
      </c>
      <c r="B281" s="116">
        <v>1</v>
      </c>
      <c r="C281" s="42" t="s">
        <v>138</v>
      </c>
      <c r="D281" s="42">
        <f>57.96*10.764</f>
        <v>623.88144</v>
      </c>
      <c r="E281" s="42">
        <v>0</v>
      </c>
      <c r="F281" s="42">
        <f>E281+D281</f>
        <v>623.88144</v>
      </c>
      <c r="G281" s="42">
        <v>0</v>
      </c>
      <c r="H281" s="42">
        <f>F281*1.45+G281</f>
        <v>904.62808799999993</v>
      </c>
      <c r="I281" s="119" t="str">
        <f xml:space="preserve">   A280</f>
        <v>6th Floor (Part Refuge Area)</v>
      </c>
      <c r="J281" s="120"/>
    </row>
    <row r="282" spans="1:10" ht="15.6" x14ac:dyDescent="0.3">
      <c r="A282" s="115">
        <v>2</v>
      </c>
      <c r="B282" s="116">
        <v>3</v>
      </c>
      <c r="C282" s="42" t="s">
        <v>138</v>
      </c>
      <c r="D282" s="42">
        <f>(3.05*5.35+3.25*2.95+3.5*3.05+2.2*3+1.05*1.65+2.15*1.35+1.5*2.16+1.25*0.6+0.6*3.25)*10.764</f>
        <v>578.61882000000003</v>
      </c>
      <c r="E282" s="42">
        <v>0</v>
      </c>
      <c r="F282" s="42">
        <f>E282+D282</f>
        <v>578.61882000000003</v>
      </c>
      <c r="G282" s="42">
        <v>0</v>
      </c>
      <c r="H282" s="42">
        <f>F282*1.45+G282</f>
        <v>838.99728900000002</v>
      </c>
      <c r="I282" s="119"/>
      <c r="J282" s="120"/>
    </row>
    <row r="283" spans="1:10" ht="15.6" x14ac:dyDescent="0.3">
      <c r="A283" s="115">
        <v>3</v>
      </c>
      <c r="B283" s="116">
        <v>2</v>
      </c>
      <c r="C283" s="110" t="s">
        <v>250</v>
      </c>
      <c r="D283" s="123"/>
      <c r="E283" s="123"/>
      <c r="F283" s="123"/>
      <c r="G283" s="123"/>
      <c r="H283" s="111"/>
      <c r="I283" s="119"/>
      <c r="J283" s="120"/>
    </row>
    <row r="284" spans="1:10" ht="15.75" customHeight="1" x14ac:dyDescent="0.3">
      <c r="A284" s="112" t="s">
        <v>256</v>
      </c>
      <c r="B284" s="113"/>
      <c r="C284" s="113"/>
      <c r="D284" s="113"/>
      <c r="E284" s="113"/>
      <c r="F284" s="113"/>
      <c r="G284" s="113"/>
      <c r="H284" s="113"/>
      <c r="I284" s="113"/>
      <c r="J284" s="114"/>
    </row>
    <row r="285" spans="1:10" ht="15.6" x14ac:dyDescent="0.3">
      <c r="A285" s="110">
        <v>1</v>
      </c>
      <c r="B285" s="111">
        <v>1</v>
      </c>
      <c r="C285" s="42" t="s">
        <v>138</v>
      </c>
      <c r="D285" s="42">
        <f>57.96*10.764</f>
        <v>623.88144</v>
      </c>
      <c r="E285" s="42">
        <v>0</v>
      </c>
      <c r="F285" s="42">
        <f>E285+D285</f>
        <v>623.88144</v>
      </c>
      <c r="G285" s="42">
        <v>0</v>
      </c>
      <c r="H285" s="42">
        <f>F285*1.45+G285</f>
        <v>904.62808799999993</v>
      </c>
      <c r="I285" s="117" t="str">
        <f>A284</f>
        <v>12th Floor</v>
      </c>
      <c r="J285" s="118"/>
    </row>
    <row r="286" spans="1:10" ht="46.8" x14ac:dyDescent="0.3">
      <c r="A286" s="110">
        <v>2</v>
      </c>
      <c r="B286" s="111">
        <v>2</v>
      </c>
      <c r="C286" s="42" t="s">
        <v>257</v>
      </c>
      <c r="D286" s="42">
        <f>94.94*10.764</f>
        <v>1021.9341599999999</v>
      </c>
      <c r="E286" s="42">
        <v>0</v>
      </c>
      <c r="F286" s="42">
        <f>E286+D286</f>
        <v>1021.9341599999999</v>
      </c>
      <c r="G286" s="42">
        <v>0</v>
      </c>
      <c r="H286" s="42">
        <f>F286*1.45+G286</f>
        <v>1481.8045319999999</v>
      </c>
      <c r="I286" s="119"/>
      <c r="J286" s="120"/>
    </row>
    <row r="287" spans="1:10" ht="15.6" x14ac:dyDescent="0.3">
      <c r="A287" s="110">
        <v>3</v>
      </c>
      <c r="B287" s="111">
        <v>3</v>
      </c>
      <c r="C287" s="42" t="s">
        <v>138</v>
      </c>
      <c r="D287" s="42">
        <f>(3.05*5.35+3.25*2.95+3.5*3.05+2.2*3+1.05*1.65+2.15*1.35+1.5*2.16+1.25*0.6+0.6*3.25)*10.764</f>
        <v>578.61882000000003</v>
      </c>
      <c r="E287" s="42">
        <v>0</v>
      </c>
      <c r="F287" s="42">
        <f>E287+D287</f>
        <v>578.61882000000003</v>
      </c>
      <c r="G287" s="42">
        <v>0</v>
      </c>
      <c r="H287" s="42">
        <f>F287*1.45+G287</f>
        <v>838.99728900000002</v>
      </c>
      <c r="I287" s="119"/>
      <c r="J287" s="120"/>
    </row>
    <row r="288" spans="1:10" ht="15.6" x14ac:dyDescent="0.3">
      <c r="A288" s="110">
        <v>4</v>
      </c>
      <c r="B288" s="111">
        <v>3</v>
      </c>
      <c r="C288" s="42" t="s">
        <v>138</v>
      </c>
      <c r="D288" s="42">
        <f>55.97*10.764</f>
        <v>602.46107999999992</v>
      </c>
      <c r="E288" s="42">
        <v>0</v>
      </c>
      <c r="F288" s="42">
        <f>E288+D288</f>
        <v>602.46107999999992</v>
      </c>
      <c r="G288" s="42">
        <v>0</v>
      </c>
      <c r="H288" s="42">
        <f>F288*1.45+G288</f>
        <v>873.56856599999992</v>
      </c>
      <c r="I288" s="119"/>
      <c r="J288" s="120"/>
    </row>
    <row r="289" spans="1:14" ht="15.6" x14ac:dyDescent="0.3">
      <c r="A289" s="110">
        <v>5</v>
      </c>
      <c r="B289" s="111">
        <v>4</v>
      </c>
      <c r="C289" s="42" t="s">
        <v>138</v>
      </c>
      <c r="D289" s="42">
        <f>55.97*10.764</f>
        <v>602.46107999999992</v>
      </c>
      <c r="E289" s="42">
        <v>0</v>
      </c>
      <c r="F289" s="42">
        <f>E289+D289</f>
        <v>602.46107999999992</v>
      </c>
      <c r="G289" s="42">
        <v>0</v>
      </c>
      <c r="H289" s="42">
        <f>F289*1.45+G289</f>
        <v>873.56856599999992</v>
      </c>
      <c r="I289" s="121"/>
      <c r="J289" s="122"/>
    </row>
    <row r="290" spans="1:14" ht="15.75" customHeight="1" x14ac:dyDescent="0.3">
      <c r="A290" s="112" t="s">
        <v>260</v>
      </c>
      <c r="B290" s="113"/>
      <c r="C290" s="113"/>
      <c r="D290" s="113"/>
      <c r="E290" s="113"/>
      <c r="F290" s="113"/>
      <c r="G290" s="113"/>
      <c r="H290" s="113"/>
      <c r="I290" s="113"/>
      <c r="J290" s="114"/>
    </row>
    <row r="291" spans="1:14" ht="15.6" x14ac:dyDescent="0.3">
      <c r="A291" s="115">
        <v>1</v>
      </c>
      <c r="B291" s="116">
        <v>1</v>
      </c>
      <c r="C291" s="42" t="s">
        <v>138</v>
      </c>
      <c r="D291" s="42">
        <f>57.96*10.764</f>
        <v>623.88144</v>
      </c>
      <c r="E291" s="42">
        <v>0</v>
      </c>
      <c r="F291" s="42">
        <f>E291+D291</f>
        <v>623.88144</v>
      </c>
      <c r="G291" s="42">
        <v>0</v>
      </c>
      <c r="H291" s="42">
        <f>F291*1.45+G291</f>
        <v>904.62808799999993</v>
      </c>
      <c r="I291" s="117" t="str">
        <f>A290</f>
        <v>13th &amp; 20th Floor (Part Refuge Area)</v>
      </c>
      <c r="J291" s="118"/>
    </row>
    <row r="292" spans="1:14" ht="15.6" x14ac:dyDescent="0.3">
      <c r="A292" s="115">
        <v>2</v>
      </c>
      <c r="B292" s="116">
        <v>2</v>
      </c>
      <c r="C292" s="110" t="s">
        <v>261</v>
      </c>
      <c r="D292" s="123"/>
      <c r="E292" s="123"/>
      <c r="F292" s="123"/>
      <c r="G292" s="123"/>
      <c r="H292" s="111"/>
      <c r="I292" s="119"/>
      <c r="J292" s="120"/>
    </row>
    <row r="293" spans="1:14" x14ac:dyDescent="0.3">
      <c r="A293" s="115">
        <v>3</v>
      </c>
      <c r="B293" s="116">
        <v>3</v>
      </c>
      <c r="C293" s="110" t="s">
        <v>250</v>
      </c>
      <c r="D293" s="123">
        <f>60.22*10.764</f>
        <v>648.20808</v>
      </c>
      <c r="E293" s="123">
        <v>0</v>
      </c>
      <c r="F293" s="123">
        <f>E293+D293</f>
        <v>648.20808</v>
      </c>
      <c r="G293" s="123">
        <v>0</v>
      </c>
      <c r="H293" s="111">
        <f>F293*1.45+G293</f>
        <v>939.90171599999996</v>
      </c>
      <c r="I293" s="119"/>
      <c r="J293" s="120"/>
    </row>
    <row r="294" spans="1:14" ht="15.6" x14ac:dyDescent="0.3">
      <c r="A294" s="115">
        <v>4</v>
      </c>
      <c r="B294" s="116">
        <v>3</v>
      </c>
      <c r="C294" s="42" t="s">
        <v>138</v>
      </c>
      <c r="D294" s="42">
        <f>55.97*10.764</f>
        <v>602.46107999999992</v>
      </c>
      <c r="E294" s="42">
        <v>0</v>
      </c>
      <c r="F294" s="42">
        <f>E294+D294</f>
        <v>602.46107999999992</v>
      </c>
      <c r="G294" s="42">
        <v>0</v>
      </c>
      <c r="H294" s="42">
        <f>F294*1.45+G294</f>
        <v>873.56856599999992</v>
      </c>
      <c r="I294" s="119"/>
      <c r="J294" s="120"/>
    </row>
    <row r="295" spans="1:14" ht="15.6" x14ac:dyDescent="0.3">
      <c r="A295" s="115">
        <v>5</v>
      </c>
      <c r="B295" s="116">
        <v>4</v>
      </c>
      <c r="C295" s="42" t="s">
        <v>138</v>
      </c>
      <c r="D295" s="42">
        <f>55.97*10.764</f>
        <v>602.46107999999992</v>
      </c>
      <c r="E295" s="42">
        <v>0</v>
      </c>
      <c r="F295" s="42">
        <f>E295+D295</f>
        <v>602.46107999999992</v>
      </c>
      <c r="G295" s="42">
        <v>0</v>
      </c>
      <c r="H295" s="42">
        <f>F295*1.45+G295</f>
        <v>873.56856599999992</v>
      </c>
      <c r="I295" s="121"/>
      <c r="J295" s="122"/>
    </row>
    <row r="296" spans="1:14" ht="15.75" customHeight="1" x14ac:dyDescent="0.3">
      <c r="A296" s="112" t="s">
        <v>258</v>
      </c>
      <c r="B296" s="113"/>
      <c r="C296" s="113"/>
      <c r="D296" s="113"/>
      <c r="E296" s="113"/>
      <c r="F296" s="113"/>
      <c r="G296" s="113"/>
      <c r="H296" s="113"/>
      <c r="I296" s="113"/>
      <c r="J296" s="114"/>
    </row>
    <row r="297" spans="1:14" ht="15.6" x14ac:dyDescent="0.3">
      <c r="A297" s="110">
        <v>1</v>
      </c>
      <c r="B297" s="111">
        <v>1</v>
      </c>
      <c r="C297" s="42" t="s">
        <v>138</v>
      </c>
      <c r="D297" s="42">
        <f>57.96*10.764</f>
        <v>623.88144</v>
      </c>
      <c r="E297" s="42">
        <v>0</v>
      </c>
      <c r="F297" s="42">
        <f>E297+D297</f>
        <v>623.88144</v>
      </c>
      <c r="G297" s="42">
        <v>0</v>
      </c>
      <c r="H297" s="42">
        <f>F297*1.45+G297</f>
        <v>904.62808799999993</v>
      </c>
      <c r="I297" s="117" t="str">
        <f>A296</f>
        <v>14th to 18th, 21st to 25th Floor</v>
      </c>
      <c r="J297" s="118"/>
      <c r="M297">
        <f>(3.05*5.35+3.25*2.95+3.5*3.05+2.2*3+1.05*1.65+2.15*1.35+1.5*2.16+1.25*0.6+0.6*3.25)*10.764</f>
        <v>578.61882000000003</v>
      </c>
      <c r="N297">
        <f>3.05*6.05+3.05*3.25+1*0.5+2*1.4+1.05*0.9+3.2*2.15+3.05*6.05+1.5*0.9+2.15*1.25</f>
        <v>61.98</v>
      </c>
    </row>
    <row r="298" spans="1:14" ht="15.6" x14ac:dyDescent="0.3">
      <c r="A298" s="110">
        <v>2</v>
      </c>
      <c r="B298" s="111">
        <v>2</v>
      </c>
      <c r="C298" s="42" t="s">
        <v>138</v>
      </c>
      <c r="D298" s="42">
        <f>(3.05*5.35+3.25*2.95+3.5*3.05+2.2*3+1.05*1.65+2.15*1.35+1.5*2.16+1.25*0.6+0.6*3.25)*10.764</f>
        <v>578.61882000000003</v>
      </c>
      <c r="E298" s="42">
        <v>0</v>
      </c>
      <c r="F298" s="42">
        <f>E298+D298</f>
        <v>578.61882000000003</v>
      </c>
      <c r="G298" s="42">
        <v>0</v>
      </c>
      <c r="H298" s="42">
        <f>F298*1.45+G298</f>
        <v>838.99728900000002</v>
      </c>
      <c r="I298" s="119"/>
      <c r="J298" s="120"/>
      <c r="M298" s="62"/>
    </row>
    <row r="299" spans="1:14" ht="15.6" x14ac:dyDescent="0.3">
      <c r="A299" s="110">
        <v>3</v>
      </c>
      <c r="B299" s="111">
        <v>3</v>
      </c>
      <c r="C299" s="42" t="s">
        <v>138</v>
      </c>
      <c r="D299" s="42">
        <f>(3.05*5.35+3.25*2.95+3.5*3.05+2.2*3+1.05*1.65+2.15*1.35+1.5*2.16+1.25*0.6+0.6*3.25)*10.764</f>
        <v>578.61882000000003</v>
      </c>
      <c r="E299" s="42">
        <v>0</v>
      </c>
      <c r="F299" s="42">
        <f>E299+D299</f>
        <v>578.61882000000003</v>
      </c>
      <c r="G299" s="42">
        <v>0</v>
      </c>
      <c r="H299" s="42">
        <f>F299*1.45+G299</f>
        <v>838.99728900000002</v>
      </c>
      <c r="I299" s="119"/>
      <c r="J299" s="120"/>
      <c r="M299">
        <f>58.06-M297</f>
        <v>-520.55881999999997</v>
      </c>
    </row>
    <row r="300" spans="1:14" ht="15.6" x14ac:dyDescent="0.3">
      <c r="A300" s="110">
        <v>4</v>
      </c>
      <c r="B300" s="111">
        <v>3</v>
      </c>
      <c r="C300" s="42" t="s">
        <v>138</v>
      </c>
      <c r="D300" s="42">
        <f>55.97*10.764</f>
        <v>602.46107999999992</v>
      </c>
      <c r="E300" s="42">
        <v>0</v>
      </c>
      <c r="F300" s="42">
        <f>E300+D300</f>
        <v>602.46107999999992</v>
      </c>
      <c r="G300" s="42">
        <v>0</v>
      </c>
      <c r="H300" s="42">
        <f>F300*1.45+G300</f>
        <v>873.56856599999992</v>
      </c>
      <c r="I300" s="119"/>
      <c r="J300" s="120"/>
    </row>
    <row r="301" spans="1:14" ht="15.6" x14ac:dyDescent="0.3">
      <c r="A301" s="110">
        <v>5</v>
      </c>
      <c r="B301" s="111">
        <v>4</v>
      </c>
      <c r="C301" s="42" t="s">
        <v>138</v>
      </c>
      <c r="D301" s="42">
        <f>55.97*10.764</f>
        <v>602.46107999999992</v>
      </c>
      <c r="E301" s="42">
        <v>0</v>
      </c>
      <c r="F301" s="42">
        <f>E301+D301</f>
        <v>602.46107999999992</v>
      </c>
      <c r="G301" s="42">
        <v>0</v>
      </c>
      <c r="H301" s="42">
        <f>F301*1.45+G301</f>
        <v>873.56856599999992</v>
      </c>
      <c r="I301" s="121"/>
      <c r="J301" s="122"/>
    </row>
    <row r="302" spans="1:14" ht="15.75" customHeight="1" x14ac:dyDescent="0.3">
      <c r="A302" s="112" t="s">
        <v>262</v>
      </c>
      <c r="B302" s="113"/>
      <c r="C302" s="113"/>
      <c r="D302" s="113"/>
      <c r="E302" s="113"/>
      <c r="F302" s="113"/>
      <c r="G302" s="113"/>
      <c r="H302" s="113"/>
      <c r="I302" s="113"/>
      <c r="J302" s="114"/>
    </row>
    <row r="303" spans="1:14" ht="15.6" x14ac:dyDescent="0.3">
      <c r="A303" s="110">
        <v>1</v>
      </c>
      <c r="B303" s="111">
        <v>1</v>
      </c>
      <c r="C303" s="42" t="s">
        <v>138</v>
      </c>
      <c r="D303" s="42">
        <f>57.96*10.764</f>
        <v>623.88144</v>
      </c>
      <c r="E303" s="42">
        <v>0</v>
      </c>
      <c r="F303" s="42">
        <f>E303+D303</f>
        <v>623.88144</v>
      </c>
      <c r="G303" s="42">
        <v>0</v>
      </c>
      <c r="H303" s="42">
        <f>F303*1.45+G303</f>
        <v>904.62808799999993</v>
      </c>
      <c r="I303" s="117" t="str">
        <f>A302</f>
        <v>19th Floor</v>
      </c>
      <c r="J303" s="118"/>
    </row>
    <row r="304" spans="1:14" ht="46.8" x14ac:dyDescent="0.3">
      <c r="A304" s="110">
        <v>2</v>
      </c>
      <c r="B304" s="111">
        <v>2</v>
      </c>
      <c r="C304" s="42" t="s">
        <v>264</v>
      </c>
      <c r="D304" s="42">
        <f>94.94*10.764</f>
        <v>1021.9341599999999</v>
      </c>
      <c r="E304" s="42">
        <v>0</v>
      </c>
      <c r="F304" s="42">
        <f>E304+D304</f>
        <v>1021.9341599999999</v>
      </c>
      <c r="G304" s="42">
        <v>0</v>
      </c>
      <c r="H304" s="42">
        <f>F304*1.45+G304</f>
        <v>1481.8045319999999</v>
      </c>
      <c r="I304" s="119"/>
      <c r="J304" s="120"/>
    </row>
    <row r="305" spans="1:14" ht="15.6" x14ac:dyDescent="0.3">
      <c r="A305" s="110">
        <v>3</v>
      </c>
      <c r="B305" s="111">
        <v>3</v>
      </c>
      <c r="C305" s="42" t="s">
        <v>138</v>
      </c>
      <c r="D305" s="42">
        <f>(3.05*5.35+3.25*2.95+3.5*3.05+2.2*3+1.05*1.65+2.15*1.35+1.5*2.16+1.25*0.6+0.6*3.25)*10.764</f>
        <v>578.61882000000003</v>
      </c>
      <c r="E305" s="42">
        <v>0</v>
      </c>
      <c r="F305" s="42">
        <f>E305+D305</f>
        <v>578.61882000000003</v>
      </c>
      <c r="G305" s="42">
        <v>0</v>
      </c>
      <c r="H305" s="42">
        <f>F305*1.45+G305</f>
        <v>838.99728900000002</v>
      </c>
      <c r="I305" s="119"/>
      <c r="J305" s="120"/>
    </row>
    <row r="306" spans="1:14" ht="15.6" x14ac:dyDescent="0.3">
      <c r="A306" s="110">
        <v>4</v>
      </c>
      <c r="B306" s="111">
        <v>3</v>
      </c>
      <c r="C306" s="42" t="s">
        <v>138</v>
      </c>
      <c r="D306" s="42">
        <f>55.97*10.764</f>
        <v>602.46107999999992</v>
      </c>
      <c r="E306" s="42">
        <v>0</v>
      </c>
      <c r="F306" s="42">
        <f>E306+D306</f>
        <v>602.46107999999992</v>
      </c>
      <c r="G306" s="42">
        <v>0</v>
      </c>
      <c r="H306" s="42">
        <f>F306*1.45+G306</f>
        <v>873.56856599999992</v>
      </c>
      <c r="I306" s="119"/>
      <c r="J306" s="120"/>
    </row>
    <row r="307" spans="1:14" ht="15.6" x14ac:dyDescent="0.3">
      <c r="A307" s="110">
        <v>5</v>
      </c>
      <c r="B307" s="111">
        <v>4</v>
      </c>
      <c r="C307" s="42" t="s">
        <v>138</v>
      </c>
      <c r="D307" s="42">
        <f>55.97*10.764</f>
        <v>602.46107999999992</v>
      </c>
      <c r="E307" s="42">
        <v>0</v>
      </c>
      <c r="F307" s="42">
        <f>E307+D307</f>
        <v>602.46107999999992</v>
      </c>
      <c r="G307" s="42">
        <v>0</v>
      </c>
      <c r="H307" s="42">
        <f>F307*1.45+G307</f>
        <v>873.56856599999992</v>
      </c>
      <c r="I307" s="121"/>
      <c r="J307" s="122"/>
    </row>
    <row r="308" spans="1:14" ht="15.75" customHeight="1" x14ac:dyDescent="0.3">
      <c r="A308" s="112" t="s">
        <v>259</v>
      </c>
      <c r="B308" s="113"/>
      <c r="C308" s="113"/>
      <c r="D308" s="113"/>
      <c r="E308" s="113"/>
      <c r="F308" s="113"/>
      <c r="G308" s="113"/>
      <c r="H308" s="113"/>
      <c r="I308" s="113"/>
      <c r="J308" s="114"/>
    </row>
    <row r="309" spans="1:14" ht="15.6" x14ac:dyDescent="0.3">
      <c r="A309" s="110">
        <v>1</v>
      </c>
      <c r="B309" s="111">
        <v>1</v>
      </c>
      <c r="C309" s="42" t="s">
        <v>138</v>
      </c>
      <c r="D309" s="42">
        <f>57.96*10.764</f>
        <v>623.88144</v>
      </c>
      <c r="E309" s="42">
        <v>0</v>
      </c>
      <c r="F309" s="42">
        <f>E309+D309</f>
        <v>623.88144</v>
      </c>
      <c r="G309" s="42">
        <v>0</v>
      </c>
      <c r="H309" s="42">
        <f>F309*1.45+G309</f>
        <v>904.62808799999993</v>
      </c>
      <c r="I309" s="117" t="str">
        <f>A308</f>
        <v>26th &amp; 33rd Floor</v>
      </c>
      <c r="J309" s="118"/>
      <c r="M309">
        <f>(3.05*5.35+3.25*2.95+3.5*3.05+2.2*3+1.05*1.65+2.15*1.35+1.5*2.16+1.25*0.6+0.6*3.25+1.2*3.05)</f>
        <v>57.414999999999999</v>
      </c>
      <c r="N309">
        <f>3.05*6.05+3.05*3.25+1*0.5+2*1.4+1.05*0.9+3.2*2.15+3.05*6.05+1.5*0.9+2.15*1.25</f>
        <v>61.98</v>
      </c>
    </row>
    <row r="310" spans="1:14" ht="62.4" x14ac:dyDescent="0.3">
      <c r="A310" s="110">
        <v>2</v>
      </c>
      <c r="B310" s="111">
        <v>2</v>
      </c>
      <c r="C310" s="42" t="s">
        <v>265</v>
      </c>
      <c r="D310" s="42">
        <f>(98.77)*10.764</f>
        <v>1063.1602799999998</v>
      </c>
      <c r="E310" s="42">
        <v>0</v>
      </c>
      <c r="F310" s="42">
        <f>E310+D310</f>
        <v>1063.1602799999998</v>
      </c>
      <c r="G310" s="42">
        <v>0</v>
      </c>
      <c r="H310" s="42">
        <f>F310*1.45+G310</f>
        <v>1541.5824059999998</v>
      </c>
      <c r="I310" s="119"/>
      <c r="J310" s="120"/>
      <c r="M310" s="62"/>
    </row>
    <row r="311" spans="1:14" ht="15.6" x14ac:dyDescent="0.3">
      <c r="A311" s="110">
        <v>3</v>
      </c>
      <c r="B311" s="111">
        <v>3</v>
      </c>
      <c r="C311" s="42" t="s">
        <v>138</v>
      </c>
      <c r="D311" s="42">
        <f>(3.05*5.35+3.25*2.75+3.5*3.05+2.2*3+1.05*1.65+2.15*1.35+1.5*2.16+1.25*0.6+0.6*3.25+1.2*3.05)*10.764</f>
        <v>611.01846</v>
      </c>
      <c r="E311" s="42">
        <v>0</v>
      </c>
      <c r="F311" s="42">
        <f>E311+D311</f>
        <v>611.01846</v>
      </c>
      <c r="G311" s="42">
        <v>0</v>
      </c>
      <c r="H311" s="42">
        <f>F311*1.45+G311</f>
        <v>885.976767</v>
      </c>
      <c r="I311" s="119"/>
      <c r="J311" s="120"/>
      <c r="M311">
        <f>58.06-M309</f>
        <v>0.64500000000000313</v>
      </c>
    </row>
    <row r="312" spans="1:14" ht="15.6" x14ac:dyDescent="0.3">
      <c r="A312" s="110">
        <v>4</v>
      </c>
      <c r="B312" s="111">
        <v>3</v>
      </c>
      <c r="C312" s="42" t="s">
        <v>138</v>
      </c>
      <c r="D312" s="42">
        <f>55.97*10.764</f>
        <v>602.46107999999992</v>
      </c>
      <c r="E312" s="42">
        <v>0</v>
      </c>
      <c r="F312" s="42">
        <f>E312+D312</f>
        <v>602.46107999999992</v>
      </c>
      <c r="G312" s="42">
        <v>0</v>
      </c>
      <c r="H312" s="42">
        <f>F312*1.45+G312</f>
        <v>873.56856599999992</v>
      </c>
      <c r="I312" s="119"/>
      <c r="J312" s="120"/>
    </row>
    <row r="313" spans="1:14" ht="15.6" x14ac:dyDescent="0.3">
      <c r="A313" s="110">
        <v>5</v>
      </c>
      <c r="B313" s="111">
        <v>4</v>
      </c>
      <c r="C313" s="42" t="s">
        <v>138</v>
      </c>
      <c r="D313" s="42">
        <f>55.97*10.764</f>
        <v>602.46107999999992</v>
      </c>
      <c r="E313" s="42">
        <v>0</v>
      </c>
      <c r="F313" s="42">
        <f>E313+D313</f>
        <v>602.46107999999992</v>
      </c>
      <c r="G313" s="42">
        <v>0</v>
      </c>
      <c r="H313" s="42">
        <f>F313*1.45+G313</f>
        <v>873.56856599999992</v>
      </c>
      <c r="I313" s="121"/>
      <c r="J313" s="122"/>
    </row>
    <row r="314" spans="1:14" ht="15.75" customHeight="1" x14ac:dyDescent="0.3">
      <c r="A314" s="112" t="s">
        <v>266</v>
      </c>
      <c r="B314" s="113"/>
      <c r="C314" s="113"/>
      <c r="D314" s="113"/>
      <c r="E314" s="113"/>
      <c r="F314" s="113"/>
      <c r="G314" s="113"/>
      <c r="H314" s="113"/>
      <c r="I314" s="113"/>
      <c r="J314" s="114"/>
    </row>
    <row r="315" spans="1:14" ht="15.6" x14ac:dyDescent="0.3">
      <c r="A315" s="115">
        <v>1</v>
      </c>
      <c r="B315" s="116">
        <v>1</v>
      </c>
      <c r="C315" s="42" t="s">
        <v>138</v>
      </c>
      <c r="D315" s="42">
        <f>57.96*10.764</f>
        <v>623.88144</v>
      </c>
      <c r="E315" s="42">
        <v>0</v>
      </c>
      <c r="F315" s="42">
        <f>E315+D315</f>
        <v>623.88144</v>
      </c>
      <c r="G315" s="42">
        <v>0</v>
      </c>
      <c r="H315" s="42">
        <f>F315*1.45+G315</f>
        <v>904.62808799999993</v>
      </c>
      <c r="I315" s="117" t="str">
        <f>A314</f>
        <v>27th &amp; 34th Floor (Part Refuge Area)</v>
      </c>
      <c r="J315" s="118"/>
    </row>
    <row r="316" spans="1:14" ht="15.6" x14ac:dyDescent="0.3">
      <c r="A316" s="115">
        <v>2</v>
      </c>
      <c r="B316" s="116">
        <v>2</v>
      </c>
      <c r="C316" s="110" t="s">
        <v>267</v>
      </c>
      <c r="D316" s="123"/>
      <c r="E316" s="123"/>
      <c r="F316" s="123"/>
      <c r="G316" s="123"/>
      <c r="H316" s="111"/>
      <c r="I316" s="119"/>
      <c r="J316" s="120"/>
    </row>
    <row r="317" spans="1:14" x14ac:dyDescent="0.3">
      <c r="A317" s="115">
        <v>3</v>
      </c>
      <c r="B317" s="116">
        <v>3</v>
      </c>
      <c r="C317" s="110" t="s">
        <v>250</v>
      </c>
      <c r="D317" s="123">
        <f>60.22*10.764</f>
        <v>648.20808</v>
      </c>
      <c r="E317" s="123">
        <v>0</v>
      </c>
      <c r="F317" s="123">
        <f>E317+D317</f>
        <v>648.20808</v>
      </c>
      <c r="G317" s="123">
        <v>0</v>
      </c>
      <c r="H317" s="111">
        <f>F317*1.45+G317</f>
        <v>939.90171599999996</v>
      </c>
      <c r="I317" s="119"/>
      <c r="J317" s="120"/>
    </row>
    <row r="318" spans="1:14" ht="15.6" x14ac:dyDescent="0.3">
      <c r="A318" s="115">
        <v>4</v>
      </c>
      <c r="B318" s="116">
        <v>3</v>
      </c>
      <c r="C318" s="42" t="s">
        <v>138</v>
      </c>
      <c r="D318" s="42">
        <f>55.97*10.764</f>
        <v>602.46107999999992</v>
      </c>
      <c r="E318" s="42">
        <v>0</v>
      </c>
      <c r="F318" s="42">
        <f>E318+D318</f>
        <v>602.46107999999992</v>
      </c>
      <c r="G318" s="42">
        <v>0</v>
      </c>
      <c r="H318" s="42">
        <f>F318*1.45+G318</f>
        <v>873.56856599999992</v>
      </c>
      <c r="I318" s="119"/>
      <c r="J318" s="120"/>
    </row>
    <row r="319" spans="1:14" ht="15.6" x14ac:dyDescent="0.3">
      <c r="A319" s="115">
        <v>5</v>
      </c>
      <c r="B319" s="116">
        <v>4</v>
      </c>
      <c r="C319" s="42" t="s">
        <v>138</v>
      </c>
      <c r="D319" s="42">
        <f>55.97*10.764</f>
        <v>602.46107999999992</v>
      </c>
      <c r="E319" s="42">
        <v>0</v>
      </c>
      <c r="F319" s="42">
        <f>E319+D319</f>
        <v>602.46107999999992</v>
      </c>
      <c r="G319" s="42">
        <v>0</v>
      </c>
      <c r="H319" s="42">
        <f>F319*1.45+G319</f>
        <v>873.56856599999992</v>
      </c>
      <c r="I319" s="121"/>
      <c r="J319" s="122"/>
    </row>
    <row r="320" spans="1:14" ht="15.75" customHeight="1" x14ac:dyDescent="0.3">
      <c r="A320" s="112" t="s">
        <v>263</v>
      </c>
      <c r="B320" s="113"/>
      <c r="C320" s="113"/>
      <c r="D320" s="113"/>
      <c r="E320" s="113"/>
      <c r="F320" s="113"/>
      <c r="G320" s="113"/>
      <c r="H320" s="113"/>
      <c r="I320" s="113"/>
      <c r="J320" s="114"/>
    </row>
    <row r="321" spans="1:14" ht="15.6" x14ac:dyDescent="0.3">
      <c r="A321" s="110">
        <v>1</v>
      </c>
      <c r="B321" s="111">
        <v>1</v>
      </c>
      <c r="C321" s="42" t="s">
        <v>138</v>
      </c>
      <c r="D321" s="42">
        <f>57.96*10.764</f>
        <v>623.88144</v>
      </c>
      <c r="E321" s="42">
        <v>0</v>
      </c>
      <c r="F321" s="42">
        <f>E321+D321</f>
        <v>623.88144</v>
      </c>
      <c r="G321" s="42">
        <v>0</v>
      </c>
      <c r="H321" s="42">
        <f>F321*1.45+G321</f>
        <v>904.62808799999993</v>
      </c>
      <c r="I321" s="117" t="str">
        <f>A320</f>
        <v>28th to 32nd, 35th to 40th Floor</v>
      </c>
      <c r="J321" s="118"/>
      <c r="M321">
        <f>(3.05*5.35+3.25*2.95+3.5*3.05+2.2*3+1.05*1.65+2.15*1.35+1.5*2.16+1.25*0.6+0.6*3.25)*10.764</f>
        <v>578.61882000000003</v>
      </c>
      <c r="N321">
        <f>3.05*6.05+3.05*3.25+1*0.5+2*1.4+1.05*0.9+3.2*2.15+3.05*6.05+1.5*0.9+2.15*1.25</f>
        <v>61.98</v>
      </c>
    </row>
    <row r="322" spans="1:14" ht="15.6" x14ac:dyDescent="0.3">
      <c r="A322" s="110">
        <v>2</v>
      </c>
      <c r="B322" s="111">
        <v>2</v>
      </c>
      <c r="C322" s="42" t="s">
        <v>138</v>
      </c>
      <c r="D322" s="42">
        <f>(3.05*5.35+3.25*2.75+3.5*3.05+2.2*3+1.05*1.65+2.15*1.35+1.5*2.16+1.25*0.6+0.6*3.25+1.2*3.05)*10.764</f>
        <v>611.01846</v>
      </c>
      <c r="E322" s="42">
        <v>0</v>
      </c>
      <c r="F322" s="42">
        <f>E322+D322</f>
        <v>611.01846</v>
      </c>
      <c r="G322" s="42">
        <v>0</v>
      </c>
      <c r="H322" s="42">
        <f>F322*1.45+G322</f>
        <v>885.976767</v>
      </c>
      <c r="I322" s="119"/>
      <c r="J322" s="120"/>
      <c r="M322" s="62"/>
    </row>
    <row r="323" spans="1:14" ht="15.6" x14ac:dyDescent="0.3">
      <c r="A323" s="110">
        <v>3</v>
      </c>
      <c r="B323" s="111">
        <v>3</v>
      </c>
      <c r="C323" s="42" t="s">
        <v>138</v>
      </c>
      <c r="D323" s="42">
        <f>(3.05*5.35+3.25*2.75+3.5*3.05+2.2*3+1.05*1.65+2.15*1.35+1.5*2.16+1.25*0.6+0.6*3.25+1.2*3.05)*10.764</f>
        <v>611.01846</v>
      </c>
      <c r="E323" s="42">
        <v>0</v>
      </c>
      <c r="F323" s="42">
        <f>E323+D323</f>
        <v>611.01846</v>
      </c>
      <c r="G323" s="42">
        <v>0</v>
      </c>
      <c r="H323" s="42">
        <f>F323*1.45+G323</f>
        <v>885.976767</v>
      </c>
      <c r="I323" s="119"/>
      <c r="J323" s="120"/>
      <c r="M323">
        <f>58.06-M321</f>
        <v>-520.55881999999997</v>
      </c>
    </row>
    <row r="324" spans="1:14" ht="15.6" x14ac:dyDescent="0.3">
      <c r="A324" s="110">
        <v>4</v>
      </c>
      <c r="B324" s="111">
        <v>3</v>
      </c>
      <c r="C324" s="42" t="s">
        <v>138</v>
      </c>
      <c r="D324" s="42">
        <f>55.97*10.764</f>
        <v>602.46107999999992</v>
      </c>
      <c r="E324" s="42">
        <v>0</v>
      </c>
      <c r="F324" s="42">
        <f>E324+D324</f>
        <v>602.46107999999992</v>
      </c>
      <c r="G324" s="42">
        <v>0</v>
      </c>
      <c r="H324" s="42">
        <f>F324*1.45+G324</f>
        <v>873.56856599999992</v>
      </c>
      <c r="I324" s="119"/>
      <c r="J324" s="120"/>
    </row>
    <row r="325" spans="1:14" ht="15.6" x14ac:dyDescent="0.3">
      <c r="A325" s="110">
        <v>5</v>
      </c>
      <c r="B325" s="111">
        <v>4</v>
      </c>
      <c r="C325" s="42" t="s">
        <v>138</v>
      </c>
      <c r="D325" s="42">
        <f>55.97*10.764</f>
        <v>602.46107999999992</v>
      </c>
      <c r="E325" s="42">
        <v>0</v>
      </c>
      <c r="F325" s="42">
        <f>E325+D325</f>
        <v>602.46107999999992</v>
      </c>
      <c r="G325" s="42">
        <v>0</v>
      </c>
      <c r="H325" s="42">
        <f>F325*1.45+G325</f>
        <v>873.56856599999992</v>
      </c>
      <c r="I325" s="121"/>
      <c r="J325" s="122"/>
    </row>
    <row r="326" spans="1:14" ht="15.75" customHeight="1" x14ac:dyDescent="0.3">
      <c r="A326" s="112" t="s">
        <v>278</v>
      </c>
      <c r="B326" s="113"/>
      <c r="C326" s="113"/>
      <c r="D326" s="113"/>
      <c r="E326" s="113"/>
      <c r="F326" s="113"/>
      <c r="G326" s="113"/>
      <c r="H326" s="113"/>
      <c r="I326" s="113"/>
      <c r="J326" s="114"/>
    </row>
    <row r="327" spans="1:14" ht="15.6" x14ac:dyDescent="0.3">
      <c r="A327" s="115">
        <v>1</v>
      </c>
      <c r="B327" s="116">
        <v>1</v>
      </c>
      <c r="C327" s="42" t="s">
        <v>138</v>
      </c>
      <c r="D327" s="42">
        <f>57.96*10.764</f>
        <v>623.88144</v>
      </c>
      <c r="E327" s="42">
        <v>0</v>
      </c>
      <c r="F327" s="42">
        <f>E327+D327</f>
        <v>623.88144</v>
      </c>
      <c r="G327" s="42">
        <v>0</v>
      </c>
      <c r="H327" s="42">
        <f>F327*1.45+G327</f>
        <v>904.62808799999993</v>
      </c>
      <c r="I327" s="117" t="str">
        <f>A326</f>
        <v>41st Floor Floor (Part Refuge Area)</v>
      </c>
      <c r="J327" s="118"/>
    </row>
    <row r="328" spans="1:14" ht="15.6" x14ac:dyDescent="0.3">
      <c r="A328" s="115">
        <v>2</v>
      </c>
      <c r="B328" s="116">
        <v>2</v>
      </c>
      <c r="C328" s="110" t="s">
        <v>279</v>
      </c>
      <c r="D328" s="123"/>
      <c r="E328" s="123"/>
      <c r="F328" s="123"/>
      <c r="G328" s="123"/>
      <c r="H328" s="111"/>
      <c r="I328" s="119"/>
      <c r="J328" s="120"/>
    </row>
    <row r="329" spans="1:14" ht="15.6" x14ac:dyDescent="0.3">
      <c r="A329" s="110">
        <v>3</v>
      </c>
      <c r="B329" s="111">
        <v>3</v>
      </c>
      <c r="C329" s="42" t="s">
        <v>138</v>
      </c>
      <c r="D329" s="42">
        <f>(3.05*5.35+3.25*2.75+3.5*3.05+2.2*3+1.05*1.65+2.15*1.35+1.5*2.16+1.25*0.6+0.6*3.25+1.2*3.05)*10.764</f>
        <v>611.01846</v>
      </c>
      <c r="E329" s="42">
        <v>0</v>
      </c>
      <c r="F329" s="42">
        <f>E329+D329</f>
        <v>611.01846</v>
      </c>
      <c r="G329" s="42">
        <v>0</v>
      </c>
      <c r="H329" s="42">
        <f>F329*1.45+G329</f>
        <v>885.976767</v>
      </c>
      <c r="I329" s="119"/>
      <c r="J329" s="120"/>
      <c r="M329">
        <f>58.06-M327</f>
        <v>58.06</v>
      </c>
    </row>
    <row r="330" spans="1:14" x14ac:dyDescent="0.3">
      <c r="A330" s="115">
        <v>4</v>
      </c>
      <c r="B330" s="116">
        <v>3</v>
      </c>
      <c r="C330" s="117" t="s">
        <v>249</v>
      </c>
      <c r="D330" s="124">
        <f>55.97*10.764</f>
        <v>602.46107999999992</v>
      </c>
      <c r="E330" s="124">
        <v>0</v>
      </c>
      <c r="F330" s="124">
        <f>E330+D330</f>
        <v>602.46107999999992</v>
      </c>
      <c r="G330" s="124">
        <v>0</v>
      </c>
      <c r="H330" s="118">
        <f>F330*1.45+G330</f>
        <v>873.56856599999992</v>
      </c>
      <c r="I330" s="119"/>
      <c r="J330" s="120"/>
    </row>
    <row r="331" spans="1:14" x14ac:dyDescent="0.3">
      <c r="A331" s="115">
        <v>5</v>
      </c>
      <c r="B331" s="116">
        <v>4</v>
      </c>
      <c r="C331" s="121" t="s">
        <v>138</v>
      </c>
      <c r="D331" s="125">
        <f>55.97*10.764</f>
        <v>602.46107999999992</v>
      </c>
      <c r="E331" s="125">
        <v>0</v>
      </c>
      <c r="F331" s="125">
        <f>E331+D331</f>
        <v>602.46107999999992</v>
      </c>
      <c r="G331" s="125">
        <v>0</v>
      </c>
      <c r="H331" s="122">
        <f>F331*1.45+G331</f>
        <v>873.56856599999992</v>
      </c>
      <c r="I331" s="121"/>
      <c r="J331" s="122"/>
    </row>
    <row r="332" spans="1:14" ht="15.75" customHeight="1" x14ac:dyDescent="0.3">
      <c r="A332" s="112" t="s">
        <v>268</v>
      </c>
      <c r="B332" s="113"/>
      <c r="C332" s="113"/>
      <c r="D332" s="113"/>
      <c r="E332" s="113"/>
      <c r="F332" s="113"/>
      <c r="G332" s="113"/>
      <c r="H332" s="113"/>
      <c r="I332" s="113"/>
      <c r="J332" s="114"/>
    </row>
    <row r="333" spans="1:14" ht="15.6" x14ac:dyDescent="0.3">
      <c r="A333" s="110">
        <v>1</v>
      </c>
      <c r="B333" s="111">
        <v>1</v>
      </c>
      <c r="C333" s="42" t="s">
        <v>138</v>
      </c>
      <c r="D333" s="42">
        <f>57.96*10.764</f>
        <v>623.88144</v>
      </c>
      <c r="E333" s="42">
        <v>0</v>
      </c>
      <c r="F333" s="42">
        <f>E333+D333</f>
        <v>623.88144</v>
      </c>
      <c r="G333" s="42">
        <v>0</v>
      </c>
      <c r="H333" s="42">
        <f>F333*1.45+G333</f>
        <v>904.62808799999993</v>
      </c>
      <c r="I333" s="117" t="str">
        <f>A332</f>
        <v>42nd Floor</v>
      </c>
      <c r="J333" s="118"/>
      <c r="M333">
        <f>(3.05*5.35+3.25*2.95+3.5*3.05+2.2*3+1.05*1.65+2.15*1.35+1.5*2.16+1.25*0.6+0.6*3.25+1.2*3.05)</f>
        <v>57.414999999999999</v>
      </c>
      <c r="N333">
        <f>3.05*6.05+3.05*3.25+1*0.5+2*1.4+1.05*0.9+3.2*2.15+3.05*6.05+1.5*0.9+2.15*1.25</f>
        <v>61.98</v>
      </c>
    </row>
    <row r="334" spans="1:14" ht="46.8" x14ac:dyDescent="0.3">
      <c r="A334" s="110">
        <v>2</v>
      </c>
      <c r="B334" s="111">
        <v>2</v>
      </c>
      <c r="C334" s="42" t="s">
        <v>269</v>
      </c>
      <c r="D334" s="42">
        <f>(98.77)*10.764</f>
        <v>1063.1602799999998</v>
      </c>
      <c r="E334" s="42">
        <v>0</v>
      </c>
      <c r="F334" s="42">
        <f>E334+D334</f>
        <v>1063.1602799999998</v>
      </c>
      <c r="G334" s="42">
        <v>0</v>
      </c>
      <c r="H334" s="42">
        <f>F334*1.45+G334</f>
        <v>1541.5824059999998</v>
      </c>
      <c r="I334" s="119"/>
      <c r="J334" s="120"/>
      <c r="M334" s="62"/>
    </row>
    <row r="335" spans="1:14" ht="15.6" x14ac:dyDescent="0.3">
      <c r="A335" s="110">
        <v>3</v>
      </c>
      <c r="B335" s="111">
        <v>3</v>
      </c>
      <c r="C335" s="42" t="s">
        <v>138</v>
      </c>
      <c r="D335" s="42">
        <f>(3.05*5.35+3.25*2.75+3.5*3.05+2.2*3+1.05*1.65+2.15*1.35+1.5*2.16+1.25*0.6+0.6*3.25+1.2*3.05)*10.764</f>
        <v>611.01846</v>
      </c>
      <c r="E335" s="42">
        <v>0</v>
      </c>
      <c r="F335" s="42">
        <f>E335+D335</f>
        <v>611.01846</v>
      </c>
      <c r="G335" s="42">
        <v>0</v>
      </c>
      <c r="H335" s="42">
        <f>F335*1.45+G335</f>
        <v>885.976767</v>
      </c>
      <c r="I335" s="119"/>
      <c r="J335" s="120"/>
      <c r="M335">
        <f>58.06-M333</f>
        <v>0.64500000000000313</v>
      </c>
    </row>
    <row r="336" spans="1:14" ht="15.75" customHeight="1" x14ac:dyDescent="0.3">
      <c r="A336" s="110">
        <v>4</v>
      </c>
      <c r="B336" s="111">
        <v>3</v>
      </c>
      <c r="C336" s="117" t="s">
        <v>249</v>
      </c>
      <c r="D336" s="124"/>
      <c r="E336" s="124"/>
      <c r="F336" s="124"/>
      <c r="G336" s="124"/>
      <c r="H336" s="118"/>
      <c r="I336" s="119"/>
      <c r="J336" s="120"/>
    </row>
    <row r="337" spans="1:10" ht="15.75" customHeight="1" x14ac:dyDescent="0.3">
      <c r="A337" s="110">
        <v>5</v>
      </c>
      <c r="B337" s="111">
        <v>4</v>
      </c>
      <c r="C337" s="121"/>
      <c r="D337" s="125"/>
      <c r="E337" s="125"/>
      <c r="F337" s="125"/>
      <c r="G337" s="125"/>
      <c r="H337" s="122"/>
      <c r="I337" s="121"/>
      <c r="J337" s="122"/>
    </row>
    <row r="338" spans="1:10" ht="15.6" x14ac:dyDescent="0.3">
      <c r="A338" s="200" t="s">
        <v>270</v>
      </c>
      <c r="B338" s="201"/>
      <c r="C338" s="201"/>
      <c r="D338" s="201"/>
      <c r="E338" s="201"/>
      <c r="F338" s="201"/>
      <c r="G338" s="201"/>
      <c r="H338" s="201"/>
      <c r="I338" s="201"/>
      <c r="J338" s="202"/>
    </row>
    <row r="339" spans="1:10" ht="15.6" x14ac:dyDescent="0.3">
      <c r="A339" s="203" t="s">
        <v>236</v>
      </c>
      <c r="B339" s="204"/>
      <c r="C339" s="204"/>
      <c r="D339" s="204"/>
      <c r="E339" s="204"/>
      <c r="F339" s="204"/>
      <c r="G339" s="204"/>
      <c r="H339" s="204"/>
      <c r="I339" s="204"/>
      <c r="J339" s="205"/>
    </row>
    <row r="340" spans="1:10" ht="15.6" x14ac:dyDescent="0.3">
      <c r="A340" s="203" t="s">
        <v>235</v>
      </c>
      <c r="B340" s="204"/>
      <c r="C340" s="204"/>
      <c r="D340" s="204"/>
      <c r="E340" s="204"/>
      <c r="F340" s="204"/>
      <c r="G340" s="204"/>
      <c r="H340" s="204"/>
      <c r="I340" s="204"/>
      <c r="J340" s="205"/>
    </row>
    <row r="341" spans="1:10" ht="15.6" x14ac:dyDescent="0.3">
      <c r="A341" s="203" t="s">
        <v>237</v>
      </c>
      <c r="B341" s="204"/>
      <c r="C341" s="204"/>
      <c r="D341" s="204"/>
      <c r="E341" s="204"/>
      <c r="F341" s="204"/>
      <c r="G341" s="204"/>
      <c r="H341" s="204"/>
      <c r="I341" s="204"/>
      <c r="J341" s="205"/>
    </row>
    <row r="342" spans="1:10" ht="15.6" x14ac:dyDescent="0.3">
      <c r="A342" s="112" t="s">
        <v>253</v>
      </c>
      <c r="B342" s="113"/>
      <c r="C342" s="113"/>
      <c r="D342" s="113"/>
      <c r="E342" s="113"/>
      <c r="F342" s="113"/>
      <c r="G342" s="113"/>
      <c r="H342" s="113"/>
      <c r="I342" s="113"/>
      <c r="J342" s="114"/>
    </row>
    <row r="343" spans="1:10" ht="15.75" customHeight="1" x14ac:dyDescent="0.3">
      <c r="A343" s="112" t="s">
        <v>254</v>
      </c>
      <c r="B343" s="113"/>
      <c r="C343" s="113"/>
      <c r="D343" s="113"/>
      <c r="E343" s="113"/>
      <c r="F343" s="113"/>
      <c r="G343" s="113"/>
      <c r="H343" s="113"/>
      <c r="I343" s="113"/>
      <c r="J343" s="114"/>
    </row>
    <row r="344" spans="1:10" ht="15.6" x14ac:dyDescent="0.3">
      <c r="A344" s="115">
        <v>1</v>
      </c>
      <c r="B344" s="116">
        <v>1</v>
      </c>
      <c r="C344" s="42" t="s">
        <v>138</v>
      </c>
      <c r="D344" s="42">
        <f>58.78*10.764</f>
        <v>632.70791999999994</v>
      </c>
      <c r="E344" s="42">
        <v>0</v>
      </c>
      <c r="F344" s="42">
        <f>E344+D344</f>
        <v>632.70791999999994</v>
      </c>
      <c r="G344" s="42">
        <v>0</v>
      </c>
      <c r="H344" s="42">
        <f>F344*1.45+G344</f>
        <v>917.42648399999985</v>
      </c>
      <c r="I344" s="256" t="str">
        <f>A343</f>
        <v>2nd, 4th, 8th &amp; 10th Floor</v>
      </c>
      <c r="J344" s="256"/>
    </row>
    <row r="345" spans="1:10" ht="15.6" x14ac:dyDescent="0.3">
      <c r="A345" s="115">
        <v>2</v>
      </c>
      <c r="B345" s="116">
        <v>2</v>
      </c>
      <c r="C345" s="42" t="s">
        <v>138</v>
      </c>
      <c r="D345" s="42">
        <f>(58.89)*10.764</f>
        <v>633.89195999999993</v>
      </c>
      <c r="E345" s="42">
        <v>0</v>
      </c>
      <c r="F345" s="42">
        <f>E345+D345</f>
        <v>633.89195999999993</v>
      </c>
      <c r="G345" s="42">
        <v>0</v>
      </c>
      <c r="H345" s="42">
        <f>F345*1.45+G345</f>
        <v>919.14334199999985</v>
      </c>
      <c r="I345" s="256"/>
      <c r="J345" s="256"/>
    </row>
    <row r="346" spans="1:10" ht="15.6" x14ac:dyDescent="0.3">
      <c r="A346" s="115">
        <v>3</v>
      </c>
      <c r="B346" s="116">
        <v>3</v>
      </c>
      <c r="C346" s="42" t="s">
        <v>190</v>
      </c>
      <c r="D346" s="42">
        <f>(79.28)*10.764</f>
        <v>853.36991999999998</v>
      </c>
      <c r="E346" s="42">
        <v>0</v>
      </c>
      <c r="F346" s="42">
        <f>E346+D346</f>
        <v>853.36991999999998</v>
      </c>
      <c r="G346" s="42">
        <v>0</v>
      </c>
      <c r="H346" s="42">
        <f>F346*1.45+G346</f>
        <v>1237.3863839999999</v>
      </c>
      <c r="I346" s="256"/>
      <c r="J346" s="256"/>
    </row>
    <row r="347" spans="1:10" ht="15.6" x14ac:dyDescent="0.3">
      <c r="A347" s="115">
        <v>4</v>
      </c>
      <c r="B347" s="116">
        <v>2</v>
      </c>
      <c r="C347" s="42" t="s">
        <v>138</v>
      </c>
      <c r="D347" s="42">
        <f>(63.48)*10.764</f>
        <v>683.29871999999989</v>
      </c>
      <c r="E347" s="42">
        <v>0</v>
      </c>
      <c r="F347" s="42">
        <f>E347+D347</f>
        <v>683.29871999999989</v>
      </c>
      <c r="G347" s="42">
        <v>0</v>
      </c>
      <c r="H347" s="42">
        <f>F347*1.45+G347</f>
        <v>990.78314399999977</v>
      </c>
      <c r="I347" s="256"/>
      <c r="J347" s="256"/>
    </row>
    <row r="348" spans="1:10" ht="15.75" customHeight="1" x14ac:dyDescent="0.3">
      <c r="A348" s="112" t="s">
        <v>255</v>
      </c>
      <c r="B348" s="113"/>
      <c r="C348" s="113"/>
      <c r="D348" s="113"/>
      <c r="E348" s="113"/>
      <c r="F348" s="113"/>
      <c r="G348" s="113"/>
      <c r="H348" s="113"/>
      <c r="I348" s="113"/>
      <c r="J348" s="114"/>
    </row>
    <row r="349" spans="1:10" ht="15.6" x14ac:dyDescent="0.3">
      <c r="A349" s="115">
        <v>1</v>
      </c>
      <c r="B349" s="116">
        <v>1</v>
      </c>
      <c r="C349" s="42" t="s">
        <v>138</v>
      </c>
      <c r="D349" s="42">
        <f>58.78*10.764</f>
        <v>632.70791999999994</v>
      </c>
      <c r="E349" s="42">
        <v>0</v>
      </c>
      <c r="F349" s="42">
        <f>E349+D349</f>
        <v>632.70791999999994</v>
      </c>
      <c r="G349" s="42">
        <v>0</v>
      </c>
      <c r="H349" s="42">
        <f>F349*1.45+G349</f>
        <v>917.42648399999985</v>
      </c>
      <c r="I349" s="256" t="str">
        <f>A348</f>
        <v>3rd, 5th, 7th, 9th &amp; 11th Floor</v>
      </c>
      <c r="J349" s="256"/>
    </row>
    <row r="350" spans="1:10" ht="15.6" x14ac:dyDescent="0.3">
      <c r="A350" s="115">
        <v>2</v>
      </c>
      <c r="B350" s="116">
        <v>2</v>
      </c>
      <c r="C350" s="42" t="s">
        <v>138</v>
      </c>
      <c r="D350" s="42">
        <f>(58.89)*10.764</f>
        <v>633.89195999999993</v>
      </c>
      <c r="E350" s="42">
        <v>0</v>
      </c>
      <c r="F350" s="42">
        <f>E350+D350</f>
        <v>633.89195999999993</v>
      </c>
      <c r="G350" s="42">
        <v>0</v>
      </c>
      <c r="H350" s="42">
        <f>F350*1.45+G350</f>
        <v>919.14334199999985</v>
      </c>
      <c r="I350" s="256"/>
      <c r="J350" s="256"/>
    </row>
    <row r="351" spans="1:10" ht="15.6" x14ac:dyDescent="0.3">
      <c r="A351" s="115">
        <v>3</v>
      </c>
      <c r="B351" s="116">
        <v>3</v>
      </c>
      <c r="C351" s="42" t="s">
        <v>190</v>
      </c>
      <c r="D351" s="42">
        <f>(79.28)*10.764</f>
        <v>853.36991999999998</v>
      </c>
      <c r="E351" s="42">
        <v>0</v>
      </c>
      <c r="F351" s="42">
        <f>E351+D351</f>
        <v>853.36991999999998</v>
      </c>
      <c r="G351" s="42">
        <v>0</v>
      </c>
      <c r="H351" s="42">
        <f>F351*1.45+G351</f>
        <v>1237.3863839999999</v>
      </c>
      <c r="I351" s="256"/>
      <c r="J351" s="256"/>
    </row>
    <row r="352" spans="1:10" ht="15.6" x14ac:dyDescent="0.3">
      <c r="A352" s="115">
        <v>4</v>
      </c>
      <c r="B352" s="116">
        <v>2</v>
      </c>
      <c r="C352" s="42" t="s">
        <v>138</v>
      </c>
      <c r="D352" s="42">
        <f>(63.48)*10.764</f>
        <v>683.29871999999989</v>
      </c>
      <c r="E352" s="42">
        <v>0</v>
      </c>
      <c r="F352" s="42">
        <f>E352+D352</f>
        <v>683.29871999999989</v>
      </c>
      <c r="G352" s="42">
        <v>0</v>
      </c>
      <c r="H352" s="42">
        <f>F352*1.45+G352</f>
        <v>990.78314399999977</v>
      </c>
      <c r="I352" s="256"/>
      <c r="J352" s="256"/>
    </row>
    <row r="353" spans="1:10" ht="15.75" customHeight="1" x14ac:dyDescent="0.3">
      <c r="A353" s="112" t="s">
        <v>241</v>
      </c>
      <c r="B353" s="113"/>
      <c r="C353" s="113"/>
      <c r="D353" s="113"/>
      <c r="E353" s="113"/>
      <c r="F353" s="113"/>
      <c r="G353" s="113"/>
      <c r="H353" s="113"/>
      <c r="I353" s="113"/>
      <c r="J353" s="114"/>
    </row>
    <row r="354" spans="1:10" ht="15.75" customHeight="1" x14ac:dyDescent="0.3">
      <c r="A354" s="115">
        <v>1</v>
      </c>
      <c r="B354" s="116">
        <v>1</v>
      </c>
      <c r="C354" s="42" t="s">
        <v>138</v>
      </c>
      <c r="D354" s="42">
        <f>58.78*10.764</f>
        <v>632.70791999999994</v>
      </c>
      <c r="E354" s="42">
        <v>0</v>
      </c>
      <c r="F354" s="42">
        <f>E354+D354</f>
        <v>632.70791999999994</v>
      </c>
      <c r="G354" s="42">
        <v>0</v>
      </c>
      <c r="H354" s="42">
        <f>F354*1.45+G354</f>
        <v>917.42648399999985</v>
      </c>
      <c r="I354" s="119" t="str">
        <f>A353</f>
        <v>6th Floor (Part Refuge Area)</v>
      </c>
      <c r="J354" s="120"/>
    </row>
    <row r="355" spans="1:10" ht="15.6" x14ac:dyDescent="0.3">
      <c r="A355" s="115">
        <v>2</v>
      </c>
      <c r="B355" s="116">
        <v>3</v>
      </c>
      <c r="C355" s="42" t="s">
        <v>138</v>
      </c>
      <c r="D355" s="42">
        <f>(58.89)*10.764</f>
        <v>633.89195999999993</v>
      </c>
      <c r="E355" s="42">
        <v>0</v>
      </c>
      <c r="F355" s="42">
        <f>E355+D355</f>
        <v>633.89195999999993</v>
      </c>
      <c r="G355" s="42">
        <v>0</v>
      </c>
      <c r="H355" s="42">
        <f>F355*1.45+G355</f>
        <v>919.14334199999985</v>
      </c>
      <c r="I355" s="119"/>
      <c r="J355" s="120"/>
    </row>
    <row r="356" spans="1:10" ht="15.6" x14ac:dyDescent="0.3">
      <c r="A356" s="115">
        <v>3</v>
      </c>
      <c r="B356" s="116">
        <v>3</v>
      </c>
      <c r="C356" s="42" t="s">
        <v>190</v>
      </c>
      <c r="D356" s="42">
        <f>(79.28)*10.764</f>
        <v>853.36991999999998</v>
      </c>
      <c r="E356" s="42">
        <v>0</v>
      </c>
      <c r="F356" s="42">
        <f>E356+D356</f>
        <v>853.36991999999998</v>
      </c>
      <c r="G356" s="42">
        <v>0</v>
      </c>
      <c r="H356" s="42">
        <f>F356*1.45+G356</f>
        <v>1237.3863839999999</v>
      </c>
      <c r="I356" s="119"/>
      <c r="J356" s="120"/>
    </row>
    <row r="357" spans="1:10" ht="15.6" x14ac:dyDescent="0.3">
      <c r="A357" s="115">
        <v>4</v>
      </c>
      <c r="B357" s="116">
        <v>2</v>
      </c>
      <c r="C357" s="110" t="s">
        <v>250</v>
      </c>
      <c r="D357" s="123"/>
      <c r="E357" s="123"/>
      <c r="F357" s="123"/>
      <c r="G357" s="123"/>
      <c r="H357" s="111"/>
      <c r="I357" s="119"/>
      <c r="J357" s="120"/>
    </row>
    <row r="358" spans="1:10" ht="15.75" customHeight="1" x14ac:dyDescent="0.3">
      <c r="A358" s="112" t="s">
        <v>256</v>
      </c>
      <c r="B358" s="113"/>
      <c r="C358" s="113"/>
      <c r="D358" s="113"/>
      <c r="E358" s="113"/>
      <c r="F358" s="113"/>
      <c r="G358" s="113"/>
      <c r="H358" s="113"/>
      <c r="I358" s="113"/>
      <c r="J358" s="114"/>
    </row>
    <row r="359" spans="1:10" ht="15.75" customHeight="1" x14ac:dyDescent="0.3">
      <c r="A359" s="115">
        <v>1</v>
      </c>
      <c r="B359" s="116">
        <v>1</v>
      </c>
      <c r="C359" s="42" t="s">
        <v>138</v>
      </c>
      <c r="D359" s="42">
        <f>58.78*10.764</f>
        <v>632.70791999999994</v>
      </c>
      <c r="E359" s="42">
        <v>0</v>
      </c>
      <c r="F359" s="42">
        <f t="shared" ref="F359:F364" si="1">E359+D359</f>
        <v>632.70791999999994</v>
      </c>
      <c r="G359" s="42">
        <v>0</v>
      </c>
      <c r="H359" s="42">
        <f t="shared" ref="H359:H364" si="2">F359*1.45+G359</f>
        <v>917.42648399999985</v>
      </c>
      <c r="I359" s="119" t="str">
        <f>A358</f>
        <v>12th Floor</v>
      </c>
      <c r="J359" s="120"/>
    </row>
    <row r="360" spans="1:10" ht="15.6" x14ac:dyDescent="0.3">
      <c r="A360" s="115">
        <v>2</v>
      </c>
      <c r="B360" s="116">
        <v>3</v>
      </c>
      <c r="C360" s="42" t="s">
        <v>138</v>
      </c>
      <c r="D360" s="42">
        <f>(58.89)*10.764</f>
        <v>633.89195999999993</v>
      </c>
      <c r="E360" s="42">
        <v>0</v>
      </c>
      <c r="F360" s="42">
        <f t="shared" si="1"/>
        <v>633.89195999999993</v>
      </c>
      <c r="G360" s="42">
        <v>0</v>
      </c>
      <c r="H360" s="42">
        <f t="shared" si="2"/>
        <v>919.14334199999985</v>
      </c>
      <c r="I360" s="119"/>
      <c r="J360" s="120"/>
    </row>
    <row r="361" spans="1:10" ht="46.8" x14ac:dyDescent="0.3">
      <c r="A361" s="110">
        <v>3</v>
      </c>
      <c r="B361" s="111">
        <v>2</v>
      </c>
      <c r="C361" s="42" t="s">
        <v>271</v>
      </c>
      <c r="D361" s="42">
        <f>121.7*10.764</f>
        <v>1309.9787999999999</v>
      </c>
      <c r="E361" s="42">
        <v>0</v>
      </c>
      <c r="F361" s="42">
        <f t="shared" si="1"/>
        <v>1309.9787999999999</v>
      </c>
      <c r="G361" s="42">
        <v>0</v>
      </c>
      <c r="H361" s="42">
        <f t="shared" si="2"/>
        <v>1899.4692599999998</v>
      </c>
      <c r="I361" s="119"/>
      <c r="J361" s="120"/>
    </row>
    <row r="362" spans="1:10" ht="15.6" x14ac:dyDescent="0.3">
      <c r="A362" s="110">
        <v>4</v>
      </c>
      <c r="B362" s="111">
        <v>3</v>
      </c>
      <c r="C362" s="42" t="s">
        <v>190</v>
      </c>
      <c r="D362" s="42">
        <f>(78.56)*10.764</f>
        <v>845.61983999999995</v>
      </c>
      <c r="E362" s="42">
        <v>0</v>
      </c>
      <c r="F362" s="42">
        <f t="shared" si="1"/>
        <v>845.61983999999995</v>
      </c>
      <c r="G362" s="42">
        <v>0</v>
      </c>
      <c r="H362" s="42">
        <f t="shared" si="2"/>
        <v>1226.1487679999998</v>
      </c>
      <c r="I362" s="119"/>
      <c r="J362" s="120"/>
    </row>
    <row r="363" spans="1:10" ht="15.6" x14ac:dyDescent="0.3">
      <c r="A363" s="110">
        <v>5</v>
      </c>
      <c r="B363" s="111">
        <v>3</v>
      </c>
      <c r="C363" s="42" t="s">
        <v>138</v>
      </c>
      <c r="D363" s="42">
        <f>55.97*10.764</f>
        <v>602.46107999999992</v>
      </c>
      <c r="E363" s="42">
        <v>0</v>
      </c>
      <c r="F363" s="42">
        <f t="shared" si="1"/>
        <v>602.46107999999992</v>
      </c>
      <c r="G363" s="42">
        <v>0</v>
      </c>
      <c r="H363" s="42">
        <f t="shared" si="2"/>
        <v>873.56856599999992</v>
      </c>
      <c r="I363" s="119"/>
      <c r="J363" s="120"/>
    </row>
    <row r="364" spans="1:10" ht="15.6" x14ac:dyDescent="0.3">
      <c r="A364" s="110">
        <v>6</v>
      </c>
      <c r="B364" s="111">
        <v>4</v>
      </c>
      <c r="C364" s="42" t="s">
        <v>138</v>
      </c>
      <c r="D364" s="42">
        <f>55.97*10.764</f>
        <v>602.46107999999992</v>
      </c>
      <c r="E364" s="42">
        <v>0</v>
      </c>
      <c r="F364" s="42">
        <f t="shared" si="1"/>
        <v>602.46107999999992</v>
      </c>
      <c r="G364" s="42">
        <v>0</v>
      </c>
      <c r="H364" s="42">
        <f t="shared" si="2"/>
        <v>873.56856599999992</v>
      </c>
      <c r="I364" s="121"/>
      <c r="J364" s="122"/>
    </row>
    <row r="365" spans="1:10" ht="15.75" customHeight="1" x14ac:dyDescent="0.3">
      <c r="A365" s="112" t="s">
        <v>260</v>
      </c>
      <c r="B365" s="113"/>
      <c r="C365" s="113"/>
      <c r="D365" s="113"/>
      <c r="E365" s="113"/>
      <c r="F365" s="113"/>
      <c r="G365" s="113"/>
      <c r="H365" s="113"/>
      <c r="I365" s="113"/>
      <c r="J365" s="114"/>
    </row>
    <row r="366" spans="1:10" ht="15.75" customHeight="1" x14ac:dyDescent="0.3">
      <c r="A366" s="115">
        <v>1</v>
      </c>
      <c r="B366" s="116">
        <v>1</v>
      </c>
      <c r="C366" s="42" t="s">
        <v>138</v>
      </c>
      <c r="D366" s="42">
        <f>58.78*10.764</f>
        <v>632.70791999999994</v>
      </c>
      <c r="E366" s="42">
        <v>0</v>
      </c>
      <c r="F366" s="42">
        <f>E366+D366</f>
        <v>632.70791999999994</v>
      </c>
      <c r="G366" s="42">
        <v>0</v>
      </c>
      <c r="H366" s="42">
        <f>F366*1.45+G366</f>
        <v>917.42648399999985</v>
      </c>
      <c r="I366" s="119" t="str">
        <f>A365</f>
        <v>13th &amp; 20th Floor (Part Refuge Area)</v>
      </c>
      <c r="J366" s="120"/>
    </row>
    <row r="367" spans="1:10" ht="15.6" x14ac:dyDescent="0.3">
      <c r="A367" s="115">
        <v>2</v>
      </c>
      <c r="B367" s="116">
        <v>3</v>
      </c>
      <c r="C367" s="42" t="s">
        <v>138</v>
      </c>
      <c r="D367" s="42">
        <f>(58.89)*10.764</f>
        <v>633.89195999999993</v>
      </c>
      <c r="E367" s="42">
        <v>0</v>
      </c>
      <c r="F367" s="42">
        <f>E367+D367</f>
        <v>633.89195999999993</v>
      </c>
      <c r="G367" s="42">
        <v>0</v>
      </c>
      <c r="H367" s="42">
        <f>F367*1.45+G367</f>
        <v>919.14334199999985</v>
      </c>
      <c r="I367" s="119"/>
      <c r="J367" s="120"/>
    </row>
    <row r="368" spans="1:10" ht="15.6" x14ac:dyDescent="0.3">
      <c r="A368" s="115">
        <v>3</v>
      </c>
      <c r="B368" s="116">
        <v>2</v>
      </c>
      <c r="C368" s="110" t="s">
        <v>272</v>
      </c>
      <c r="D368" s="123"/>
      <c r="E368" s="123"/>
      <c r="F368" s="123"/>
      <c r="G368" s="123"/>
      <c r="H368" s="111"/>
      <c r="I368" s="119"/>
      <c r="J368" s="120"/>
    </row>
    <row r="369" spans="1:15" x14ac:dyDescent="0.3">
      <c r="A369" s="115">
        <v>4</v>
      </c>
      <c r="B369" s="116">
        <v>3</v>
      </c>
      <c r="C369" s="110" t="s">
        <v>250</v>
      </c>
      <c r="D369" s="123">
        <f>60.22*10.764</f>
        <v>648.20808</v>
      </c>
      <c r="E369" s="123">
        <v>0</v>
      </c>
      <c r="F369" s="123">
        <f>E369+D369</f>
        <v>648.20808</v>
      </c>
      <c r="G369" s="123">
        <v>0</v>
      </c>
      <c r="H369" s="111">
        <f>F369*1.45+G369</f>
        <v>939.90171599999996</v>
      </c>
      <c r="I369" s="119"/>
      <c r="J369" s="120"/>
    </row>
    <row r="370" spans="1:15" ht="15.6" x14ac:dyDescent="0.3">
      <c r="A370" s="115">
        <v>5</v>
      </c>
      <c r="B370" s="116">
        <v>3</v>
      </c>
      <c r="C370" s="42" t="s">
        <v>138</v>
      </c>
      <c r="D370" s="42">
        <f>55.97*10.764</f>
        <v>602.46107999999992</v>
      </c>
      <c r="E370" s="42">
        <v>0</v>
      </c>
      <c r="F370" s="42">
        <f>E370+D370</f>
        <v>602.46107999999992</v>
      </c>
      <c r="G370" s="42">
        <v>0</v>
      </c>
      <c r="H370" s="42">
        <f>F370*1.45+G370</f>
        <v>873.56856599999992</v>
      </c>
      <c r="I370" s="119"/>
      <c r="J370" s="120"/>
    </row>
    <row r="371" spans="1:15" ht="15.6" x14ac:dyDescent="0.3">
      <c r="A371" s="115">
        <v>6</v>
      </c>
      <c r="B371" s="116">
        <v>4</v>
      </c>
      <c r="C371" s="42" t="s">
        <v>138</v>
      </c>
      <c r="D371" s="42">
        <f>55.97*10.764</f>
        <v>602.46107999999992</v>
      </c>
      <c r="E371" s="42">
        <v>0</v>
      </c>
      <c r="F371" s="42">
        <f>E371+D371</f>
        <v>602.46107999999992</v>
      </c>
      <c r="G371" s="42">
        <v>0</v>
      </c>
      <c r="H371" s="42">
        <f>F371*1.45+G371</f>
        <v>873.56856599999992</v>
      </c>
      <c r="I371" s="121"/>
      <c r="J371" s="122"/>
    </row>
    <row r="372" spans="1:15" ht="15.75" customHeight="1" x14ac:dyDescent="0.3">
      <c r="A372" s="112" t="s">
        <v>258</v>
      </c>
      <c r="B372" s="113"/>
      <c r="C372" s="113"/>
      <c r="D372" s="113"/>
      <c r="E372" s="113"/>
      <c r="F372" s="113"/>
      <c r="G372" s="113"/>
      <c r="H372" s="113"/>
      <c r="I372" s="113"/>
      <c r="J372" s="114"/>
    </row>
    <row r="373" spans="1:15" ht="15.75" customHeight="1" x14ac:dyDescent="0.3">
      <c r="A373" s="115">
        <v>1</v>
      </c>
      <c r="B373" s="116">
        <v>1</v>
      </c>
      <c r="C373" s="42" t="s">
        <v>138</v>
      </c>
      <c r="D373" s="42">
        <f>58.78*10.764</f>
        <v>632.70791999999994</v>
      </c>
      <c r="E373" s="42">
        <v>0</v>
      </c>
      <c r="F373" s="42">
        <f t="shared" ref="F373:F378" si="3">E373+D373</f>
        <v>632.70791999999994</v>
      </c>
      <c r="G373" s="42">
        <v>0</v>
      </c>
      <c r="H373" s="42">
        <f t="shared" ref="H373:H378" si="4">F373*1.45+G373</f>
        <v>917.42648399999985</v>
      </c>
      <c r="I373" s="119" t="str">
        <f>A372</f>
        <v>14th to 18th, 21st to 25th Floor</v>
      </c>
      <c r="J373" s="120"/>
    </row>
    <row r="374" spans="1:15" ht="15.6" x14ac:dyDescent="0.3">
      <c r="A374" s="115">
        <v>2</v>
      </c>
      <c r="B374" s="116">
        <v>3</v>
      </c>
      <c r="C374" s="42" t="s">
        <v>138</v>
      </c>
      <c r="D374" s="42">
        <f>(58.89)*10.764</f>
        <v>633.89195999999993</v>
      </c>
      <c r="E374" s="42">
        <v>0</v>
      </c>
      <c r="F374" s="42">
        <f t="shared" si="3"/>
        <v>633.89195999999993</v>
      </c>
      <c r="G374" s="42">
        <v>0</v>
      </c>
      <c r="H374" s="42">
        <f t="shared" si="4"/>
        <v>919.14334199999985</v>
      </c>
      <c r="I374" s="119"/>
      <c r="J374" s="120"/>
    </row>
    <row r="375" spans="1:15" ht="15.6" x14ac:dyDescent="0.3">
      <c r="A375" s="115">
        <v>3</v>
      </c>
      <c r="B375" s="116">
        <v>3</v>
      </c>
      <c r="C375" s="42" t="s">
        <v>190</v>
      </c>
      <c r="D375" s="42">
        <f>(79.28)*10.764</f>
        <v>853.36991999999998</v>
      </c>
      <c r="E375" s="42">
        <v>0</v>
      </c>
      <c r="F375" s="42">
        <f t="shared" si="3"/>
        <v>853.36991999999998</v>
      </c>
      <c r="G375" s="42">
        <v>0</v>
      </c>
      <c r="H375" s="42">
        <f t="shared" si="4"/>
        <v>1237.3863839999999</v>
      </c>
      <c r="I375" s="119"/>
      <c r="J375" s="120"/>
    </row>
    <row r="376" spans="1:15" ht="15.6" x14ac:dyDescent="0.3">
      <c r="A376" s="110">
        <v>4</v>
      </c>
      <c r="B376" s="111">
        <v>2</v>
      </c>
      <c r="C376" s="42" t="s">
        <v>190</v>
      </c>
      <c r="D376" s="42">
        <f>78.58*10.764</f>
        <v>845.83511999999996</v>
      </c>
      <c r="E376" s="42">
        <v>0</v>
      </c>
      <c r="F376" s="42">
        <f t="shared" si="3"/>
        <v>845.83511999999996</v>
      </c>
      <c r="G376" s="42">
        <v>0</v>
      </c>
      <c r="H376" s="42">
        <f t="shared" si="4"/>
        <v>1226.460924</v>
      </c>
      <c r="I376" s="119"/>
      <c r="J376" s="120"/>
      <c r="M376" s="62"/>
    </row>
    <row r="377" spans="1:15" ht="15.6" x14ac:dyDescent="0.3">
      <c r="A377" s="110">
        <v>5</v>
      </c>
      <c r="B377" s="111">
        <v>3</v>
      </c>
      <c r="C377" s="42" t="s">
        <v>138</v>
      </c>
      <c r="D377" s="42">
        <f>55.97*10.764</f>
        <v>602.46107999999992</v>
      </c>
      <c r="E377" s="42">
        <v>0</v>
      </c>
      <c r="F377" s="42">
        <f t="shared" si="3"/>
        <v>602.46107999999992</v>
      </c>
      <c r="G377" s="42">
        <v>0</v>
      </c>
      <c r="H377" s="42">
        <f t="shared" si="4"/>
        <v>873.56856599999992</v>
      </c>
      <c r="I377" s="119"/>
      <c r="J377" s="120"/>
    </row>
    <row r="378" spans="1:15" ht="15.6" x14ac:dyDescent="0.3">
      <c r="A378" s="110">
        <v>6</v>
      </c>
      <c r="B378" s="111">
        <v>4</v>
      </c>
      <c r="C378" s="42" t="s">
        <v>138</v>
      </c>
      <c r="D378" s="42">
        <f>55.97*10.764</f>
        <v>602.46107999999992</v>
      </c>
      <c r="E378" s="42">
        <v>0</v>
      </c>
      <c r="F378" s="42">
        <f t="shared" si="3"/>
        <v>602.46107999999992</v>
      </c>
      <c r="G378" s="42">
        <v>0</v>
      </c>
      <c r="H378" s="42">
        <f t="shared" si="4"/>
        <v>873.56856599999992</v>
      </c>
      <c r="I378" s="121"/>
      <c r="J378" s="122"/>
    </row>
    <row r="379" spans="1:15" ht="15.75" customHeight="1" x14ac:dyDescent="0.3">
      <c r="A379" s="112" t="s">
        <v>262</v>
      </c>
      <c r="B379" s="113"/>
      <c r="C379" s="113"/>
      <c r="D379" s="113"/>
      <c r="E379" s="113"/>
      <c r="F379" s="113"/>
      <c r="G379" s="113"/>
      <c r="H379" s="113"/>
      <c r="I379" s="113"/>
      <c r="J379" s="114"/>
    </row>
    <row r="380" spans="1:15" ht="15.75" customHeight="1" x14ac:dyDescent="0.3">
      <c r="A380" s="115">
        <v>1</v>
      </c>
      <c r="B380" s="116">
        <v>1</v>
      </c>
      <c r="C380" s="42" t="s">
        <v>138</v>
      </c>
      <c r="D380" s="42">
        <f>58.78*10.764</f>
        <v>632.70791999999994</v>
      </c>
      <c r="E380" s="42">
        <v>0</v>
      </c>
      <c r="F380" s="42">
        <f t="shared" ref="F380:F385" si="5">E380+D380</f>
        <v>632.70791999999994</v>
      </c>
      <c r="G380" s="42">
        <v>0</v>
      </c>
      <c r="H380" s="42">
        <f t="shared" ref="H380:H385" si="6">F380*1.45+G380</f>
        <v>917.42648399999985</v>
      </c>
      <c r="I380" s="117" t="str">
        <f>A379</f>
        <v>19th Floor</v>
      </c>
      <c r="J380" s="118"/>
      <c r="N380">
        <f>1.2*3.02</f>
        <v>3.6239999999999997</v>
      </c>
      <c r="O380">
        <f>58.78</f>
        <v>58.78</v>
      </c>
    </row>
    <row r="381" spans="1:15" ht="15.6" x14ac:dyDescent="0.3">
      <c r="A381" s="115">
        <v>2</v>
      </c>
      <c r="B381" s="116">
        <v>3</v>
      </c>
      <c r="C381" s="42" t="s">
        <v>138</v>
      </c>
      <c r="D381" s="42">
        <f>(58.89)*10.764</f>
        <v>633.89195999999993</v>
      </c>
      <c r="E381" s="42">
        <v>0</v>
      </c>
      <c r="F381" s="42">
        <f t="shared" si="5"/>
        <v>633.89195999999993</v>
      </c>
      <c r="G381" s="42">
        <v>0</v>
      </c>
      <c r="H381" s="42">
        <f t="shared" si="6"/>
        <v>919.14334199999985</v>
      </c>
      <c r="I381" s="119"/>
      <c r="J381" s="120"/>
      <c r="O381">
        <f>O380+N380</f>
        <v>62.404000000000003</v>
      </c>
    </row>
    <row r="382" spans="1:15" ht="46.8" x14ac:dyDescent="0.3">
      <c r="A382" s="110">
        <v>3</v>
      </c>
      <c r="B382" s="111">
        <v>2</v>
      </c>
      <c r="C382" s="42" t="s">
        <v>274</v>
      </c>
      <c r="D382" s="42">
        <f>94.94*10.764</f>
        <v>1021.9341599999999</v>
      </c>
      <c r="E382" s="42">
        <v>0</v>
      </c>
      <c r="F382" s="42">
        <f t="shared" si="5"/>
        <v>1021.9341599999999</v>
      </c>
      <c r="G382" s="42">
        <v>0</v>
      </c>
      <c r="H382" s="42">
        <f t="shared" si="6"/>
        <v>1481.8045319999999</v>
      </c>
      <c r="I382" s="119"/>
      <c r="J382" s="120"/>
    </row>
    <row r="383" spans="1:15" ht="15.6" x14ac:dyDescent="0.3">
      <c r="A383" s="110">
        <v>4</v>
      </c>
      <c r="B383" s="111">
        <v>3</v>
      </c>
      <c r="C383" s="42" t="s">
        <v>190</v>
      </c>
      <c r="D383" s="42">
        <f>(78.56)*10.764</f>
        <v>845.61983999999995</v>
      </c>
      <c r="E383" s="42">
        <v>0</v>
      </c>
      <c r="F383" s="42">
        <f t="shared" si="5"/>
        <v>845.61983999999995</v>
      </c>
      <c r="G383" s="42">
        <v>0</v>
      </c>
      <c r="H383" s="42">
        <f t="shared" si="6"/>
        <v>1226.1487679999998</v>
      </c>
      <c r="I383" s="119"/>
      <c r="J383" s="120"/>
    </row>
    <row r="384" spans="1:15" ht="15.6" x14ac:dyDescent="0.3">
      <c r="A384" s="110">
        <v>5</v>
      </c>
      <c r="B384" s="111">
        <v>3</v>
      </c>
      <c r="C384" s="42" t="s">
        <v>138</v>
      </c>
      <c r="D384" s="42">
        <f>55.97*10.764</f>
        <v>602.46107999999992</v>
      </c>
      <c r="E384" s="42">
        <v>0</v>
      </c>
      <c r="F384" s="42">
        <f t="shared" si="5"/>
        <v>602.46107999999992</v>
      </c>
      <c r="G384" s="42">
        <v>0</v>
      </c>
      <c r="H384" s="42">
        <f t="shared" si="6"/>
        <v>873.56856599999992</v>
      </c>
      <c r="I384" s="119"/>
      <c r="J384" s="120"/>
    </row>
    <row r="385" spans="1:15" ht="15.6" x14ac:dyDescent="0.3">
      <c r="A385" s="110">
        <v>6</v>
      </c>
      <c r="B385" s="111">
        <v>4</v>
      </c>
      <c r="C385" s="42" t="s">
        <v>138</v>
      </c>
      <c r="D385" s="42">
        <f>55.97*10.764</f>
        <v>602.46107999999992</v>
      </c>
      <c r="E385" s="42">
        <v>0</v>
      </c>
      <c r="F385" s="42">
        <f t="shared" si="5"/>
        <v>602.46107999999992</v>
      </c>
      <c r="G385" s="42">
        <v>0</v>
      </c>
      <c r="H385" s="42">
        <f t="shared" si="6"/>
        <v>873.56856599999992</v>
      </c>
      <c r="I385" s="121"/>
      <c r="J385" s="122"/>
    </row>
    <row r="386" spans="1:15" ht="15.75" customHeight="1" x14ac:dyDescent="0.3">
      <c r="A386" s="112" t="s">
        <v>259</v>
      </c>
      <c r="B386" s="113"/>
      <c r="C386" s="113"/>
      <c r="D386" s="113"/>
      <c r="E386" s="113"/>
      <c r="F386" s="113"/>
      <c r="G386" s="113"/>
      <c r="H386" s="113"/>
      <c r="I386" s="113"/>
      <c r="J386" s="114"/>
    </row>
    <row r="387" spans="1:15" ht="15.75" customHeight="1" x14ac:dyDescent="0.3">
      <c r="A387" s="115">
        <v>1</v>
      </c>
      <c r="B387" s="116">
        <v>1</v>
      </c>
      <c r="C387" s="42" t="s">
        <v>138</v>
      </c>
      <c r="D387" s="42">
        <f>62.79*10.764</f>
        <v>675.87155999999993</v>
      </c>
      <c r="E387" s="42">
        <v>0</v>
      </c>
      <c r="F387" s="42">
        <f t="shared" ref="F387:F392" si="7">E387+D387</f>
        <v>675.87155999999993</v>
      </c>
      <c r="G387" s="42">
        <v>0</v>
      </c>
      <c r="H387" s="42">
        <f t="shared" ref="H387:H392" si="8">F387*1.45+G387</f>
        <v>980.01376199999982</v>
      </c>
      <c r="I387" s="119" t="str">
        <f>A386</f>
        <v>26th &amp; 33rd Floor</v>
      </c>
      <c r="J387" s="120"/>
      <c r="N387">
        <f>1.2*3.02</f>
        <v>3.6239999999999997</v>
      </c>
      <c r="O387">
        <f>58.78</f>
        <v>58.78</v>
      </c>
    </row>
    <row r="388" spans="1:15" ht="15.6" x14ac:dyDescent="0.3">
      <c r="A388" s="115">
        <v>2</v>
      </c>
      <c r="B388" s="116">
        <v>3</v>
      </c>
      <c r="C388" s="42" t="s">
        <v>138</v>
      </c>
      <c r="D388" s="42">
        <f>62.79*10.764</f>
        <v>675.87155999999993</v>
      </c>
      <c r="E388" s="42">
        <v>0</v>
      </c>
      <c r="F388" s="42">
        <f t="shared" si="7"/>
        <v>675.87155999999993</v>
      </c>
      <c r="G388" s="42">
        <v>0</v>
      </c>
      <c r="H388" s="42">
        <f t="shared" si="8"/>
        <v>980.01376199999982</v>
      </c>
      <c r="I388" s="119"/>
      <c r="J388" s="120"/>
      <c r="O388">
        <f>O387+N387</f>
        <v>62.404000000000003</v>
      </c>
    </row>
    <row r="389" spans="1:15" ht="62.4" x14ac:dyDescent="0.3">
      <c r="A389" s="110">
        <v>3</v>
      </c>
      <c r="B389" s="111">
        <v>2</v>
      </c>
      <c r="C389" s="42" t="s">
        <v>273</v>
      </c>
      <c r="D389" s="42">
        <f>(125.78)*10.764</f>
        <v>1353.8959199999999</v>
      </c>
      <c r="E389" s="42">
        <v>0</v>
      </c>
      <c r="F389" s="42">
        <f t="shared" si="7"/>
        <v>1353.8959199999999</v>
      </c>
      <c r="G389" s="42">
        <v>0</v>
      </c>
      <c r="H389" s="42">
        <f t="shared" si="8"/>
        <v>1963.1490839999999</v>
      </c>
      <c r="I389" s="119"/>
      <c r="J389" s="120"/>
      <c r="M389" s="62"/>
    </row>
    <row r="390" spans="1:15" ht="15.6" x14ac:dyDescent="0.3">
      <c r="A390" s="110">
        <v>4</v>
      </c>
      <c r="B390" s="111">
        <v>3</v>
      </c>
      <c r="C390" s="42" t="s">
        <v>190</v>
      </c>
      <c r="D390" s="42">
        <f>(82.58)*10.764</f>
        <v>888.89111999999989</v>
      </c>
      <c r="E390" s="42">
        <v>0</v>
      </c>
      <c r="F390" s="42">
        <f t="shared" si="7"/>
        <v>888.89111999999989</v>
      </c>
      <c r="G390" s="42">
        <v>0</v>
      </c>
      <c r="H390" s="42">
        <f t="shared" si="8"/>
        <v>1288.8921239999997</v>
      </c>
      <c r="I390" s="119"/>
      <c r="J390" s="120"/>
      <c r="M390" t="e">
        <f>58.06-#REF!</f>
        <v>#REF!</v>
      </c>
    </row>
    <row r="391" spans="1:15" ht="15.6" x14ac:dyDescent="0.3">
      <c r="A391" s="110">
        <v>5</v>
      </c>
      <c r="B391" s="111">
        <v>3</v>
      </c>
      <c r="C391" s="42" t="s">
        <v>138</v>
      </c>
      <c r="D391" s="42">
        <f>55.97*10.764</f>
        <v>602.46107999999992</v>
      </c>
      <c r="E391" s="42">
        <v>0</v>
      </c>
      <c r="F391" s="42">
        <f t="shared" si="7"/>
        <v>602.46107999999992</v>
      </c>
      <c r="G391" s="42">
        <v>0</v>
      </c>
      <c r="H391" s="42">
        <f t="shared" si="8"/>
        <v>873.56856599999992</v>
      </c>
      <c r="I391" s="119"/>
      <c r="J391" s="120"/>
    </row>
    <row r="392" spans="1:15" ht="15.6" x14ac:dyDescent="0.3">
      <c r="A392" s="110">
        <v>6</v>
      </c>
      <c r="B392" s="111">
        <v>4</v>
      </c>
      <c r="C392" s="42" t="s">
        <v>138</v>
      </c>
      <c r="D392" s="42">
        <f>55.97*10.764</f>
        <v>602.46107999999992</v>
      </c>
      <c r="E392" s="42">
        <v>0</v>
      </c>
      <c r="F392" s="42">
        <f t="shared" si="7"/>
        <v>602.46107999999992</v>
      </c>
      <c r="G392" s="42">
        <v>0</v>
      </c>
      <c r="H392" s="42">
        <f t="shared" si="8"/>
        <v>873.56856599999992</v>
      </c>
      <c r="I392" s="121"/>
      <c r="J392" s="122"/>
    </row>
    <row r="393" spans="1:15" ht="15.75" customHeight="1" x14ac:dyDescent="0.3">
      <c r="A393" s="112" t="s">
        <v>266</v>
      </c>
      <c r="B393" s="113"/>
      <c r="C393" s="113"/>
      <c r="D393" s="113"/>
      <c r="E393" s="113"/>
      <c r="F393" s="113"/>
      <c r="G393" s="113"/>
      <c r="H393" s="113"/>
      <c r="I393" s="113"/>
      <c r="J393" s="114"/>
    </row>
    <row r="394" spans="1:15" ht="15.75" customHeight="1" x14ac:dyDescent="0.3">
      <c r="A394" s="115">
        <v>1</v>
      </c>
      <c r="B394" s="116">
        <v>1</v>
      </c>
      <c r="C394" s="42" t="s">
        <v>138</v>
      </c>
      <c r="D394" s="42">
        <f>62.79*10.764</f>
        <v>675.87155999999993</v>
      </c>
      <c r="E394" s="42">
        <v>0</v>
      </c>
      <c r="F394" s="42">
        <f>E394+D394</f>
        <v>675.87155999999993</v>
      </c>
      <c r="G394" s="42">
        <v>0</v>
      </c>
      <c r="H394" s="42">
        <f>F394*1.45+G394</f>
        <v>980.01376199999982</v>
      </c>
      <c r="I394" s="117" t="str">
        <f>A393</f>
        <v>27th &amp; 34th Floor (Part Refuge Area)</v>
      </c>
      <c r="J394" s="118"/>
      <c r="N394">
        <f>1.2*3.02</f>
        <v>3.6239999999999997</v>
      </c>
      <c r="O394">
        <f>58.78</f>
        <v>58.78</v>
      </c>
    </row>
    <row r="395" spans="1:15" ht="15.6" x14ac:dyDescent="0.3">
      <c r="A395" s="115">
        <v>2</v>
      </c>
      <c r="B395" s="116">
        <v>3</v>
      </c>
      <c r="C395" s="42" t="s">
        <v>138</v>
      </c>
      <c r="D395" s="42">
        <f>62.79*10.764</f>
        <v>675.87155999999993</v>
      </c>
      <c r="E395" s="42">
        <v>0</v>
      </c>
      <c r="F395" s="42">
        <f>E395+D395</f>
        <v>675.87155999999993</v>
      </c>
      <c r="G395" s="42">
        <v>0</v>
      </c>
      <c r="H395" s="42">
        <f>F395*1.45+G395</f>
        <v>980.01376199999982</v>
      </c>
      <c r="I395" s="119"/>
      <c r="J395" s="120"/>
      <c r="O395">
        <f>O394+N394</f>
        <v>62.404000000000003</v>
      </c>
    </row>
    <row r="396" spans="1:15" ht="15.6" x14ac:dyDescent="0.3">
      <c r="A396" s="115">
        <v>3</v>
      </c>
      <c r="B396" s="116">
        <v>2</v>
      </c>
      <c r="C396" s="110" t="s">
        <v>275</v>
      </c>
      <c r="D396" s="123"/>
      <c r="E396" s="123"/>
      <c r="F396" s="123"/>
      <c r="G396" s="123"/>
      <c r="H396" s="111"/>
      <c r="I396" s="119"/>
      <c r="J396" s="120"/>
    </row>
    <row r="397" spans="1:15" ht="15" customHeight="1" x14ac:dyDescent="0.3">
      <c r="A397" s="115">
        <v>4</v>
      </c>
      <c r="B397" s="116">
        <v>3</v>
      </c>
      <c r="C397" s="110" t="s">
        <v>250</v>
      </c>
      <c r="D397" s="123">
        <f>60.22*10.764</f>
        <v>648.20808</v>
      </c>
      <c r="E397" s="123">
        <v>0</v>
      </c>
      <c r="F397" s="123">
        <f>E397+D397</f>
        <v>648.20808</v>
      </c>
      <c r="G397" s="123">
        <v>0</v>
      </c>
      <c r="H397" s="111">
        <f>F397*1.45+G397</f>
        <v>939.90171599999996</v>
      </c>
      <c r="I397" s="119"/>
      <c r="J397" s="120"/>
    </row>
    <row r="398" spans="1:15" ht="15.6" x14ac:dyDescent="0.3">
      <c r="A398" s="115">
        <v>5</v>
      </c>
      <c r="B398" s="116">
        <v>3</v>
      </c>
      <c r="C398" s="42" t="s">
        <v>138</v>
      </c>
      <c r="D398" s="42">
        <f>55.97*10.764</f>
        <v>602.46107999999992</v>
      </c>
      <c r="E398" s="42">
        <v>0</v>
      </c>
      <c r="F398" s="42">
        <f>E398+D398</f>
        <v>602.46107999999992</v>
      </c>
      <c r="G398" s="42">
        <v>0</v>
      </c>
      <c r="H398" s="42">
        <f>F398*1.45+G398</f>
        <v>873.56856599999992</v>
      </c>
      <c r="I398" s="119"/>
      <c r="J398" s="120"/>
    </row>
    <row r="399" spans="1:15" ht="15.6" x14ac:dyDescent="0.3">
      <c r="A399" s="115">
        <v>6</v>
      </c>
      <c r="B399" s="116">
        <v>4</v>
      </c>
      <c r="C399" s="42" t="s">
        <v>138</v>
      </c>
      <c r="D399" s="42">
        <f>55.97*10.764</f>
        <v>602.46107999999992</v>
      </c>
      <c r="E399" s="42">
        <v>0</v>
      </c>
      <c r="F399" s="42">
        <f>E399+D399</f>
        <v>602.46107999999992</v>
      </c>
      <c r="G399" s="42">
        <v>0</v>
      </c>
      <c r="H399" s="42">
        <f>F399*1.45+G399</f>
        <v>873.56856599999992</v>
      </c>
      <c r="I399" s="121"/>
      <c r="J399" s="122"/>
    </row>
    <row r="400" spans="1:15" ht="15.75" customHeight="1" x14ac:dyDescent="0.3">
      <c r="A400" s="112" t="s">
        <v>263</v>
      </c>
      <c r="B400" s="113"/>
      <c r="C400" s="113"/>
      <c r="D400" s="113"/>
      <c r="E400" s="113"/>
      <c r="F400" s="113"/>
      <c r="G400" s="113"/>
      <c r="H400" s="113"/>
      <c r="I400" s="113"/>
      <c r="J400" s="114"/>
    </row>
    <row r="401" spans="1:15" ht="15.75" customHeight="1" x14ac:dyDescent="0.3">
      <c r="A401" s="115">
        <v>1</v>
      </c>
      <c r="B401" s="116">
        <v>1</v>
      </c>
      <c r="C401" s="42" t="s">
        <v>138</v>
      </c>
      <c r="D401" s="42">
        <f>62.79*10.764</f>
        <v>675.87155999999993</v>
      </c>
      <c r="E401" s="42">
        <v>0</v>
      </c>
      <c r="F401" s="42">
        <f t="shared" ref="F401:F406" si="9">E401+D401</f>
        <v>675.87155999999993</v>
      </c>
      <c r="G401" s="42">
        <v>0</v>
      </c>
      <c r="H401" s="42">
        <f t="shared" ref="H401:H406" si="10">F401*1.45+G401</f>
        <v>980.01376199999982</v>
      </c>
      <c r="I401" s="119" t="str">
        <f>A400</f>
        <v>28th to 32nd, 35th to 40th Floor</v>
      </c>
      <c r="J401" s="120"/>
      <c r="N401">
        <f>1.2*3.02</f>
        <v>3.6239999999999997</v>
      </c>
      <c r="O401">
        <f>58.78</f>
        <v>58.78</v>
      </c>
    </row>
    <row r="402" spans="1:15" ht="15.6" x14ac:dyDescent="0.3">
      <c r="A402" s="115">
        <v>2</v>
      </c>
      <c r="B402" s="116">
        <v>3</v>
      </c>
      <c r="C402" s="42" t="s">
        <v>138</v>
      </c>
      <c r="D402" s="42">
        <f>62.79*10.764</f>
        <v>675.87155999999993</v>
      </c>
      <c r="E402" s="42">
        <v>0</v>
      </c>
      <c r="F402" s="42">
        <f t="shared" si="9"/>
        <v>675.87155999999993</v>
      </c>
      <c r="G402" s="42">
        <v>0</v>
      </c>
      <c r="H402" s="42">
        <f t="shared" si="10"/>
        <v>980.01376199999982</v>
      </c>
      <c r="I402" s="119"/>
      <c r="J402" s="120"/>
      <c r="O402">
        <f>O401+N401</f>
        <v>62.404000000000003</v>
      </c>
    </row>
    <row r="403" spans="1:15" ht="15.6" x14ac:dyDescent="0.3">
      <c r="A403" s="110">
        <v>3</v>
      </c>
      <c r="B403" s="111">
        <v>2</v>
      </c>
      <c r="C403" s="42" t="s">
        <v>190</v>
      </c>
      <c r="D403" s="42">
        <f>(83.34)*10.764</f>
        <v>897.07175999999993</v>
      </c>
      <c r="E403" s="42">
        <v>0</v>
      </c>
      <c r="F403" s="42">
        <f t="shared" si="9"/>
        <v>897.07175999999993</v>
      </c>
      <c r="G403" s="42">
        <v>0</v>
      </c>
      <c r="H403" s="42">
        <f t="shared" si="10"/>
        <v>1300.7540519999998</v>
      </c>
      <c r="I403" s="119"/>
      <c r="J403" s="120"/>
      <c r="M403" s="62"/>
    </row>
    <row r="404" spans="1:15" ht="15.6" x14ac:dyDescent="0.3">
      <c r="A404" s="110">
        <v>4</v>
      </c>
      <c r="B404" s="111">
        <v>3</v>
      </c>
      <c r="C404" s="42" t="s">
        <v>190</v>
      </c>
      <c r="D404" s="42">
        <f>(82.58)*10.764</f>
        <v>888.89111999999989</v>
      </c>
      <c r="E404" s="42">
        <v>0</v>
      </c>
      <c r="F404" s="42">
        <f t="shared" si="9"/>
        <v>888.89111999999989</v>
      </c>
      <c r="G404" s="42">
        <v>0</v>
      </c>
      <c r="H404" s="42">
        <f t="shared" si="10"/>
        <v>1288.8921239999997</v>
      </c>
      <c r="I404" s="119"/>
      <c r="J404" s="120"/>
      <c r="M404" t="e">
        <f>58.06-#REF!</f>
        <v>#REF!</v>
      </c>
    </row>
    <row r="405" spans="1:15" ht="15.6" x14ac:dyDescent="0.3">
      <c r="A405" s="110">
        <v>5</v>
      </c>
      <c r="B405" s="111">
        <v>3</v>
      </c>
      <c r="C405" s="42" t="s">
        <v>138</v>
      </c>
      <c r="D405" s="42">
        <f>55.97*10.764</f>
        <v>602.46107999999992</v>
      </c>
      <c r="E405" s="42">
        <v>0</v>
      </c>
      <c r="F405" s="42">
        <f t="shared" si="9"/>
        <v>602.46107999999992</v>
      </c>
      <c r="G405" s="42">
        <v>0</v>
      </c>
      <c r="H405" s="42">
        <f t="shared" si="10"/>
        <v>873.56856599999992</v>
      </c>
      <c r="I405" s="119"/>
      <c r="J405" s="120"/>
    </row>
    <row r="406" spans="1:15" ht="15.6" x14ac:dyDescent="0.3">
      <c r="A406" s="110">
        <v>6</v>
      </c>
      <c r="B406" s="111">
        <v>4</v>
      </c>
      <c r="C406" s="42" t="s">
        <v>138</v>
      </c>
      <c r="D406" s="42">
        <f>55.97*10.764</f>
        <v>602.46107999999992</v>
      </c>
      <c r="E406" s="42">
        <v>0</v>
      </c>
      <c r="F406" s="42">
        <f t="shared" si="9"/>
        <v>602.46107999999992</v>
      </c>
      <c r="G406" s="42">
        <v>0</v>
      </c>
      <c r="H406" s="42">
        <f t="shared" si="10"/>
        <v>873.56856599999992</v>
      </c>
      <c r="I406" s="121"/>
      <c r="J406" s="122"/>
    </row>
    <row r="407" spans="1:15" ht="15.75" customHeight="1" x14ac:dyDescent="0.3">
      <c r="A407" s="112" t="s">
        <v>277</v>
      </c>
      <c r="B407" s="113"/>
      <c r="C407" s="113"/>
      <c r="D407" s="113"/>
      <c r="E407" s="113"/>
      <c r="F407" s="113"/>
      <c r="G407" s="113"/>
      <c r="H407" s="113"/>
      <c r="I407" s="113"/>
      <c r="J407" s="114"/>
    </row>
    <row r="408" spans="1:15" ht="15.75" customHeight="1" x14ac:dyDescent="0.3">
      <c r="A408" s="115">
        <v>1</v>
      </c>
      <c r="B408" s="116">
        <v>1</v>
      </c>
      <c r="C408" s="42" t="s">
        <v>138</v>
      </c>
      <c r="D408" s="42">
        <f>62.79*10.764</f>
        <v>675.87155999999993</v>
      </c>
      <c r="E408" s="42">
        <v>0</v>
      </c>
      <c r="F408" s="42">
        <f>E408+D408</f>
        <v>675.87155999999993</v>
      </c>
      <c r="G408" s="42">
        <v>0</v>
      </c>
      <c r="H408" s="42">
        <f>F408*1.45+G408</f>
        <v>980.01376199999982</v>
      </c>
      <c r="I408" s="117" t="str">
        <f>A407</f>
        <v>41st Floor (Part Refuge Area)</v>
      </c>
      <c r="J408" s="118"/>
      <c r="N408">
        <f>1.2*3.02</f>
        <v>3.6239999999999997</v>
      </c>
      <c r="O408">
        <f>58.78</f>
        <v>58.78</v>
      </c>
    </row>
    <row r="409" spans="1:15" ht="15.6" x14ac:dyDescent="0.3">
      <c r="A409" s="115">
        <v>2</v>
      </c>
      <c r="B409" s="116">
        <v>3</v>
      </c>
      <c r="C409" s="42" t="s">
        <v>138</v>
      </c>
      <c r="D409" s="42">
        <f>62.79*10.764</f>
        <v>675.87155999999993</v>
      </c>
      <c r="E409" s="42">
        <v>0</v>
      </c>
      <c r="F409" s="42">
        <f>E409+D409</f>
        <v>675.87155999999993</v>
      </c>
      <c r="G409" s="42">
        <v>0</v>
      </c>
      <c r="H409" s="42">
        <f>F409*1.45+G409</f>
        <v>980.01376199999982</v>
      </c>
      <c r="I409" s="119"/>
      <c r="J409" s="120"/>
      <c r="O409">
        <f>O408+N408</f>
        <v>62.404000000000003</v>
      </c>
    </row>
    <row r="410" spans="1:15" ht="15.6" x14ac:dyDescent="0.3">
      <c r="A410" s="115">
        <v>3</v>
      </c>
      <c r="B410" s="116">
        <v>2</v>
      </c>
      <c r="C410" s="110" t="s">
        <v>276</v>
      </c>
      <c r="D410" s="123"/>
      <c r="E410" s="123"/>
      <c r="F410" s="123"/>
      <c r="G410" s="123"/>
      <c r="H410" s="111"/>
      <c r="I410" s="119"/>
      <c r="J410" s="120"/>
    </row>
    <row r="411" spans="1:15" ht="15.6" x14ac:dyDescent="0.3">
      <c r="A411" s="110">
        <v>4</v>
      </c>
      <c r="B411" s="111">
        <v>3</v>
      </c>
      <c r="C411" s="42" t="s">
        <v>190</v>
      </c>
      <c r="D411" s="42">
        <f>(82.58)*10.764</f>
        <v>888.89111999999989</v>
      </c>
      <c r="E411" s="42">
        <v>0</v>
      </c>
      <c r="F411" s="42">
        <f>E411+D411</f>
        <v>888.89111999999989</v>
      </c>
      <c r="G411" s="42">
        <v>0</v>
      </c>
      <c r="H411" s="42">
        <f>F411*1.45+G411</f>
        <v>1288.8921239999997</v>
      </c>
      <c r="I411" s="119"/>
      <c r="J411" s="120"/>
      <c r="M411" t="e">
        <f>58.06-#REF!</f>
        <v>#REF!</v>
      </c>
    </row>
    <row r="412" spans="1:15" ht="15" customHeight="1" x14ac:dyDescent="0.3">
      <c r="A412" s="115">
        <v>5</v>
      </c>
      <c r="B412" s="116">
        <v>3</v>
      </c>
      <c r="C412" s="117" t="s">
        <v>249</v>
      </c>
      <c r="D412" s="124">
        <f>55.97*10.764</f>
        <v>602.46107999999992</v>
      </c>
      <c r="E412" s="124">
        <v>0</v>
      </c>
      <c r="F412" s="124">
        <f>E412+D412</f>
        <v>602.46107999999992</v>
      </c>
      <c r="G412" s="124">
        <v>0</v>
      </c>
      <c r="H412" s="118">
        <f>F412*1.45+G412</f>
        <v>873.56856599999992</v>
      </c>
      <c r="I412" s="119"/>
      <c r="J412" s="120"/>
    </row>
    <row r="413" spans="1:15" ht="15" customHeight="1" x14ac:dyDescent="0.3">
      <c r="A413" s="115">
        <v>6</v>
      </c>
      <c r="B413" s="116">
        <v>4</v>
      </c>
      <c r="C413" s="121" t="s">
        <v>138</v>
      </c>
      <c r="D413" s="125">
        <f>55.97*10.764</f>
        <v>602.46107999999992</v>
      </c>
      <c r="E413" s="125">
        <v>0</v>
      </c>
      <c r="F413" s="125">
        <f>E413+D413</f>
        <v>602.46107999999992</v>
      </c>
      <c r="G413" s="125">
        <v>0</v>
      </c>
      <c r="H413" s="122">
        <f>F413*1.45+G413</f>
        <v>873.56856599999992</v>
      </c>
      <c r="I413" s="121"/>
      <c r="J413" s="122"/>
    </row>
    <row r="414" spans="1:15" ht="15.75" customHeight="1" x14ac:dyDescent="0.3">
      <c r="A414" s="112" t="s">
        <v>268</v>
      </c>
      <c r="B414" s="113"/>
      <c r="C414" s="113"/>
      <c r="D414" s="113"/>
      <c r="E414" s="113"/>
      <c r="F414" s="113"/>
      <c r="G414" s="113"/>
      <c r="H414" s="113"/>
      <c r="I414" s="113"/>
      <c r="J414" s="114"/>
    </row>
    <row r="415" spans="1:15" ht="15.75" customHeight="1" x14ac:dyDescent="0.3">
      <c r="A415" s="115">
        <v>1</v>
      </c>
      <c r="B415" s="116">
        <v>1</v>
      </c>
      <c r="C415" s="42" t="s">
        <v>138</v>
      </c>
      <c r="D415" s="42">
        <f>62.79*10.764</f>
        <v>675.87155999999993</v>
      </c>
      <c r="E415" s="42">
        <v>0</v>
      </c>
      <c r="F415" s="42">
        <f>E415+D415</f>
        <v>675.87155999999993</v>
      </c>
      <c r="G415" s="42">
        <v>0</v>
      </c>
      <c r="H415" s="42">
        <f>F415*1.45+G415</f>
        <v>980.01376199999982</v>
      </c>
      <c r="I415" s="119" t="str">
        <f>A414</f>
        <v>42nd Floor</v>
      </c>
      <c r="J415" s="120"/>
      <c r="N415">
        <f>1.2*3.02</f>
        <v>3.6239999999999997</v>
      </c>
      <c r="O415">
        <f>58.78</f>
        <v>58.78</v>
      </c>
    </row>
    <row r="416" spans="1:15" ht="15.6" x14ac:dyDescent="0.3">
      <c r="A416" s="115">
        <v>2</v>
      </c>
      <c r="B416" s="116">
        <v>3</v>
      </c>
      <c r="C416" s="42" t="s">
        <v>138</v>
      </c>
      <c r="D416" s="42">
        <f>62.79*10.764</f>
        <v>675.87155999999993</v>
      </c>
      <c r="E416" s="42">
        <v>0</v>
      </c>
      <c r="F416" s="42">
        <f>E416+D416</f>
        <v>675.87155999999993</v>
      </c>
      <c r="G416" s="42">
        <v>0</v>
      </c>
      <c r="H416" s="42">
        <f>F416*1.45+G416</f>
        <v>980.01376199999982</v>
      </c>
      <c r="I416" s="119"/>
      <c r="J416" s="120"/>
      <c r="O416">
        <f>O415+N415</f>
        <v>62.404000000000003</v>
      </c>
    </row>
    <row r="417" spans="1:13" ht="46.8" x14ac:dyDescent="0.3">
      <c r="A417" s="110">
        <v>3</v>
      </c>
      <c r="B417" s="111">
        <v>2</v>
      </c>
      <c r="C417" s="42" t="s">
        <v>269</v>
      </c>
      <c r="D417" s="42">
        <f>(128.76)*10.764</f>
        <v>1385.9726399999997</v>
      </c>
      <c r="E417" s="42">
        <v>0</v>
      </c>
      <c r="F417" s="42">
        <f>E417+D417</f>
        <v>1385.9726399999997</v>
      </c>
      <c r="G417" s="42">
        <v>0</v>
      </c>
      <c r="H417" s="42">
        <f>F417*1.45+G417</f>
        <v>2009.6603279999995</v>
      </c>
      <c r="I417" s="119"/>
      <c r="J417" s="120"/>
      <c r="M417" s="62"/>
    </row>
    <row r="418" spans="1:13" ht="15.6" x14ac:dyDescent="0.3">
      <c r="A418" s="110">
        <v>4</v>
      </c>
      <c r="B418" s="111">
        <v>3</v>
      </c>
      <c r="C418" s="42" t="s">
        <v>190</v>
      </c>
      <c r="D418" s="42">
        <f>(82.58)*10.764</f>
        <v>888.89111999999989</v>
      </c>
      <c r="E418" s="42">
        <v>0</v>
      </c>
      <c r="F418" s="42">
        <f>E418+D418</f>
        <v>888.89111999999989</v>
      </c>
      <c r="G418" s="42">
        <v>0</v>
      </c>
      <c r="H418" s="42">
        <f>F418*1.45+G418</f>
        <v>1288.8921239999997</v>
      </c>
      <c r="I418" s="119"/>
      <c r="J418" s="120"/>
      <c r="M418" t="e">
        <f>58.06-#REF!</f>
        <v>#REF!</v>
      </c>
    </row>
    <row r="419" spans="1:13" ht="15.75" customHeight="1" x14ac:dyDescent="0.3">
      <c r="A419" s="110">
        <v>5</v>
      </c>
      <c r="B419" s="111">
        <v>3</v>
      </c>
      <c r="C419" s="117" t="s">
        <v>249</v>
      </c>
      <c r="D419" s="124"/>
      <c r="E419" s="124"/>
      <c r="F419" s="124"/>
      <c r="G419" s="124"/>
      <c r="H419" s="118"/>
      <c r="I419" s="119"/>
      <c r="J419" s="120"/>
    </row>
    <row r="420" spans="1:13" ht="15.75" customHeight="1" x14ac:dyDescent="0.3">
      <c r="A420" s="110">
        <v>6</v>
      </c>
      <c r="B420" s="111">
        <v>4</v>
      </c>
      <c r="C420" s="121"/>
      <c r="D420" s="125"/>
      <c r="E420" s="125"/>
      <c r="F420" s="125"/>
      <c r="G420" s="125"/>
      <c r="H420" s="122"/>
      <c r="I420" s="121"/>
      <c r="J420" s="122"/>
    </row>
    <row r="421" spans="1:13" ht="71.400000000000006" customHeight="1" x14ac:dyDescent="0.3">
      <c r="A421" s="194" t="s">
        <v>301</v>
      </c>
      <c r="B421" s="195"/>
      <c r="C421" s="195"/>
      <c r="D421" s="195"/>
      <c r="E421" s="195"/>
      <c r="F421" s="195"/>
      <c r="G421" s="195"/>
      <c r="H421" s="195"/>
      <c r="I421" s="195"/>
      <c r="J421" s="196"/>
    </row>
    <row r="422" spans="1:13" ht="207.6" customHeight="1" x14ac:dyDescent="0.3">
      <c r="A422" s="197"/>
      <c r="B422" s="198"/>
      <c r="C422" s="198"/>
      <c r="D422" s="198"/>
      <c r="E422" s="198"/>
      <c r="F422" s="198"/>
      <c r="G422" s="198"/>
      <c r="H422" s="198"/>
      <c r="I422" s="198"/>
      <c r="J422" s="199"/>
    </row>
    <row r="423" spans="1:13" x14ac:dyDescent="0.3">
      <c r="A423" s="193" t="s">
        <v>27</v>
      </c>
      <c r="B423" s="157"/>
      <c r="C423" s="157"/>
      <c r="D423" s="157"/>
      <c r="E423" s="157"/>
      <c r="F423" s="157"/>
      <c r="G423" s="157"/>
      <c r="H423" s="157"/>
      <c r="I423" s="157"/>
      <c r="J423" s="158"/>
    </row>
    <row r="424" spans="1:13" x14ac:dyDescent="0.3">
      <c r="A424" s="139" t="s">
        <v>34</v>
      </c>
      <c r="B424" s="137"/>
      <c r="C424" s="137"/>
      <c r="D424" s="137"/>
      <c r="E424" s="137"/>
      <c r="F424" s="137"/>
      <c r="G424" s="137"/>
      <c r="H424" s="137"/>
      <c r="I424" s="137"/>
      <c r="J424" s="138"/>
    </row>
    <row r="425" spans="1:13" x14ac:dyDescent="0.3">
      <c r="A425" s="193" t="s">
        <v>29</v>
      </c>
      <c r="B425" s="157"/>
      <c r="C425" s="157"/>
      <c r="D425" s="157"/>
      <c r="E425" s="157"/>
      <c r="F425" s="157"/>
      <c r="G425" s="157"/>
      <c r="H425" s="157"/>
      <c r="I425" s="157"/>
      <c r="J425" s="158"/>
    </row>
    <row r="426" spans="1:13" x14ac:dyDescent="0.3">
      <c r="A426" s="136" t="s">
        <v>39</v>
      </c>
      <c r="B426" s="145"/>
      <c r="C426" s="145"/>
      <c r="D426" s="145"/>
      <c r="E426" s="145"/>
      <c r="F426" s="145"/>
      <c r="G426" s="145"/>
      <c r="H426" s="145"/>
      <c r="I426" s="145"/>
      <c r="J426" s="146"/>
    </row>
    <row r="427" spans="1:13" ht="16.5" customHeight="1" x14ac:dyDescent="0.3">
      <c r="A427" s="219" t="s">
        <v>64</v>
      </c>
      <c r="B427" s="220"/>
      <c r="C427" s="220"/>
      <c r="D427" s="220"/>
      <c r="E427" s="220"/>
      <c r="F427" s="220"/>
      <c r="G427" s="220"/>
      <c r="H427" s="220"/>
      <c r="I427" s="220"/>
      <c r="J427" s="221"/>
    </row>
    <row r="428" spans="1:13" x14ac:dyDescent="0.3">
      <c r="A428" s="136" t="s">
        <v>40</v>
      </c>
      <c r="B428" s="145"/>
      <c r="C428" s="145"/>
      <c r="D428" s="145"/>
      <c r="E428" s="145"/>
      <c r="F428" s="145"/>
      <c r="G428" s="145"/>
      <c r="H428" s="145"/>
      <c r="I428" s="145"/>
      <c r="J428" s="146"/>
    </row>
    <row r="429" spans="1:13" x14ac:dyDescent="0.3">
      <c r="A429" s="136" t="s">
        <v>41</v>
      </c>
      <c r="B429" s="145"/>
      <c r="C429" s="145"/>
      <c r="D429" s="145"/>
      <c r="E429" s="145"/>
      <c r="F429" s="145"/>
      <c r="G429" s="145"/>
      <c r="H429" s="145"/>
      <c r="I429" s="145"/>
      <c r="J429" s="146"/>
    </row>
    <row r="430" spans="1:13" ht="30.75" customHeight="1" x14ac:dyDescent="0.3">
      <c r="A430" s="77" t="s">
        <v>42</v>
      </c>
      <c r="B430" s="78"/>
      <c r="C430" s="78"/>
      <c r="D430" s="78"/>
      <c r="E430" s="78"/>
      <c r="F430" s="78"/>
      <c r="G430" s="78"/>
      <c r="H430" s="78"/>
      <c r="I430" s="78"/>
      <c r="J430" s="79"/>
    </row>
    <row r="431" spans="1:13" ht="15" customHeight="1" x14ac:dyDescent="0.3">
      <c r="A431" s="206" t="s">
        <v>28</v>
      </c>
      <c r="B431" s="207"/>
      <c r="C431" s="207"/>
      <c r="D431" s="207"/>
      <c r="E431" s="207"/>
      <c r="F431" s="207"/>
      <c r="G431" s="207"/>
      <c r="H431" s="207"/>
      <c r="I431" s="207"/>
      <c r="J431" s="208"/>
    </row>
    <row r="432" spans="1:13" x14ac:dyDescent="0.3">
      <c r="A432" s="209"/>
      <c r="B432" s="210"/>
      <c r="C432" s="210"/>
      <c r="D432" s="210"/>
      <c r="E432" s="210"/>
      <c r="F432" s="210"/>
      <c r="G432" s="210"/>
      <c r="H432" s="210"/>
      <c r="I432" s="210"/>
      <c r="J432" s="211"/>
    </row>
    <row r="433" spans="1:10" x14ac:dyDescent="0.3">
      <c r="A433" s="209"/>
      <c r="B433" s="210"/>
      <c r="C433" s="210"/>
      <c r="D433" s="210"/>
      <c r="E433" s="210"/>
      <c r="F433" s="210"/>
      <c r="G433" s="210"/>
      <c r="H433" s="210"/>
      <c r="I433" s="210"/>
      <c r="J433" s="211"/>
    </row>
    <row r="434" spans="1:10" x14ac:dyDescent="0.3">
      <c r="A434" s="212"/>
      <c r="B434" s="213"/>
      <c r="C434" s="213"/>
      <c r="D434" s="213"/>
      <c r="E434" s="213"/>
      <c r="F434" s="213"/>
      <c r="G434" s="213"/>
      <c r="H434" s="213"/>
      <c r="I434" s="213"/>
      <c r="J434" s="214"/>
    </row>
    <row r="435" spans="1:10" ht="15.6" x14ac:dyDescent="0.3">
      <c r="A435" s="13" t="s">
        <v>285</v>
      </c>
      <c r="B435" s="56"/>
      <c r="C435" s="56"/>
      <c r="D435" s="56"/>
      <c r="E435" s="56"/>
      <c r="F435" s="56"/>
    </row>
    <row r="453" spans="3:7" x14ac:dyDescent="0.3">
      <c r="C453" s="56"/>
      <c r="G453" s="56"/>
    </row>
    <row r="471" spans="3:3" x14ac:dyDescent="0.3">
      <c r="C471" s="56"/>
    </row>
    <row r="472" spans="3:3" ht="15.75" customHeight="1" x14ac:dyDescent="0.3"/>
    <row r="473" spans="3:3" ht="15.75" customHeight="1" x14ac:dyDescent="0.3"/>
    <row r="474" spans="3:3" ht="15.75" customHeight="1" x14ac:dyDescent="0.3"/>
    <row r="475" spans="3:3" ht="15.75" customHeight="1" x14ac:dyDescent="0.3">
      <c r="C475" s="56"/>
    </row>
    <row r="476" spans="3:3" ht="15.75" customHeight="1" x14ac:dyDescent="0.3"/>
    <row r="477" spans="3:3" ht="15.75" customHeight="1" x14ac:dyDescent="0.3"/>
    <row r="478" spans="3:3" ht="15.75" customHeight="1" x14ac:dyDescent="0.3"/>
    <row r="479" spans="3:3" ht="15.75" customHeight="1" x14ac:dyDescent="0.3"/>
    <row r="480" spans="3:3" ht="15.75" customHeight="1" x14ac:dyDescent="0.3"/>
    <row r="481" spans="1:1" ht="15.75" customHeight="1" x14ac:dyDescent="0.3"/>
    <row r="482" spans="1:1" ht="15.75" customHeight="1" x14ac:dyDescent="0.3"/>
    <row r="483" spans="1:1" ht="15.75" customHeight="1" x14ac:dyDescent="0.3"/>
    <row r="484" spans="1:1" ht="15.75" customHeight="1" x14ac:dyDescent="0.3"/>
    <row r="485" spans="1:1" ht="15.75" customHeight="1" x14ac:dyDescent="0.3"/>
    <row r="486" spans="1:1" ht="15.75" customHeight="1" x14ac:dyDescent="0.3"/>
    <row r="487" spans="1:1" ht="15.75" customHeight="1" x14ac:dyDescent="0.3">
      <c r="A487" s="56" t="s">
        <v>299</v>
      </c>
    </row>
    <row r="488" spans="1:1" ht="15.75" customHeight="1" x14ac:dyDescent="0.3">
      <c r="A488" s="56"/>
    </row>
    <row r="489" spans="1:1" ht="15.75" customHeight="1" x14ac:dyDescent="0.3"/>
    <row r="490" spans="1:1" ht="15.75" customHeight="1" x14ac:dyDescent="0.3"/>
    <row r="491" spans="1:1" ht="15.75" customHeight="1" x14ac:dyDescent="0.3"/>
    <row r="492" spans="1:1" ht="15.75" customHeight="1" x14ac:dyDescent="0.3"/>
    <row r="493" spans="1:1" ht="15.75" customHeight="1" x14ac:dyDescent="0.3"/>
    <row r="494" spans="1:1" ht="15.75" customHeight="1" x14ac:dyDescent="0.3"/>
    <row r="495" spans="1:1" ht="15.75" customHeight="1" x14ac:dyDescent="0.3"/>
    <row r="496" spans="1:1"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spans="1:2" ht="15.75" customHeight="1" x14ac:dyDescent="0.3"/>
    <row r="514" spans="1:2" ht="15.75" customHeight="1" x14ac:dyDescent="0.3"/>
    <row r="515" spans="1:2" ht="15.75" customHeight="1" x14ac:dyDescent="0.3"/>
    <row r="516" spans="1:2" ht="15.75" customHeight="1" x14ac:dyDescent="0.3"/>
    <row r="517" spans="1:2" ht="15.75" customHeight="1" x14ac:dyDescent="0.3"/>
    <row r="518" spans="1:2" ht="15.75" customHeight="1" x14ac:dyDescent="0.3"/>
    <row r="519" spans="1:2" ht="15.75" customHeight="1" x14ac:dyDescent="0.3"/>
    <row r="520" spans="1:2" ht="15.75" customHeight="1" x14ac:dyDescent="0.3"/>
    <row r="521" spans="1:2" ht="15.75" customHeight="1" x14ac:dyDescent="0.3"/>
    <row r="522" spans="1:2" ht="15.75" customHeight="1" x14ac:dyDescent="0.3"/>
    <row r="523" spans="1:2" ht="15.75" customHeight="1" x14ac:dyDescent="0.3"/>
    <row r="524" spans="1:2" ht="15.75" customHeight="1" x14ac:dyDescent="0.3"/>
    <row r="525" spans="1:2" ht="15.6" x14ac:dyDescent="0.3">
      <c r="A525" s="13" t="s">
        <v>141</v>
      </c>
      <c r="B525" s="56"/>
    </row>
  </sheetData>
  <mergeCells count="701">
    <mergeCell ref="A329:B329"/>
    <mergeCell ref="A400:J400"/>
    <mergeCell ref="I401:J406"/>
    <mergeCell ref="A403:B403"/>
    <mergeCell ref="A404:B404"/>
    <mergeCell ref="A405:B405"/>
    <mergeCell ref="A406:B406"/>
    <mergeCell ref="A386:J386"/>
    <mergeCell ref="I387:J392"/>
    <mergeCell ref="A389:B389"/>
    <mergeCell ref="A390:B390"/>
    <mergeCell ref="A391:B391"/>
    <mergeCell ref="A392:B392"/>
    <mergeCell ref="A393:J393"/>
    <mergeCell ref="A396:B396"/>
    <mergeCell ref="C396:H396"/>
    <mergeCell ref="A397:B397"/>
    <mergeCell ref="C397:H397"/>
    <mergeCell ref="A398:B398"/>
    <mergeCell ref="A399:B399"/>
    <mergeCell ref="A387:B387"/>
    <mergeCell ref="A388:B388"/>
    <mergeCell ref="A394:B394"/>
    <mergeCell ref="A395:B395"/>
    <mergeCell ref="A414:J414"/>
    <mergeCell ref="I415:J420"/>
    <mergeCell ref="A417:B417"/>
    <mergeCell ref="A419:B419"/>
    <mergeCell ref="C419:H420"/>
    <mergeCell ref="A420:B420"/>
    <mergeCell ref="A401:B401"/>
    <mergeCell ref="A402:B402"/>
    <mergeCell ref="A418:B418"/>
    <mergeCell ref="A415:B415"/>
    <mergeCell ref="A416:B416"/>
    <mergeCell ref="A407:J407"/>
    <mergeCell ref="A410:B410"/>
    <mergeCell ref="C410:H410"/>
    <mergeCell ref="A412:B412"/>
    <mergeCell ref="C412:H413"/>
    <mergeCell ref="A413:B413"/>
    <mergeCell ref="A411:B411"/>
    <mergeCell ref="A408:B408"/>
    <mergeCell ref="A409:B409"/>
    <mergeCell ref="I408:J413"/>
    <mergeCell ref="I394:J399"/>
    <mergeCell ref="A372:J372"/>
    <mergeCell ref="I373:J378"/>
    <mergeCell ref="A376:B376"/>
    <mergeCell ref="A377:B377"/>
    <mergeCell ref="A378:B378"/>
    <mergeCell ref="A379:J379"/>
    <mergeCell ref="A382:B382"/>
    <mergeCell ref="A384:B384"/>
    <mergeCell ref="A385:B385"/>
    <mergeCell ref="A383:B383"/>
    <mergeCell ref="A380:B380"/>
    <mergeCell ref="A381:B381"/>
    <mergeCell ref="I380:J385"/>
    <mergeCell ref="A373:B373"/>
    <mergeCell ref="A374:B374"/>
    <mergeCell ref="A375:B375"/>
    <mergeCell ref="A358:J358"/>
    <mergeCell ref="I359:J364"/>
    <mergeCell ref="A361:B361"/>
    <mergeCell ref="A362:B362"/>
    <mergeCell ref="A363:B363"/>
    <mergeCell ref="A364:B364"/>
    <mergeCell ref="A365:J365"/>
    <mergeCell ref="I366:J371"/>
    <mergeCell ref="A368:B368"/>
    <mergeCell ref="C368:H368"/>
    <mergeCell ref="A369:B369"/>
    <mergeCell ref="C369:H369"/>
    <mergeCell ref="A370:B370"/>
    <mergeCell ref="A371:B371"/>
    <mergeCell ref="A359:B359"/>
    <mergeCell ref="A360:B360"/>
    <mergeCell ref="A366:B366"/>
    <mergeCell ref="A367:B367"/>
    <mergeCell ref="A348:J348"/>
    <mergeCell ref="A353:J353"/>
    <mergeCell ref="A354:B354"/>
    <mergeCell ref="I354:J357"/>
    <mergeCell ref="A355:B355"/>
    <mergeCell ref="A357:B357"/>
    <mergeCell ref="C357:H357"/>
    <mergeCell ref="A349:B349"/>
    <mergeCell ref="I349:J352"/>
    <mergeCell ref="A350:B350"/>
    <mergeCell ref="A351:B351"/>
    <mergeCell ref="A352:B352"/>
    <mergeCell ref="A356:B356"/>
    <mergeCell ref="A338:J338"/>
    <mergeCell ref="A339:J339"/>
    <mergeCell ref="A340:J340"/>
    <mergeCell ref="A341:J341"/>
    <mergeCell ref="A342:J342"/>
    <mergeCell ref="A343:J343"/>
    <mergeCell ref="A344:B344"/>
    <mergeCell ref="I344:J347"/>
    <mergeCell ref="A345:B345"/>
    <mergeCell ref="A347:B347"/>
    <mergeCell ref="A346:B346"/>
    <mergeCell ref="A320:J320"/>
    <mergeCell ref="A321:B321"/>
    <mergeCell ref="I321:J325"/>
    <mergeCell ref="A322:B322"/>
    <mergeCell ref="A323:B323"/>
    <mergeCell ref="A324:B324"/>
    <mergeCell ref="A325:B325"/>
    <mergeCell ref="A314:J314"/>
    <mergeCell ref="A315:B315"/>
    <mergeCell ref="I315:J319"/>
    <mergeCell ref="A316:B316"/>
    <mergeCell ref="C316:H316"/>
    <mergeCell ref="A317:B317"/>
    <mergeCell ref="C317:H317"/>
    <mergeCell ref="A318:B318"/>
    <mergeCell ref="A319:B319"/>
    <mergeCell ref="A296:J296"/>
    <mergeCell ref="A297:B297"/>
    <mergeCell ref="I297:J301"/>
    <mergeCell ref="A298:B298"/>
    <mergeCell ref="A299:B299"/>
    <mergeCell ref="A300:B300"/>
    <mergeCell ref="A301:B301"/>
    <mergeCell ref="A308:J308"/>
    <mergeCell ref="A309:B309"/>
    <mergeCell ref="I309:J313"/>
    <mergeCell ref="A310:B310"/>
    <mergeCell ref="A311:B311"/>
    <mergeCell ref="A312:B312"/>
    <mergeCell ref="A313:B313"/>
    <mergeCell ref="A302:J302"/>
    <mergeCell ref="A303:B303"/>
    <mergeCell ref="I303:J307"/>
    <mergeCell ref="A304:B304"/>
    <mergeCell ref="A305:B305"/>
    <mergeCell ref="A306:B306"/>
    <mergeCell ref="A307:B307"/>
    <mergeCell ref="A285:B285"/>
    <mergeCell ref="A286:B286"/>
    <mergeCell ref="A287:B287"/>
    <mergeCell ref="A288:B288"/>
    <mergeCell ref="A289:B289"/>
    <mergeCell ref="I285:J289"/>
    <mergeCell ref="I291:J295"/>
    <mergeCell ref="A292:B292"/>
    <mergeCell ref="A293:B293"/>
    <mergeCell ref="A294:B294"/>
    <mergeCell ref="A295:B295"/>
    <mergeCell ref="C293:H293"/>
    <mergeCell ref="C292:H292"/>
    <mergeCell ref="A291:B291"/>
    <mergeCell ref="A290:J290"/>
    <mergeCell ref="A276:J276"/>
    <mergeCell ref="A277:B277"/>
    <mergeCell ref="I277:J279"/>
    <mergeCell ref="A278:B278"/>
    <mergeCell ref="A279:B279"/>
    <mergeCell ref="A283:B283"/>
    <mergeCell ref="C283:H283"/>
    <mergeCell ref="A282:B282"/>
    <mergeCell ref="A284:J284"/>
    <mergeCell ref="A280:J280"/>
    <mergeCell ref="I281:J283"/>
    <mergeCell ref="A281:B281"/>
    <mergeCell ref="A271:J271"/>
    <mergeCell ref="A272:J272"/>
    <mergeCell ref="A273:B273"/>
    <mergeCell ref="I273:J275"/>
    <mergeCell ref="A274:B274"/>
    <mergeCell ref="A275:B275"/>
    <mergeCell ref="A262:J262"/>
    <mergeCell ref="A263:B263"/>
    <mergeCell ref="C263:H263"/>
    <mergeCell ref="I263:J266"/>
    <mergeCell ref="A264:B264"/>
    <mergeCell ref="A265:B265"/>
    <mergeCell ref="A266:B266"/>
    <mergeCell ref="A269:J269"/>
    <mergeCell ref="A270:J270"/>
    <mergeCell ref="A252:J252"/>
    <mergeCell ref="A253:B253"/>
    <mergeCell ref="I253:J256"/>
    <mergeCell ref="A254:B254"/>
    <mergeCell ref="A255:B255"/>
    <mergeCell ref="A256:B256"/>
    <mergeCell ref="A257:J257"/>
    <mergeCell ref="A258:B258"/>
    <mergeCell ref="C258:H258"/>
    <mergeCell ref="I258:J261"/>
    <mergeCell ref="A259:B259"/>
    <mergeCell ref="A260:B260"/>
    <mergeCell ref="A261:B261"/>
    <mergeCell ref="A243:J243"/>
    <mergeCell ref="A244:J244"/>
    <mergeCell ref="A245:J245"/>
    <mergeCell ref="A246:J246"/>
    <mergeCell ref="A247:J247"/>
    <mergeCell ref="A248:B248"/>
    <mergeCell ref="I248:J251"/>
    <mergeCell ref="A249:B249"/>
    <mergeCell ref="A250:B250"/>
    <mergeCell ref="C250:H251"/>
    <mergeCell ref="A251:B251"/>
    <mergeCell ref="A200:B200"/>
    <mergeCell ref="I200:J203"/>
    <mergeCell ref="A201:B201"/>
    <mergeCell ref="A202:B202"/>
    <mergeCell ref="C202:H203"/>
    <mergeCell ref="A203:B203"/>
    <mergeCell ref="A204:J204"/>
    <mergeCell ref="A205:B205"/>
    <mergeCell ref="I205:J208"/>
    <mergeCell ref="A206:B206"/>
    <mergeCell ref="A207:B207"/>
    <mergeCell ref="A208:B208"/>
    <mergeCell ref="A209:J209"/>
    <mergeCell ref="A211:B211"/>
    <mergeCell ref="A212:B212"/>
    <mergeCell ref="A213:B213"/>
    <mergeCell ref="A214:J214"/>
    <mergeCell ref="A226:B226"/>
    <mergeCell ref="A227:B227"/>
    <mergeCell ref="I224:J227"/>
    <mergeCell ref="C224:H224"/>
    <mergeCell ref="A217:B217"/>
    <mergeCell ref="A218:B218"/>
    <mergeCell ref="A215:B215"/>
    <mergeCell ref="A216:B216"/>
    <mergeCell ref="C215:H215"/>
    <mergeCell ref="C210:H210"/>
    <mergeCell ref="I210:J213"/>
    <mergeCell ref="I215:J218"/>
    <mergeCell ref="A239:B239"/>
    <mergeCell ref="I239:J242"/>
    <mergeCell ref="C240:H241"/>
    <mergeCell ref="A210:B210"/>
    <mergeCell ref="I229:J232"/>
    <mergeCell ref="A229:B229"/>
    <mergeCell ref="A230:B230"/>
    <mergeCell ref="A231:B231"/>
    <mergeCell ref="A232:B232"/>
    <mergeCell ref="A233:J233"/>
    <mergeCell ref="A234:B234"/>
    <mergeCell ref="I234:J237"/>
    <mergeCell ref="A235:B235"/>
    <mergeCell ref="A236:B236"/>
    <mergeCell ref="A237:B237"/>
    <mergeCell ref="C236:H236"/>
    <mergeCell ref="A240:B240"/>
    <mergeCell ref="A241:B241"/>
    <mergeCell ref="A242:B242"/>
    <mergeCell ref="A222:J222"/>
    <mergeCell ref="A224:B224"/>
    <mergeCell ref="A225:B225"/>
    <mergeCell ref="D162:F162"/>
    <mergeCell ref="G162:J162"/>
    <mergeCell ref="A167:B167"/>
    <mergeCell ref="D167:F167"/>
    <mergeCell ref="G167:J167"/>
    <mergeCell ref="A160:B160"/>
    <mergeCell ref="D160:F160"/>
    <mergeCell ref="G160:J160"/>
    <mergeCell ref="A163:B163"/>
    <mergeCell ref="D163:F163"/>
    <mergeCell ref="G163:J163"/>
    <mergeCell ref="A164:B164"/>
    <mergeCell ref="D164:F164"/>
    <mergeCell ref="G164:J164"/>
    <mergeCell ref="A165:B165"/>
    <mergeCell ref="D165:F165"/>
    <mergeCell ref="G165:J165"/>
    <mergeCell ref="A166:B166"/>
    <mergeCell ref="D166:F166"/>
    <mergeCell ref="G166:J166"/>
    <mergeCell ref="C178:H179"/>
    <mergeCell ref="I176:J179"/>
    <mergeCell ref="I181:J184"/>
    <mergeCell ref="C187:H187"/>
    <mergeCell ref="I186:J189"/>
    <mergeCell ref="A190:J190"/>
    <mergeCell ref="A191:B191"/>
    <mergeCell ref="I191:J194"/>
    <mergeCell ref="A192:B192"/>
    <mergeCell ref="A193:B193"/>
    <mergeCell ref="A194:B194"/>
    <mergeCell ref="C191:H192"/>
    <mergeCell ref="A177:B177"/>
    <mergeCell ref="A178:B178"/>
    <mergeCell ref="A179:B179"/>
    <mergeCell ref="A181:B181"/>
    <mergeCell ref="A182:B182"/>
    <mergeCell ref="A183:B183"/>
    <mergeCell ref="A184:B184"/>
    <mergeCell ref="A186:B186"/>
    <mergeCell ref="A187:B187"/>
    <mergeCell ref="A172:J172"/>
    <mergeCell ref="A173:J173"/>
    <mergeCell ref="A174:J174"/>
    <mergeCell ref="A170:B170"/>
    <mergeCell ref="A176:B176"/>
    <mergeCell ref="A123:B123"/>
    <mergeCell ref="D123:E123"/>
    <mergeCell ref="F123:G132"/>
    <mergeCell ref="H123:J132"/>
    <mergeCell ref="A124:B124"/>
    <mergeCell ref="D124:E124"/>
    <mergeCell ref="A125:B125"/>
    <mergeCell ref="D125:E125"/>
    <mergeCell ref="A126:B126"/>
    <mergeCell ref="D126:E126"/>
    <mergeCell ref="A127:B127"/>
    <mergeCell ref="D127:E127"/>
    <mergeCell ref="A128:B128"/>
    <mergeCell ref="D128:E128"/>
    <mergeCell ref="A129:B129"/>
    <mergeCell ref="A161:B161"/>
    <mergeCell ref="D161:F161"/>
    <mergeCell ref="G161:J161"/>
    <mergeCell ref="A162:B162"/>
    <mergeCell ref="E92:F92"/>
    <mergeCell ref="F95:G104"/>
    <mergeCell ref="H95:J104"/>
    <mergeCell ref="A96:B96"/>
    <mergeCell ref="D96:E96"/>
    <mergeCell ref="A97:B97"/>
    <mergeCell ref="D97:E97"/>
    <mergeCell ref="A98:B98"/>
    <mergeCell ref="D98:E98"/>
    <mergeCell ref="A99:B99"/>
    <mergeCell ref="D99:E99"/>
    <mergeCell ref="A100:B100"/>
    <mergeCell ref="D100:E100"/>
    <mergeCell ref="A101:B101"/>
    <mergeCell ref="D101:E101"/>
    <mergeCell ref="A102:B102"/>
    <mergeCell ref="D102:E102"/>
    <mergeCell ref="A103:B103"/>
    <mergeCell ref="D103:E103"/>
    <mergeCell ref="A104:B104"/>
    <mergeCell ref="D104:E104"/>
    <mergeCell ref="A87:B87"/>
    <mergeCell ref="D87:E87"/>
    <mergeCell ref="A88:B88"/>
    <mergeCell ref="D88:E88"/>
    <mergeCell ref="A89:B89"/>
    <mergeCell ref="D89:E89"/>
    <mergeCell ref="A90:B90"/>
    <mergeCell ref="D90:E90"/>
    <mergeCell ref="C91:J91"/>
    <mergeCell ref="A75:B75"/>
    <mergeCell ref="C75:J75"/>
    <mergeCell ref="E76:F76"/>
    <mergeCell ref="I76:J76"/>
    <mergeCell ref="A77:B77"/>
    <mergeCell ref="C77:J77"/>
    <mergeCell ref="A80:B80"/>
    <mergeCell ref="D80:E80"/>
    <mergeCell ref="F80:G80"/>
    <mergeCell ref="H80:J80"/>
    <mergeCell ref="D129:E129"/>
    <mergeCell ref="A130:B130"/>
    <mergeCell ref="D130:E130"/>
    <mergeCell ref="A131:B131"/>
    <mergeCell ref="D131:E131"/>
    <mergeCell ref="A132:B132"/>
    <mergeCell ref="D132:E132"/>
    <mergeCell ref="A94:B94"/>
    <mergeCell ref="D94:E94"/>
    <mergeCell ref="A95:B95"/>
    <mergeCell ref="D95:E95"/>
    <mergeCell ref="A119:B119"/>
    <mergeCell ref="C119:J119"/>
    <mergeCell ref="E120:F120"/>
    <mergeCell ref="I120:J120"/>
    <mergeCell ref="A121:B121"/>
    <mergeCell ref="C121:J121"/>
    <mergeCell ref="A122:B122"/>
    <mergeCell ref="D122:E122"/>
    <mergeCell ref="F122:G122"/>
    <mergeCell ref="H122:J122"/>
    <mergeCell ref="F109:G118"/>
    <mergeCell ref="H109:J118"/>
    <mergeCell ref="A110:B110"/>
    <mergeCell ref="A108:B108"/>
    <mergeCell ref="D108:E108"/>
    <mergeCell ref="F108:G108"/>
    <mergeCell ref="H108:J108"/>
    <mergeCell ref="A109:B109"/>
    <mergeCell ref="I92:J92"/>
    <mergeCell ref="A93:B93"/>
    <mergeCell ref="C93:J93"/>
    <mergeCell ref="A81:B81"/>
    <mergeCell ref="D81:E81"/>
    <mergeCell ref="A82:B82"/>
    <mergeCell ref="D82:E82"/>
    <mergeCell ref="A83:B83"/>
    <mergeCell ref="D83:E83"/>
    <mergeCell ref="A84:B84"/>
    <mergeCell ref="D84:E84"/>
    <mergeCell ref="A85:B85"/>
    <mergeCell ref="D85:E85"/>
    <mergeCell ref="A86:B86"/>
    <mergeCell ref="D86:E86"/>
    <mergeCell ref="F94:G94"/>
    <mergeCell ref="H94:J94"/>
    <mergeCell ref="F81:G90"/>
    <mergeCell ref="H81:J90"/>
    <mergeCell ref="A195:J195"/>
    <mergeCell ref="A196:J196"/>
    <mergeCell ref="A197:J197"/>
    <mergeCell ref="A198:J198"/>
    <mergeCell ref="A64:B64"/>
    <mergeCell ref="D64:E64"/>
    <mergeCell ref="F64:G64"/>
    <mergeCell ref="H64:J64"/>
    <mergeCell ref="A105:B105"/>
    <mergeCell ref="C105:J105"/>
    <mergeCell ref="E106:F106"/>
    <mergeCell ref="I106:J106"/>
    <mergeCell ref="A107:B107"/>
    <mergeCell ref="C107:J107"/>
    <mergeCell ref="D73:E73"/>
    <mergeCell ref="D67:E67"/>
    <mergeCell ref="A68:B68"/>
    <mergeCell ref="D68:E68"/>
    <mergeCell ref="D72:E72"/>
    <mergeCell ref="A73:B73"/>
    <mergeCell ref="D74:E74"/>
    <mergeCell ref="A136:B136"/>
    <mergeCell ref="D136:E136"/>
    <mergeCell ref="F136:G136"/>
    <mergeCell ref="A40:E40"/>
    <mergeCell ref="F41:J41"/>
    <mergeCell ref="A50:E50"/>
    <mergeCell ref="F50:J50"/>
    <mergeCell ref="A51:E51"/>
    <mergeCell ref="F42:J42"/>
    <mergeCell ref="A42:E42"/>
    <mergeCell ref="A44:B44"/>
    <mergeCell ref="C44:F44"/>
    <mergeCell ref="H44:J44"/>
    <mergeCell ref="A43:J43"/>
    <mergeCell ref="H46:J46"/>
    <mergeCell ref="A45:B45"/>
    <mergeCell ref="C46:F46"/>
    <mergeCell ref="C47:F47"/>
    <mergeCell ref="H47:J47"/>
    <mergeCell ref="A47:B48"/>
    <mergeCell ref="C48:J48"/>
    <mergeCell ref="A1:J1"/>
    <mergeCell ref="A56:E56"/>
    <mergeCell ref="F56:J56"/>
    <mergeCell ref="A58:J58"/>
    <mergeCell ref="C45:F45"/>
    <mergeCell ref="A41:E41"/>
    <mergeCell ref="I12:J12"/>
    <mergeCell ref="C12:G12"/>
    <mergeCell ref="C13:J13"/>
    <mergeCell ref="F52:G52"/>
    <mergeCell ref="F51:J51"/>
    <mergeCell ref="A46:B46"/>
    <mergeCell ref="H45:J45"/>
    <mergeCell ref="D52:E52"/>
    <mergeCell ref="F40:J40"/>
    <mergeCell ref="F39:J39"/>
    <mergeCell ref="A20:E21"/>
    <mergeCell ref="F20:J21"/>
    <mergeCell ref="F17:G17"/>
    <mergeCell ref="D54:E54"/>
    <mergeCell ref="F54:H54"/>
    <mergeCell ref="A54:C54"/>
    <mergeCell ref="A57:J57"/>
    <mergeCell ref="H52:J52"/>
    <mergeCell ref="A431:J434"/>
    <mergeCell ref="A158:F158"/>
    <mergeCell ref="G158:J158"/>
    <mergeCell ref="A168:J168"/>
    <mergeCell ref="A169:J169"/>
    <mergeCell ref="A427:J427"/>
    <mergeCell ref="A428:J428"/>
    <mergeCell ref="A429:J429"/>
    <mergeCell ref="A430:J430"/>
    <mergeCell ref="A159:J159"/>
    <mergeCell ref="I170:J170"/>
    <mergeCell ref="A238:J238"/>
    <mergeCell ref="A267:J267"/>
    <mergeCell ref="A424:J424"/>
    <mergeCell ref="A332:J332"/>
    <mergeCell ref="A333:B333"/>
    <mergeCell ref="I333:J337"/>
    <mergeCell ref="A334:B334"/>
    <mergeCell ref="A335:B335"/>
    <mergeCell ref="A199:J199"/>
    <mergeCell ref="A171:J171"/>
    <mergeCell ref="A175:J175"/>
    <mergeCell ref="A268:J268"/>
    <mergeCell ref="A228:J228"/>
    <mergeCell ref="H136:J136"/>
    <mergeCell ref="G152:J152"/>
    <mergeCell ref="A153:F153"/>
    <mergeCell ref="A425:J425"/>
    <mergeCell ref="A421:J422"/>
    <mergeCell ref="A426:J426"/>
    <mergeCell ref="A423:J423"/>
    <mergeCell ref="A152:F152"/>
    <mergeCell ref="G153:J153"/>
    <mergeCell ref="A156:F156"/>
    <mergeCell ref="G156:J156"/>
    <mergeCell ref="A157:F157"/>
    <mergeCell ref="G157:J157"/>
    <mergeCell ref="A180:J180"/>
    <mergeCell ref="A185:J185"/>
    <mergeCell ref="A219:J219"/>
    <mergeCell ref="A223:J223"/>
    <mergeCell ref="A188:B188"/>
    <mergeCell ref="A189:B189"/>
    <mergeCell ref="A220:J220"/>
    <mergeCell ref="A221:J221"/>
    <mergeCell ref="D142:E142"/>
    <mergeCell ref="A143:B143"/>
    <mergeCell ref="D143:E143"/>
    <mergeCell ref="A52:C52"/>
    <mergeCell ref="A53:J53"/>
    <mergeCell ref="A49:B49"/>
    <mergeCell ref="C49:F49"/>
    <mergeCell ref="H49:J49"/>
    <mergeCell ref="I54:J54"/>
    <mergeCell ref="A155:F155"/>
    <mergeCell ref="G155:J155"/>
    <mergeCell ref="A147:J147"/>
    <mergeCell ref="A148:J148"/>
    <mergeCell ref="A149:J150"/>
    <mergeCell ref="A151:J151"/>
    <mergeCell ref="A154:F154"/>
    <mergeCell ref="G154:J154"/>
    <mergeCell ref="A69:B69"/>
    <mergeCell ref="D69:E69"/>
    <mergeCell ref="A70:B70"/>
    <mergeCell ref="D146:E146"/>
    <mergeCell ref="A133:B133"/>
    <mergeCell ref="C133:J133"/>
    <mergeCell ref="E134:F134"/>
    <mergeCell ref="I134:J134"/>
    <mergeCell ref="A135:B135"/>
    <mergeCell ref="C135:J135"/>
    <mergeCell ref="H17:J17"/>
    <mergeCell ref="A9:E9"/>
    <mergeCell ref="F9:J9"/>
    <mergeCell ref="C17:E17"/>
    <mergeCell ref="A23:E23"/>
    <mergeCell ref="A17:B17"/>
    <mergeCell ref="A22:E22"/>
    <mergeCell ref="F22:J22"/>
    <mergeCell ref="A18:E19"/>
    <mergeCell ref="F18:J19"/>
    <mergeCell ref="F23:J23"/>
    <mergeCell ref="A14:B14"/>
    <mergeCell ref="C14:E14"/>
    <mergeCell ref="A15:B15"/>
    <mergeCell ref="C15:E15"/>
    <mergeCell ref="A16:B16"/>
    <mergeCell ref="C16:E16"/>
    <mergeCell ref="F14:G14"/>
    <mergeCell ref="H14:J14"/>
    <mergeCell ref="F15:G15"/>
    <mergeCell ref="H15:J15"/>
    <mergeCell ref="F16:G16"/>
    <mergeCell ref="H16:J16"/>
    <mergeCell ref="A7:E7"/>
    <mergeCell ref="F7:J7"/>
    <mergeCell ref="A10:E10"/>
    <mergeCell ref="F8:J8"/>
    <mergeCell ref="F10:J10"/>
    <mergeCell ref="A12:B12"/>
    <mergeCell ref="A8:E8"/>
    <mergeCell ref="A13:B13"/>
    <mergeCell ref="A11:E11"/>
    <mergeCell ref="F11:J11"/>
    <mergeCell ref="A2:J2"/>
    <mergeCell ref="A3:E3"/>
    <mergeCell ref="F3:J3"/>
    <mergeCell ref="A4:E4"/>
    <mergeCell ref="F4:J4"/>
    <mergeCell ref="A6:E6"/>
    <mergeCell ref="F6:J6"/>
    <mergeCell ref="A5:E5"/>
    <mergeCell ref="F5:J5"/>
    <mergeCell ref="F37:J37"/>
    <mergeCell ref="A24:E24"/>
    <mergeCell ref="A25:E25"/>
    <mergeCell ref="F24:J24"/>
    <mergeCell ref="F25:J25"/>
    <mergeCell ref="C27:D27"/>
    <mergeCell ref="E27:F27"/>
    <mergeCell ref="G27:H27"/>
    <mergeCell ref="A27:B27"/>
    <mergeCell ref="I27:J27"/>
    <mergeCell ref="A26:B26"/>
    <mergeCell ref="C26:D26"/>
    <mergeCell ref="E26:F26"/>
    <mergeCell ref="G26:H26"/>
    <mergeCell ref="A112:B112"/>
    <mergeCell ref="A34:J35"/>
    <mergeCell ref="I26:J26"/>
    <mergeCell ref="A36:E36"/>
    <mergeCell ref="A38:E38"/>
    <mergeCell ref="A39:E39"/>
    <mergeCell ref="F38:J38"/>
    <mergeCell ref="I28:J28"/>
    <mergeCell ref="A29:J29"/>
    <mergeCell ref="A30:J30"/>
    <mergeCell ref="A33:J33"/>
    <mergeCell ref="A28:B28"/>
    <mergeCell ref="C28:D28"/>
    <mergeCell ref="E28:F28"/>
    <mergeCell ref="G28:H28"/>
    <mergeCell ref="A31:B31"/>
    <mergeCell ref="C31:J31"/>
    <mergeCell ref="A32:B32"/>
    <mergeCell ref="A62:B63"/>
    <mergeCell ref="C62:E63"/>
    <mergeCell ref="F62:G63"/>
    <mergeCell ref="C32:J32"/>
    <mergeCell ref="F36:J36"/>
    <mergeCell ref="A37:E37"/>
    <mergeCell ref="A145:B145"/>
    <mergeCell ref="D145:E145"/>
    <mergeCell ref="A146:B146"/>
    <mergeCell ref="D65:E65"/>
    <mergeCell ref="D109:E109"/>
    <mergeCell ref="D112:E112"/>
    <mergeCell ref="A113:B113"/>
    <mergeCell ref="D113:E113"/>
    <mergeCell ref="A114:B114"/>
    <mergeCell ref="D114:E114"/>
    <mergeCell ref="A115:B115"/>
    <mergeCell ref="D115:E115"/>
    <mergeCell ref="A116:B116"/>
    <mergeCell ref="D116:E116"/>
    <mergeCell ref="A117:B117"/>
    <mergeCell ref="D117:E117"/>
    <mergeCell ref="A118:B118"/>
    <mergeCell ref="D118:E118"/>
    <mergeCell ref="A91:B91"/>
    <mergeCell ref="A137:B137"/>
    <mergeCell ref="D137:E137"/>
    <mergeCell ref="D110:E110"/>
    <mergeCell ref="A111:B111"/>
    <mergeCell ref="D111:E111"/>
    <mergeCell ref="F137:G146"/>
    <mergeCell ref="H137:J146"/>
    <mergeCell ref="A138:B138"/>
    <mergeCell ref="D138:E138"/>
    <mergeCell ref="A139:B139"/>
    <mergeCell ref="A336:B336"/>
    <mergeCell ref="A337:B337"/>
    <mergeCell ref="A326:J326"/>
    <mergeCell ref="A327:B327"/>
    <mergeCell ref="I327:J331"/>
    <mergeCell ref="A328:B328"/>
    <mergeCell ref="C328:H328"/>
    <mergeCell ref="A330:B330"/>
    <mergeCell ref="A331:B331"/>
    <mergeCell ref="C336:H337"/>
    <mergeCell ref="C330:H331"/>
    <mergeCell ref="D139:E139"/>
    <mergeCell ref="A140:B140"/>
    <mergeCell ref="D140:E140"/>
    <mergeCell ref="A141:B141"/>
    <mergeCell ref="D141:E141"/>
    <mergeCell ref="A142:B142"/>
    <mergeCell ref="A144:B144"/>
    <mergeCell ref="D144:E144"/>
    <mergeCell ref="H62:J63"/>
    <mergeCell ref="A78:B79"/>
    <mergeCell ref="C78:E79"/>
    <mergeCell ref="F78:G79"/>
    <mergeCell ref="H78:J79"/>
    <mergeCell ref="D55:J55"/>
    <mergeCell ref="A55:C55"/>
    <mergeCell ref="F65:G74"/>
    <mergeCell ref="H65:J74"/>
    <mergeCell ref="A66:B66"/>
    <mergeCell ref="D66:E66"/>
    <mergeCell ref="A67:B67"/>
    <mergeCell ref="D70:E70"/>
    <mergeCell ref="A71:B71"/>
    <mergeCell ref="D71:E71"/>
    <mergeCell ref="A72:B72"/>
    <mergeCell ref="A65:B65"/>
    <mergeCell ref="C59:J59"/>
    <mergeCell ref="E60:F60"/>
    <mergeCell ref="I60:J60"/>
    <mergeCell ref="A61:B61"/>
    <mergeCell ref="C61:J61"/>
    <mergeCell ref="A59:B59"/>
    <mergeCell ref="A74:B74"/>
  </mergeCells>
  <phoneticPr fontId="0" type="noConversion"/>
  <hyperlinks>
    <hyperlink ref="C32" r:id="rId1" xr:uid="{00000000-0004-0000-0000-000000000000}"/>
  </hyperlinks>
  <pageMargins left="0.39370078740157483" right="0.39370078740157483" top="0.78740157480314965" bottom="0.78740157480314965" header="0.19685039370078741" footer="0.19685039370078741"/>
  <pageSetup paperSize="9" scale="94" fitToHeight="0" orientation="portrait" r:id="rId2"/>
  <headerFooter>
    <oddHeader>&amp;C&amp;G</oddHeader>
    <oddFooter>&amp;L&amp;"Times New Roman,Bold"Ref No: &amp;F&amp;C&amp;G&amp;R&amp;P</oddFooter>
  </headerFooter>
  <rowBreaks count="4" manualBreakCount="4">
    <brk id="104" max="16383" man="1"/>
    <brk id="420" max="9" man="1"/>
    <brk id="434" max="16383" man="1"/>
    <brk id="524" max="16383" man="1"/>
  </rowBreak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3:N35"/>
  <sheetViews>
    <sheetView workbookViewId="0">
      <selection activeCell="H7" sqref="H7:H8"/>
    </sheetView>
  </sheetViews>
  <sheetFormatPr defaultRowHeight="14.4" x14ac:dyDescent="0.3"/>
  <sheetData>
    <row r="3" spans="3:14" x14ac:dyDescent="0.3">
      <c r="D3" s="7" t="s">
        <v>110</v>
      </c>
      <c r="E3" s="265"/>
      <c r="F3" s="265"/>
    </row>
    <row r="4" spans="3:14" x14ac:dyDescent="0.3">
      <c r="F4" s="6"/>
      <c r="G4" s="6"/>
      <c r="H4" s="6"/>
      <c r="I4" s="6"/>
      <c r="J4" s="6"/>
      <c r="K4" s="6"/>
    </row>
    <row r="5" spans="3:14" x14ac:dyDescent="0.3">
      <c r="C5" s="7" t="s">
        <v>111</v>
      </c>
      <c r="D5" s="5" t="s">
        <v>91</v>
      </c>
      <c r="E5" s="266" t="s">
        <v>92</v>
      </c>
      <c r="F5" s="266"/>
      <c r="G5" s="266"/>
      <c r="H5" s="8"/>
      <c r="I5" s="266" t="s">
        <v>93</v>
      </c>
      <c r="J5" s="266"/>
      <c r="K5" s="266"/>
      <c r="L5" s="266" t="s">
        <v>94</v>
      </c>
      <c r="M5" s="266"/>
      <c r="N5" s="266"/>
    </row>
    <row r="6" spans="3:14" x14ac:dyDescent="0.3">
      <c r="C6" s="7">
        <v>1</v>
      </c>
      <c r="D6" s="5"/>
      <c r="E6" s="5" t="s">
        <v>95</v>
      </c>
      <c r="F6" s="5" t="s">
        <v>96</v>
      </c>
      <c r="G6" s="5" t="s">
        <v>97</v>
      </c>
      <c r="H6" s="5"/>
      <c r="I6" s="5" t="s">
        <v>95</v>
      </c>
      <c r="J6" s="5" t="s">
        <v>96</v>
      </c>
      <c r="K6" s="5" t="s">
        <v>97</v>
      </c>
      <c r="L6" s="5" t="s">
        <v>95</v>
      </c>
      <c r="M6" s="5" t="s">
        <v>96</v>
      </c>
      <c r="N6" s="5" t="s">
        <v>97</v>
      </c>
    </row>
    <row r="7" spans="3:14" x14ac:dyDescent="0.3">
      <c r="D7" s="4" t="s">
        <v>98</v>
      </c>
      <c r="E7" s="4"/>
      <c r="F7" s="4"/>
      <c r="G7" s="4">
        <f>E7*F7</f>
        <v>0</v>
      </c>
      <c r="H7" s="4" t="s">
        <v>113</v>
      </c>
      <c r="I7" s="4"/>
      <c r="J7" s="4"/>
      <c r="K7" s="4">
        <f>I7*J7</f>
        <v>0</v>
      </c>
      <c r="L7" s="4"/>
      <c r="M7" s="4"/>
      <c r="N7" s="4">
        <f>L7*M7</f>
        <v>0</v>
      </c>
    </row>
    <row r="8" spans="3:14" x14ac:dyDescent="0.3">
      <c r="D8" s="4"/>
      <c r="E8" s="4"/>
      <c r="F8" s="4"/>
      <c r="G8" s="4">
        <f t="shared" ref="G8:G34" si="0">E8*F8</f>
        <v>0</v>
      </c>
      <c r="H8" s="4" t="s">
        <v>114</v>
      </c>
      <c r="I8" s="4"/>
      <c r="J8" s="4"/>
      <c r="K8" s="4">
        <f t="shared" ref="K8:K34" si="1">I8*J8</f>
        <v>0</v>
      </c>
      <c r="L8" s="4"/>
      <c r="M8" s="4"/>
      <c r="N8" s="4">
        <f t="shared" ref="N8:N34" si="2">L8*M8</f>
        <v>0</v>
      </c>
    </row>
    <row r="9" spans="3:14" x14ac:dyDescent="0.3">
      <c r="D9" s="4"/>
      <c r="E9" s="4"/>
      <c r="F9" s="4"/>
      <c r="G9" s="4">
        <f t="shared" si="0"/>
        <v>0</v>
      </c>
      <c r="H9" s="4"/>
      <c r="I9" s="4"/>
      <c r="J9" s="4"/>
      <c r="K9" s="4">
        <f t="shared" si="1"/>
        <v>0</v>
      </c>
      <c r="L9" s="4"/>
      <c r="M9" s="4"/>
      <c r="N9" s="4">
        <f t="shared" si="2"/>
        <v>0</v>
      </c>
    </row>
    <row r="10" spans="3:14" x14ac:dyDescent="0.3">
      <c r="D10" s="4" t="s">
        <v>101</v>
      </c>
      <c r="E10" s="4"/>
      <c r="F10" s="4"/>
      <c r="G10" s="4">
        <f t="shared" si="0"/>
        <v>0</v>
      </c>
      <c r="H10" s="4" t="s">
        <v>113</v>
      </c>
      <c r="I10" s="4"/>
      <c r="J10" s="4"/>
      <c r="K10" s="4">
        <f t="shared" si="1"/>
        <v>0</v>
      </c>
      <c r="L10" s="4"/>
      <c r="M10" s="4"/>
      <c r="N10" s="4">
        <f t="shared" si="2"/>
        <v>0</v>
      </c>
    </row>
    <row r="11" spans="3:14" x14ac:dyDescent="0.3">
      <c r="D11" s="4"/>
      <c r="E11" s="4"/>
      <c r="F11" s="4"/>
      <c r="G11" s="4">
        <f t="shared" si="0"/>
        <v>0</v>
      </c>
      <c r="H11" s="4" t="s">
        <v>114</v>
      </c>
      <c r="I11" s="4"/>
      <c r="J11" s="4"/>
      <c r="K11" s="4">
        <f t="shared" si="1"/>
        <v>0</v>
      </c>
      <c r="L11" s="4"/>
      <c r="M11" s="4"/>
      <c r="N11" s="4">
        <f t="shared" si="2"/>
        <v>0</v>
      </c>
    </row>
    <row r="12" spans="3:14" x14ac:dyDescent="0.3">
      <c r="D12" s="4"/>
      <c r="E12" s="4"/>
      <c r="F12" s="4"/>
      <c r="G12" s="4">
        <f t="shared" si="0"/>
        <v>0</v>
      </c>
      <c r="H12" s="4"/>
      <c r="I12" s="4"/>
      <c r="J12" s="4"/>
      <c r="K12" s="4">
        <f t="shared" si="1"/>
        <v>0</v>
      </c>
      <c r="L12" s="4"/>
      <c r="M12" s="4"/>
      <c r="N12" s="4">
        <f t="shared" si="2"/>
        <v>0</v>
      </c>
    </row>
    <row r="13" spans="3:14" x14ac:dyDescent="0.3">
      <c r="D13" s="4"/>
      <c r="E13" s="4"/>
      <c r="F13" s="4"/>
      <c r="G13" s="4">
        <f t="shared" si="0"/>
        <v>0</v>
      </c>
      <c r="H13" s="4"/>
      <c r="I13" s="4"/>
      <c r="J13" s="4"/>
      <c r="K13" s="4">
        <f t="shared" si="1"/>
        <v>0</v>
      </c>
      <c r="L13" s="4"/>
      <c r="M13" s="4"/>
      <c r="N13" s="4">
        <f t="shared" si="2"/>
        <v>0</v>
      </c>
    </row>
    <row r="14" spans="3:14" x14ac:dyDescent="0.3">
      <c r="D14" s="4" t="s">
        <v>99</v>
      </c>
      <c r="E14" s="4"/>
      <c r="F14" s="4"/>
      <c r="G14" s="4">
        <f t="shared" si="0"/>
        <v>0</v>
      </c>
      <c r="H14" s="4" t="s">
        <v>113</v>
      </c>
      <c r="I14" s="4"/>
      <c r="J14" s="4"/>
      <c r="K14" s="4">
        <f t="shared" si="1"/>
        <v>0</v>
      </c>
      <c r="L14" s="4"/>
      <c r="M14" s="4"/>
      <c r="N14" s="4">
        <f t="shared" si="2"/>
        <v>0</v>
      </c>
    </row>
    <row r="15" spans="3:14" x14ac:dyDescent="0.3">
      <c r="D15" s="4"/>
      <c r="E15" s="4"/>
      <c r="F15" s="4"/>
      <c r="G15" s="4">
        <f t="shared" si="0"/>
        <v>0</v>
      </c>
      <c r="H15" s="4" t="s">
        <v>114</v>
      </c>
      <c r="I15" s="4"/>
      <c r="J15" s="4"/>
      <c r="K15" s="4">
        <f t="shared" si="1"/>
        <v>0</v>
      </c>
      <c r="L15" s="4"/>
      <c r="M15" s="4"/>
      <c r="N15" s="4">
        <f t="shared" si="2"/>
        <v>0</v>
      </c>
    </row>
    <row r="16" spans="3:14" x14ac:dyDescent="0.3">
      <c r="D16" s="4"/>
      <c r="E16" s="4"/>
      <c r="F16" s="4"/>
      <c r="G16" s="4">
        <f t="shared" si="0"/>
        <v>0</v>
      </c>
      <c r="H16" s="4"/>
      <c r="I16" s="4"/>
      <c r="J16" s="4"/>
      <c r="K16" s="4">
        <f t="shared" si="1"/>
        <v>0</v>
      </c>
      <c r="L16" s="4"/>
      <c r="M16" s="4"/>
      <c r="N16" s="4">
        <f t="shared" si="2"/>
        <v>0</v>
      </c>
    </row>
    <row r="17" spans="4:14" x14ac:dyDescent="0.3">
      <c r="D17" s="4"/>
      <c r="E17" s="4"/>
      <c r="F17" s="4"/>
      <c r="G17" s="4">
        <f t="shared" si="0"/>
        <v>0</v>
      </c>
      <c r="H17" s="4"/>
      <c r="I17" s="4"/>
      <c r="J17" s="4"/>
      <c r="K17" s="4">
        <f t="shared" si="1"/>
        <v>0</v>
      </c>
      <c r="L17" s="4"/>
      <c r="M17" s="4"/>
      <c r="N17" s="4">
        <f t="shared" si="2"/>
        <v>0</v>
      </c>
    </row>
    <row r="18" spans="4:14" x14ac:dyDescent="0.3">
      <c r="D18" s="4" t="s">
        <v>100</v>
      </c>
      <c r="E18" s="4"/>
      <c r="F18" s="4"/>
      <c r="G18" s="4">
        <f t="shared" si="0"/>
        <v>0</v>
      </c>
      <c r="H18" s="4" t="s">
        <v>113</v>
      </c>
      <c r="I18" s="4"/>
      <c r="J18" s="4"/>
      <c r="K18" s="4">
        <f t="shared" si="1"/>
        <v>0</v>
      </c>
      <c r="L18" s="4"/>
      <c r="M18" s="4"/>
      <c r="N18" s="4">
        <f t="shared" si="2"/>
        <v>0</v>
      </c>
    </row>
    <row r="19" spans="4:14" x14ac:dyDescent="0.3">
      <c r="D19" s="4"/>
      <c r="E19" s="4"/>
      <c r="F19" s="4"/>
      <c r="G19" s="4">
        <f t="shared" si="0"/>
        <v>0</v>
      </c>
      <c r="H19" s="4" t="s">
        <v>114</v>
      </c>
      <c r="I19" s="4"/>
      <c r="J19" s="4"/>
      <c r="K19" s="4">
        <f t="shared" si="1"/>
        <v>0</v>
      </c>
      <c r="L19" s="4"/>
      <c r="M19" s="4"/>
      <c r="N19" s="4">
        <f t="shared" si="2"/>
        <v>0</v>
      </c>
    </row>
    <row r="20" spans="4:14" x14ac:dyDescent="0.3">
      <c r="D20" s="4"/>
      <c r="E20" s="4"/>
      <c r="F20" s="4"/>
      <c r="G20" s="4">
        <f t="shared" si="0"/>
        <v>0</v>
      </c>
      <c r="H20" s="4"/>
      <c r="I20" s="4"/>
      <c r="J20" s="4"/>
      <c r="K20" s="4">
        <f t="shared" si="1"/>
        <v>0</v>
      </c>
      <c r="L20" s="4"/>
      <c r="M20" s="4"/>
      <c r="N20" s="4">
        <f t="shared" si="2"/>
        <v>0</v>
      </c>
    </row>
    <row r="21" spans="4:14" x14ac:dyDescent="0.3">
      <c r="D21" s="4" t="s">
        <v>100</v>
      </c>
      <c r="E21" s="4"/>
      <c r="F21" s="4"/>
      <c r="G21" s="4">
        <f t="shared" si="0"/>
        <v>0</v>
      </c>
      <c r="H21" s="4" t="s">
        <v>113</v>
      </c>
      <c r="I21" s="4"/>
      <c r="J21" s="4"/>
      <c r="K21" s="4">
        <f t="shared" si="1"/>
        <v>0</v>
      </c>
      <c r="L21" s="4"/>
      <c r="M21" s="4"/>
      <c r="N21" s="4">
        <f t="shared" si="2"/>
        <v>0</v>
      </c>
    </row>
    <row r="22" spans="4:14" x14ac:dyDescent="0.3">
      <c r="D22" s="4"/>
      <c r="E22" s="4"/>
      <c r="F22" s="4"/>
      <c r="G22" s="4">
        <f t="shared" si="0"/>
        <v>0</v>
      </c>
      <c r="H22" s="4" t="s">
        <v>114</v>
      </c>
      <c r="I22" s="4"/>
      <c r="J22" s="4"/>
      <c r="K22" s="4">
        <f t="shared" si="1"/>
        <v>0</v>
      </c>
      <c r="L22" s="4"/>
      <c r="M22" s="4"/>
      <c r="N22" s="4">
        <f t="shared" si="2"/>
        <v>0</v>
      </c>
    </row>
    <row r="23" spans="4:14" x14ac:dyDescent="0.3">
      <c r="D23" s="4"/>
      <c r="E23" s="4"/>
      <c r="F23" s="4"/>
      <c r="G23" s="4">
        <f t="shared" si="0"/>
        <v>0</v>
      </c>
      <c r="H23" s="4"/>
      <c r="I23" s="4"/>
      <c r="J23" s="4"/>
      <c r="K23" s="4">
        <f t="shared" si="1"/>
        <v>0</v>
      </c>
      <c r="L23" s="4"/>
      <c r="M23" s="4"/>
      <c r="N23" s="4">
        <f t="shared" si="2"/>
        <v>0</v>
      </c>
    </row>
    <row r="24" spans="4:14" x14ac:dyDescent="0.3">
      <c r="D24" s="4" t="s">
        <v>106</v>
      </c>
      <c r="E24" s="4"/>
      <c r="F24" s="4"/>
      <c r="G24" s="4">
        <f t="shared" si="0"/>
        <v>0</v>
      </c>
      <c r="H24" s="4" t="s">
        <v>115</v>
      </c>
      <c r="I24" s="4"/>
      <c r="J24" s="4"/>
      <c r="K24" s="4">
        <f t="shared" si="1"/>
        <v>0</v>
      </c>
      <c r="L24" s="4"/>
      <c r="M24" s="4"/>
      <c r="N24" s="4">
        <f t="shared" si="2"/>
        <v>0</v>
      </c>
    </row>
    <row r="25" spans="4:14" x14ac:dyDescent="0.3">
      <c r="D25" s="4" t="s">
        <v>107</v>
      </c>
      <c r="E25" s="4"/>
      <c r="F25" s="4"/>
      <c r="G25" s="4">
        <f t="shared" si="0"/>
        <v>0</v>
      </c>
      <c r="H25" s="4" t="s">
        <v>115</v>
      </c>
      <c r="I25" s="4"/>
      <c r="J25" s="4"/>
      <c r="K25" s="4">
        <f t="shared" si="1"/>
        <v>0</v>
      </c>
      <c r="L25" s="4"/>
      <c r="M25" s="4"/>
      <c r="N25" s="4">
        <f t="shared" si="2"/>
        <v>0</v>
      </c>
    </row>
    <row r="26" spans="4:14" x14ac:dyDescent="0.3">
      <c r="D26" s="4" t="s">
        <v>108</v>
      </c>
      <c r="E26" s="4"/>
      <c r="F26" s="4"/>
      <c r="G26" s="4">
        <f t="shared" si="0"/>
        <v>0</v>
      </c>
      <c r="H26" s="4" t="s">
        <v>115</v>
      </c>
      <c r="I26" s="4"/>
      <c r="J26" s="4"/>
      <c r="K26" s="4">
        <f t="shared" si="1"/>
        <v>0</v>
      </c>
      <c r="L26" s="4"/>
      <c r="M26" s="4"/>
      <c r="N26" s="4">
        <f t="shared" si="2"/>
        <v>0</v>
      </c>
    </row>
    <row r="27" spans="4:14" x14ac:dyDescent="0.3">
      <c r="D27" s="4"/>
      <c r="E27" s="4"/>
      <c r="F27" s="4"/>
      <c r="G27" s="4">
        <f t="shared" si="0"/>
        <v>0</v>
      </c>
      <c r="H27" s="4"/>
      <c r="I27" s="4"/>
      <c r="J27" s="4"/>
      <c r="K27" s="4">
        <f t="shared" si="1"/>
        <v>0</v>
      </c>
      <c r="L27" s="4"/>
      <c r="M27" s="4"/>
      <c r="N27" s="4">
        <f t="shared" si="2"/>
        <v>0</v>
      </c>
    </row>
    <row r="28" spans="4:14" x14ac:dyDescent="0.3">
      <c r="D28" s="4" t="s">
        <v>102</v>
      </c>
      <c r="E28" s="4"/>
      <c r="F28" s="4"/>
      <c r="G28" s="4">
        <f t="shared" si="0"/>
        <v>0</v>
      </c>
      <c r="H28" s="4"/>
      <c r="I28" s="4"/>
      <c r="J28" s="4"/>
      <c r="K28" s="4">
        <f t="shared" si="1"/>
        <v>0</v>
      </c>
      <c r="L28" s="4"/>
      <c r="M28" s="4"/>
      <c r="N28" s="4">
        <f t="shared" si="2"/>
        <v>0</v>
      </c>
    </row>
    <row r="29" spans="4:14" x14ac:dyDescent="0.3">
      <c r="D29" s="4" t="s">
        <v>103</v>
      </c>
      <c r="E29" s="4"/>
      <c r="F29" s="4"/>
      <c r="G29" s="4">
        <f t="shared" si="0"/>
        <v>0</v>
      </c>
      <c r="H29" s="4"/>
      <c r="I29" s="4"/>
      <c r="J29" s="4"/>
      <c r="K29" s="4">
        <f t="shared" si="1"/>
        <v>0</v>
      </c>
      <c r="L29" s="4"/>
      <c r="M29" s="4"/>
      <c r="N29" s="4">
        <f t="shared" si="2"/>
        <v>0</v>
      </c>
    </row>
    <row r="30" spans="4:14" x14ac:dyDescent="0.3">
      <c r="D30" s="4" t="s">
        <v>104</v>
      </c>
      <c r="E30" s="4"/>
      <c r="F30" s="4"/>
      <c r="G30" s="4">
        <f t="shared" si="0"/>
        <v>0</v>
      </c>
      <c r="H30" s="4"/>
      <c r="I30" s="4"/>
      <c r="J30" s="4"/>
      <c r="K30" s="4">
        <f t="shared" si="1"/>
        <v>0</v>
      </c>
      <c r="L30" s="4"/>
      <c r="M30" s="4"/>
      <c r="N30" s="4">
        <f t="shared" si="2"/>
        <v>0</v>
      </c>
    </row>
    <row r="31" spans="4:14" x14ac:dyDescent="0.3">
      <c r="D31" s="4" t="s">
        <v>105</v>
      </c>
      <c r="E31" s="4"/>
      <c r="F31" s="4"/>
      <c r="G31" s="4">
        <f t="shared" si="0"/>
        <v>0</v>
      </c>
      <c r="H31" s="4"/>
      <c r="I31" s="4"/>
      <c r="J31" s="4"/>
      <c r="K31" s="4">
        <f t="shared" si="1"/>
        <v>0</v>
      </c>
      <c r="L31" s="4"/>
      <c r="M31" s="4"/>
      <c r="N31" s="4">
        <f t="shared" si="2"/>
        <v>0</v>
      </c>
    </row>
    <row r="32" spans="4:14" x14ac:dyDescent="0.3">
      <c r="D32" s="4"/>
      <c r="E32" s="4"/>
      <c r="F32" s="4"/>
      <c r="G32" s="4">
        <f t="shared" si="0"/>
        <v>0</v>
      </c>
      <c r="H32" s="4"/>
      <c r="I32" s="4"/>
      <c r="J32" s="4"/>
      <c r="K32" s="4">
        <f t="shared" si="1"/>
        <v>0</v>
      </c>
      <c r="L32" s="4"/>
      <c r="M32" s="4"/>
      <c r="N32" s="4">
        <f t="shared" si="2"/>
        <v>0</v>
      </c>
    </row>
    <row r="33" spans="4:14" x14ac:dyDescent="0.3">
      <c r="D33" s="4"/>
      <c r="E33" s="4"/>
      <c r="F33" s="4"/>
      <c r="G33" s="4">
        <f t="shared" si="0"/>
        <v>0</v>
      </c>
      <c r="H33" s="4"/>
      <c r="I33" s="4"/>
      <c r="J33" s="4"/>
      <c r="K33" s="4">
        <f t="shared" si="1"/>
        <v>0</v>
      </c>
      <c r="L33" s="4"/>
      <c r="M33" s="4"/>
      <c r="N33" s="4">
        <f t="shared" si="2"/>
        <v>0</v>
      </c>
    </row>
    <row r="34" spans="4:14" x14ac:dyDescent="0.3">
      <c r="D34" s="4"/>
      <c r="E34" s="4"/>
      <c r="F34" s="4"/>
      <c r="G34" s="4">
        <f t="shared" si="0"/>
        <v>0</v>
      </c>
      <c r="H34" s="4"/>
      <c r="I34" s="4"/>
      <c r="J34" s="4"/>
      <c r="K34" s="4">
        <f t="shared" si="1"/>
        <v>0</v>
      </c>
      <c r="L34" s="4"/>
      <c r="M34" s="4"/>
      <c r="N34" s="4">
        <f t="shared" si="2"/>
        <v>0</v>
      </c>
    </row>
    <row r="35" spans="4:14" x14ac:dyDescent="0.3">
      <c r="D35" s="4" t="s">
        <v>109</v>
      </c>
      <c r="E35" s="4"/>
      <c r="F35" s="4">
        <f>G35*10.764</f>
        <v>0</v>
      </c>
      <c r="G35" s="4">
        <f>SUM(G7:G34)</f>
        <v>0</v>
      </c>
      <c r="H35" s="4"/>
      <c r="I35" s="4"/>
      <c r="J35" s="4">
        <f>K35*10.764</f>
        <v>0</v>
      </c>
      <c r="K35" s="4">
        <f>SUM(K7:K34)</f>
        <v>0</v>
      </c>
      <c r="L35" s="4"/>
      <c r="M35" s="4">
        <f>N35*10.764</f>
        <v>0</v>
      </c>
      <c r="N35" s="4">
        <f>SUM(N7:N34)</f>
        <v>0</v>
      </c>
    </row>
  </sheetData>
  <mergeCells count="4">
    <mergeCell ref="E3:F3"/>
    <mergeCell ref="E5:G5"/>
    <mergeCell ref="I5:K5"/>
    <mergeCell ref="L5:N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topLeftCell="A7" workbookViewId="0">
      <selection activeCell="M6" sqref="M6"/>
    </sheetView>
  </sheetViews>
  <sheetFormatPr defaultColWidth="8.5546875" defaultRowHeight="14.4" x14ac:dyDescent="0.3"/>
  <cols>
    <col min="1" max="1" width="8.5546875" style="20"/>
    <col min="2" max="2" width="22.109375" style="20" customWidth="1"/>
    <col min="3" max="3" width="37" style="20" customWidth="1"/>
    <col min="4" max="5" width="11.44140625" style="20" customWidth="1"/>
    <col min="6" max="6" width="14" style="20" customWidth="1"/>
    <col min="7" max="7" width="20" style="20" customWidth="1"/>
    <col min="8" max="8" width="16.44140625" style="20" customWidth="1"/>
    <col min="9" max="9" width="8.5546875" style="20"/>
    <col min="10" max="10" width="9.88671875" style="20" bestFit="1" customWidth="1"/>
    <col min="11" max="16384" width="8.5546875" style="20"/>
  </cols>
  <sheetData>
    <row r="1" spans="1:10" ht="15" customHeight="1" x14ac:dyDescent="0.3"/>
    <row r="2" spans="1:10" ht="15" customHeight="1" x14ac:dyDescent="0.3">
      <c r="A2" s="21"/>
      <c r="B2" s="21"/>
      <c r="C2" s="21"/>
      <c r="D2" s="21"/>
      <c r="E2" s="21"/>
      <c r="F2" s="21"/>
      <c r="G2" s="21"/>
      <c r="H2" s="21"/>
    </row>
    <row r="3" spans="1:10" ht="15.75" customHeight="1" x14ac:dyDescent="0.3">
      <c r="A3" s="21"/>
      <c r="B3" s="22" t="s">
        <v>182</v>
      </c>
      <c r="C3" s="22"/>
      <c r="D3" s="22"/>
      <c r="E3" s="22"/>
      <c r="F3" s="22"/>
      <c r="G3" s="22"/>
      <c r="H3" s="22"/>
    </row>
    <row r="4" spans="1:10" x14ac:dyDescent="0.3">
      <c r="A4" s="21"/>
      <c r="B4" s="23" t="s">
        <v>183</v>
      </c>
      <c r="C4" s="23" t="s">
        <v>184</v>
      </c>
      <c r="D4" s="23" t="s">
        <v>111</v>
      </c>
      <c r="E4" s="23" t="s">
        <v>185</v>
      </c>
      <c r="F4" s="23" t="s">
        <v>186</v>
      </c>
      <c r="G4" s="23" t="s">
        <v>187</v>
      </c>
      <c r="H4" s="23" t="s">
        <v>188</v>
      </c>
    </row>
    <row r="5" spans="1:10" ht="15" customHeight="1" x14ac:dyDescent="0.3">
      <c r="A5" s="21"/>
      <c r="B5" s="24" t="s">
        <v>189</v>
      </c>
      <c r="C5" s="35" t="s">
        <v>194</v>
      </c>
      <c r="D5" s="25" t="s">
        <v>135</v>
      </c>
      <c r="E5" s="25">
        <v>434</v>
      </c>
      <c r="F5" s="26">
        <v>710</v>
      </c>
      <c r="G5" s="26">
        <f>H5/E5</f>
        <v>18202.764976958526</v>
      </c>
      <c r="H5" s="27">
        <v>7900000</v>
      </c>
      <c r="J5" s="28"/>
    </row>
    <row r="6" spans="1:10" x14ac:dyDescent="0.3">
      <c r="A6" s="21"/>
      <c r="B6" s="24" t="s">
        <v>189</v>
      </c>
      <c r="C6" s="35" t="s">
        <v>194</v>
      </c>
      <c r="D6" s="25" t="s">
        <v>138</v>
      </c>
      <c r="E6" s="25">
        <v>619</v>
      </c>
      <c r="F6" s="26">
        <v>990</v>
      </c>
      <c r="G6" s="26">
        <f t="shared" ref="G6:G12" si="0">H6/E6</f>
        <v>19709.208400646203</v>
      </c>
      <c r="H6" s="27">
        <v>12200000</v>
      </c>
      <c r="J6" s="28"/>
    </row>
    <row r="7" spans="1:10" ht="15" customHeight="1" x14ac:dyDescent="0.3">
      <c r="A7" s="21"/>
      <c r="B7" s="24" t="s">
        <v>189</v>
      </c>
      <c r="C7" s="35" t="s">
        <v>194</v>
      </c>
      <c r="D7" s="25" t="s">
        <v>138</v>
      </c>
      <c r="E7" s="25">
        <v>619</v>
      </c>
      <c r="F7" s="26">
        <v>1020</v>
      </c>
      <c r="G7" s="26">
        <f t="shared" si="0"/>
        <v>18901.453957996768</v>
      </c>
      <c r="H7" s="27">
        <v>11700000</v>
      </c>
      <c r="J7" s="28"/>
    </row>
    <row r="8" spans="1:10" ht="15" customHeight="1" x14ac:dyDescent="0.3">
      <c r="A8" s="21"/>
      <c r="B8" s="24" t="s">
        <v>191</v>
      </c>
      <c r="C8" s="35" t="s">
        <v>194</v>
      </c>
      <c r="D8" s="25" t="s">
        <v>135</v>
      </c>
      <c r="E8" s="25">
        <v>436.05</v>
      </c>
      <c r="F8" s="26">
        <f>E8*1.6</f>
        <v>697.68000000000006</v>
      </c>
      <c r="G8" s="26">
        <f t="shared" si="0"/>
        <v>20043.572984749455</v>
      </c>
      <c r="H8" s="27">
        <v>8740000</v>
      </c>
      <c r="J8" s="28"/>
    </row>
    <row r="9" spans="1:10" x14ac:dyDescent="0.3">
      <c r="A9" s="21"/>
      <c r="B9" s="24" t="s">
        <v>191</v>
      </c>
      <c r="C9" s="35" t="s">
        <v>194</v>
      </c>
      <c r="D9" s="25" t="s">
        <v>135</v>
      </c>
      <c r="E9" s="25">
        <v>450.04</v>
      </c>
      <c r="F9" s="26">
        <f>E9*1.6</f>
        <v>720.06400000000008</v>
      </c>
      <c r="G9" s="26">
        <f t="shared" si="0"/>
        <v>20044.884899120076</v>
      </c>
      <c r="H9" s="27">
        <v>9021000</v>
      </c>
      <c r="J9" s="28"/>
    </row>
    <row r="10" spans="1:10" ht="15" customHeight="1" x14ac:dyDescent="0.3">
      <c r="A10" s="21"/>
      <c r="B10" s="24" t="s">
        <v>191</v>
      </c>
      <c r="C10" s="35" t="s">
        <v>194</v>
      </c>
      <c r="D10" s="25" t="s">
        <v>135</v>
      </c>
      <c r="E10" s="25">
        <v>434</v>
      </c>
      <c r="F10" s="26">
        <f>E10*1.6</f>
        <v>694.40000000000009</v>
      </c>
      <c r="G10" s="26">
        <f t="shared" si="0"/>
        <v>20506.912442396315</v>
      </c>
      <c r="H10" s="27">
        <v>8900000</v>
      </c>
      <c r="J10" s="28"/>
    </row>
    <row r="11" spans="1:10" x14ac:dyDescent="0.3">
      <c r="A11" s="21"/>
      <c r="B11" s="24" t="s">
        <v>191</v>
      </c>
      <c r="C11" s="35" t="s">
        <v>194</v>
      </c>
      <c r="D11" s="25" t="s">
        <v>138</v>
      </c>
      <c r="E11" s="25">
        <v>619.03</v>
      </c>
      <c r="F11" s="26">
        <f>E11*1.6</f>
        <v>990.44799999999998</v>
      </c>
      <c r="G11" s="26">
        <f t="shared" si="0"/>
        <v>21000.59770931942</v>
      </c>
      <c r="H11" s="27">
        <v>13000000</v>
      </c>
      <c r="J11" s="28"/>
    </row>
    <row r="12" spans="1:10" x14ac:dyDescent="0.3">
      <c r="A12" s="21"/>
      <c r="B12" s="24" t="s">
        <v>191</v>
      </c>
      <c r="C12" s="35" t="s">
        <v>194</v>
      </c>
      <c r="D12" s="25" t="s">
        <v>190</v>
      </c>
      <c r="E12" s="25">
        <v>838.94</v>
      </c>
      <c r="F12" s="26">
        <f>E12*1.6</f>
        <v>1342.3040000000001</v>
      </c>
      <c r="G12" s="26">
        <f t="shared" si="0"/>
        <v>18714.091591770568</v>
      </c>
      <c r="H12" s="27">
        <v>15700000</v>
      </c>
      <c r="J12" s="28"/>
    </row>
    <row r="13" spans="1:10" ht="15" customHeight="1" x14ac:dyDescent="0.3">
      <c r="A13" s="21"/>
      <c r="B13" s="29" t="s">
        <v>192</v>
      </c>
      <c r="C13" s="25"/>
      <c r="D13" s="25"/>
      <c r="E13" s="25">
        <v>0</v>
      </c>
      <c r="F13" s="26">
        <f>E13*1.5</f>
        <v>0</v>
      </c>
      <c r="G13" s="30">
        <f>AVERAGE(G5:G12)</f>
        <v>19640.435870369663</v>
      </c>
      <c r="H13" s="25"/>
      <c r="J13" s="28"/>
    </row>
    <row r="14" spans="1:10" ht="15" customHeight="1" x14ac:dyDescent="0.3">
      <c r="B14" s="29" t="s">
        <v>193</v>
      </c>
      <c r="C14" s="25"/>
      <c r="D14" s="25"/>
      <c r="E14" s="25"/>
      <c r="F14" s="31"/>
      <c r="G14" s="29">
        <v>19700</v>
      </c>
      <c r="H14" s="29"/>
      <c r="I14" s="32"/>
      <c r="J14" s="28"/>
    </row>
    <row r="15" spans="1:10" ht="15" customHeight="1" x14ac:dyDescent="0.3">
      <c r="G15" s="33"/>
    </row>
    <row r="16" spans="1:10" x14ac:dyDescent="0.3">
      <c r="E16" s="33"/>
      <c r="G16" s="33"/>
    </row>
    <row r="17" spans="2:7" x14ac:dyDescent="0.3">
      <c r="E17" s="33"/>
      <c r="G17" s="33"/>
    </row>
    <row r="18" spans="2:7" x14ac:dyDescent="0.3">
      <c r="E18" s="33"/>
      <c r="G18" s="33"/>
    </row>
    <row r="19" spans="2:7" x14ac:dyDescent="0.3">
      <c r="E19" s="33"/>
      <c r="G19" s="33"/>
    </row>
    <row r="20" spans="2:7" x14ac:dyDescent="0.3">
      <c r="E20" s="33"/>
      <c r="G20" s="33"/>
    </row>
    <row r="21" spans="2:7" x14ac:dyDescent="0.3">
      <c r="E21" s="33"/>
      <c r="G21" s="33"/>
    </row>
    <row r="22" spans="2:7" x14ac:dyDescent="0.3">
      <c r="G22" s="33"/>
    </row>
    <row r="23" spans="2:7" x14ac:dyDescent="0.3">
      <c r="G23" s="33"/>
    </row>
    <row r="24" spans="2:7" x14ac:dyDescent="0.3">
      <c r="B24" s="34"/>
      <c r="G24" s="3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26"/>
  <sheetViews>
    <sheetView topLeftCell="A19" workbookViewId="0">
      <selection activeCell="C26" sqref="C26"/>
    </sheetView>
  </sheetViews>
  <sheetFormatPr defaultRowHeight="14.4" x14ac:dyDescent="0.3"/>
  <cols>
    <col min="1" max="1" width="11.109375" bestFit="1" customWidth="1"/>
    <col min="2" max="2" width="10.88671875" customWidth="1"/>
  </cols>
  <sheetData>
    <row r="2" spans="1:2" x14ac:dyDescent="0.3">
      <c r="A2" t="s">
        <v>173</v>
      </c>
      <c r="B2" t="s">
        <v>174</v>
      </c>
    </row>
    <row r="23" spans="1:3" x14ac:dyDescent="0.3">
      <c r="A23" t="s">
        <v>175</v>
      </c>
      <c r="B23" t="s">
        <v>195</v>
      </c>
      <c r="C23" t="s">
        <v>196</v>
      </c>
    </row>
    <row r="24" spans="1:3" x14ac:dyDescent="0.3">
      <c r="C24" t="s">
        <v>197</v>
      </c>
    </row>
    <row r="26" spans="1:3" x14ac:dyDescent="0.3">
      <c r="A26" s="36">
        <v>44241</v>
      </c>
      <c r="B26" t="s">
        <v>174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20"/>
  <sheetViews>
    <sheetView workbookViewId="0">
      <selection activeCell="D19" sqref="D19"/>
    </sheetView>
  </sheetViews>
  <sheetFormatPr defaultRowHeight="14.4" x14ac:dyDescent="0.3"/>
  <cols>
    <col min="1" max="1" width="11.44140625" customWidth="1"/>
    <col min="2" max="2" width="12" customWidth="1"/>
    <col min="3" max="3" width="14.5546875" customWidth="1"/>
    <col min="4" max="4" width="4" customWidth="1"/>
    <col min="5" max="5" width="15.109375" customWidth="1"/>
    <col min="6" max="7" width="9.109375" customWidth="1"/>
    <col min="9" max="9" width="12.5546875" customWidth="1"/>
    <col min="10" max="10" width="15.109375" customWidth="1"/>
    <col min="13" max="13" width="16.5546875" customWidth="1"/>
  </cols>
  <sheetData>
    <row r="2" spans="1:15" x14ac:dyDescent="0.3">
      <c r="A2" t="s">
        <v>142</v>
      </c>
      <c r="B2" s="9" t="s">
        <v>162</v>
      </c>
      <c r="C2" s="9">
        <v>21</v>
      </c>
    </row>
    <row r="3" spans="1:15" x14ac:dyDescent="0.3">
      <c r="B3" t="s">
        <v>143</v>
      </c>
      <c r="C3" t="s">
        <v>144</v>
      </c>
    </row>
    <row r="4" spans="1:15" x14ac:dyDescent="0.3">
      <c r="A4" t="s">
        <v>145</v>
      </c>
      <c r="B4" s="4">
        <v>10</v>
      </c>
      <c r="C4" s="4">
        <v>10</v>
      </c>
      <c r="E4">
        <f>(100/B4)*C4</f>
        <v>100</v>
      </c>
    </row>
    <row r="5" spans="1:15" x14ac:dyDescent="0.3">
      <c r="A5" t="s">
        <v>146</v>
      </c>
      <c r="B5" t="s">
        <v>147</v>
      </c>
      <c r="C5" t="s">
        <v>148</v>
      </c>
      <c r="E5">
        <f>(100/B6)*C6</f>
        <v>100.00000000000001</v>
      </c>
      <c r="I5" s="4" t="s">
        <v>149</v>
      </c>
      <c r="J5" s="4" t="s">
        <v>150</v>
      </c>
      <c r="K5" s="4" t="s">
        <v>151</v>
      </c>
      <c r="L5" s="4" t="s">
        <v>38</v>
      </c>
      <c r="M5" s="4" t="s">
        <v>45</v>
      </c>
      <c r="N5" s="4" t="s">
        <v>152</v>
      </c>
      <c r="O5" s="4" t="s">
        <v>46</v>
      </c>
    </row>
    <row r="6" spans="1:15" x14ac:dyDescent="0.3">
      <c r="B6" s="4">
        <f>C2+1</f>
        <v>22</v>
      </c>
      <c r="C6" s="4">
        <v>22</v>
      </c>
      <c r="E6">
        <f>(100/B8)*C8</f>
        <v>100</v>
      </c>
      <c r="F6" s="10" t="s">
        <v>153</v>
      </c>
      <c r="I6" s="10">
        <f>C4</f>
        <v>10</v>
      </c>
      <c r="J6" s="10">
        <f>40/B6*C6</f>
        <v>40</v>
      </c>
      <c r="K6" s="10">
        <f>15/B8*C8</f>
        <v>15</v>
      </c>
      <c r="L6" s="10">
        <f>10/B10*C10</f>
        <v>9.5238095238095237</v>
      </c>
      <c r="M6" s="10">
        <f>10/B12*C12</f>
        <v>0</v>
      </c>
      <c r="N6" s="10">
        <f>5/B14*C14</f>
        <v>0</v>
      </c>
      <c r="O6" s="10">
        <f>5/B16*C16</f>
        <v>0</v>
      </c>
    </row>
    <row r="7" spans="1:15" x14ac:dyDescent="0.3">
      <c r="A7" t="s">
        <v>154</v>
      </c>
      <c r="B7" t="s">
        <v>155</v>
      </c>
      <c r="C7" t="s">
        <v>156</v>
      </c>
      <c r="E7">
        <f>(100/B10)*C10</f>
        <v>95.238095238095241</v>
      </c>
      <c r="F7" s="4" t="s">
        <v>157</v>
      </c>
      <c r="G7" s="4"/>
      <c r="H7" s="4"/>
      <c r="I7" s="4">
        <f>I6+20</f>
        <v>30</v>
      </c>
      <c r="J7" s="4">
        <f>30/B6*C6</f>
        <v>29.999999999999996</v>
      </c>
      <c r="K7" s="4">
        <f>15/B8*C8</f>
        <v>15</v>
      </c>
      <c r="L7" s="4">
        <f>10/B10*C10</f>
        <v>9.5238095238095237</v>
      </c>
      <c r="M7" s="4">
        <f>5/B12*C12</f>
        <v>0</v>
      </c>
      <c r="N7" s="4">
        <f>5/B14*C14</f>
        <v>0</v>
      </c>
      <c r="O7" s="4">
        <f>5/B16*C16</f>
        <v>0</v>
      </c>
    </row>
    <row r="8" spans="1:15" x14ac:dyDescent="0.3">
      <c r="B8" s="4">
        <f>C2</f>
        <v>21</v>
      </c>
      <c r="C8" s="4">
        <v>21</v>
      </c>
      <c r="E8">
        <f>(100/B12)*C12</f>
        <v>0</v>
      </c>
    </row>
    <row r="9" spans="1:15" x14ac:dyDescent="0.3">
      <c r="A9" t="s">
        <v>158</v>
      </c>
      <c r="B9" t="s">
        <v>155</v>
      </c>
      <c r="C9" t="s">
        <v>156</v>
      </c>
      <c r="E9">
        <f>(100/B14)*C14</f>
        <v>0</v>
      </c>
    </row>
    <row r="10" spans="1:15" x14ac:dyDescent="0.3">
      <c r="B10" s="4">
        <f>C2</f>
        <v>21</v>
      </c>
      <c r="C10" s="4">
        <v>20</v>
      </c>
      <c r="E10">
        <f>(100/B16)*C16</f>
        <v>0</v>
      </c>
    </row>
    <row r="11" spans="1:15" x14ac:dyDescent="0.3">
      <c r="A11" t="s">
        <v>45</v>
      </c>
      <c r="B11" t="s">
        <v>155</v>
      </c>
      <c r="C11" t="s">
        <v>156</v>
      </c>
    </row>
    <row r="12" spans="1:15" x14ac:dyDescent="0.3">
      <c r="B12" s="4">
        <f>C2</f>
        <v>21</v>
      </c>
      <c r="C12" s="4">
        <v>0</v>
      </c>
      <c r="F12" s="4"/>
      <c r="G12" s="4" t="s">
        <v>153</v>
      </c>
      <c r="H12" s="4" t="s">
        <v>159</v>
      </c>
      <c r="L12" t="s">
        <v>160</v>
      </c>
    </row>
    <row r="13" spans="1:15" ht="31.5" customHeight="1" x14ac:dyDescent="0.3">
      <c r="A13" s="11" t="s">
        <v>152</v>
      </c>
      <c r="B13" t="s">
        <v>155</v>
      </c>
      <c r="C13" t="s">
        <v>156</v>
      </c>
      <c r="F13" s="4" t="s">
        <v>36</v>
      </c>
      <c r="G13" s="4">
        <f>I6</f>
        <v>10</v>
      </c>
      <c r="H13" s="4">
        <f>I7</f>
        <v>30</v>
      </c>
      <c r="L13" t="s">
        <v>160</v>
      </c>
    </row>
    <row r="14" spans="1:15" x14ac:dyDescent="0.3">
      <c r="B14" s="4">
        <f>C2</f>
        <v>21</v>
      </c>
      <c r="C14" s="4">
        <v>0</v>
      </c>
      <c r="F14" s="4" t="s">
        <v>37</v>
      </c>
      <c r="G14" s="4">
        <f>J6</f>
        <v>40</v>
      </c>
      <c r="H14" s="4">
        <f>J7</f>
        <v>29.999999999999996</v>
      </c>
    </row>
    <row r="15" spans="1:15" x14ac:dyDescent="0.3">
      <c r="A15" t="s">
        <v>46</v>
      </c>
      <c r="B15" t="s">
        <v>155</v>
      </c>
      <c r="C15" t="s">
        <v>156</v>
      </c>
      <c r="F15" s="4" t="s">
        <v>151</v>
      </c>
      <c r="G15" s="4">
        <f>K6</f>
        <v>15</v>
      </c>
      <c r="H15" s="4">
        <f>K7</f>
        <v>15</v>
      </c>
    </row>
    <row r="16" spans="1:15" x14ac:dyDescent="0.3">
      <c r="B16" s="4">
        <f>C2</f>
        <v>21</v>
      </c>
      <c r="C16" s="4">
        <v>0</v>
      </c>
      <c r="F16" s="4" t="s">
        <v>38</v>
      </c>
      <c r="G16" s="4">
        <f>L6</f>
        <v>9.5238095238095237</v>
      </c>
      <c r="H16" s="4">
        <f>L7</f>
        <v>9.5238095238095237</v>
      </c>
    </row>
    <row r="17" spans="6:8" x14ac:dyDescent="0.3">
      <c r="F17" s="4" t="s">
        <v>45</v>
      </c>
      <c r="G17" s="4">
        <f>M6</f>
        <v>0</v>
      </c>
      <c r="H17" s="4">
        <f>M7</f>
        <v>0</v>
      </c>
    </row>
    <row r="18" spans="6:8" ht="29.25" customHeight="1" x14ac:dyDescent="0.3">
      <c r="F18" s="12" t="s">
        <v>152</v>
      </c>
      <c r="G18" s="4">
        <f>N6</f>
        <v>0</v>
      </c>
      <c r="H18" s="4">
        <f>N7</f>
        <v>0</v>
      </c>
    </row>
    <row r="19" spans="6:8" x14ac:dyDescent="0.3">
      <c r="F19" s="4" t="s">
        <v>46</v>
      </c>
      <c r="G19" s="4">
        <f>O6</f>
        <v>0</v>
      </c>
      <c r="H19" s="4">
        <f>O7</f>
        <v>0</v>
      </c>
    </row>
    <row r="20" spans="6:8" x14ac:dyDescent="0.3">
      <c r="F20" s="4" t="s">
        <v>161</v>
      </c>
      <c r="G20" s="4">
        <f>G13+G14+G15+G16+G17+G18+G19</f>
        <v>74.523809523809518</v>
      </c>
      <c r="H20" s="4">
        <f>H13+H14+H15+H16+H17+H18+H19</f>
        <v>84.523809523809518</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20"/>
  <sheetViews>
    <sheetView workbookViewId="0">
      <selection activeCell="C9" sqref="C9"/>
    </sheetView>
  </sheetViews>
  <sheetFormatPr defaultRowHeight="14.4" x14ac:dyDescent="0.3"/>
  <cols>
    <col min="1" max="1" width="11.44140625" customWidth="1"/>
    <col min="2" max="2" width="12" customWidth="1"/>
    <col min="3" max="3" width="14.5546875" customWidth="1"/>
    <col min="4" max="4" width="4" customWidth="1"/>
    <col min="5" max="5" width="15.109375" customWidth="1"/>
    <col min="6" max="7" width="9.109375" customWidth="1"/>
    <col min="9" max="9" width="12.5546875" customWidth="1"/>
    <col min="10" max="10" width="15.109375" customWidth="1"/>
    <col min="13" max="13" width="16.5546875" customWidth="1"/>
  </cols>
  <sheetData>
    <row r="2" spans="1:15" x14ac:dyDescent="0.3">
      <c r="A2" t="s">
        <v>142</v>
      </c>
      <c r="B2" s="9" t="s">
        <v>162</v>
      </c>
      <c r="C2" s="9">
        <v>21</v>
      </c>
    </row>
    <row r="3" spans="1:15" x14ac:dyDescent="0.3">
      <c r="B3" t="s">
        <v>143</v>
      </c>
      <c r="C3" t="s">
        <v>144</v>
      </c>
    </row>
    <row r="4" spans="1:15" x14ac:dyDescent="0.3">
      <c r="A4" t="s">
        <v>145</v>
      </c>
      <c r="B4" s="4">
        <v>10</v>
      </c>
      <c r="C4" s="4">
        <v>10</v>
      </c>
      <c r="E4">
        <f>(100/B4)*C4</f>
        <v>100</v>
      </c>
    </row>
    <row r="5" spans="1:15" x14ac:dyDescent="0.3">
      <c r="A5" t="s">
        <v>146</v>
      </c>
      <c r="B5" t="s">
        <v>147</v>
      </c>
      <c r="C5" t="s">
        <v>148</v>
      </c>
      <c r="E5">
        <f>(100/B6)*C6</f>
        <v>40.909090909090914</v>
      </c>
      <c r="I5" s="4" t="s">
        <v>149</v>
      </c>
      <c r="J5" s="4" t="s">
        <v>150</v>
      </c>
      <c r="K5" s="4" t="s">
        <v>151</v>
      </c>
      <c r="L5" s="4" t="s">
        <v>38</v>
      </c>
      <c r="M5" s="4" t="s">
        <v>45</v>
      </c>
      <c r="N5" s="4" t="s">
        <v>152</v>
      </c>
      <c r="O5" s="4" t="s">
        <v>46</v>
      </c>
    </row>
    <row r="6" spans="1:15" x14ac:dyDescent="0.3">
      <c r="B6" s="4">
        <f>C2+1</f>
        <v>22</v>
      </c>
      <c r="C6" s="4">
        <v>9</v>
      </c>
      <c r="E6">
        <f>(100/B8)*C8</f>
        <v>9.5238095238095237</v>
      </c>
      <c r="F6" s="10" t="s">
        <v>153</v>
      </c>
      <c r="I6" s="10">
        <f>C4</f>
        <v>10</v>
      </c>
      <c r="J6" s="10">
        <f>40/B6*C6</f>
        <v>16.363636363636363</v>
      </c>
      <c r="K6" s="10">
        <f>15/B8*C8</f>
        <v>1.4285714285714286</v>
      </c>
      <c r="L6" s="10">
        <f>10/B10*C10</f>
        <v>0</v>
      </c>
      <c r="M6" s="10">
        <f>10/B12*C12</f>
        <v>0</v>
      </c>
      <c r="N6" s="10">
        <f>5/B14*C14</f>
        <v>0</v>
      </c>
      <c r="O6" s="10">
        <f>5/B16*C16</f>
        <v>0</v>
      </c>
    </row>
    <row r="7" spans="1:15" x14ac:dyDescent="0.3">
      <c r="A7" t="s">
        <v>154</v>
      </c>
      <c r="B7" t="s">
        <v>155</v>
      </c>
      <c r="C7" t="s">
        <v>156</v>
      </c>
      <c r="E7">
        <f>(100/B10)*C10</f>
        <v>0</v>
      </c>
      <c r="F7" s="4" t="s">
        <v>157</v>
      </c>
      <c r="G7" s="4"/>
      <c r="H7" s="4"/>
      <c r="I7" s="4">
        <f>I6+20</f>
        <v>30</v>
      </c>
      <c r="J7" s="4">
        <f>30/B6*C6</f>
        <v>12.272727272727272</v>
      </c>
      <c r="K7" s="4">
        <f>15/B8*C8</f>
        <v>1.4285714285714286</v>
      </c>
      <c r="L7" s="4">
        <f>10/B10*C10</f>
        <v>0</v>
      </c>
      <c r="M7" s="4">
        <f>5/B12*C12</f>
        <v>0</v>
      </c>
      <c r="N7" s="4">
        <f>5/B14*C14</f>
        <v>0</v>
      </c>
      <c r="O7" s="4">
        <f>5/B16*C16</f>
        <v>0</v>
      </c>
    </row>
    <row r="8" spans="1:15" x14ac:dyDescent="0.3">
      <c r="B8" s="4">
        <f>C2</f>
        <v>21</v>
      </c>
      <c r="C8" s="4">
        <v>2</v>
      </c>
      <c r="E8">
        <f>(100/B12)*C12</f>
        <v>0</v>
      </c>
    </row>
    <row r="9" spans="1:15" x14ac:dyDescent="0.3">
      <c r="A9" t="s">
        <v>158</v>
      </c>
      <c r="B9" t="s">
        <v>155</v>
      </c>
      <c r="C9" t="s">
        <v>156</v>
      </c>
      <c r="E9">
        <f>(100/B14)*C14</f>
        <v>0</v>
      </c>
    </row>
    <row r="10" spans="1:15" x14ac:dyDescent="0.3">
      <c r="B10" s="4">
        <f>C2</f>
        <v>21</v>
      </c>
      <c r="C10" s="4">
        <v>0</v>
      </c>
      <c r="E10">
        <f>(100/B16)*C16</f>
        <v>0</v>
      </c>
    </row>
    <row r="11" spans="1:15" x14ac:dyDescent="0.3">
      <c r="A11" t="s">
        <v>45</v>
      </c>
      <c r="B11" t="s">
        <v>155</v>
      </c>
      <c r="C11" t="s">
        <v>156</v>
      </c>
    </row>
    <row r="12" spans="1:15" x14ac:dyDescent="0.3">
      <c r="B12" s="4">
        <f>C2</f>
        <v>21</v>
      </c>
      <c r="C12" s="4">
        <v>0</v>
      </c>
      <c r="F12" s="4"/>
      <c r="G12" s="4" t="s">
        <v>153</v>
      </c>
      <c r="H12" s="4" t="s">
        <v>159</v>
      </c>
      <c r="L12" t="s">
        <v>160</v>
      </c>
    </row>
    <row r="13" spans="1:15" ht="31.5" customHeight="1" x14ac:dyDescent="0.3">
      <c r="A13" s="11" t="s">
        <v>152</v>
      </c>
      <c r="B13" t="s">
        <v>155</v>
      </c>
      <c r="C13" t="s">
        <v>156</v>
      </c>
      <c r="F13" s="4" t="s">
        <v>36</v>
      </c>
      <c r="G13" s="4">
        <f>I6</f>
        <v>10</v>
      </c>
      <c r="H13" s="4">
        <f>I7</f>
        <v>30</v>
      </c>
      <c r="L13" t="s">
        <v>160</v>
      </c>
    </row>
    <row r="14" spans="1:15" x14ac:dyDescent="0.3">
      <c r="B14" s="4">
        <f>C2</f>
        <v>21</v>
      </c>
      <c r="C14" s="4">
        <v>0</v>
      </c>
      <c r="F14" s="4" t="s">
        <v>37</v>
      </c>
      <c r="G14" s="4">
        <f>J6</f>
        <v>16.363636363636363</v>
      </c>
      <c r="H14" s="4">
        <f>J7</f>
        <v>12.272727272727272</v>
      </c>
    </row>
    <row r="15" spans="1:15" x14ac:dyDescent="0.3">
      <c r="A15" t="s">
        <v>46</v>
      </c>
      <c r="B15" t="s">
        <v>155</v>
      </c>
      <c r="C15" t="s">
        <v>156</v>
      </c>
      <c r="F15" s="4" t="s">
        <v>151</v>
      </c>
      <c r="G15" s="4">
        <f>K6</f>
        <v>1.4285714285714286</v>
      </c>
      <c r="H15" s="4">
        <f>K7</f>
        <v>1.4285714285714286</v>
      </c>
    </row>
    <row r="16" spans="1:15" x14ac:dyDescent="0.3">
      <c r="B16" s="4">
        <f>C2</f>
        <v>21</v>
      </c>
      <c r="C16" s="4">
        <v>0</v>
      </c>
      <c r="F16" s="4" t="s">
        <v>38</v>
      </c>
      <c r="G16" s="4">
        <f>L6</f>
        <v>0</v>
      </c>
      <c r="H16" s="4">
        <f>L7</f>
        <v>0</v>
      </c>
    </row>
    <row r="17" spans="6:8" x14ac:dyDescent="0.3">
      <c r="F17" s="4" t="s">
        <v>45</v>
      </c>
      <c r="G17" s="4">
        <f>M6</f>
        <v>0</v>
      </c>
      <c r="H17" s="4">
        <f>M7</f>
        <v>0</v>
      </c>
    </row>
    <row r="18" spans="6:8" ht="29.25" customHeight="1" x14ac:dyDescent="0.3">
      <c r="F18" s="12" t="s">
        <v>152</v>
      </c>
      <c r="G18" s="4">
        <f>N6</f>
        <v>0</v>
      </c>
      <c r="H18" s="4">
        <f>N7</f>
        <v>0</v>
      </c>
    </row>
    <row r="19" spans="6:8" x14ac:dyDescent="0.3">
      <c r="F19" s="4" t="s">
        <v>46</v>
      </c>
      <c r="G19" s="4">
        <f>O6</f>
        <v>0</v>
      </c>
      <c r="H19" s="4">
        <f>O7</f>
        <v>0</v>
      </c>
    </row>
    <row r="20" spans="6:8" x14ac:dyDescent="0.3">
      <c r="F20" s="4" t="s">
        <v>161</v>
      </c>
      <c r="G20" s="4">
        <f>G13+G14+G15+G16+G17+G18+G19</f>
        <v>27.79220779220779</v>
      </c>
      <c r="H20" s="4">
        <f>H13+H14+H15+H16+H17+H18+H19</f>
        <v>43.701298701298704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20"/>
  <sheetViews>
    <sheetView topLeftCell="A2" workbookViewId="0">
      <selection activeCell="C19" sqref="C19"/>
    </sheetView>
  </sheetViews>
  <sheetFormatPr defaultRowHeight="14.4" x14ac:dyDescent="0.3"/>
  <cols>
    <col min="1" max="1" width="11.44140625" customWidth="1"/>
    <col min="2" max="2" width="12" customWidth="1"/>
    <col min="3" max="3" width="14.5546875" customWidth="1"/>
    <col min="4" max="4" width="4" customWidth="1"/>
    <col min="5" max="5" width="15.109375" customWidth="1"/>
    <col min="6" max="7" width="9.109375" customWidth="1"/>
    <col min="9" max="9" width="12.5546875" customWidth="1"/>
    <col min="10" max="10" width="15.109375" customWidth="1"/>
    <col min="13" max="13" width="16.5546875" customWidth="1"/>
  </cols>
  <sheetData>
    <row r="2" spans="1:15" x14ac:dyDescent="0.3">
      <c r="A2" t="s">
        <v>142</v>
      </c>
      <c r="B2" s="9" t="s">
        <v>162</v>
      </c>
      <c r="C2" s="9">
        <v>21</v>
      </c>
    </row>
    <row r="3" spans="1:15" x14ac:dyDescent="0.3">
      <c r="B3" t="s">
        <v>143</v>
      </c>
      <c r="C3" t="s">
        <v>144</v>
      </c>
    </row>
    <row r="4" spans="1:15" x14ac:dyDescent="0.3">
      <c r="A4" t="s">
        <v>145</v>
      </c>
      <c r="B4" s="4">
        <v>10</v>
      </c>
      <c r="C4" s="4">
        <v>10</v>
      </c>
      <c r="E4">
        <f>(100/B4)*C4</f>
        <v>100</v>
      </c>
    </row>
    <row r="5" spans="1:15" x14ac:dyDescent="0.3">
      <c r="A5" t="s">
        <v>146</v>
      </c>
      <c r="B5" t="s">
        <v>147</v>
      </c>
      <c r="C5" t="s">
        <v>148</v>
      </c>
      <c r="E5">
        <f>(100/B6)*C6</f>
        <v>100.00000000000001</v>
      </c>
      <c r="I5" s="4" t="s">
        <v>149</v>
      </c>
      <c r="J5" s="4" t="s">
        <v>150</v>
      </c>
      <c r="K5" s="4" t="s">
        <v>151</v>
      </c>
      <c r="L5" s="4" t="s">
        <v>38</v>
      </c>
      <c r="M5" s="4" t="s">
        <v>45</v>
      </c>
      <c r="N5" s="4" t="s">
        <v>152</v>
      </c>
      <c r="O5" s="4" t="s">
        <v>46</v>
      </c>
    </row>
    <row r="6" spans="1:15" x14ac:dyDescent="0.3">
      <c r="B6" s="4">
        <f>C2+1</f>
        <v>22</v>
      </c>
      <c r="C6" s="4">
        <v>22</v>
      </c>
      <c r="E6">
        <f>(100/B8)*C8</f>
        <v>100</v>
      </c>
      <c r="F6" s="10" t="s">
        <v>153</v>
      </c>
      <c r="I6" s="10">
        <f>C4</f>
        <v>10</v>
      </c>
      <c r="J6" s="10">
        <f>40/B6*C6</f>
        <v>40</v>
      </c>
      <c r="K6" s="10">
        <f>15/B8*C8</f>
        <v>15</v>
      </c>
      <c r="L6" s="10">
        <f>10/B10*C10</f>
        <v>6.6666666666666661</v>
      </c>
      <c r="M6" s="10">
        <f>10/B12*C12</f>
        <v>0</v>
      </c>
      <c r="N6" s="10">
        <f>5/B14*C14</f>
        <v>0</v>
      </c>
      <c r="O6" s="10">
        <f>5/B16*C16</f>
        <v>0</v>
      </c>
    </row>
    <row r="7" spans="1:15" x14ac:dyDescent="0.3">
      <c r="A7" t="s">
        <v>154</v>
      </c>
      <c r="B7" t="s">
        <v>155</v>
      </c>
      <c r="C7" t="s">
        <v>156</v>
      </c>
      <c r="E7">
        <f>(100/B10)*C10</f>
        <v>66.666666666666671</v>
      </c>
      <c r="F7" s="4" t="s">
        <v>157</v>
      </c>
      <c r="G7" s="4"/>
      <c r="H7" s="4"/>
      <c r="I7" s="4">
        <f>I6+20</f>
        <v>30</v>
      </c>
      <c r="J7" s="4">
        <f>30/B6*C6</f>
        <v>29.999999999999996</v>
      </c>
      <c r="K7" s="4">
        <f>15/B8*C8</f>
        <v>15</v>
      </c>
      <c r="L7" s="4">
        <f>10/B10*C10</f>
        <v>6.6666666666666661</v>
      </c>
      <c r="M7" s="4">
        <f>5/B12*C12</f>
        <v>0</v>
      </c>
      <c r="N7" s="4">
        <f>5/B14*C14</f>
        <v>0</v>
      </c>
      <c r="O7" s="4">
        <f>5/B16*C16</f>
        <v>0</v>
      </c>
    </row>
    <row r="8" spans="1:15" x14ac:dyDescent="0.3">
      <c r="B8" s="4">
        <f>C2</f>
        <v>21</v>
      </c>
      <c r="C8" s="4">
        <v>21</v>
      </c>
      <c r="E8">
        <f>(100/B12)*C12</f>
        <v>0</v>
      </c>
    </row>
    <row r="9" spans="1:15" x14ac:dyDescent="0.3">
      <c r="A9" t="s">
        <v>158</v>
      </c>
      <c r="B9" t="s">
        <v>155</v>
      </c>
      <c r="C9" t="s">
        <v>156</v>
      </c>
      <c r="E9">
        <f>(100/B14)*C14</f>
        <v>0</v>
      </c>
    </row>
    <row r="10" spans="1:15" x14ac:dyDescent="0.3">
      <c r="B10" s="4">
        <f>C2</f>
        <v>21</v>
      </c>
      <c r="C10" s="4">
        <v>14</v>
      </c>
      <c r="E10">
        <f>(100/B16)*C16</f>
        <v>0</v>
      </c>
    </row>
    <row r="11" spans="1:15" x14ac:dyDescent="0.3">
      <c r="A11" t="s">
        <v>45</v>
      </c>
      <c r="B11" t="s">
        <v>155</v>
      </c>
      <c r="C11" t="s">
        <v>156</v>
      </c>
    </row>
    <row r="12" spans="1:15" x14ac:dyDescent="0.3">
      <c r="B12" s="4">
        <f>C2</f>
        <v>21</v>
      </c>
      <c r="C12" s="4">
        <v>0</v>
      </c>
      <c r="F12" s="4"/>
      <c r="G12" s="4" t="s">
        <v>153</v>
      </c>
      <c r="H12" s="4" t="s">
        <v>159</v>
      </c>
      <c r="L12" t="s">
        <v>160</v>
      </c>
    </row>
    <row r="13" spans="1:15" ht="31.5" customHeight="1" x14ac:dyDescent="0.3">
      <c r="A13" s="11" t="s">
        <v>152</v>
      </c>
      <c r="B13" t="s">
        <v>155</v>
      </c>
      <c r="C13" t="s">
        <v>156</v>
      </c>
      <c r="F13" s="4" t="s">
        <v>36</v>
      </c>
      <c r="G13" s="4">
        <f>I6</f>
        <v>10</v>
      </c>
      <c r="H13" s="4">
        <f>I7</f>
        <v>30</v>
      </c>
      <c r="L13" t="s">
        <v>160</v>
      </c>
    </row>
    <row r="14" spans="1:15" x14ac:dyDescent="0.3">
      <c r="B14" s="4">
        <f>C2</f>
        <v>21</v>
      </c>
      <c r="C14" s="4">
        <v>0</v>
      </c>
      <c r="F14" s="4" t="s">
        <v>37</v>
      </c>
      <c r="G14" s="4">
        <f>J6</f>
        <v>40</v>
      </c>
      <c r="H14" s="4">
        <f>J7</f>
        <v>29.999999999999996</v>
      </c>
    </row>
    <row r="15" spans="1:15" x14ac:dyDescent="0.3">
      <c r="A15" t="s">
        <v>46</v>
      </c>
      <c r="B15" t="s">
        <v>155</v>
      </c>
      <c r="C15" t="s">
        <v>156</v>
      </c>
      <c r="F15" s="4" t="s">
        <v>151</v>
      </c>
      <c r="G15" s="4">
        <f>K6</f>
        <v>15</v>
      </c>
      <c r="H15" s="4">
        <f>K7</f>
        <v>15</v>
      </c>
    </row>
    <row r="16" spans="1:15" x14ac:dyDescent="0.3">
      <c r="B16" s="4">
        <f>C2</f>
        <v>21</v>
      </c>
      <c r="C16" s="4">
        <v>0</v>
      </c>
      <c r="F16" s="4" t="s">
        <v>38</v>
      </c>
      <c r="G16" s="4">
        <f>L6</f>
        <v>6.6666666666666661</v>
      </c>
      <c r="H16" s="4">
        <f>L7</f>
        <v>6.6666666666666661</v>
      </c>
    </row>
    <row r="17" spans="6:8" x14ac:dyDescent="0.3">
      <c r="F17" s="4" t="s">
        <v>45</v>
      </c>
      <c r="G17" s="4">
        <f>M6</f>
        <v>0</v>
      </c>
      <c r="H17" s="4">
        <f>M7</f>
        <v>0</v>
      </c>
    </row>
    <row r="18" spans="6:8" ht="29.25" customHeight="1" x14ac:dyDescent="0.3">
      <c r="F18" s="12" t="s">
        <v>152</v>
      </c>
      <c r="G18" s="4">
        <f>N6</f>
        <v>0</v>
      </c>
      <c r="H18" s="4">
        <f>N7</f>
        <v>0</v>
      </c>
    </row>
    <row r="19" spans="6:8" x14ac:dyDescent="0.3">
      <c r="F19" s="4" t="s">
        <v>46</v>
      </c>
      <c r="G19" s="4">
        <f>O6</f>
        <v>0</v>
      </c>
      <c r="H19" s="4">
        <f>O7</f>
        <v>0</v>
      </c>
    </row>
    <row r="20" spans="6:8" x14ac:dyDescent="0.3">
      <c r="F20" s="4" t="s">
        <v>161</v>
      </c>
      <c r="G20" s="4">
        <f>G13+G14+G15+G16+G17+G18+G19</f>
        <v>71.666666666666671</v>
      </c>
      <c r="H20" s="4">
        <f>H13+H14+H15+H16+H17+H18+H19</f>
        <v>81.666666666666671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O28"/>
  <sheetViews>
    <sheetView workbookViewId="0">
      <selection activeCell="C5" sqref="C5"/>
    </sheetView>
  </sheetViews>
  <sheetFormatPr defaultRowHeight="14.4" x14ac:dyDescent="0.3"/>
  <cols>
    <col min="1" max="1" width="11.44140625" customWidth="1"/>
    <col min="2" max="2" width="12" customWidth="1"/>
    <col min="3" max="3" width="14.5546875" customWidth="1"/>
    <col min="4" max="4" width="9.109375" customWidth="1"/>
    <col min="5" max="5" width="15.109375" customWidth="1"/>
    <col min="6" max="7" width="9.109375" customWidth="1"/>
    <col min="9" max="9" width="12.5546875" customWidth="1"/>
    <col min="10" max="10" width="15.109375" customWidth="1"/>
    <col min="13" max="13" width="16.5546875" customWidth="1"/>
  </cols>
  <sheetData>
    <row r="2" spans="1:15" x14ac:dyDescent="0.3">
      <c r="A2" t="s">
        <v>142</v>
      </c>
      <c r="B2" s="9" t="s">
        <v>162</v>
      </c>
      <c r="C2" s="9">
        <v>21</v>
      </c>
    </row>
    <row r="3" spans="1:15" x14ac:dyDescent="0.3">
      <c r="B3" t="s">
        <v>143</v>
      </c>
      <c r="C3" t="s">
        <v>144</v>
      </c>
    </row>
    <row r="4" spans="1:15" x14ac:dyDescent="0.3">
      <c r="A4" t="s">
        <v>145</v>
      </c>
      <c r="B4" s="4">
        <v>10</v>
      </c>
      <c r="C4" s="4">
        <v>4</v>
      </c>
      <c r="E4">
        <f>(100/B4)*C4</f>
        <v>40</v>
      </c>
    </row>
    <row r="5" spans="1:15" x14ac:dyDescent="0.3">
      <c r="A5" t="s">
        <v>146</v>
      </c>
      <c r="B5" t="s">
        <v>147</v>
      </c>
      <c r="C5" t="s">
        <v>148</v>
      </c>
      <c r="E5">
        <f>(100/B6)*C6</f>
        <v>0</v>
      </c>
      <c r="I5" s="4" t="s">
        <v>149</v>
      </c>
      <c r="J5" s="4" t="s">
        <v>150</v>
      </c>
      <c r="K5" s="4" t="s">
        <v>151</v>
      </c>
      <c r="L5" s="4" t="s">
        <v>38</v>
      </c>
      <c r="M5" s="4" t="s">
        <v>45</v>
      </c>
      <c r="N5" s="4" t="s">
        <v>152</v>
      </c>
      <c r="O5" s="4" t="s">
        <v>46</v>
      </c>
    </row>
    <row r="6" spans="1:15" x14ac:dyDescent="0.3">
      <c r="B6" s="4">
        <f>C2+1</f>
        <v>22</v>
      </c>
      <c r="C6" s="4">
        <v>0</v>
      </c>
      <c r="E6">
        <f>(100/B8)*C8</f>
        <v>0</v>
      </c>
      <c r="F6" s="10" t="s">
        <v>153</v>
      </c>
      <c r="I6" s="10">
        <f>C4</f>
        <v>4</v>
      </c>
      <c r="J6" s="10">
        <f>40/B6*C6</f>
        <v>0</v>
      </c>
      <c r="K6" s="10">
        <f>15/B8*C8</f>
        <v>0</v>
      </c>
      <c r="L6" s="10">
        <f>10/B10*C10</f>
        <v>0</v>
      </c>
      <c r="M6" s="10">
        <f>10/B12*C12</f>
        <v>0</v>
      </c>
      <c r="N6" s="10">
        <f>5/B14*C14</f>
        <v>0</v>
      </c>
      <c r="O6" s="10">
        <f>5/B16*C16</f>
        <v>0</v>
      </c>
    </row>
    <row r="7" spans="1:15" x14ac:dyDescent="0.3">
      <c r="A7" t="s">
        <v>154</v>
      </c>
      <c r="B7" t="s">
        <v>155</v>
      </c>
      <c r="C7" t="s">
        <v>156</v>
      </c>
      <c r="E7">
        <f>(100/B10)*C10</f>
        <v>0</v>
      </c>
      <c r="F7" s="4" t="s">
        <v>157</v>
      </c>
      <c r="G7" s="4"/>
      <c r="H7" s="4"/>
      <c r="I7" s="4">
        <f>I6+20</f>
        <v>24</v>
      </c>
      <c r="J7" s="4">
        <f>30/B6*C6</f>
        <v>0</v>
      </c>
      <c r="K7" s="4">
        <f>15/B8*C8</f>
        <v>0</v>
      </c>
      <c r="L7" s="4">
        <f>10/B10*C10</f>
        <v>0</v>
      </c>
      <c r="M7" s="4">
        <f>5/B12*C12</f>
        <v>0</v>
      </c>
      <c r="N7" s="4">
        <f>5/B14*C14</f>
        <v>0</v>
      </c>
      <c r="O7" s="4">
        <f>5/B16*C16</f>
        <v>0</v>
      </c>
    </row>
    <row r="8" spans="1:15" x14ac:dyDescent="0.3">
      <c r="B8" s="4">
        <f>C2</f>
        <v>21</v>
      </c>
      <c r="C8" s="4">
        <v>0</v>
      </c>
      <c r="E8">
        <f>(100/B12)*C12</f>
        <v>0</v>
      </c>
    </row>
    <row r="9" spans="1:15" x14ac:dyDescent="0.3">
      <c r="A9" t="s">
        <v>158</v>
      </c>
      <c r="B9" t="s">
        <v>155</v>
      </c>
      <c r="C9" t="s">
        <v>156</v>
      </c>
      <c r="E9">
        <f>(100/B14)*C14</f>
        <v>0</v>
      </c>
    </row>
    <row r="10" spans="1:15" x14ac:dyDescent="0.3">
      <c r="B10" s="4">
        <f>C2</f>
        <v>21</v>
      </c>
      <c r="C10" s="4">
        <v>0</v>
      </c>
      <c r="E10">
        <f>(100/B16)*C16</f>
        <v>0</v>
      </c>
    </row>
    <row r="11" spans="1:15" x14ac:dyDescent="0.3">
      <c r="A11" t="s">
        <v>45</v>
      </c>
      <c r="B11" t="s">
        <v>155</v>
      </c>
      <c r="C11" t="s">
        <v>156</v>
      </c>
    </row>
    <row r="12" spans="1:15" x14ac:dyDescent="0.3">
      <c r="B12" s="4">
        <f>C2</f>
        <v>21</v>
      </c>
      <c r="C12" s="4">
        <v>0</v>
      </c>
      <c r="F12" s="4"/>
      <c r="G12" s="4" t="s">
        <v>153</v>
      </c>
      <c r="H12" s="4" t="s">
        <v>159</v>
      </c>
      <c r="L12" t="s">
        <v>160</v>
      </c>
    </row>
    <row r="13" spans="1:15" ht="31.5" customHeight="1" x14ac:dyDescent="0.3">
      <c r="A13" s="11" t="s">
        <v>152</v>
      </c>
      <c r="B13" t="s">
        <v>155</v>
      </c>
      <c r="C13" t="s">
        <v>156</v>
      </c>
      <c r="F13" s="4" t="s">
        <v>36</v>
      </c>
      <c r="G13" s="4">
        <f>I6</f>
        <v>4</v>
      </c>
      <c r="H13" s="4">
        <f>I7</f>
        <v>24</v>
      </c>
      <c r="L13" t="s">
        <v>160</v>
      </c>
    </row>
    <row r="14" spans="1:15" x14ac:dyDescent="0.3">
      <c r="B14" s="4">
        <f>C2</f>
        <v>21</v>
      </c>
      <c r="C14" s="4">
        <v>0</v>
      </c>
      <c r="F14" s="4" t="s">
        <v>37</v>
      </c>
      <c r="G14" s="4">
        <f>J6</f>
        <v>0</v>
      </c>
      <c r="H14" s="4">
        <f>J7</f>
        <v>0</v>
      </c>
    </row>
    <row r="15" spans="1:15" x14ac:dyDescent="0.3">
      <c r="A15" t="s">
        <v>46</v>
      </c>
      <c r="B15" t="s">
        <v>155</v>
      </c>
      <c r="C15" t="s">
        <v>156</v>
      </c>
      <c r="F15" s="4" t="s">
        <v>151</v>
      </c>
      <c r="G15" s="4">
        <f>K6</f>
        <v>0</v>
      </c>
      <c r="H15" s="4">
        <f>K7</f>
        <v>0</v>
      </c>
    </row>
    <row r="16" spans="1:15" x14ac:dyDescent="0.3">
      <c r="B16" s="4">
        <f>C2</f>
        <v>21</v>
      </c>
      <c r="C16" s="4">
        <v>0</v>
      </c>
      <c r="F16" s="4" t="s">
        <v>38</v>
      </c>
      <c r="G16" s="4">
        <f>L6</f>
        <v>0</v>
      </c>
      <c r="H16" s="4">
        <f>L7</f>
        <v>0</v>
      </c>
    </row>
    <row r="17" spans="1:8" x14ac:dyDescent="0.3">
      <c r="F17" s="4" t="s">
        <v>45</v>
      </c>
      <c r="G17" s="4">
        <f>M6</f>
        <v>0</v>
      </c>
      <c r="H17" s="4">
        <f>M7</f>
        <v>0</v>
      </c>
    </row>
    <row r="18" spans="1:8" ht="29.25" customHeight="1" x14ac:dyDescent="0.3">
      <c r="F18" s="12" t="s">
        <v>152</v>
      </c>
      <c r="G18" s="4">
        <f>N6</f>
        <v>0</v>
      </c>
      <c r="H18" s="4">
        <f>N7</f>
        <v>0</v>
      </c>
    </row>
    <row r="19" spans="1:8" x14ac:dyDescent="0.3">
      <c r="F19" s="4" t="s">
        <v>46</v>
      </c>
      <c r="G19" s="4">
        <f>O6</f>
        <v>0</v>
      </c>
      <c r="H19" s="4">
        <f>O7</f>
        <v>0</v>
      </c>
    </row>
    <row r="20" spans="1:8" x14ac:dyDescent="0.3">
      <c r="F20" s="4" t="s">
        <v>161</v>
      </c>
      <c r="G20" s="4">
        <f>G13+G14+G15+G16+G17+G18+G19</f>
        <v>4</v>
      </c>
      <c r="H20" s="4">
        <f>H13+H14+H15+H16+H17+H18+H19</f>
        <v>24</v>
      </c>
    </row>
    <row r="23" spans="1:8" x14ac:dyDescent="0.3">
      <c r="A23" s="14" t="s">
        <v>176</v>
      </c>
      <c r="C23" s="15">
        <v>0.01</v>
      </c>
      <c r="D23" s="16">
        <v>0.02</v>
      </c>
    </row>
    <row r="24" spans="1:8" x14ac:dyDescent="0.3">
      <c r="A24" s="14" t="s">
        <v>177</v>
      </c>
      <c r="C24" s="15">
        <v>0.02</v>
      </c>
      <c r="D24" s="16">
        <v>0.04</v>
      </c>
    </row>
    <row r="25" spans="1:8" x14ac:dyDescent="0.3">
      <c r="A25" s="14" t="s">
        <v>178</v>
      </c>
      <c r="C25" s="15">
        <v>0.04</v>
      </c>
      <c r="D25" s="16">
        <v>0.08</v>
      </c>
    </row>
    <row r="26" spans="1:8" x14ac:dyDescent="0.3">
      <c r="A26" s="14" t="s">
        <v>179</v>
      </c>
      <c r="C26" s="15">
        <v>0.05</v>
      </c>
      <c r="D26" s="16">
        <v>0.15</v>
      </c>
    </row>
    <row r="27" spans="1:8" x14ac:dyDescent="0.3">
      <c r="A27" s="14" t="s">
        <v>180</v>
      </c>
      <c r="C27" s="15">
        <v>7.0000000000000007E-2</v>
      </c>
      <c r="D27" s="16">
        <v>0.2</v>
      </c>
    </row>
    <row r="28" spans="1:8" ht="15" thickBot="1" x14ac:dyDescent="0.35">
      <c r="A28" s="17" t="s">
        <v>181</v>
      </c>
      <c r="C28" s="18">
        <v>0.1</v>
      </c>
      <c r="D28" s="19">
        <v>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M34"/>
  <sheetViews>
    <sheetView workbookViewId="0">
      <selection activeCell="L7" sqref="L7"/>
    </sheetView>
  </sheetViews>
  <sheetFormatPr defaultRowHeight="14.4" x14ac:dyDescent="0.3"/>
  <sheetData>
    <row r="2" spans="2:13" x14ac:dyDescent="0.3">
      <c r="C2" s="7" t="s">
        <v>110</v>
      </c>
      <c r="D2" s="265"/>
      <c r="E2" s="265"/>
    </row>
    <row r="3" spans="2:13" x14ac:dyDescent="0.3">
      <c r="E3" s="6"/>
      <c r="F3" s="6"/>
      <c r="G3" s="6"/>
      <c r="H3" s="6"/>
      <c r="I3" s="6"/>
      <c r="J3" s="6"/>
    </row>
    <row r="4" spans="2:13" x14ac:dyDescent="0.3">
      <c r="B4" s="7" t="s">
        <v>111</v>
      </c>
      <c r="C4" s="5" t="s">
        <v>91</v>
      </c>
      <c r="D4" s="266" t="s">
        <v>92</v>
      </c>
      <c r="E4" s="266"/>
      <c r="F4" s="266"/>
      <c r="G4" s="8"/>
      <c r="H4" s="266" t="s">
        <v>93</v>
      </c>
      <c r="I4" s="266"/>
      <c r="J4" s="266"/>
      <c r="K4" s="266" t="s">
        <v>94</v>
      </c>
      <c r="L4" s="266"/>
      <c r="M4" s="266"/>
    </row>
    <row r="5" spans="2:13" x14ac:dyDescent="0.3">
      <c r="B5" s="7">
        <v>1</v>
      </c>
      <c r="C5" s="5"/>
      <c r="D5" s="5" t="s">
        <v>95</v>
      </c>
      <c r="E5" s="5" t="s">
        <v>96</v>
      </c>
      <c r="F5" s="5" t="s">
        <v>97</v>
      </c>
      <c r="G5" s="5"/>
      <c r="H5" s="5" t="s">
        <v>95</v>
      </c>
      <c r="I5" s="5" t="s">
        <v>96</v>
      </c>
      <c r="J5" s="5" t="s">
        <v>97</v>
      </c>
      <c r="K5" s="5" t="s">
        <v>95</v>
      </c>
      <c r="L5" s="5" t="s">
        <v>96</v>
      </c>
      <c r="M5" s="5" t="s">
        <v>97</v>
      </c>
    </row>
    <row r="6" spans="2:13" x14ac:dyDescent="0.3">
      <c r="C6" s="4" t="s">
        <v>98</v>
      </c>
      <c r="D6" s="4"/>
      <c r="E6" s="4"/>
      <c r="F6" s="4">
        <f>D6*E6</f>
        <v>0</v>
      </c>
      <c r="G6" s="4" t="s">
        <v>113</v>
      </c>
      <c r="H6" s="4"/>
      <c r="I6" s="4"/>
      <c r="J6" s="4">
        <f>H6*I6</f>
        <v>0</v>
      </c>
      <c r="K6" s="4"/>
      <c r="L6" s="4"/>
      <c r="M6" s="4">
        <f>K6*L6</f>
        <v>0</v>
      </c>
    </row>
    <row r="7" spans="2:13" x14ac:dyDescent="0.3">
      <c r="C7" s="4"/>
      <c r="D7" s="4"/>
      <c r="E7" s="4"/>
      <c r="F7" s="4">
        <f t="shared" ref="F7:F33" si="0">D7*E7</f>
        <v>0</v>
      </c>
      <c r="G7" s="4" t="s">
        <v>114</v>
      </c>
      <c r="H7" s="4"/>
      <c r="I7" s="4"/>
      <c r="J7" s="4">
        <f t="shared" ref="J7:J29" si="1">H7*I7</f>
        <v>0</v>
      </c>
      <c r="K7" s="4"/>
      <c r="L7" s="4"/>
      <c r="M7" s="4">
        <f t="shared" ref="M7:M29" si="2">K7*L7</f>
        <v>0</v>
      </c>
    </row>
    <row r="8" spans="2:13" x14ac:dyDescent="0.3">
      <c r="C8" s="4"/>
      <c r="D8" s="4"/>
      <c r="E8" s="4"/>
      <c r="F8" s="4">
        <f t="shared" si="0"/>
        <v>0</v>
      </c>
      <c r="G8" s="4"/>
      <c r="H8" s="4"/>
      <c r="I8" s="4"/>
      <c r="J8" s="4">
        <f t="shared" si="1"/>
        <v>0</v>
      </c>
      <c r="K8" s="4"/>
      <c r="L8" s="4"/>
      <c r="M8" s="4">
        <f t="shared" si="2"/>
        <v>0</v>
      </c>
    </row>
    <row r="9" spans="2:13" x14ac:dyDescent="0.3">
      <c r="C9" s="4" t="s">
        <v>101</v>
      </c>
      <c r="D9" s="4"/>
      <c r="E9" s="4"/>
      <c r="F9" s="4">
        <f t="shared" si="0"/>
        <v>0</v>
      </c>
      <c r="G9" s="4" t="s">
        <v>113</v>
      </c>
      <c r="H9" s="4"/>
      <c r="I9" s="4"/>
      <c r="J9" s="4">
        <f t="shared" si="1"/>
        <v>0</v>
      </c>
      <c r="K9" s="4"/>
      <c r="L9" s="4"/>
      <c r="M9" s="4">
        <f t="shared" si="2"/>
        <v>0</v>
      </c>
    </row>
    <row r="10" spans="2:13" x14ac:dyDescent="0.3">
      <c r="C10" s="4"/>
      <c r="D10" s="4"/>
      <c r="E10" s="4"/>
      <c r="F10" s="4">
        <f t="shared" si="0"/>
        <v>0</v>
      </c>
      <c r="G10" s="4" t="s">
        <v>114</v>
      </c>
      <c r="H10" s="4"/>
      <c r="I10" s="4"/>
      <c r="J10" s="4">
        <f t="shared" si="1"/>
        <v>0</v>
      </c>
      <c r="K10" s="4"/>
      <c r="L10" s="4"/>
      <c r="M10" s="4">
        <f t="shared" si="2"/>
        <v>0</v>
      </c>
    </row>
    <row r="11" spans="2:13" x14ac:dyDescent="0.3">
      <c r="C11" s="4"/>
      <c r="D11" s="4"/>
      <c r="E11" s="4"/>
      <c r="F11" s="4">
        <f t="shared" si="0"/>
        <v>0</v>
      </c>
      <c r="G11" s="4"/>
      <c r="H11" s="4"/>
      <c r="I11" s="4"/>
      <c r="J11" s="4">
        <f t="shared" si="1"/>
        <v>0</v>
      </c>
      <c r="K11" s="4"/>
      <c r="L11" s="4"/>
      <c r="M11" s="4">
        <f t="shared" si="2"/>
        <v>0</v>
      </c>
    </row>
    <row r="12" spans="2:13" x14ac:dyDescent="0.3">
      <c r="C12" s="4"/>
      <c r="D12" s="4"/>
      <c r="E12" s="4"/>
      <c r="F12" s="4">
        <f t="shared" si="0"/>
        <v>0</v>
      </c>
      <c r="G12" s="4"/>
      <c r="H12" s="4"/>
      <c r="I12" s="4"/>
      <c r="J12" s="4">
        <f t="shared" si="1"/>
        <v>0</v>
      </c>
      <c r="K12" s="4"/>
      <c r="L12" s="4"/>
      <c r="M12" s="4">
        <f t="shared" si="2"/>
        <v>0</v>
      </c>
    </row>
    <row r="13" spans="2:13" x14ac:dyDescent="0.3">
      <c r="C13" s="4" t="s">
        <v>99</v>
      </c>
      <c r="D13" s="4"/>
      <c r="E13" s="4"/>
      <c r="F13" s="4">
        <f t="shared" si="0"/>
        <v>0</v>
      </c>
      <c r="G13" s="4" t="s">
        <v>113</v>
      </c>
      <c r="H13" s="4"/>
      <c r="I13" s="4"/>
      <c r="J13" s="4">
        <f t="shared" si="1"/>
        <v>0</v>
      </c>
      <c r="K13" s="4"/>
      <c r="L13" s="4"/>
      <c r="M13" s="4">
        <f t="shared" si="2"/>
        <v>0</v>
      </c>
    </row>
    <row r="14" spans="2:13" x14ac:dyDescent="0.3">
      <c r="C14" s="4"/>
      <c r="D14" s="4"/>
      <c r="E14" s="4"/>
      <c r="F14" s="4">
        <f t="shared" si="0"/>
        <v>0</v>
      </c>
      <c r="G14" s="4" t="s">
        <v>114</v>
      </c>
      <c r="H14" s="4"/>
      <c r="I14" s="4"/>
      <c r="J14" s="4">
        <f t="shared" si="1"/>
        <v>0</v>
      </c>
      <c r="K14" s="4"/>
      <c r="L14" s="4"/>
      <c r="M14" s="4">
        <f t="shared" si="2"/>
        <v>0</v>
      </c>
    </row>
    <row r="15" spans="2:13" x14ac:dyDescent="0.3">
      <c r="C15" s="4"/>
      <c r="D15" s="4"/>
      <c r="E15" s="4"/>
      <c r="F15" s="4">
        <f t="shared" si="0"/>
        <v>0</v>
      </c>
      <c r="G15" s="4"/>
      <c r="H15" s="4"/>
      <c r="I15" s="4"/>
      <c r="J15" s="4">
        <f t="shared" si="1"/>
        <v>0</v>
      </c>
      <c r="K15" s="4"/>
      <c r="L15" s="4"/>
      <c r="M15" s="4">
        <f t="shared" si="2"/>
        <v>0</v>
      </c>
    </row>
    <row r="16" spans="2:13" x14ac:dyDescent="0.3">
      <c r="C16" s="4"/>
      <c r="D16" s="4"/>
      <c r="E16" s="4"/>
      <c r="F16" s="4">
        <f t="shared" si="0"/>
        <v>0</v>
      </c>
      <c r="G16" s="4"/>
      <c r="H16" s="4"/>
      <c r="I16" s="4"/>
      <c r="J16" s="4">
        <f t="shared" si="1"/>
        <v>0</v>
      </c>
      <c r="K16" s="4"/>
      <c r="L16" s="4"/>
      <c r="M16" s="4">
        <f t="shared" si="2"/>
        <v>0</v>
      </c>
    </row>
    <row r="17" spans="3:13" x14ac:dyDescent="0.3">
      <c r="C17" s="4" t="s">
        <v>100</v>
      </c>
      <c r="D17" s="4"/>
      <c r="E17" s="4"/>
      <c r="F17" s="4">
        <f t="shared" si="0"/>
        <v>0</v>
      </c>
      <c r="G17" s="4" t="s">
        <v>113</v>
      </c>
      <c r="H17" s="4"/>
      <c r="I17" s="4"/>
      <c r="J17" s="4">
        <f t="shared" si="1"/>
        <v>0</v>
      </c>
      <c r="K17" s="4"/>
      <c r="L17" s="4"/>
      <c r="M17" s="4">
        <f t="shared" si="2"/>
        <v>0</v>
      </c>
    </row>
    <row r="18" spans="3:13" x14ac:dyDescent="0.3">
      <c r="C18" s="4"/>
      <c r="D18" s="4"/>
      <c r="E18" s="4"/>
      <c r="F18" s="4">
        <f t="shared" si="0"/>
        <v>0</v>
      </c>
      <c r="G18" s="4" t="s">
        <v>114</v>
      </c>
      <c r="H18" s="4"/>
      <c r="I18" s="4"/>
      <c r="J18" s="4">
        <f t="shared" si="1"/>
        <v>0</v>
      </c>
      <c r="K18" s="4"/>
      <c r="L18" s="4"/>
      <c r="M18" s="4">
        <f t="shared" si="2"/>
        <v>0</v>
      </c>
    </row>
    <row r="19" spans="3:13" x14ac:dyDescent="0.3">
      <c r="C19" s="4"/>
      <c r="D19" s="4"/>
      <c r="E19" s="4"/>
      <c r="F19" s="4">
        <f t="shared" si="0"/>
        <v>0</v>
      </c>
      <c r="G19" s="4"/>
      <c r="H19" s="4"/>
      <c r="I19" s="4"/>
      <c r="J19" s="4">
        <f t="shared" si="1"/>
        <v>0</v>
      </c>
      <c r="K19" s="4"/>
      <c r="L19" s="4"/>
      <c r="M19" s="4">
        <f t="shared" si="2"/>
        <v>0</v>
      </c>
    </row>
    <row r="20" spans="3:13" x14ac:dyDescent="0.3">
      <c r="C20" s="4" t="s">
        <v>100</v>
      </c>
      <c r="D20" s="4"/>
      <c r="E20" s="4"/>
      <c r="F20" s="4">
        <f t="shared" si="0"/>
        <v>0</v>
      </c>
      <c r="G20" s="4" t="s">
        <v>113</v>
      </c>
      <c r="H20" s="4"/>
      <c r="I20" s="4"/>
      <c r="J20" s="4">
        <f t="shared" si="1"/>
        <v>0</v>
      </c>
      <c r="K20" s="4"/>
      <c r="L20" s="4"/>
      <c r="M20" s="4">
        <f t="shared" si="2"/>
        <v>0</v>
      </c>
    </row>
    <row r="21" spans="3:13" x14ac:dyDescent="0.3">
      <c r="C21" s="4"/>
      <c r="D21" s="4"/>
      <c r="E21" s="4"/>
      <c r="F21" s="4">
        <f t="shared" si="0"/>
        <v>0</v>
      </c>
      <c r="G21" s="4" t="s">
        <v>114</v>
      </c>
      <c r="H21" s="4"/>
      <c r="I21" s="4"/>
      <c r="J21" s="4">
        <f t="shared" si="1"/>
        <v>0</v>
      </c>
      <c r="K21" s="4"/>
      <c r="L21" s="4"/>
      <c r="M21" s="4">
        <f t="shared" si="2"/>
        <v>0</v>
      </c>
    </row>
    <row r="22" spans="3:13" x14ac:dyDescent="0.3">
      <c r="C22" s="4"/>
      <c r="D22" s="4"/>
      <c r="E22" s="4"/>
      <c r="F22" s="4">
        <f t="shared" si="0"/>
        <v>0</v>
      </c>
      <c r="G22" s="4"/>
      <c r="H22" s="4"/>
      <c r="I22" s="4"/>
      <c r="J22" s="4">
        <f t="shared" si="1"/>
        <v>0</v>
      </c>
      <c r="K22" s="4"/>
      <c r="L22" s="4"/>
      <c r="M22" s="4">
        <f t="shared" si="2"/>
        <v>0</v>
      </c>
    </row>
    <row r="23" spans="3:13" x14ac:dyDescent="0.3">
      <c r="C23" s="4" t="s">
        <v>106</v>
      </c>
      <c r="D23" s="4"/>
      <c r="E23" s="4"/>
      <c r="F23" s="4">
        <f t="shared" si="0"/>
        <v>0</v>
      </c>
      <c r="G23" s="4" t="s">
        <v>115</v>
      </c>
      <c r="H23" s="4"/>
      <c r="I23" s="4"/>
      <c r="J23" s="4">
        <f t="shared" si="1"/>
        <v>0</v>
      </c>
      <c r="K23" s="4"/>
      <c r="L23" s="4"/>
      <c r="M23" s="4">
        <f t="shared" si="2"/>
        <v>0</v>
      </c>
    </row>
    <row r="24" spans="3:13" x14ac:dyDescent="0.3">
      <c r="C24" s="4" t="s">
        <v>107</v>
      </c>
      <c r="D24" s="4"/>
      <c r="E24" s="4"/>
      <c r="F24" s="4">
        <f t="shared" si="0"/>
        <v>0</v>
      </c>
      <c r="G24" s="4" t="s">
        <v>115</v>
      </c>
      <c r="H24" s="4"/>
      <c r="I24" s="4"/>
      <c r="J24" s="4">
        <f t="shared" si="1"/>
        <v>0</v>
      </c>
      <c r="K24" s="4"/>
      <c r="L24" s="4"/>
      <c r="M24" s="4">
        <f t="shared" si="2"/>
        <v>0</v>
      </c>
    </row>
    <row r="25" spans="3:13" x14ac:dyDescent="0.3">
      <c r="C25" s="4" t="s">
        <v>108</v>
      </c>
      <c r="D25" s="4"/>
      <c r="E25" s="4"/>
      <c r="F25" s="4">
        <f t="shared" si="0"/>
        <v>0</v>
      </c>
      <c r="G25" s="4" t="s">
        <v>115</v>
      </c>
      <c r="H25" s="4"/>
      <c r="I25" s="4"/>
      <c r="J25" s="4">
        <f t="shared" si="1"/>
        <v>0</v>
      </c>
      <c r="K25" s="4"/>
      <c r="L25" s="4"/>
      <c r="M25" s="4">
        <f t="shared" si="2"/>
        <v>0</v>
      </c>
    </row>
    <row r="26" spans="3:13" x14ac:dyDescent="0.3">
      <c r="C26" s="4"/>
      <c r="D26" s="4"/>
      <c r="E26" s="4"/>
      <c r="F26" s="4">
        <f t="shared" si="0"/>
        <v>0</v>
      </c>
      <c r="G26" s="4"/>
      <c r="H26" s="4"/>
      <c r="I26" s="4"/>
      <c r="J26" s="4">
        <f t="shared" si="1"/>
        <v>0</v>
      </c>
      <c r="K26" s="4"/>
      <c r="L26" s="4"/>
      <c r="M26" s="4">
        <f t="shared" si="2"/>
        <v>0</v>
      </c>
    </row>
    <row r="27" spans="3:13" x14ac:dyDescent="0.3">
      <c r="C27" s="4" t="s">
        <v>102</v>
      </c>
      <c r="D27" s="4"/>
      <c r="E27" s="4"/>
      <c r="F27" s="4">
        <f t="shared" si="0"/>
        <v>0</v>
      </c>
      <c r="G27" s="4"/>
      <c r="H27" s="4"/>
      <c r="I27" s="4"/>
      <c r="J27" s="4">
        <f t="shared" si="1"/>
        <v>0</v>
      </c>
      <c r="K27" s="4"/>
      <c r="L27" s="4"/>
      <c r="M27" s="4">
        <f t="shared" si="2"/>
        <v>0</v>
      </c>
    </row>
    <row r="28" spans="3:13" x14ac:dyDescent="0.3">
      <c r="C28" s="4" t="s">
        <v>103</v>
      </c>
      <c r="D28" s="4"/>
      <c r="E28" s="4"/>
      <c r="F28" s="4">
        <f t="shared" si="0"/>
        <v>0</v>
      </c>
      <c r="G28" s="4"/>
      <c r="H28" s="4"/>
      <c r="I28" s="4"/>
      <c r="J28" s="4">
        <f t="shared" si="1"/>
        <v>0</v>
      </c>
      <c r="K28" s="4"/>
      <c r="L28" s="4"/>
      <c r="M28" s="4">
        <f t="shared" si="2"/>
        <v>0</v>
      </c>
    </row>
    <row r="29" spans="3:13" x14ac:dyDescent="0.3">
      <c r="C29" s="4" t="s">
        <v>104</v>
      </c>
      <c r="D29" s="4"/>
      <c r="E29" s="4"/>
      <c r="F29" s="4">
        <f t="shared" si="0"/>
        <v>0</v>
      </c>
      <c r="G29" s="4"/>
      <c r="H29" s="4"/>
      <c r="I29" s="4"/>
      <c r="J29" s="4">
        <f t="shared" si="1"/>
        <v>0</v>
      </c>
      <c r="K29" s="4"/>
      <c r="L29" s="4"/>
      <c r="M29" s="4">
        <f t="shared" si="2"/>
        <v>0</v>
      </c>
    </row>
    <row r="30" spans="3:13" x14ac:dyDescent="0.3">
      <c r="C30" s="4" t="s">
        <v>105</v>
      </c>
      <c r="D30" s="4"/>
      <c r="E30" s="4"/>
      <c r="F30" s="4">
        <f t="shared" si="0"/>
        <v>0</v>
      </c>
      <c r="G30" s="4"/>
      <c r="H30" s="4"/>
      <c r="I30" s="4"/>
      <c r="J30" s="4">
        <f>H30*I30</f>
        <v>0</v>
      </c>
      <c r="K30" s="4"/>
      <c r="L30" s="4"/>
      <c r="M30" s="4">
        <f>K30*L30</f>
        <v>0</v>
      </c>
    </row>
    <row r="31" spans="3:13" x14ac:dyDescent="0.3">
      <c r="C31" s="4"/>
      <c r="D31" s="4"/>
      <c r="E31" s="4"/>
      <c r="F31" s="4">
        <f t="shared" si="0"/>
        <v>0</v>
      </c>
      <c r="G31" s="4"/>
      <c r="H31" s="4"/>
      <c r="I31" s="4"/>
      <c r="J31" s="4">
        <f>H31*I31</f>
        <v>0</v>
      </c>
      <c r="K31" s="4"/>
      <c r="L31" s="4"/>
      <c r="M31" s="4">
        <f>K31*L31</f>
        <v>0</v>
      </c>
    </row>
    <row r="32" spans="3:13" x14ac:dyDescent="0.3">
      <c r="C32" s="4"/>
      <c r="D32" s="4"/>
      <c r="E32" s="4"/>
      <c r="F32" s="4">
        <f t="shared" si="0"/>
        <v>0</v>
      </c>
      <c r="G32" s="4"/>
      <c r="H32" s="4"/>
      <c r="I32" s="4"/>
      <c r="J32" s="4">
        <f>H32*I32</f>
        <v>0</v>
      </c>
      <c r="K32" s="4"/>
      <c r="L32" s="4"/>
      <c r="M32" s="4">
        <f>K32*L32</f>
        <v>0</v>
      </c>
    </row>
    <row r="33" spans="3:13" x14ac:dyDescent="0.3">
      <c r="C33" s="4"/>
      <c r="D33" s="4"/>
      <c r="E33" s="4"/>
      <c r="F33" s="4">
        <f t="shared" si="0"/>
        <v>0</v>
      </c>
      <c r="G33" s="4"/>
      <c r="H33" s="4"/>
      <c r="I33" s="4"/>
      <c r="J33" s="4">
        <f>H33*I33</f>
        <v>0</v>
      </c>
      <c r="K33" s="4"/>
      <c r="L33" s="4"/>
      <c r="M33" s="4">
        <f>K33*L33</f>
        <v>0</v>
      </c>
    </row>
    <row r="34" spans="3:13" x14ac:dyDescent="0.3">
      <c r="C34" s="4" t="s">
        <v>109</v>
      </c>
      <c r="D34" s="4"/>
      <c r="E34" s="4">
        <f>F34*10.764</f>
        <v>0</v>
      </c>
      <c r="F34" s="4">
        <f>SUM(F6:F33)</f>
        <v>0</v>
      </c>
      <c r="G34" s="4"/>
      <c r="H34" s="4"/>
      <c r="I34" s="4">
        <f>J34*10.764</f>
        <v>0</v>
      </c>
      <c r="J34" s="4">
        <f>SUM(J6:J33)</f>
        <v>0</v>
      </c>
      <c r="K34" s="4"/>
      <c r="L34" s="4">
        <f>M34*10.764</f>
        <v>0</v>
      </c>
      <c r="M34" s="4">
        <f>SUM(M6:M33)</f>
        <v>0</v>
      </c>
    </row>
  </sheetData>
  <mergeCells count="4">
    <mergeCell ref="D2:E2"/>
    <mergeCell ref="D4:F4"/>
    <mergeCell ref="H4:J4"/>
    <mergeCell ref="K4:M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M35"/>
  <sheetViews>
    <sheetView workbookViewId="0">
      <selection activeCell="G7" sqref="G7:G8"/>
    </sheetView>
  </sheetViews>
  <sheetFormatPr defaultRowHeight="14.4" x14ac:dyDescent="0.3"/>
  <sheetData>
    <row r="3" spans="2:13" x14ac:dyDescent="0.3">
      <c r="C3" s="7" t="s">
        <v>110</v>
      </c>
      <c r="D3" s="265"/>
      <c r="E3" s="265"/>
    </row>
    <row r="4" spans="2:13" x14ac:dyDescent="0.3">
      <c r="E4" s="6"/>
      <c r="F4" s="6"/>
      <c r="G4" s="6"/>
      <c r="H4" s="6"/>
      <c r="I4" s="6"/>
      <c r="J4" s="6"/>
    </row>
    <row r="5" spans="2:13" x14ac:dyDescent="0.3">
      <c r="B5" s="7" t="s">
        <v>111</v>
      </c>
      <c r="C5" s="5" t="s">
        <v>91</v>
      </c>
      <c r="D5" s="266" t="s">
        <v>92</v>
      </c>
      <c r="E5" s="266"/>
      <c r="F5" s="266"/>
      <c r="G5" s="8"/>
      <c r="H5" s="266" t="s">
        <v>93</v>
      </c>
      <c r="I5" s="266"/>
      <c r="J5" s="266"/>
      <c r="K5" s="266" t="s">
        <v>94</v>
      </c>
      <c r="L5" s="266"/>
      <c r="M5" s="266"/>
    </row>
    <row r="6" spans="2:13" x14ac:dyDescent="0.3">
      <c r="B6" s="7">
        <v>1</v>
      </c>
      <c r="C6" s="5"/>
      <c r="D6" s="5" t="s">
        <v>95</v>
      </c>
      <c r="E6" s="5" t="s">
        <v>96</v>
      </c>
      <c r="F6" s="5" t="s">
        <v>97</v>
      </c>
      <c r="G6" s="5"/>
      <c r="H6" s="5" t="s">
        <v>95</v>
      </c>
      <c r="I6" s="5" t="s">
        <v>96</v>
      </c>
      <c r="J6" s="5" t="s">
        <v>97</v>
      </c>
      <c r="K6" s="5" t="s">
        <v>95</v>
      </c>
      <c r="L6" s="5" t="s">
        <v>96</v>
      </c>
      <c r="M6" s="5" t="s">
        <v>97</v>
      </c>
    </row>
    <row r="7" spans="2:13" x14ac:dyDescent="0.3">
      <c r="C7" s="4" t="s">
        <v>98</v>
      </c>
      <c r="D7" s="4"/>
      <c r="E7" s="4"/>
      <c r="F7" s="4">
        <f>D7*E7</f>
        <v>0</v>
      </c>
      <c r="G7" s="4" t="s">
        <v>113</v>
      </c>
      <c r="H7" s="4"/>
      <c r="I7" s="4"/>
      <c r="J7" s="4">
        <f>H7*I7</f>
        <v>0</v>
      </c>
      <c r="K7" s="4"/>
      <c r="L7" s="4"/>
      <c r="M7" s="4">
        <f>K7*L7</f>
        <v>0</v>
      </c>
    </row>
    <row r="8" spans="2:13" x14ac:dyDescent="0.3">
      <c r="C8" s="4"/>
      <c r="D8" s="4"/>
      <c r="E8" s="4"/>
      <c r="F8" s="4">
        <f t="shared" ref="F8:F34" si="0">D8*E8</f>
        <v>0</v>
      </c>
      <c r="G8" s="4" t="s">
        <v>114</v>
      </c>
      <c r="H8" s="4"/>
      <c r="I8" s="4"/>
      <c r="J8" s="4">
        <f t="shared" ref="J8:J34" si="1">H8*I8</f>
        <v>0</v>
      </c>
      <c r="K8" s="4"/>
      <c r="L8" s="4"/>
      <c r="M8" s="4">
        <f t="shared" ref="M8:M34" si="2">K8*L8</f>
        <v>0</v>
      </c>
    </row>
    <row r="9" spans="2:13" x14ac:dyDescent="0.3">
      <c r="C9" s="4"/>
      <c r="D9" s="4"/>
      <c r="E9" s="4"/>
      <c r="F9" s="4">
        <f t="shared" si="0"/>
        <v>0</v>
      </c>
      <c r="G9" s="4"/>
      <c r="H9" s="4"/>
      <c r="I9" s="4"/>
      <c r="J9" s="4">
        <f t="shared" si="1"/>
        <v>0</v>
      </c>
      <c r="K9" s="4"/>
      <c r="L9" s="4"/>
      <c r="M9" s="4">
        <f t="shared" si="2"/>
        <v>0</v>
      </c>
    </row>
    <row r="10" spans="2:13" x14ac:dyDescent="0.3">
      <c r="C10" s="4" t="s">
        <v>101</v>
      </c>
      <c r="D10" s="4"/>
      <c r="E10" s="4"/>
      <c r="F10" s="4">
        <f t="shared" si="0"/>
        <v>0</v>
      </c>
      <c r="G10" s="4" t="s">
        <v>113</v>
      </c>
      <c r="H10" s="4"/>
      <c r="I10" s="4"/>
      <c r="J10" s="4">
        <f t="shared" si="1"/>
        <v>0</v>
      </c>
      <c r="K10" s="4"/>
      <c r="L10" s="4"/>
      <c r="M10" s="4">
        <f t="shared" si="2"/>
        <v>0</v>
      </c>
    </row>
    <row r="11" spans="2:13" x14ac:dyDescent="0.3">
      <c r="C11" s="4"/>
      <c r="D11" s="4"/>
      <c r="E11" s="4"/>
      <c r="F11" s="4">
        <f t="shared" si="0"/>
        <v>0</v>
      </c>
      <c r="G11" s="4" t="s">
        <v>114</v>
      </c>
      <c r="H11" s="4"/>
      <c r="I11" s="4"/>
      <c r="J11" s="4">
        <f t="shared" si="1"/>
        <v>0</v>
      </c>
      <c r="K11" s="4"/>
      <c r="L11" s="4"/>
      <c r="M11" s="4">
        <f t="shared" si="2"/>
        <v>0</v>
      </c>
    </row>
    <row r="12" spans="2:13" x14ac:dyDescent="0.3">
      <c r="C12" s="4"/>
      <c r="D12" s="4"/>
      <c r="E12" s="4"/>
      <c r="F12" s="4">
        <f t="shared" si="0"/>
        <v>0</v>
      </c>
      <c r="G12" s="4"/>
      <c r="H12" s="4"/>
      <c r="I12" s="4"/>
      <c r="J12" s="4">
        <f t="shared" si="1"/>
        <v>0</v>
      </c>
      <c r="K12" s="4"/>
      <c r="L12" s="4"/>
      <c r="M12" s="4">
        <f t="shared" si="2"/>
        <v>0</v>
      </c>
    </row>
    <row r="13" spans="2:13" x14ac:dyDescent="0.3">
      <c r="C13" s="4"/>
      <c r="D13" s="4"/>
      <c r="E13" s="4"/>
      <c r="F13" s="4">
        <f t="shared" si="0"/>
        <v>0</v>
      </c>
      <c r="G13" s="4"/>
      <c r="H13" s="4"/>
      <c r="I13" s="4"/>
      <c r="J13" s="4">
        <f t="shared" si="1"/>
        <v>0</v>
      </c>
      <c r="K13" s="4"/>
      <c r="L13" s="4"/>
      <c r="M13" s="4">
        <f t="shared" si="2"/>
        <v>0</v>
      </c>
    </row>
    <row r="14" spans="2:13" x14ac:dyDescent="0.3">
      <c r="C14" s="4" t="s">
        <v>99</v>
      </c>
      <c r="D14" s="4"/>
      <c r="E14" s="4"/>
      <c r="F14" s="4">
        <f t="shared" si="0"/>
        <v>0</v>
      </c>
      <c r="G14" s="4" t="s">
        <v>113</v>
      </c>
      <c r="H14" s="4"/>
      <c r="I14" s="4"/>
      <c r="J14" s="4">
        <f t="shared" si="1"/>
        <v>0</v>
      </c>
      <c r="K14" s="4"/>
      <c r="L14" s="4"/>
      <c r="M14" s="4">
        <f t="shared" si="2"/>
        <v>0</v>
      </c>
    </row>
    <row r="15" spans="2:13" x14ac:dyDescent="0.3">
      <c r="C15" s="4"/>
      <c r="D15" s="4"/>
      <c r="E15" s="4"/>
      <c r="F15" s="4">
        <f t="shared" si="0"/>
        <v>0</v>
      </c>
      <c r="G15" s="4" t="s">
        <v>114</v>
      </c>
      <c r="H15" s="4"/>
      <c r="I15" s="4"/>
      <c r="J15" s="4">
        <f t="shared" si="1"/>
        <v>0</v>
      </c>
      <c r="K15" s="4"/>
      <c r="L15" s="4"/>
      <c r="M15" s="4">
        <f t="shared" si="2"/>
        <v>0</v>
      </c>
    </row>
    <row r="16" spans="2:13" x14ac:dyDescent="0.3">
      <c r="C16" s="4"/>
      <c r="D16" s="4"/>
      <c r="E16" s="4"/>
      <c r="F16" s="4">
        <f t="shared" si="0"/>
        <v>0</v>
      </c>
      <c r="G16" s="4"/>
      <c r="H16" s="4"/>
      <c r="I16" s="4"/>
      <c r="J16" s="4">
        <f t="shared" si="1"/>
        <v>0</v>
      </c>
      <c r="K16" s="4"/>
      <c r="L16" s="4"/>
      <c r="M16" s="4">
        <f t="shared" si="2"/>
        <v>0</v>
      </c>
    </row>
    <row r="17" spans="3:13" x14ac:dyDescent="0.3">
      <c r="C17" s="4"/>
      <c r="D17" s="4"/>
      <c r="E17" s="4"/>
      <c r="F17" s="4">
        <f t="shared" si="0"/>
        <v>0</v>
      </c>
      <c r="G17" s="4"/>
      <c r="H17" s="4"/>
      <c r="I17" s="4"/>
      <c r="J17" s="4">
        <f t="shared" si="1"/>
        <v>0</v>
      </c>
      <c r="K17" s="4"/>
      <c r="L17" s="4"/>
      <c r="M17" s="4">
        <f t="shared" si="2"/>
        <v>0</v>
      </c>
    </row>
    <row r="18" spans="3:13" x14ac:dyDescent="0.3">
      <c r="C18" s="4" t="s">
        <v>100</v>
      </c>
      <c r="D18" s="4"/>
      <c r="E18" s="4"/>
      <c r="F18" s="4">
        <f t="shared" si="0"/>
        <v>0</v>
      </c>
      <c r="G18" s="4" t="s">
        <v>113</v>
      </c>
      <c r="H18" s="4"/>
      <c r="I18" s="4"/>
      <c r="J18" s="4">
        <f t="shared" si="1"/>
        <v>0</v>
      </c>
      <c r="K18" s="4"/>
      <c r="L18" s="4"/>
      <c r="M18" s="4">
        <f t="shared" si="2"/>
        <v>0</v>
      </c>
    </row>
    <row r="19" spans="3:13" x14ac:dyDescent="0.3">
      <c r="C19" s="4"/>
      <c r="D19" s="4"/>
      <c r="E19" s="4"/>
      <c r="F19" s="4">
        <f t="shared" si="0"/>
        <v>0</v>
      </c>
      <c r="G19" s="4" t="s">
        <v>114</v>
      </c>
      <c r="H19" s="4"/>
      <c r="I19" s="4"/>
      <c r="J19" s="4">
        <f t="shared" si="1"/>
        <v>0</v>
      </c>
      <c r="K19" s="4"/>
      <c r="L19" s="4"/>
      <c r="M19" s="4">
        <f t="shared" si="2"/>
        <v>0</v>
      </c>
    </row>
    <row r="20" spans="3:13" x14ac:dyDescent="0.3">
      <c r="C20" s="4"/>
      <c r="D20" s="4"/>
      <c r="E20" s="4"/>
      <c r="F20" s="4">
        <f t="shared" si="0"/>
        <v>0</v>
      </c>
      <c r="G20" s="4"/>
      <c r="H20" s="4"/>
      <c r="I20" s="4"/>
      <c r="J20" s="4">
        <f t="shared" si="1"/>
        <v>0</v>
      </c>
      <c r="K20" s="4"/>
      <c r="L20" s="4"/>
      <c r="M20" s="4">
        <f t="shared" si="2"/>
        <v>0</v>
      </c>
    </row>
    <row r="21" spans="3:13" x14ac:dyDescent="0.3">
      <c r="C21" s="4" t="s">
        <v>100</v>
      </c>
      <c r="D21" s="4"/>
      <c r="E21" s="4"/>
      <c r="F21" s="4">
        <f t="shared" si="0"/>
        <v>0</v>
      </c>
      <c r="G21" s="4" t="s">
        <v>113</v>
      </c>
      <c r="H21" s="4"/>
      <c r="I21" s="4"/>
      <c r="J21" s="4">
        <f t="shared" si="1"/>
        <v>0</v>
      </c>
      <c r="K21" s="4"/>
      <c r="L21" s="4"/>
      <c r="M21" s="4">
        <f t="shared" si="2"/>
        <v>0</v>
      </c>
    </row>
    <row r="22" spans="3:13" x14ac:dyDescent="0.3">
      <c r="C22" s="4"/>
      <c r="D22" s="4"/>
      <c r="E22" s="4"/>
      <c r="F22" s="4">
        <f t="shared" si="0"/>
        <v>0</v>
      </c>
      <c r="G22" s="4" t="s">
        <v>114</v>
      </c>
      <c r="H22" s="4"/>
      <c r="I22" s="4"/>
      <c r="J22" s="4">
        <f t="shared" si="1"/>
        <v>0</v>
      </c>
      <c r="K22" s="4"/>
      <c r="L22" s="4"/>
      <c r="M22" s="4">
        <f t="shared" si="2"/>
        <v>0</v>
      </c>
    </row>
    <row r="23" spans="3:13" x14ac:dyDescent="0.3">
      <c r="C23" s="4"/>
      <c r="D23" s="4"/>
      <c r="E23" s="4"/>
      <c r="F23" s="4">
        <f t="shared" si="0"/>
        <v>0</v>
      </c>
      <c r="G23" s="4"/>
      <c r="H23" s="4"/>
      <c r="I23" s="4"/>
      <c r="J23" s="4">
        <f t="shared" si="1"/>
        <v>0</v>
      </c>
      <c r="K23" s="4"/>
      <c r="L23" s="4"/>
      <c r="M23" s="4">
        <f t="shared" si="2"/>
        <v>0</v>
      </c>
    </row>
    <row r="24" spans="3:13" x14ac:dyDescent="0.3">
      <c r="C24" s="4" t="s">
        <v>106</v>
      </c>
      <c r="D24" s="4"/>
      <c r="E24" s="4"/>
      <c r="F24" s="4">
        <f t="shared" si="0"/>
        <v>0</v>
      </c>
      <c r="G24" s="4" t="s">
        <v>115</v>
      </c>
      <c r="H24" s="4"/>
      <c r="I24" s="4"/>
      <c r="J24" s="4">
        <f t="shared" si="1"/>
        <v>0</v>
      </c>
      <c r="K24" s="4"/>
      <c r="L24" s="4"/>
      <c r="M24" s="4">
        <f t="shared" si="2"/>
        <v>0</v>
      </c>
    </row>
    <row r="25" spans="3:13" x14ac:dyDescent="0.3">
      <c r="C25" s="4" t="s">
        <v>107</v>
      </c>
      <c r="D25" s="4"/>
      <c r="E25" s="4"/>
      <c r="F25" s="4">
        <f t="shared" si="0"/>
        <v>0</v>
      </c>
      <c r="G25" s="4" t="s">
        <v>115</v>
      </c>
      <c r="H25" s="4"/>
      <c r="I25" s="4"/>
      <c r="J25" s="4">
        <f t="shared" si="1"/>
        <v>0</v>
      </c>
      <c r="K25" s="4"/>
      <c r="L25" s="4"/>
      <c r="M25" s="4">
        <f t="shared" si="2"/>
        <v>0</v>
      </c>
    </row>
    <row r="26" spans="3:13" x14ac:dyDescent="0.3">
      <c r="C26" s="4" t="s">
        <v>108</v>
      </c>
      <c r="D26" s="4"/>
      <c r="E26" s="4"/>
      <c r="F26" s="4">
        <f t="shared" si="0"/>
        <v>0</v>
      </c>
      <c r="G26" s="4" t="s">
        <v>115</v>
      </c>
      <c r="H26" s="4"/>
      <c r="I26" s="4"/>
      <c r="J26" s="4">
        <f t="shared" si="1"/>
        <v>0</v>
      </c>
      <c r="K26" s="4"/>
      <c r="L26" s="4"/>
      <c r="M26" s="4">
        <f t="shared" si="2"/>
        <v>0</v>
      </c>
    </row>
    <row r="27" spans="3:13" x14ac:dyDescent="0.3">
      <c r="C27" s="4"/>
      <c r="D27" s="4"/>
      <c r="E27" s="4"/>
      <c r="F27" s="4">
        <f t="shared" si="0"/>
        <v>0</v>
      </c>
      <c r="G27" s="4"/>
      <c r="H27" s="4"/>
      <c r="I27" s="4"/>
      <c r="J27" s="4">
        <f t="shared" si="1"/>
        <v>0</v>
      </c>
      <c r="K27" s="4"/>
      <c r="L27" s="4"/>
      <c r="M27" s="4">
        <f t="shared" si="2"/>
        <v>0</v>
      </c>
    </row>
    <row r="28" spans="3:13" x14ac:dyDescent="0.3">
      <c r="C28" s="4" t="s">
        <v>102</v>
      </c>
      <c r="D28" s="4"/>
      <c r="E28" s="4"/>
      <c r="F28" s="4">
        <f t="shared" si="0"/>
        <v>0</v>
      </c>
      <c r="G28" s="4"/>
      <c r="H28" s="4"/>
      <c r="I28" s="4"/>
      <c r="J28" s="4">
        <f t="shared" si="1"/>
        <v>0</v>
      </c>
      <c r="K28" s="4"/>
      <c r="L28" s="4"/>
      <c r="M28" s="4">
        <f t="shared" si="2"/>
        <v>0</v>
      </c>
    </row>
    <row r="29" spans="3:13" x14ac:dyDescent="0.3">
      <c r="C29" s="4" t="s">
        <v>103</v>
      </c>
      <c r="D29" s="4"/>
      <c r="E29" s="4"/>
      <c r="F29" s="4">
        <f t="shared" si="0"/>
        <v>0</v>
      </c>
      <c r="G29" s="4"/>
      <c r="H29" s="4"/>
      <c r="I29" s="4"/>
      <c r="J29" s="4">
        <f t="shared" si="1"/>
        <v>0</v>
      </c>
      <c r="K29" s="4"/>
      <c r="L29" s="4"/>
      <c r="M29" s="4">
        <f t="shared" si="2"/>
        <v>0</v>
      </c>
    </row>
    <row r="30" spans="3:13" x14ac:dyDescent="0.3">
      <c r="C30" s="4" t="s">
        <v>104</v>
      </c>
      <c r="D30" s="4"/>
      <c r="E30" s="4"/>
      <c r="F30" s="4">
        <f t="shared" si="0"/>
        <v>0</v>
      </c>
      <c r="G30" s="4"/>
      <c r="H30" s="4"/>
      <c r="I30" s="4"/>
      <c r="J30" s="4">
        <f t="shared" si="1"/>
        <v>0</v>
      </c>
      <c r="K30" s="4"/>
      <c r="L30" s="4"/>
      <c r="M30" s="4">
        <f t="shared" si="2"/>
        <v>0</v>
      </c>
    </row>
    <row r="31" spans="3:13" x14ac:dyDescent="0.3">
      <c r="C31" s="4" t="s">
        <v>105</v>
      </c>
      <c r="D31" s="4"/>
      <c r="E31" s="4"/>
      <c r="F31" s="4">
        <f t="shared" si="0"/>
        <v>0</v>
      </c>
      <c r="G31" s="4"/>
      <c r="H31" s="4"/>
      <c r="I31" s="4"/>
      <c r="J31" s="4">
        <f t="shared" si="1"/>
        <v>0</v>
      </c>
      <c r="K31" s="4"/>
      <c r="L31" s="4"/>
      <c r="M31" s="4">
        <f t="shared" si="2"/>
        <v>0</v>
      </c>
    </row>
    <row r="32" spans="3:13" x14ac:dyDescent="0.3">
      <c r="C32" s="4"/>
      <c r="D32" s="4"/>
      <c r="E32" s="4"/>
      <c r="F32" s="4">
        <f t="shared" si="0"/>
        <v>0</v>
      </c>
      <c r="G32" s="4"/>
      <c r="H32" s="4"/>
      <c r="I32" s="4"/>
      <c r="J32" s="4">
        <f t="shared" si="1"/>
        <v>0</v>
      </c>
      <c r="K32" s="4"/>
      <c r="L32" s="4"/>
      <c r="M32" s="4">
        <f t="shared" si="2"/>
        <v>0</v>
      </c>
    </row>
    <row r="33" spans="3:13" x14ac:dyDescent="0.3">
      <c r="C33" s="4"/>
      <c r="D33" s="4"/>
      <c r="E33" s="4"/>
      <c r="F33" s="4">
        <f t="shared" si="0"/>
        <v>0</v>
      </c>
      <c r="G33" s="4"/>
      <c r="H33" s="4"/>
      <c r="I33" s="4"/>
      <c r="J33" s="4">
        <f t="shared" si="1"/>
        <v>0</v>
      </c>
      <c r="K33" s="4"/>
      <c r="L33" s="4"/>
      <c r="M33" s="4">
        <f t="shared" si="2"/>
        <v>0</v>
      </c>
    </row>
    <row r="34" spans="3:13" x14ac:dyDescent="0.3">
      <c r="C34" s="4"/>
      <c r="D34" s="4"/>
      <c r="E34" s="4"/>
      <c r="F34" s="4">
        <f t="shared" si="0"/>
        <v>0</v>
      </c>
      <c r="G34" s="4"/>
      <c r="H34" s="4"/>
      <c r="I34" s="4"/>
      <c r="J34" s="4">
        <f t="shared" si="1"/>
        <v>0</v>
      </c>
      <c r="K34" s="4"/>
      <c r="L34" s="4"/>
      <c r="M34" s="4">
        <f t="shared" si="2"/>
        <v>0</v>
      </c>
    </row>
    <row r="35" spans="3:13" x14ac:dyDescent="0.3">
      <c r="C35" s="4" t="s">
        <v>109</v>
      </c>
      <c r="D35" s="4"/>
      <c r="E35" s="4">
        <f>F35*10.764</f>
        <v>0</v>
      </c>
      <c r="F35" s="4">
        <f>SUM(F7:F34)</f>
        <v>0</v>
      </c>
      <c r="G35" s="4"/>
      <c r="H35" s="4"/>
      <c r="I35" s="4">
        <f>J35*10.764</f>
        <v>0</v>
      </c>
      <c r="J35" s="4">
        <f>SUM(J7:J34)</f>
        <v>0</v>
      </c>
      <c r="K35" s="4"/>
      <c r="L35" s="4">
        <f>M35*10.764</f>
        <v>0</v>
      </c>
      <c r="M35" s="4">
        <f>SUM(M7:M34)</f>
        <v>0</v>
      </c>
    </row>
  </sheetData>
  <mergeCells count="4">
    <mergeCell ref="D3:E3"/>
    <mergeCell ref="D5:F5"/>
    <mergeCell ref="H5:J5"/>
    <mergeCell ref="K5:M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Sheet1</vt:lpstr>
      <vt:lpstr>VALUATION</vt:lpstr>
      <vt:lpstr>Note</vt:lpstr>
      <vt:lpstr>A&amp;B</vt:lpstr>
      <vt:lpstr>D</vt:lpstr>
      <vt:lpstr>E</vt:lpstr>
      <vt:lpstr>F</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Kaustubh Kulkarni</cp:lastModifiedBy>
  <cp:lastPrinted>2025-09-13T19:12:27Z</cp:lastPrinted>
  <dcterms:created xsi:type="dcterms:W3CDTF">2013-11-23T05:32:33Z</dcterms:created>
  <dcterms:modified xsi:type="dcterms:W3CDTF">2025-09-13T19:15:11Z</dcterms:modified>
</cp:coreProperties>
</file>