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austubh Kulkarni\Downloads\"/>
    </mc:Choice>
  </mc:AlternateContent>
  <xr:revisionPtr revIDLastSave="0" documentId="13_ncr:1_{5A6D2C6D-9392-4014-B3CA-F79FC50860C8}" xr6:coauthVersionLast="47" xr6:coauthVersionMax="47" xr10:uidLastSave="{00000000-0000-0000-0000-000000000000}"/>
  <bookViews>
    <workbookView xWindow="-108" yWindow="-108" windowWidth="23256" windowHeight="12456" xr2:uid="{00000000-000D-0000-FFFF-FFFF00000000}"/>
  </bookViews>
  <sheets>
    <sheet name="Report (2)" sheetId="1" r:id="rId1"/>
    <sheet name="NOTE" sheetId="6" r:id="rId2"/>
    <sheet name="VALUATION" sheetId="7" r:id="rId3"/>
    <sheet name="C%" sheetId="2" r:id="rId4"/>
    <sheet name="Flat detail" sheetId="3" r:id="rId5"/>
    <sheet name="Flat detail (2)" sheetId="4" r:id="rId6"/>
    <sheet name="Flat detail (3)" sheetId="5" r:id="rId7"/>
  </sheets>
  <definedNames>
    <definedName name="_xlnm.Print_Area" localSheetId="0">'Report (2)'!$A$1:$J$257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9" i="1" l="1"/>
  <c r="O108" i="1"/>
  <c r="E124" i="1"/>
  <c r="D124" i="1"/>
  <c r="G124" i="1" s="1"/>
  <c r="E123" i="1"/>
  <c r="D123" i="1"/>
  <c r="G123" i="1" s="1"/>
  <c r="E121" i="1"/>
  <c r="D121" i="1"/>
  <c r="G121" i="1" s="1"/>
  <c r="E120" i="1"/>
  <c r="D120" i="1"/>
  <c r="G120" i="1" s="1"/>
  <c r="E119" i="1"/>
  <c r="D119" i="1"/>
  <c r="G119" i="1" s="1"/>
  <c r="L118" i="1"/>
  <c r="I118" i="1"/>
  <c r="E118" i="1"/>
  <c r="D118" i="1"/>
  <c r="G118" i="1" s="1"/>
  <c r="E116" i="1"/>
  <c r="D116" i="1"/>
  <c r="G116" i="1" s="1"/>
  <c r="M116" i="1" s="1"/>
  <c r="L116" i="1" s="1"/>
  <c r="E115" i="1"/>
  <c r="D115" i="1"/>
  <c r="G115" i="1" s="1"/>
  <c r="M115" i="1" s="1"/>
  <c r="L115" i="1" s="1"/>
  <c r="E114" i="1"/>
  <c r="D114" i="1"/>
  <c r="G114" i="1" s="1"/>
  <c r="M114" i="1" s="1"/>
  <c r="L114" i="1" s="1"/>
  <c r="E113" i="1"/>
  <c r="D113" i="1"/>
  <c r="G113" i="1" s="1"/>
  <c r="M113" i="1" s="1"/>
  <c r="L113" i="1" s="1"/>
  <c r="E112" i="1"/>
  <c r="D112" i="1"/>
  <c r="G112" i="1" s="1"/>
  <c r="M112" i="1" s="1"/>
  <c r="L112" i="1" s="1"/>
  <c r="E111" i="1"/>
  <c r="D111" i="1"/>
  <c r="G111" i="1" s="1"/>
  <c r="M111" i="1" s="1"/>
  <c r="L111" i="1" s="1"/>
  <c r="I110" i="1"/>
  <c r="E110" i="1"/>
  <c r="D110" i="1"/>
  <c r="G110" i="1" s="1"/>
  <c r="M110" i="1" s="1"/>
  <c r="L110" i="1" s="1"/>
  <c r="O109" i="1"/>
  <c r="E107" i="1"/>
  <c r="D107" i="1"/>
  <c r="G107" i="1" s="1"/>
  <c r="E106" i="1"/>
  <c r="D106" i="1"/>
  <c r="G106" i="1" s="1"/>
  <c r="E104" i="1"/>
  <c r="D104" i="1"/>
  <c r="G104" i="1" s="1"/>
  <c r="E103" i="1"/>
  <c r="D103" i="1"/>
  <c r="G103" i="1" s="1"/>
  <c r="E102" i="1"/>
  <c r="D102" i="1"/>
  <c r="G102" i="1" s="1"/>
  <c r="E101" i="1"/>
  <c r="D101" i="1"/>
  <c r="G101" i="1" s="1"/>
  <c r="E99" i="1"/>
  <c r="D99" i="1"/>
  <c r="G99" i="1" s="1"/>
  <c r="E98" i="1"/>
  <c r="D98" i="1"/>
  <c r="G98" i="1" s="1"/>
  <c r="E97" i="1"/>
  <c r="D97" i="1"/>
  <c r="G97" i="1" s="1"/>
  <c r="E96" i="1"/>
  <c r="D96" i="1"/>
  <c r="G96" i="1" s="1"/>
  <c r="E95" i="1"/>
  <c r="D95" i="1"/>
  <c r="G95" i="1" s="1"/>
  <c r="E94" i="1"/>
  <c r="D94" i="1"/>
  <c r="G94" i="1" s="1"/>
  <c r="E93" i="1"/>
  <c r="D93" i="1"/>
  <c r="G93" i="1" s="1"/>
  <c r="R114" i="1" l="1"/>
  <c r="D91" i="1"/>
  <c r="G91" i="1" s="1"/>
  <c r="E91" i="1"/>
  <c r="D90" i="1"/>
  <c r="E90" i="1"/>
  <c r="D83" i="1" l="1"/>
  <c r="G90" i="1"/>
  <c r="G83" i="1" s="1"/>
  <c r="C83" i="1"/>
  <c r="N90" i="1"/>
  <c r="F40" i="1" l="1"/>
  <c r="C46" i="1" l="1"/>
  <c r="L90" i="1" l="1"/>
  <c r="C63" i="1"/>
  <c r="F3" i="1" l="1"/>
  <c r="L33" i="5" l="1"/>
  <c r="I33" i="5"/>
  <c r="E33" i="5"/>
  <c r="L32" i="5"/>
  <c r="I32" i="5"/>
  <c r="E32" i="5"/>
  <c r="L31" i="5"/>
  <c r="I31" i="5"/>
  <c r="E31" i="5"/>
  <c r="L30" i="5"/>
  <c r="I30" i="5"/>
  <c r="E30" i="5"/>
  <c r="L29" i="5"/>
  <c r="I29" i="5"/>
  <c r="E29" i="5"/>
  <c r="L28" i="5"/>
  <c r="I28" i="5"/>
  <c r="E28" i="5"/>
  <c r="L27" i="5"/>
  <c r="I27" i="5"/>
  <c r="E27" i="5"/>
  <c r="L26" i="5"/>
  <c r="I26" i="5"/>
  <c r="E26" i="5"/>
  <c r="L25" i="5"/>
  <c r="I25" i="5"/>
  <c r="E25" i="5"/>
  <c r="L24" i="5"/>
  <c r="I24" i="5"/>
  <c r="E24" i="5"/>
  <c r="L23" i="5"/>
  <c r="I23" i="5"/>
  <c r="E23" i="5"/>
  <c r="L22" i="5"/>
  <c r="I22" i="5"/>
  <c r="E22" i="5"/>
  <c r="L21" i="5"/>
  <c r="I21" i="5"/>
  <c r="E21" i="5"/>
  <c r="L20" i="5"/>
  <c r="I20" i="5"/>
  <c r="E20" i="5"/>
  <c r="L19" i="5"/>
  <c r="I19" i="5"/>
  <c r="E19" i="5"/>
  <c r="L18" i="5"/>
  <c r="I18" i="5"/>
  <c r="E18" i="5"/>
  <c r="L17" i="5"/>
  <c r="I17" i="5"/>
  <c r="E17" i="5"/>
  <c r="Q16" i="5"/>
  <c r="L16" i="5"/>
  <c r="I16" i="5"/>
  <c r="E16" i="5"/>
  <c r="L15" i="5"/>
  <c r="I15" i="5"/>
  <c r="E15" i="5"/>
  <c r="L14" i="5"/>
  <c r="I14" i="5"/>
  <c r="E14" i="5"/>
  <c r="L13" i="5"/>
  <c r="I13" i="5"/>
  <c r="E13" i="5"/>
  <c r="L12" i="5"/>
  <c r="I12" i="5"/>
  <c r="E12" i="5"/>
  <c r="L11" i="5"/>
  <c r="I11" i="5"/>
  <c r="E11" i="5"/>
  <c r="L10" i="5"/>
  <c r="I10" i="5"/>
  <c r="E10" i="5"/>
  <c r="L9" i="5"/>
  <c r="I9" i="5"/>
  <c r="E9" i="5"/>
  <c r="L8" i="5"/>
  <c r="I8" i="5"/>
  <c r="E8" i="5"/>
  <c r="L7" i="5"/>
  <c r="I7" i="5"/>
  <c r="E7" i="5"/>
  <c r="L6" i="5"/>
  <c r="I6" i="5"/>
  <c r="E6" i="5"/>
  <c r="L33" i="4"/>
  <c r="I33" i="4"/>
  <c r="E33" i="4"/>
  <c r="L32" i="4"/>
  <c r="I32" i="4"/>
  <c r="E32" i="4"/>
  <c r="L31" i="4"/>
  <c r="I31" i="4"/>
  <c r="E31" i="4"/>
  <c r="L30" i="4"/>
  <c r="I30" i="4"/>
  <c r="E30" i="4"/>
  <c r="L29" i="4"/>
  <c r="I29" i="4"/>
  <c r="E29" i="4"/>
  <c r="L28" i="4"/>
  <c r="I28" i="4"/>
  <c r="E28" i="4"/>
  <c r="L27" i="4"/>
  <c r="I27" i="4"/>
  <c r="E27" i="4"/>
  <c r="L26" i="4"/>
  <c r="I26" i="4"/>
  <c r="E26" i="4"/>
  <c r="L25" i="4"/>
  <c r="I25" i="4"/>
  <c r="E25" i="4"/>
  <c r="L24" i="4"/>
  <c r="I24" i="4"/>
  <c r="E24" i="4"/>
  <c r="L23" i="4"/>
  <c r="I23" i="4"/>
  <c r="E23" i="4"/>
  <c r="L22" i="4"/>
  <c r="I22" i="4"/>
  <c r="E22" i="4"/>
  <c r="L21" i="4"/>
  <c r="I21" i="4"/>
  <c r="E21" i="4"/>
  <c r="L20" i="4"/>
  <c r="I20" i="4"/>
  <c r="E20" i="4"/>
  <c r="L19" i="4"/>
  <c r="I19" i="4"/>
  <c r="E19" i="4"/>
  <c r="L18" i="4"/>
  <c r="I18" i="4"/>
  <c r="E18" i="4"/>
  <c r="L17" i="4"/>
  <c r="I17" i="4"/>
  <c r="E17" i="4"/>
  <c r="L16" i="4"/>
  <c r="I16" i="4"/>
  <c r="E16" i="4"/>
  <c r="L15" i="4"/>
  <c r="I15" i="4"/>
  <c r="E15" i="4"/>
  <c r="L14" i="4"/>
  <c r="I14" i="4"/>
  <c r="E14" i="4"/>
  <c r="L13" i="4"/>
  <c r="I13" i="4"/>
  <c r="E13" i="4"/>
  <c r="L12" i="4"/>
  <c r="I12" i="4"/>
  <c r="E12" i="4"/>
  <c r="L11" i="4"/>
  <c r="I11" i="4"/>
  <c r="E11" i="4"/>
  <c r="L10" i="4"/>
  <c r="I10" i="4"/>
  <c r="E10" i="4"/>
  <c r="L9" i="4"/>
  <c r="I9" i="4"/>
  <c r="E9" i="4"/>
  <c r="L8" i="4"/>
  <c r="I8" i="4"/>
  <c r="E8" i="4"/>
  <c r="L7" i="4"/>
  <c r="I7" i="4"/>
  <c r="E7" i="4"/>
  <c r="L6" i="4"/>
  <c r="I6" i="4"/>
  <c r="I34" i="4" s="1"/>
  <c r="H34" i="4" s="1"/>
  <c r="E6" i="4"/>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G13" i="2"/>
  <c r="G14" i="2" s="1"/>
  <c r="C13" i="2" s="1"/>
  <c r="D4" i="2"/>
  <c r="E3" i="2"/>
  <c r="B5" i="2" s="1"/>
  <c r="C3" i="2"/>
  <c r="B8" i="2" s="1"/>
  <c r="F14" i="7"/>
  <c r="G13" i="7"/>
  <c r="G12" i="7"/>
  <c r="G11" i="7"/>
  <c r="G10" i="7"/>
  <c r="G9" i="7"/>
  <c r="G8" i="7"/>
  <c r="G7" i="7"/>
  <c r="F6" i="7"/>
  <c r="G6" i="7" s="1"/>
  <c r="F5" i="7"/>
  <c r="G5" i="7" s="1"/>
  <c r="L101" i="1"/>
  <c r="I101" i="1"/>
  <c r="M99" i="1"/>
  <c r="L99" i="1" s="1"/>
  <c r="M98" i="1"/>
  <c r="L98" i="1" s="1"/>
  <c r="M97" i="1"/>
  <c r="L97" i="1" s="1"/>
  <c r="M96" i="1"/>
  <c r="L96" i="1" s="1"/>
  <c r="M95" i="1"/>
  <c r="L95" i="1" s="1"/>
  <c r="M94" i="1"/>
  <c r="L94" i="1" s="1"/>
  <c r="M93" i="1"/>
  <c r="L93" i="1" s="1"/>
  <c r="I93" i="1"/>
  <c r="O92" i="1"/>
  <c r="I90" i="1"/>
  <c r="G80" i="1"/>
  <c r="L67" i="1"/>
  <c r="L66" i="1"/>
  <c r="L65" i="1"/>
  <c r="L64" i="1"/>
  <c r="C56" i="1"/>
  <c r="H46" i="1"/>
  <c r="F41" i="1"/>
  <c r="D51" i="1" s="1"/>
  <c r="C13" i="1"/>
  <c r="F7" i="1"/>
  <c r="I57" i="1"/>
  <c r="B13" i="2" l="1"/>
  <c r="I34" i="3"/>
  <c r="H34" i="3" s="1"/>
  <c r="G14" i="7"/>
  <c r="L34" i="3"/>
  <c r="K34" i="3" s="1"/>
  <c r="L34" i="5"/>
  <c r="K34" i="5" s="1"/>
  <c r="L34" i="4"/>
  <c r="K34" i="4" s="1"/>
  <c r="I34" i="5"/>
  <c r="H34" i="5" s="1"/>
  <c r="B6" i="2"/>
  <c r="D6" i="2" s="1"/>
  <c r="B10" i="2"/>
  <c r="M14" i="2" s="1"/>
  <c r="C19" i="2" s="1"/>
  <c r="E34" i="3"/>
  <c r="E36" i="3" s="1"/>
  <c r="E34" i="4"/>
  <c r="D34" i="4" s="1"/>
  <c r="D36" i="4" s="1"/>
  <c r="E34" i="5"/>
  <c r="D34" i="5" s="1"/>
  <c r="R97" i="1"/>
  <c r="D66" i="1"/>
  <c r="D62" i="1"/>
  <c r="L59" i="1"/>
  <c r="D68" i="1"/>
  <c r="L61" i="1"/>
  <c r="D69" i="1"/>
  <c r="D65" i="1"/>
  <c r="L60" i="1"/>
  <c r="D64" i="1"/>
  <c r="L62" i="1"/>
  <c r="L63" i="1" s="1"/>
  <c r="D67" i="1"/>
  <c r="D63" i="1"/>
  <c r="D60" i="1"/>
  <c r="D34" i="3"/>
  <c r="D36" i="3" s="1"/>
  <c r="E36" i="5"/>
  <c r="K13" i="2"/>
  <c r="B17" i="2" s="1"/>
  <c r="K14" i="2"/>
  <c r="C17" i="2" s="1"/>
  <c r="D8" i="2"/>
  <c r="D5" i="2"/>
  <c r="H13" i="2"/>
  <c r="B14" i="2" s="1"/>
  <c r="H14" i="2"/>
  <c r="C14" i="2" s="1"/>
  <c r="B9" i="2"/>
  <c r="D10" i="2"/>
  <c r="B7" i="2"/>
  <c r="I14" i="2" l="1"/>
  <c r="C15" i="2" s="1"/>
  <c r="I13" i="2"/>
  <c r="B15" i="2" s="1"/>
  <c r="E36" i="4"/>
  <c r="D36" i="5"/>
  <c r="M13" i="2"/>
  <c r="B19" i="2" s="1"/>
  <c r="L68" i="1"/>
  <c r="D7" i="2"/>
  <c r="J14" i="2"/>
  <c r="C16" i="2" s="1"/>
  <c r="C20" i="2" s="1"/>
  <c r="J13" i="2"/>
  <c r="B16" i="2" s="1"/>
  <c r="L14" i="2"/>
  <c r="C18" i="2" s="1"/>
  <c r="L13" i="2"/>
  <c r="B18" i="2" s="1"/>
  <c r="D9" i="2"/>
  <c r="B20" i="2" l="1"/>
  <c r="L69" i="1"/>
  <c r="C61" i="1" s="1"/>
  <c r="D61" i="1" l="1"/>
  <c r="H60" i="1"/>
  <c r="F60" i="1"/>
  <c r="K56" i="1" s="1"/>
  <c r="C58" i="1" s="1"/>
</calcChain>
</file>

<file path=xl/sharedStrings.xml><?xml version="1.0" encoding="utf-8"?>
<sst xmlns="http://schemas.openxmlformats.org/spreadsheetml/2006/main" count="498" uniqueCount="274">
  <si>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</si>
  <si>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</si>
  <si>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</si>
  <si>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</si>
  <si>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</si>
  <si>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</si>
  <si>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</si>
  <si>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</si>
  <si>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</si>
  <si>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</si>
  <si>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</si>
  <si>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</si>
  <si>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</si>
  <si>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</si>
  <si>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</si>
  <si>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</si>
  <si>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</si>
  <si>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</si>
  <si>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</si>
  <si>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</si>
  <si>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</si>
  <si>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</si>
  <si>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</si>
  <si>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</si>
  <si>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</si>
  <si>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</si>
  <si>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</si>
  <si>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</si>
  <si>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</si>
  <si>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</si>
  <si>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</si>
  <si>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</si>
  <si>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</si>
  <si>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</si>
  <si>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</si>
  <si>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</si>
  <si>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</si>
  <si>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</si>
  <si>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</si>
  <si>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</si>
  <si>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</si>
  <si>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</si>
  <si>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</si>
  <si>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</si>
  <si>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</si>
  <si>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</si>
  <si>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</si>
  <si>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</si>
  <si>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</si>
  <si>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</si>
  <si>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</si>
  <si>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</si>
  <si>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</si>
  <si>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</si>
  <si>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</si>
  <si>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</si>
  <si>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</si>
  <si>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</si>
  <si>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</si>
  <si>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area of the building in Sq.Mt</t>
  </si>
  <si>
    <t>Approved no of units</t>
  </si>
  <si>
    <t>Approved no of Floors</t>
  </si>
  <si>
    <t>Projected life of the structure: 60 Years After Completion</t>
  </si>
  <si>
    <t>Type of Work</t>
  </si>
  <si>
    <t>Plinth</t>
  </si>
  <si>
    <t>RCC</t>
  </si>
  <si>
    <t>Plaster</t>
  </si>
  <si>
    <t>Flooring</t>
  </si>
  <si>
    <t>Finishing</t>
  </si>
  <si>
    <t>Violations Observed if any : NA</t>
  </si>
  <si>
    <t>Recommended Rates of the Property :</t>
  </si>
  <si>
    <t>Floor rise rate  Per Sq. Ft.</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</si>
  <si>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</si>
  <si>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</si>
  <si>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</si>
  <si>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</si>
  <si>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</si>
  <si>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</si>
  <si>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</si>
  <si>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</si>
  <si>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</si>
  <si>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</si>
  <si>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</si>
  <si>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</si>
  <si>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</si>
  <si>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</si>
  <si>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</si>
  <si>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</si>
  <si>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</si>
  <si>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</si>
  <si>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</si>
  <si>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</si>
  <si>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</si>
  <si>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</si>
  <si>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</si>
  <si>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</si>
  <si>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</si>
  <si>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</si>
  <si>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</si>
  <si>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</si>
  <si>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</si>
  <si>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</si>
  <si>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</si>
  <si>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</si>
  <si>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</si>
  <si>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</si>
  <si>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</si>
  <si>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</si>
  <si>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</si>
  <si>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</si>
  <si>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</si>
  <si>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</si>
  <si>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</si>
  <si>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</si>
  <si>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</si>
  <si>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</si>
  <si>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</si>
  <si>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</si>
  <si>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</si>
  <si>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</si>
  <si>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</si>
  <si>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</si>
  <si>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</si>
  <si>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</si>
  <si>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</si>
  <si>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</si>
  <si>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</si>
  <si>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</si>
  <si>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</si>
  <si>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</si>
  <si>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</si>
  <si>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</si>
  <si>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Total Slab</t>
  </si>
  <si>
    <t>Basement</t>
  </si>
  <si>
    <t>Podium</t>
  </si>
  <si>
    <t>Ground</t>
  </si>
  <si>
    <t>Upper Floor</t>
  </si>
  <si>
    <t>CTS/ Survey No</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</si>
  <si>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</si>
  <si>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</si>
  <si>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</si>
  <si>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</si>
  <si>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</si>
  <si>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</si>
  <si>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</si>
  <si>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</si>
  <si>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</si>
  <si>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</si>
  <si>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</si>
  <si>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</si>
  <si>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</si>
  <si>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</si>
  <si>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</si>
  <si>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</si>
  <si>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</si>
  <si>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</si>
  <si>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</si>
  <si>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</si>
  <si>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</si>
  <si>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</si>
  <si>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</si>
  <si>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</si>
  <si>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</si>
  <si>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</si>
  <si>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</si>
  <si>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</si>
  <si>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</si>
  <si>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</si>
  <si>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</si>
  <si>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</si>
  <si>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</si>
  <si>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</si>
  <si>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</si>
  <si>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</si>
  <si>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</si>
  <si>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M/s. Unnati Estate</t>
  </si>
  <si>
    <t>022-25847000</t>
  </si>
  <si>
    <t>Thane</t>
  </si>
  <si>
    <t>Kavesar</t>
  </si>
  <si>
    <t>Traffic Theme Park</t>
  </si>
  <si>
    <t xml:space="preserve">Residential </t>
  </si>
  <si>
    <t>Building A</t>
  </si>
  <si>
    <t>1st Floor</t>
  </si>
  <si>
    <t>2nd</t>
  </si>
  <si>
    <t>di8ning</t>
  </si>
  <si>
    <t>Proposed no of Floors</t>
  </si>
  <si>
    <t>2 BHK</t>
  </si>
  <si>
    <t>As per plan</t>
  </si>
  <si>
    <t>01 Building</t>
  </si>
  <si>
    <t>Flat No.
(As per Approved Plan)</t>
  </si>
  <si>
    <t>No. of Flats</t>
  </si>
  <si>
    <t>About 17.5Km from Mira Road Railway Station</t>
  </si>
  <si>
    <t>Open Plot</t>
  </si>
  <si>
    <t>Builder Saleable area</t>
  </si>
  <si>
    <t>Ground Floor is For Parking</t>
  </si>
  <si>
    <t>Development charges</t>
  </si>
  <si>
    <t>100/- per floor from 2nd Floor</t>
  </si>
  <si>
    <t>Infrastructure charges</t>
  </si>
  <si>
    <t>Park Side</t>
  </si>
  <si>
    <t xml:space="preserve">Unnati Woods Phase VIII </t>
  </si>
  <si>
    <t>Vijay - Vilas Road</t>
  </si>
  <si>
    <t>20/10/2020.</t>
  </si>
  <si>
    <t>Market Research Data</t>
  </si>
  <si>
    <t>Source</t>
  </si>
  <si>
    <t>Distance from proposed property</t>
  </si>
  <si>
    <t>Net Carpet</t>
  </si>
  <si>
    <t>Saleable Area</t>
  </si>
  <si>
    <t>Rate on Saleable</t>
  </si>
  <si>
    <t>Market Value</t>
  </si>
  <si>
    <t>commonfloor</t>
  </si>
  <si>
    <t>2BHK</t>
  </si>
  <si>
    <t>magicbricks</t>
  </si>
  <si>
    <t>3brick.</t>
  </si>
  <si>
    <t>Average</t>
  </si>
  <si>
    <t xml:space="preserve">Valuation Adopted </t>
  </si>
  <si>
    <t>Dhanashree</t>
  </si>
  <si>
    <t>OLD APF</t>
  </si>
  <si>
    <t>Rate has not Changed</t>
  </si>
  <si>
    <t>Pratiksha</t>
  </si>
  <si>
    <t>Flats =  141</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</si>
  <si>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</si>
  <si>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</si>
  <si>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</si>
  <si>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</si>
  <si>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</si>
  <si>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</si>
  <si>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</si>
  <si>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</si>
  <si>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</si>
  <si>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</si>
  <si>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</si>
  <si>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</si>
  <si>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</si>
  <si>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</si>
  <si>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</si>
  <si>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</si>
  <si>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</si>
  <si>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</si>
  <si>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</si>
  <si>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</si>
  <si>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</si>
  <si>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</si>
  <si>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</si>
  <si>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</si>
  <si>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Quality of construction: Good</t>
  </si>
  <si>
    <t>Wheather the construction is as per approved Building plan :Under Construction</t>
  </si>
  <si>
    <t>Ajay Songare</t>
  </si>
  <si>
    <t>Material laying at Site:</t>
  </si>
  <si>
    <t>Thane West</t>
  </si>
  <si>
    <t>Office No. 1031, Wing J, Akshar Business Park, Plot No. 03 Sector 25, Near APMC Market, Vashi, Navi Mumbai, Maharashtra 400703 TEL: 022-46090378/79/80                                                                                             E mail : vsjcapf@gmail.com. Web site : www.vsjadon.com</t>
  </si>
  <si>
    <t>Location Link</t>
  </si>
  <si>
    <t>https://goo.gl/maps/Kn97CUFyMoxQrjT16?coh=178572&amp;entry=tt</t>
  </si>
  <si>
    <t>19.267776,72.97234</t>
  </si>
  <si>
    <t>Building A - Stilt + 1st to 45th Floors</t>
  </si>
  <si>
    <t xml:space="preserve">Commencement Certificate No.
Valid Up to: </t>
  </si>
  <si>
    <t xml:space="preserve">S06/0307/18/2(V.P.No.TMCB/TDD/0032/[P/C]/2023/AutoDCR)
A-1 (Unnathi Woods Supreme)
Gr + 1st to 45th Floor                               </t>
  </si>
  <si>
    <t>244/13, 244/14/2(pt), 250/1/A,250/2/A,250/3, 251/5/A, 244/16B</t>
  </si>
  <si>
    <t>TMCB/TDD/0032/[P/C]/2023/AutoDCR</t>
  </si>
  <si>
    <t>2nd to 7th, 9th to 12th, 14th to 17th, 19th to 22nd &amp; 24th Floor</t>
  </si>
  <si>
    <t>8th, 13th &amp; 18th Floor (Refuge Area)</t>
  </si>
  <si>
    <t>28th, 33rd, 38th, 43rd Floor (Refuge Area)</t>
  </si>
  <si>
    <t>Refuge Area</t>
  </si>
  <si>
    <t xml:space="preserve">23rd Floor recreational &amp; Refuge Floor </t>
  </si>
  <si>
    <t>Layout Plan:</t>
  </si>
  <si>
    <t>25th to 27th, 29th to 32nd, 34th to 37th, 39th to 42nd, 44th &amp; 45th Floor</t>
  </si>
  <si>
    <t>Bricks, Cement &amp; Steel etc.</t>
  </si>
  <si>
    <t>1. Construction work is in process at the time of Visit. Internal visit was not allowed.
2. We considered Saleable area as per Builder area sheet.
3. We considered Carpet area as per Approved Plan.
4. We considered Gross carpet area = Net carpet + Open balcony + C.B Area + W.E.P Area.
5. We have considered rate by verifying it from market inquire.
6. Car parking is subjected to authentic documentation. 
7. We have considered Other charges from cost sheet.
8. Building B is commercial School type Building, hence we are not considerd in report.
9. We have updated revised approved CC from RERA site on 14/03/2024.
10. We have considered proposed No. of Floor for Stage Calculation.
11. We have updated revised approved floor plan &amp; C.C (on 24/09/2024).
9. On site, we meet Mr.Prashant Salve - 9769963380.</t>
  </si>
  <si>
    <t>Gaurav Panchal</t>
  </si>
  <si>
    <t>Changed on 13/09/2025</t>
  </si>
  <si>
    <t>19.267656,72.972880</t>
  </si>
  <si>
    <t>https://maps.app.goo.gl/nKVSeuVQBhYJ1jUKA</t>
  </si>
  <si>
    <t>Unnathi Woods Phase VIII</t>
  </si>
  <si>
    <t>P51700020921</t>
  </si>
  <si>
    <t>Building A (Supreme)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</si>
</sst>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color theme="1"/>
      <name val="Times New Roman"/>
      <family val="1"/>
    </font>
    <font>
      <sz val="11"/>
      <color rgb="FFFF0000"/>
      <name val="Calibri"/>
      <family val="2"/>
      <scheme val="minor"/>
    </font>
    <font>
      <u/>
      <sz val="11"/>
      <color theme="10"/>
      <name val="Calibri"/>
      <family val="2"/>
    </font>
    <font>
      <sz val="11"/>
      <name val="Calibri"/>
      <family val="2"/>
    </font>
    <font>
      <sz val="11"/>
      <color rgb="FFFF0000"/>
      <name val="Calibri"/>
      <family val="2"/>
    </font>
    <font>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0" fontId="21" fillId="0" borderId="0" applyNumberFormat="0" applyFill="0" applyBorder="0" applyAlignment="0" applyProtection="0"/>
    <xf numFmtId="164" fontId="6" fillId="0" borderId="0" applyFont="0" applyFill="0" applyBorder="0" applyAlignment="0" applyProtection="0"/>
  </cellStyleXfs>
  <cellXfs count="253">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applyAlignment="1">
      <alignment horizontal="right"/>
    </xf>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4" fillId="0" borderId="0" xfId="1" applyFont="1"/>
    <xf numFmtId="0" fontId="6" fillId="0" borderId="0" xfId="5"/>
    <xf numFmtId="0" fontId="1" fillId="0" borderId="0" xfId="6"/>
    <xf numFmtId="0" fontId="10" fillId="0" borderId="4" xfId="6" applyFont="1" applyBorder="1" applyAlignment="1">
      <alignment horizontal="center" vertical="top" wrapText="1"/>
    </xf>
    <xf numFmtId="0" fontId="22" fillId="0" borderId="4" xfId="7" applyFont="1" applyBorder="1" applyAlignment="1">
      <alignment horizontal="center" vertical="top" wrapText="1"/>
    </xf>
    <xf numFmtId="0" fontId="1" fillId="0" borderId="4" xfId="6" applyBorder="1" applyAlignment="1">
      <alignment horizontal="left" vertical="center"/>
    </xf>
    <xf numFmtId="0" fontId="1" fillId="0" borderId="4" xfId="6" applyBorder="1" applyAlignment="1">
      <alignment horizontal="center" vertical="center"/>
    </xf>
    <xf numFmtId="1" fontId="1" fillId="0" borderId="4" xfId="6" applyNumberFormat="1" applyBorder="1" applyAlignment="1">
      <alignment horizontal="center" vertical="center"/>
    </xf>
    <xf numFmtId="166" fontId="1" fillId="0" borderId="4" xfId="8" applyNumberFormat="1" applyFont="1" applyBorder="1" applyAlignment="1">
      <alignment horizontal="right" vertical="center"/>
    </xf>
    <xf numFmtId="43" fontId="6" fillId="0" borderId="0" xfId="5" applyNumberFormat="1"/>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3" fillId="0" borderId="0" xfId="5" applyFont="1"/>
    <xf numFmtId="1" fontId="6" fillId="0" borderId="0" xfId="5" applyNumberFormat="1"/>
    <xf numFmtId="0" fontId="6" fillId="0" borderId="0" xfId="5" applyAlignment="1">
      <alignment wrapText="1"/>
    </xf>
    <xf numFmtId="14" fontId="0" fillId="0" borderId="0" xfId="0" applyNumberFormat="1"/>
    <xf numFmtId="0" fontId="8" fillId="0" borderId="19" xfId="1" applyFont="1" applyBorder="1" applyProtection="1">
      <protection hidden="1"/>
    </xf>
    <xf numFmtId="0" fontId="8" fillId="0" borderId="20" xfId="1" applyFont="1" applyBorder="1" applyProtection="1">
      <protection hidden="1"/>
    </xf>
    <xf numFmtId="0" fontId="8" fillId="0" borderId="0" xfId="1" applyFont="1" applyProtection="1">
      <protection hidden="1"/>
    </xf>
    <xf numFmtId="0" fontId="8" fillId="0" borderId="23" xfId="1" applyFont="1" applyBorder="1" applyProtection="1">
      <protection hidden="1"/>
    </xf>
    <xf numFmtId="0" fontId="8" fillId="0" borderId="23" xfId="1" applyFont="1" applyBorder="1"/>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4" xfId="1" applyFont="1" applyBorder="1" applyAlignment="1" applyProtection="1">
      <alignment horizontal="center" vertical="top" wrapText="1"/>
      <protection locked="0"/>
    </xf>
    <xf numFmtId="0" fontId="17" fillId="0" borderId="0" xfId="0" applyFont="1" applyProtection="1">
      <protection hidden="1"/>
    </xf>
    <xf numFmtId="0" fontId="14" fillId="0" borderId="4" xfId="1" applyFont="1" applyBorder="1" applyAlignment="1" applyProtection="1">
      <alignment horizontal="center" wrapText="1"/>
      <protection locked="0"/>
    </xf>
    <xf numFmtId="0" fontId="17" fillId="0" borderId="23" xfId="0" applyFont="1" applyBorder="1" applyProtection="1">
      <protection hidden="1"/>
    </xf>
    <xf numFmtId="1" fontId="14" fillId="0" borderId="4" xfId="1"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14" fillId="0" borderId="25" xfId="1" applyFont="1" applyBorder="1" applyAlignment="1" applyProtection="1">
      <alignment horizontal="center" wrapText="1"/>
      <protection locked="0"/>
    </xf>
    <xf numFmtId="0" fontId="17" fillId="0" borderId="26" xfId="0" applyFont="1" applyBorder="1" applyProtection="1">
      <protection hidden="1"/>
    </xf>
    <xf numFmtId="1" fontId="0" fillId="0" borderId="27" xfId="0" applyNumberFormat="1" applyBorder="1"/>
    <xf numFmtId="0" fontId="24" fillId="0" borderId="0" xfId="1" applyFont="1"/>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4" xfId="1" applyNumberFormat="1" applyFont="1" applyBorder="1" applyAlignment="1">
      <alignment horizontal="center" vertical="center" wrapText="1"/>
    </xf>
    <xf numFmtId="0" fontId="8" fillId="0" borderId="31" xfId="1" applyFont="1" applyBorder="1" applyAlignment="1">
      <alignment horizontal="left" vertical="top"/>
    </xf>
    <xf numFmtId="0" fontId="8" fillId="0" borderId="34" xfId="1" applyFont="1" applyBorder="1" applyAlignment="1">
      <alignment horizontal="left" vertical="top"/>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8" xfId="1" applyFont="1" applyBorder="1" applyAlignment="1" applyProtection="1">
      <alignment horizontal="center"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8" xfId="1" applyFont="1" applyBorder="1" applyAlignment="1" applyProtection="1">
      <alignment horizontal="left" vertical="top" wrapText="1"/>
      <protection locked="0"/>
    </xf>
    <xf numFmtId="0" fontId="14" fillId="0" borderId="4"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14" fillId="0" borderId="1" xfId="1" applyFont="1" applyBorder="1" applyAlignment="1">
      <alignment horizontal="center" vertical="top"/>
    </xf>
    <xf numFmtId="0" fontId="14" fillId="0" borderId="3" xfId="1" applyFont="1" applyBorder="1" applyAlignment="1">
      <alignment horizontal="center" vertical="top"/>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14" fillId="0" borderId="21" xfId="1" applyFont="1" applyBorder="1" applyAlignment="1" applyProtection="1">
      <alignment horizontal="center" vertical="top" wrapText="1"/>
      <protection locked="0"/>
    </xf>
    <xf numFmtId="9" fontId="14" fillId="2" borderId="5"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3" xfId="1" applyNumberFormat="1" applyFont="1" applyFill="1" applyBorder="1" applyAlignment="1" applyProtection="1">
      <alignment horizontal="center" vertical="center" wrapText="1"/>
      <protection hidden="1"/>
    </xf>
    <xf numFmtId="9" fontId="14" fillId="2" borderId="33" xfId="1" applyNumberFormat="1" applyFont="1" applyFill="1" applyBorder="1" applyAlignment="1" applyProtection="1">
      <alignment horizontal="center" vertical="center" wrapText="1"/>
      <protection hidden="1"/>
    </xf>
    <xf numFmtId="9" fontId="14" fillId="2" borderId="26" xfId="1" applyNumberFormat="1" applyFont="1" applyFill="1" applyBorder="1" applyAlignment="1" applyProtection="1">
      <alignment horizontal="center" vertical="center" wrapText="1"/>
      <protection hidden="1"/>
    </xf>
    <xf numFmtId="9" fontId="14" fillId="2" borderId="27" xfId="1" applyNumberFormat="1" applyFont="1" applyFill="1" applyBorder="1" applyAlignment="1" applyProtection="1">
      <alignment horizontal="center" vertical="center" wrapText="1"/>
      <protection hidden="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7" fillId="2" borderId="1" xfId="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1" fontId="11" fillId="0" borderId="1" xfId="1" applyNumberFormat="1" applyFont="1" applyBorder="1" applyAlignment="1">
      <alignment horizontal="center" vertical="center" wrapText="1"/>
    </xf>
    <xf numFmtId="1" fontId="11" fillId="0" borderId="2" xfId="1" applyNumberFormat="1" applyFont="1" applyBorder="1" applyAlignment="1">
      <alignment horizontal="center" vertical="center" wrapText="1"/>
    </xf>
    <xf numFmtId="1" fontId="11" fillId="0" borderId="3" xfId="1" applyNumberFormat="1" applyFont="1" applyBorder="1" applyAlignment="1">
      <alignment horizontal="center" vertical="center"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9" fontId="14" fillId="2" borderId="4" xfId="1" applyNumberFormat="1" applyFont="1" applyFill="1" applyBorder="1" applyAlignment="1" applyProtection="1">
      <alignment horizontal="center" vertical="center" wrapText="1"/>
      <protection hidden="1"/>
    </xf>
    <xf numFmtId="9" fontId="14" fillId="2" borderId="25" xfId="1" applyNumberFormat="1" applyFont="1" applyFill="1" applyBorder="1" applyAlignment="1" applyProtection="1">
      <alignment horizontal="center" vertical="center" wrapText="1"/>
      <protection hidden="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9" fillId="2" borderId="1" xfId="1" applyFont="1" applyFill="1" applyBorder="1" applyAlignment="1">
      <alignment horizontal="left" vertical="top"/>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9" fontId="14" fillId="2" borderId="31" xfId="1" applyNumberFormat="1" applyFont="1" applyFill="1" applyBorder="1" applyAlignment="1" applyProtection="1">
      <alignment horizontal="center" vertical="center" wrapText="1"/>
      <protection hidden="1"/>
    </xf>
    <xf numFmtId="9" fontId="14" fillId="2" borderId="32" xfId="1" applyNumberFormat="1" applyFont="1" applyFill="1" applyBorder="1" applyAlignment="1" applyProtection="1">
      <alignment horizontal="center" vertical="center" wrapText="1"/>
      <protection hidden="1"/>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8" fillId="0" borderId="1" xfId="1" applyFont="1" applyBorder="1" applyAlignment="1">
      <alignment horizontal="center" vertical="top" wrapText="1"/>
    </xf>
    <xf numFmtId="0" fontId="8" fillId="0" borderId="3" xfId="1" applyFont="1" applyBorder="1" applyAlignment="1">
      <alignment horizontal="center" vertical="top" wrapText="1"/>
    </xf>
    <xf numFmtId="0" fontId="8" fillId="0" borderId="2" xfId="1" applyFont="1" applyBorder="1" applyAlignment="1">
      <alignment horizontal="center" vertical="top" wrapText="1"/>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21"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4" fillId="0" borderId="29"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14" fillId="0" borderId="24"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0" fontId="7" fillId="0" borderId="4" xfId="1" applyFont="1" applyBorder="1" applyAlignment="1">
      <alignment horizontal="left" vertical="top"/>
    </xf>
    <xf numFmtId="165" fontId="7" fillId="0" borderId="1" xfId="1" applyNumberFormat="1" applyFont="1" applyBorder="1" applyAlignment="1">
      <alignment horizontal="left" vertical="top" wrapText="1"/>
    </xf>
    <xf numFmtId="165" fontId="7" fillId="0" borderId="2" xfId="1" applyNumberFormat="1" applyFont="1" applyBorder="1" applyAlignment="1">
      <alignment horizontal="left" vertical="top" wrapText="1"/>
    </xf>
    <xf numFmtId="165" fontId="7" fillId="0" borderId="3" xfId="1" applyNumberFormat="1" applyFont="1" applyBorder="1" applyAlignment="1">
      <alignment horizontal="left" vertical="top" wrapText="1"/>
    </xf>
    <xf numFmtId="14" fontId="7" fillId="0" borderId="1" xfId="1" applyNumberFormat="1" applyFont="1" applyBorder="1" applyAlignment="1">
      <alignment horizontal="left" vertical="top" wrapText="1"/>
    </xf>
    <xf numFmtId="14" fontId="7" fillId="0" borderId="2" xfId="1" applyNumberFormat="1" applyFont="1" applyBorder="1" applyAlignment="1">
      <alignment horizontal="left" vertical="top" wrapText="1"/>
    </xf>
    <xf numFmtId="14" fontId="7" fillId="0" borderId="3" xfId="1" applyNumberFormat="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21" fillId="0" borderId="1" xfId="7" applyFill="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14" fontId="8" fillId="0" borderId="1" xfId="1" applyNumberFormat="1" applyFont="1" applyBorder="1" applyAlignment="1">
      <alignment horizontal="left" vertical="top"/>
    </xf>
    <xf numFmtId="14" fontId="8" fillId="0" borderId="2" xfId="1" applyNumberFormat="1" applyFont="1" applyBorder="1" applyAlignment="1">
      <alignment horizontal="left" vertical="top"/>
    </xf>
    <xf numFmtId="14" fontId="8" fillId="0" borderId="3" xfId="1" applyNumberFormat="1" applyFont="1" applyBorder="1" applyAlignment="1">
      <alignment horizontal="left" vertical="top"/>
    </xf>
    <xf numFmtId="0" fontId="7" fillId="0" borderId="4" xfId="1" applyFont="1" applyBorder="1" applyAlignment="1">
      <alignment horizontal="left" vertical="top" wrapText="1"/>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10" xfId="1" applyFont="1" applyBorder="1" applyAlignment="1">
      <alignment horizontal="left" vertical="top" wrapText="1"/>
    </xf>
    <xf numFmtId="14" fontId="7" fillId="2" borderId="1" xfId="1" applyNumberFormat="1" applyFont="1" applyFill="1" applyBorder="1" applyAlignment="1">
      <alignment horizontal="left"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8" fillId="0" borderId="4" xfId="1" applyFont="1" applyBorder="1" applyAlignment="1">
      <alignment horizontal="left"/>
    </xf>
    <xf numFmtId="0" fontId="7" fillId="2" borderId="4" xfId="1" applyFont="1" applyFill="1" applyBorder="1" applyAlignment="1">
      <alignment horizontal="left" vertical="top"/>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10" fillId="0" borderId="4" xfId="6" applyFont="1" applyBorder="1" applyAlignment="1">
      <alignment horizontal="left"/>
    </xf>
    <xf numFmtId="0" fontId="17" fillId="0" borderId="4" xfId="0" applyFont="1" applyBorder="1" applyAlignment="1">
      <alignment horizontal="left"/>
    </xf>
    <xf numFmtId="0" fontId="16" fillId="0" borderId="4" xfId="0" applyFont="1" applyBorder="1" applyAlignment="1">
      <alignment horizontal="center"/>
    </xf>
    <xf numFmtId="0" fontId="17"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cellXfs>
  <cellStyles count="9">
    <cellStyle name="Comma 2" xfId="8" xr:uid="{00000000-0005-0000-0000-000000000000}"/>
    <cellStyle name="Excel Built-in Normal" xfId="2" xr:uid="{00000000-0005-0000-0000-000001000000}"/>
    <cellStyle name="Excel Built-in Normal 2" xfId="5" xr:uid="{00000000-0005-0000-0000-000002000000}"/>
    <cellStyle name="Hyperlink" xfId="7"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1.jpg"/><Relationship Id="rId1" Type="http://schemas.openxmlformats.org/officeDocument/2006/relationships/image" Target="../media/image20.jpg"/></Relationships>
</file>

<file path=xl/drawings/_rels/drawing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6.png"/><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237</xdr:row>
      <xdr:rowOff>92108</xdr:rowOff>
    </xdr:from>
    <xdr:to>
      <xdr:col>8</xdr:col>
      <xdr:colOff>512923</xdr:colOff>
      <xdr:row>255</xdr:row>
      <xdr:rowOff>91659</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6" y="43604549"/>
          <a:ext cx="5873562" cy="3630256"/>
        </a:xfrm>
        <a:prstGeom prst="rect">
          <a:avLst/>
        </a:prstGeom>
        <a:ln>
          <a:solidFill>
            <a:schemeClr val="tx1">
              <a:lumMod val="85000"/>
              <a:lumOff val="15000"/>
            </a:schemeClr>
          </a:solidFill>
        </a:ln>
      </xdr:spPr>
    </xdr:pic>
    <xdr:clientData/>
  </xdr:twoCellAnchor>
  <xdr:twoCellAnchor editAs="oneCell">
    <xdr:from>
      <xdr:col>0</xdr:col>
      <xdr:colOff>200025</xdr:colOff>
      <xdr:row>218</xdr:row>
      <xdr:rowOff>112060</xdr:rowOff>
    </xdr:from>
    <xdr:to>
      <xdr:col>8</xdr:col>
      <xdr:colOff>512923</xdr:colOff>
      <xdr:row>236</xdr:row>
      <xdr:rowOff>114412</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00025" y="39792089"/>
          <a:ext cx="5873563" cy="3633058"/>
        </a:xfrm>
        <a:prstGeom prst="rect">
          <a:avLst/>
        </a:prstGeom>
        <a:ln>
          <a:solidFill>
            <a:schemeClr val="tx1">
              <a:lumMod val="85000"/>
              <a:lumOff val="15000"/>
            </a:schemeClr>
          </a:solidFill>
        </a:ln>
      </xdr:spPr>
    </xdr:pic>
    <xdr:clientData/>
  </xdr:twoCellAnchor>
  <xdr:twoCellAnchor editAs="oneCell">
    <xdr:from>
      <xdr:col>2</xdr:col>
      <xdr:colOff>399474</xdr:colOff>
      <xdr:row>202</xdr:row>
      <xdr:rowOff>197305</xdr:rowOff>
    </xdr:from>
    <xdr:to>
      <xdr:col>5</xdr:col>
      <xdr:colOff>586975</xdr:colOff>
      <xdr:row>215</xdr:row>
      <xdr:rowOff>40898</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a:stretch>
          <a:fillRect/>
        </a:stretch>
      </xdr:blipFill>
      <xdr:spPr>
        <a:xfrm>
          <a:off x="1773795" y="46325519"/>
          <a:ext cx="2024466" cy="2496986"/>
        </a:xfrm>
        <a:prstGeom prst="rect">
          <a:avLst/>
        </a:prstGeom>
        <a:ln>
          <a:solidFill>
            <a:schemeClr val="tx1"/>
          </a:solidFill>
        </a:ln>
      </xdr:spPr>
    </xdr:pic>
    <xdr:clientData/>
  </xdr:twoCellAnchor>
  <xdr:twoCellAnchor editAs="oneCell">
    <xdr:from>
      <xdr:col>1</xdr:col>
      <xdr:colOff>394608</xdr:colOff>
      <xdr:row>177</xdr:row>
      <xdr:rowOff>134084</xdr:rowOff>
    </xdr:from>
    <xdr:to>
      <xdr:col>7</xdr:col>
      <xdr:colOff>418940</xdr:colOff>
      <xdr:row>202</xdr:row>
      <xdr:rowOff>85013</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a:stretch>
          <a:fillRect/>
        </a:stretch>
      </xdr:blipFill>
      <xdr:spPr>
        <a:xfrm>
          <a:off x="1020537" y="41173227"/>
          <a:ext cx="3793510" cy="5040000"/>
        </a:xfrm>
        <a:prstGeom prst="rect">
          <a:avLst/>
        </a:prstGeom>
        <a:ln>
          <a:solidFill>
            <a:schemeClr val="tx1"/>
          </a:solidFill>
        </a:ln>
      </xdr:spPr>
    </xdr:pic>
    <xdr:clientData/>
  </xdr:twoCellAnchor>
  <xdr:twoCellAnchor>
    <xdr:from>
      <xdr:col>12</xdr:col>
      <xdr:colOff>378812</xdr:colOff>
      <xdr:row>139</xdr:row>
      <xdr:rowOff>57150</xdr:rowOff>
    </xdr:from>
    <xdr:to>
      <xdr:col>21</xdr:col>
      <xdr:colOff>615926</xdr:colOff>
      <xdr:row>172</xdr:row>
      <xdr:rowOff>144605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495892" y="32487870"/>
          <a:ext cx="5860674" cy="6617795"/>
          <a:chOff x="211172" y="32946975"/>
          <a:chExt cx="5683509" cy="6678755"/>
        </a:xfrm>
      </xdr:grpSpPr>
      <xdr:pic>
        <xdr:nvPicPr>
          <xdr:cNvPr id="16" name="Picture 15" descr="https://vsjcllp.vsjadon.com/upload/insp-220685-1525.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105150" y="36766500"/>
            <a:ext cx="2142189" cy="28592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20685-843.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11172" y="32946975"/>
            <a:ext cx="2797434" cy="3733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20685-849.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876300" y="36766500"/>
            <a:ext cx="2142189" cy="28592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20685-851.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097247" y="32946975"/>
            <a:ext cx="2797434" cy="3733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11</xdr:col>
      <xdr:colOff>554355</xdr:colOff>
      <xdr:row>141</xdr:row>
      <xdr:rowOff>51435</xdr:rowOff>
    </xdr:from>
    <xdr:to>
      <xdr:col>21</xdr:col>
      <xdr:colOff>273235</xdr:colOff>
      <xdr:row>174</xdr:row>
      <xdr:rowOff>71171</xdr:rowOff>
    </xdr:to>
    <xdr:grpSp>
      <xdr:nvGrpSpPr>
        <xdr:cNvPr id="2" name="Group 1">
          <a:extLst>
            <a:ext uri="{FF2B5EF4-FFF2-40B4-BE49-F238E27FC236}">
              <a16:creationId xmlns:a16="http://schemas.microsoft.com/office/drawing/2014/main" id="{7705BF82-B635-3FB3-7878-B70D0A5728EF}"/>
            </a:ext>
          </a:extLst>
        </xdr:cNvPr>
        <xdr:cNvGrpSpPr/>
      </xdr:nvGrpSpPr>
      <xdr:grpSpPr>
        <a:xfrm>
          <a:off x="7046595" y="32878395"/>
          <a:ext cx="5967280" cy="6550076"/>
          <a:chOff x="316955" y="123913"/>
          <a:chExt cx="5992045" cy="6550076"/>
        </a:xfrm>
      </xdr:grpSpPr>
      <xdr:grpSp>
        <xdr:nvGrpSpPr>
          <xdr:cNvPr id="4" name="Group 3">
            <a:extLst>
              <a:ext uri="{FF2B5EF4-FFF2-40B4-BE49-F238E27FC236}">
                <a16:creationId xmlns:a16="http://schemas.microsoft.com/office/drawing/2014/main" id="{89ABC67C-59B3-258B-31CC-BDE241BFC909}"/>
              </a:ext>
            </a:extLst>
          </xdr:cNvPr>
          <xdr:cNvGrpSpPr/>
        </xdr:nvGrpSpPr>
        <xdr:grpSpPr>
          <a:xfrm>
            <a:off x="574495" y="4153989"/>
            <a:ext cx="5476965" cy="2520000"/>
            <a:chOff x="519335" y="4153989"/>
            <a:chExt cx="5476965" cy="2520000"/>
          </a:xfrm>
        </xdr:grpSpPr>
        <xdr:pic>
          <xdr:nvPicPr>
            <xdr:cNvPr id="8" name="Picture 7">
              <a:extLst>
                <a:ext uri="{FF2B5EF4-FFF2-40B4-BE49-F238E27FC236}">
                  <a16:creationId xmlns:a16="http://schemas.microsoft.com/office/drawing/2014/main" id="{0A65B7AA-E013-9579-6300-840D7C837DE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108269" y="4153989"/>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67259923-1244-37CE-DDC9-B7F27CD9156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19335" y="4153989"/>
              <a:ext cx="3356889"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5C6A000E-BFF8-E423-C742-C431FB2FCC1A}"/>
              </a:ext>
            </a:extLst>
          </xdr:cNvPr>
          <xdr:cNvGrpSpPr/>
        </xdr:nvGrpSpPr>
        <xdr:grpSpPr>
          <a:xfrm>
            <a:off x="316955" y="123913"/>
            <a:ext cx="5992045" cy="3844005"/>
            <a:chOff x="316955" y="123913"/>
            <a:chExt cx="5992045" cy="3844005"/>
          </a:xfrm>
        </xdr:grpSpPr>
        <xdr:pic>
          <xdr:nvPicPr>
            <xdr:cNvPr id="6" name="Picture 5">
              <a:extLst>
                <a:ext uri="{FF2B5EF4-FFF2-40B4-BE49-F238E27FC236}">
                  <a16:creationId xmlns:a16="http://schemas.microsoft.com/office/drawing/2014/main" id="{C9F70857-DB21-2728-62DF-B3C6E69D1B4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16955" y="123913"/>
              <a:ext cx="2880000" cy="3844005"/>
            </a:xfrm>
            <a:prstGeom prst="rect">
              <a:avLst/>
            </a:prstGeom>
            <a:ln>
              <a:solidFill>
                <a:schemeClr val="tx1"/>
              </a:solidFill>
            </a:ln>
          </xdr:spPr>
        </xdr:pic>
        <xdr:pic>
          <xdr:nvPicPr>
            <xdr:cNvPr id="7" name="Picture 6">
              <a:extLst>
                <a:ext uri="{FF2B5EF4-FFF2-40B4-BE49-F238E27FC236}">
                  <a16:creationId xmlns:a16="http://schemas.microsoft.com/office/drawing/2014/main" id="{CC713CE7-7DF0-8DE7-0946-CBD42F75F36A}"/>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123913"/>
              <a:ext cx="2880000" cy="3844005"/>
            </a:xfrm>
            <a:prstGeom prst="rect">
              <a:avLst/>
            </a:prstGeom>
            <a:ln>
              <a:solidFill>
                <a:schemeClr val="tx1"/>
              </a:solidFill>
            </a:ln>
          </xdr:spPr>
        </xdr:pic>
      </xdr:grpSp>
    </xdr:grpSp>
    <xdr:clientData/>
  </xdr:twoCellAnchor>
  <xdr:twoCellAnchor>
    <xdr:from>
      <xdr:col>0</xdr:col>
      <xdr:colOff>76200</xdr:colOff>
      <xdr:row>139</xdr:row>
      <xdr:rowOff>76200</xdr:rowOff>
    </xdr:from>
    <xdr:to>
      <xdr:col>9</xdr:col>
      <xdr:colOff>163741</xdr:colOff>
      <xdr:row>168</xdr:row>
      <xdr:rowOff>30109</xdr:rowOff>
    </xdr:to>
    <xdr:grpSp>
      <xdr:nvGrpSpPr>
        <xdr:cNvPr id="20" name="Group 19">
          <a:extLst>
            <a:ext uri="{FF2B5EF4-FFF2-40B4-BE49-F238E27FC236}">
              <a16:creationId xmlns:a16="http://schemas.microsoft.com/office/drawing/2014/main" id="{6D579379-9D51-4A4F-B177-81B0E3068C4C}"/>
            </a:ext>
          </a:extLst>
        </xdr:cNvPr>
        <xdr:cNvGrpSpPr/>
      </xdr:nvGrpSpPr>
      <xdr:grpSpPr>
        <a:xfrm>
          <a:off x="76200" y="32506920"/>
          <a:ext cx="6122581" cy="5691769"/>
          <a:chOff x="366647" y="340659"/>
          <a:chExt cx="5945416" cy="5745109"/>
        </a:xfrm>
      </xdr:grpSpPr>
      <xdr:pic>
        <xdr:nvPicPr>
          <xdr:cNvPr id="21" name="Picture 20">
            <a:extLst>
              <a:ext uri="{FF2B5EF4-FFF2-40B4-BE49-F238E27FC236}">
                <a16:creationId xmlns:a16="http://schemas.microsoft.com/office/drawing/2014/main" id="{B6A20ACB-3221-47FA-AA90-7804491676B4}"/>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05597" y="340659"/>
            <a:ext cx="2697187" cy="3600000"/>
          </a:xfrm>
          <a:prstGeom prst="rect">
            <a:avLst/>
          </a:prstGeom>
          <a:ln>
            <a:solidFill>
              <a:schemeClr val="tx1"/>
            </a:solidFill>
          </a:ln>
        </xdr:spPr>
      </xdr:pic>
      <xdr:pic>
        <xdr:nvPicPr>
          <xdr:cNvPr id="22" name="Picture 21">
            <a:extLst>
              <a:ext uri="{FF2B5EF4-FFF2-40B4-BE49-F238E27FC236}">
                <a16:creationId xmlns:a16="http://schemas.microsoft.com/office/drawing/2014/main" id="{3BBC1E1C-3FA0-4815-9F9F-C586632228DB}"/>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29000" y="340659"/>
            <a:ext cx="2697187" cy="3600000"/>
          </a:xfrm>
          <a:prstGeom prst="rect">
            <a:avLst/>
          </a:prstGeom>
          <a:ln>
            <a:solidFill>
              <a:schemeClr val="tx1"/>
            </a:solidFill>
          </a:ln>
        </xdr:spPr>
      </xdr:pic>
      <xdr:pic>
        <xdr:nvPicPr>
          <xdr:cNvPr id="23" name="Picture 22">
            <a:extLst>
              <a:ext uri="{FF2B5EF4-FFF2-40B4-BE49-F238E27FC236}">
                <a16:creationId xmlns:a16="http://schemas.microsoft.com/office/drawing/2014/main" id="{3A221720-67CF-4A8B-BABA-B118EFC11A0C}"/>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66647" y="4105768"/>
            <a:ext cx="1483453" cy="1980000"/>
          </a:xfrm>
          <a:prstGeom prst="rect">
            <a:avLst/>
          </a:prstGeom>
          <a:ln>
            <a:solidFill>
              <a:schemeClr val="tx1"/>
            </a:solidFill>
          </a:ln>
        </xdr:spPr>
      </xdr:pic>
      <xdr:pic>
        <xdr:nvPicPr>
          <xdr:cNvPr id="24" name="Picture 23">
            <a:extLst>
              <a:ext uri="{FF2B5EF4-FFF2-40B4-BE49-F238E27FC236}">
                <a16:creationId xmlns:a16="http://schemas.microsoft.com/office/drawing/2014/main" id="{5F66A957-2079-4329-A709-8F455E71353C}"/>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020577" y="4105768"/>
            <a:ext cx="2637556" cy="1980000"/>
          </a:xfrm>
          <a:prstGeom prst="rect">
            <a:avLst/>
          </a:prstGeom>
          <a:ln>
            <a:solidFill>
              <a:schemeClr val="tx1"/>
            </a:solidFill>
          </a:ln>
        </xdr:spPr>
      </xdr:pic>
      <xdr:pic>
        <xdr:nvPicPr>
          <xdr:cNvPr id="25" name="Picture 24">
            <a:extLst>
              <a:ext uri="{FF2B5EF4-FFF2-40B4-BE49-F238E27FC236}">
                <a16:creationId xmlns:a16="http://schemas.microsoft.com/office/drawing/2014/main" id="{540D7B57-F172-46AB-AD56-831161BE9221}"/>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828610" y="4105768"/>
            <a:ext cx="1483453" cy="19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336633</xdr:colOff>
      <xdr:row>3</xdr:row>
      <xdr:rowOff>0</xdr:rowOff>
    </xdr:from>
    <xdr:to>
      <xdr:col>12</xdr:col>
      <xdr:colOff>525258</xdr:colOff>
      <xdr:row>26</xdr:row>
      <xdr:rowOff>113760</xdr:rowOff>
    </xdr:to>
    <xdr:pic>
      <xdr:nvPicPr>
        <xdr:cNvPr id="2" name="Picture 1">
          <a:extLst>
            <a:ext uri="{FF2B5EF4-FFF2-40B4-BE49-F238E27FC236}">
              <a16:creationId xmlns:a16="http://schemas.microsoft.com/office/drawing/2014/main" id="{FFF110C2-177A-45B2-B884-5E7036BC4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2453" y="548640"/>
          <a:ext cx="3236625" cy="4320000"/>
        </a:xfrm>
        <a:prstGeom prst="rect">
          <a:avLst/>
        </a:prstGeom>
      </xdr:spPr>
    </xdr:pic>
    <xdr:clientData/>
  </xdr:twoCellAnchor>
  <xdr:twoCellAnchor editAs="oneCell">
    <xdr:from>
      <xdr:col>2</xdr:col>
      <xdr:colOff>0</xdr:colOff>
      <xdr:row>3</xdr:row>
      <xdr:rowOff>0</xdr:rowOff>
    </xdr:from>
    <xdr:to>
      <xdr:col>7</xdr:col>
      <xdr:colOff>188625</xdr:colOff>
      <xdr:row>26</xdr:row>
      <xdr:rowOff>113760</xdr:rowOff>
    </xdr:to>
    <xdr:pic>
      <xdr:nvPicPr>
        <xdr:cNvPr id="3" name="Picture 2">
          <a:extLst>
            <a:ext uri="{FF2B5EF4-FFF2-40B4-BE49-F238E27FC236}">
              <a16:creationId xmlns:a16="http://schemas.microsoft.com/office/drawing/2014/main" id="{C69F39FB-7A08-4FC9-BA7E-2DF014AA51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820" y="548640"/>
          <a:ext cx="3236625" cy="43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354145</xdr:colOff>
      <xdr:row>34</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81025" y="3048000"/>
          <a:ext cx="6754945" cy="3600000"/>
        </a:xfrm>
        <a:prstGeom prst="rect">
          <a:avLst/>
        </a:prstGeom>
        <a:ln>
          <a:solidFill>
            <a:schemeClr val="tx1"/>
          </a:solidFill>
        </a:ln>
      </xdr:spPr>
    </xdr:pic>
    <xdr:clientData/>
  </xdr:twoCellAnchor>
  <xdr:twoCellAnchor editAs="oneCell">
    <xdr:from>
      <xdr:col>1</xdr:col>
      <xdr:colOff>0</xdr:colOff>
      <xdr:row>36</xdr:row>
      <xdr:rowOff>76200</xdr:rowOff>
    </xdr:from>
    <xdr:to>
      <xdr:col>6</xdr:col>
      <xdr:colOff>354145</xdr:colOff>
      <xdr:row>55</xdr:row>
      <xdr:rowOff>56700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81025" y="6934200"/>
          <a:ext cx="6754945" cy="3600000"/>
        </a:xfrm>
        <a:prstGeom prst="rect">
          <a:avLst/>
        </a:prstGeom>
        <a:ln>
          <a:solidFill>
            <a:schemeClr val="tx1"/>
          </a:solidFill>
        </a:ln>
      </xdr:spPr>
    </xdr:pic>
    <xdr:clientData/>
  </xdr:twoCellAnchor>
  <xdr:twoCellAnchor editAs="oneCell">
    <xdr:from>
      <xdr:col>6</xdr:col>
      <xdr:colOff>609600</xdr:colOff>
      <xdr:row>16</xdr:row>
      <xdr:rowOff>0</xdr:rowOff>
    </xdr:from>
    <xdr:to>
      <xdr:col>16</xdr:col>
      <xdr:colOff>211270</xdr:colOff>
      <xdr:row>34</xdr:row>
      <xdr:rowOff>171000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7591425" y="3048000"/>
          <a:ext cx="6754945" cy="3600000"/>
        </a:xfrm>
        <a:prstGeom prst="rect">
          <a:avLst/>
        </a:prstGeom>
        <a:ln>
          <a:solidFill>
            <a:schemeClr val="tx1"/>
          </a:solidFill>
        </a:ln>
      </xdr:spPr>
    </xdr:pic>
    <xdr:clientData/>
  </xdr:twoCellAnchor>
  <xdr:twoCellAnchor editAs="oneCell">
    <xdr:from>
      <xdr:col>6</xdr:col>
      <xdr:colOff>614680</xdr:colOff>
      <xdr:row>36</xdr:row>
      <xdr:rowOff>76200</xdr:rowOff>
    </xdr:from>
    <xdr:to>
      <xdr:col>16</xdr:col>
      <xdr:colOff>216350</xdr:colOff>
      <xdr:row>55</xdr:row>
      <xdr:rowOff>56700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7596505" y="6934200"/>
          <a:ext cx="6754945" cy="3600000"/>
        </a:xfrm>
        <a:prstGeom prst="rect">
          <a:avLst/>
        </a:prstGeom>
        <a:ln>
          <a:solidFill>
            <a:schemeClr val="tx1"/>
          </a:solidFill>
        </a:ln>
      </xdr:spPr>
    </xdr:pic>
    <xdr:clientData/>
  </xdr:twoCellAnchor>
  <xdr:twoCellAnchor editAs="oneCell">
    <xdr:from>
      <xdr:col>8</xdr:col>
      <xdr:colOff>76202</xdr:colOff>
      <xdr:row>0</xdr:row>
      <xdr:rowOff>95250</xdr:rowOff>
    </xdr:from>
    <xdr:to>
      <xdr:col>18</xdr:col>
      <xdr:colOff>257176</xdr:colOff>
      <xdr:row>14</xdr:row>
      <xdr:rowOff>104775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5"/>
        <a:srcRect r="5242" b="25652"/>
        <a:stretch/>
      </xdr:blipFill>
      <xdr:spPr>
        <a:xfrm>
          <a:off x="9486902" y="95250"/>
          <a:ext cx="6067424" cy="2676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12</xdr:col>
      <xdr:colOff>331200</xdr:colOff>
      <xdr:row>27</xdr:row>
      <xdr:rowOff>22500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7136175" y="1122000"/>
          <a:ext cx="2880000" cy="2160000"/>
        </a:xfrm>
        <a:prstGeom prst="rect">
          <a:avLst/>
        </a:prstGeom>
        <a:ln>
          <a:solidFill>
            <a:schemeClr val="tx1"/>
          </a:solidFill>
        </a:ln>
      </xdr:spPr>
    </xdr:pic>
    <xdr:clientData/>
  </xdr:twoCellAnchor>
  <xdr:twoCellAnchor editAs="oneCell">
    <xdr:from>
      <xdr:col>12</xdr:col>
      <xdr:colOff>538888</xdr:colOff>
      <xdr:row>4</xdr:row>
      <xdr:rowOff>14884</xdr:rowOff>
    </xdr:from>
    <xdr:to>
      <xdr:col>15</xdr:col>
      <xdr:colOff>330088</xdr:colOff>
      <xdr:row>23</xdr:row>
      <xdr:rowOff>79384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3863" y="776884"/>
          <a:ext cx="162000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maps/Kn97CUFyMoxQrjT16?coh=178572&amp;entry=tt" TargetMode="External"/><Relationship Id="rId1" Type="http://schemas.openxmlformats.org/officeDocument/2006/relationships/hyperlink" Target="https://maps.app.goo.gl/nKVSeuVQBhYJ1jUK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7"/>
  <sheetViews>
    <sheetView tabSelected="1" view="pageBreakPreview" zoomScaleNormal="100" zoomScaleSheetLayoutView="100" zoomScalePageLayoutView="70" workbookViewId="0">
      <selection activeCell="M13" sqref="M13"/>
    </sheetView>
  </sheetViews>
  <sheetFormatPr defaultRowHeight="15.6" x14ac:dyDescent="0.3"/>
  <cols>
    <col min="1" max="1" width="9.33203125" style="12" customWidth="1"/>
    <col min="2" max="2" width="11.33203125" style="12" customWidth="1"/>
    <col min="3" max="3" width="14.6640625" style="12" customWidth="1"/>
    <col min="4" max="4" width="7.33203125" style="12" customWidth="1"/>
    <col min="5" max="5" width="5.5546875" style="12" customWidth="1"/>
    <col min="6" max="6" width="9.88671875" style="12" customWidth="1"/>
    <col min="7" max="7" width="8" style="12" customWidth="1"/>
    <col min="8" max="8" width="11.33203125" style="12" customWidth="1"/>
    <col min="9" max="9" width="10.5546875" style="12" customWidth="1"/>
    <col min="10" max="10" width="3.109375" style="12" customWidth="1"/>
    <col min="11" max="11" width="3.5546875" style="12" customWidth="1"/>
    <col min="12" max="256" width="9.109375" style="12"/>
    <col min="257" max="257" width="8.6640625" style="12" customWidth="1"/>
    <col min="258" max="258" width="9.88671875" style="12" customWidth="1"/>
    <col min="259" max="259" width="14.44140625" style="12" customWidth="1"/>
    <col min="260" max="260" width="7.33203125" style="12" customWidth="1"/>
    <col min="261" max="261" width="5.5546875" style="12" customWidth="1"/>
    <col min="262" max="262" width="9" style="12" customWidth="1"/>
    <col min="263" max="264" width="9.88671875" style="12" customWidth="1"/>
    <col min="265" max="265" width="11.109375" style="12" customWidth="1"/>
    <col min="266" max="266" width="2.88671875" style="12" customWidth="1"/>
    <col min="267" max="267" width="3.5546875" style="12" customWidth="1"/>
    <col min="268" max="512" width="9.109375" style="12"/>
    <col min="513" max="513" width="8.6640625" style="12" customWidth="1"/>
    <col min="514" max="514" width="9.88671875" style="12" customWidth="1"/>
    <col min="515" max="515" width="14.44140625" style="12" customWidth="1"/>
    <col min="516" max="516" width="7.33203125" style="12" customWidth="1"/>
    <col min="517" max="517" width="5.5546875" style="12" customWidth="1"/>
    <col min="518" max="518" width="9" style="12" customWidth="1"/>
    <col min="519" max="520" width="9.88671875" style="12" customWidth="1"/>
    <col min="521" max="521" width="11.109375" style="12" customWidth="1"/>
    <col min="522" max="522" width="2.88671875" style="12" customWidth="1"/>
    <col min="523" max="523" width="3.5546875" style="12" customWidth="1"/>
    <col min="524" max="768" width="9.109375" style="12"/>
    <col min="769" max="769" width="8.6640625" style="12" customWidth="1"/>
    <col min="770" max="770" width="9.88671875" style="12" customWidth="1"/>
    <col min="771" max="771" width="14.44140625" style="12" customWidth="1"/>
    <col min="772" max="772" width="7.33203125" style="12" customWidth="1"/>
    <col min="773" max="773" width="5.5546875" style="12" customWidth="1"/>
    <col min="774" max="774" width="9" style="12" customWidth="1"/>
    <col min="775" max="776" width="9.88671875" style="12" customWidth="1"/>
    <col min="777" max="777" width="11.109375" style="12" customWidth="1"/>
    <col min="778" max="778" width="2.88671875" style="12" customWidth="1"/>
    <col min="779" max="779" width="3.5546875" style="12" customWidth="1"/>
    <col min="780" max="1024" width="9.109375" style="12"/>
    <col min="1025" max="1025" width="8.6640625" style="12" customWidth="1"/>
    <col min="1026" max="1026" width="9.88671875" style="12" customWidth="1"/>
    <col min="1027" max="1027" width="14.44140625" style="12" customWidth="1"/>
    <col min="1028" max="1028" width="7.33203125" style="12" customWidth="1"/>
    <col min="1029" max="1029" width="5.5546875" style="12" customWidth="1"/>
    <col min="1030" max="1030" width="9" style="12" customWidth="1"/>
    <col min="1031" max="1032" width="9.88671875" style="12" customWidth="1"/>
    <col min="1033" max="1033" width="11.109375" style="12" customWidth="1"/>
    <col min="1034" max="1034" width="2.88671875" style="12" customWidth="1"/>
    <col min="1035" max="1035" width="3.5546875" style="12" customWidth="1"/>
    <col min="1036" max="1280" width="9.109375" style="12"/>
    <col min="1281" max="1281" width="8.6640625" style="12" customWidth="1"/>
    <col min="1282" max="1282" width="9.88671875" style="12" customWidth="1"/>
    <col min="1283" max="1283" width="14.44140625" style="12" customWidth="1"/>
    <col min="1284" max="1284" width="7.33203125" style="12" customWidth="1"/>
    <col min="1285" max="1285" width="5.5546875" style="12" customWidth="1"/>
    <col min="1286" max="1286" width="9" style="12" customWidth="1"/>
    <col min="1287" max="1288" width="9.88671875" style="12" customWidth="1"/>
    <col min="1289" max="1289" width="11.109375" style="12" customWidth="1"/>
    <col min="1290" max="1290" width="2.88671875" style="12" customWidth="1"/>
    <col min="1291" max="1291" width="3.5546875" style="12" customWidth="1"/>
    <col min="1292" max="1536" width="9.109375" style="12"/>
    <col min="1537" max="1537" width="8.6640625" style="12" customWidth="1"/>
    <col min="1538" max="1538" width="9.88671875" style="12" customWidth="1"/>
    <col min="1539" max="1539" width="14.44140625" style="12" customWidth="1"/>
    <col min="1540" max="1540" width="7.33203125" style="12" customWidth="1"/>
    <col min="1541" max="1541" width="5.5546875" style="12" customWidth="1"/>
    <col min="1542" max="1542" width="9" style="12" customWidth="1"/>
    <col min="1543" max="1544" width="9.88671875" style="12" customWidth="1"/>
    <col min="1545" max="1545" width="11.109375" style="12" customWidth="1"/>
    <col min="1546" max="1546" width="2.88671875" style="12" customWidth="1"/>
    <col min="1547" max="1547" width="3.5546875" style="12" customWidth="1"/>
    <col min="1548" max="1792" width="9.109375" style="12"/>
    <col min="1793" max="1793" width="8.6640625" style="12" customWidth="1"/>
    <col min="1794" max="1794" width="9.88671875" style="12" customWidth="1"/>
    <col min="1795" max="1795" width="14.44140625" style="12" customWidth="1"/>
    <col min="1796" max="1796" width="7.33203125" style="12" customWidth="1"/>
    <col min="1797" max="1797" width="5.5546875" style="12" customWidth="1"/>
    <col min="1798" max="1798" width="9" style="12" customWidth="1"/>
    <col min="1799" max="1800" width="9.88671875" style="12" customWidth="1"/>
    <col min="1801" max="1801" width="11.109375" style="12" customWidth="1"/>
    <col min="1802" max="1802" width="2.88671875" style="12" customWidth="1"/>
    <col min="1803" max="1803" width="3.5546875" style="12" customWidth="1"/>
    <col min="1804" max="2048" width="9.109375" style="12"/>
    <col min="2049" max="2049" width="8.6640625" style="12" customWidth="1"/>
    <col min="2050" max="2050" width="9.88671875" style="12" customWidth="1"/>
    <col min="2051" max="2051" width="14.44140625" style="12" customWidth="1"/>
    <col min="2052" max="2052" width="7.33203125" style="12" customWidth="1"/>
    <col min="2053" max="2053" width="5.5546875" style="12" customWidth="1"/>
    <col min="2054" max="2054" width="9" style="12" customWidth="1"/>
    <col min="2055" max="2056" width="9.88671875" style="12" customWidth="1"/>
    <col min="2057" max="2057" width="11.109375" style="12" customWidth="1"/>
    <col min="2058" max="2058" width="2.88671875" style="12" customWidth="1"/>
    <col min="2059" max="2059" width="3.5546875" style="12" customWidth="1"/>
    <col min="2060" max="2304" width="9.109375" style="12"/>
    <col min="2305" max="2305" width="8.6640625" style="12" customWidth="1"/>
    <col min="2306" max="2306" width="9.88671875" style="12" customWidth="1"/>
    <col min="2307" max="2307" width="14.44140625" style="12" customWidth="1"/>
    <col min="2308" max="2308" width="7.33203125" style="12" customWidth="1"/>
    <col min="2309" max="2309" width="5.5546875" style="12" customWidth="1"/>
    <col min="2310" max="2310" width="9" style="12" customWidth="1"/>
    <col min="2311" max="2312" width="9.88671875" style="12" customWidth="1"/>
    <col min="2313" max="2313" width="11.109375" style="12" customWidth="1"/>
    <col min="2314" max="2314" width="2.88671875" style="12" customWidth="1"/>
    <col min="2315" max="2315" width="3.5546875" style="12" customWidth="1"/>
    <col min="2316" max="2560" width="9.109375" style="12"/>
    <col min="2561" max="2561" width="8.6640625" style="12" customWidth="1"/>
    <col min="2562" max="2562" width="9.88671875" style="12" customWidth="1"/>
    <col min="2563" max="2563" width="14.44140625" style="12" customWidth="1"/>
    <col min="2564" max="2564" width="7.33203125" style="12" customWidth="1"/>
    <col min="2565" max="2565" width="5.5546875" style="12" customWidth="1"/>
    <col min="2566" max="2566" width="9" style="12" customWidth="1"/>
    <col min="2567" max="2568" width="9.88671875" style="12" customWidth="1"/>
    <col min="2569" max="2569" width="11.109375" style="12" customWidth="1"/>
    <col min="2570" max="2570" width="2.88671875" style="12" customWidth="1"/>
    <col min="2571" max="2571" width="3.5546875" style="12" customWidth="1"/>
    <col min="2572" max="2816" width="9.109375" style="12"/>
    <col min="2817" max="2817" width="8.6640625" style="12" customWidth="1"/>
    <col min="2818" max="2818" width="9.88671875" style="12" customWidth="1"/>
    <col min="2819" max="2819" width="14.44140625" style="12" customWidth="1"/>
    <col min="2820" max="2820" width="7.33203125" style="12" customWidth="1"/>
    <col min="2821" max="2821" width="5.5546875" style="12" customWidth="1"/>
    <col min="2822" max="2822" width="9" style="12" customWidth="1"/>
    <col min="2823" max="2824" width="9.88671875" style="12" customWidth="1"/>
    <col min="2825" max="2825" width="11.109375" style="12" customWidth="1"/>
    <col min="2826" max="2826" width="2.88671875" style="12" customWidth="1"/>
    <col min="2827" max="2827" width="3.5546875" style="12" customWidth="1"/>
    <col min="2828" max="3072" width="9.109375" style="12"/>
    <col min="3073" max="3073" width="8.6640625" style="12" customWidth="1"/>
    <col min="3074" max="3074" width="9.88671875" style="12" customWidth="1"/>
    <col min="3075" max="3075" width="14.44140625" style="12" customWidth="1"/>
    <col min="3076" max="3076" width="7.33203125" style="12" customWidth="1"/>
    <col min="3077" max="3077" width="5.5546875" style="12" customWidth="1"/>
    <col min="3078" max="3078" width="9" style="12" customWidth="1"/>
    <col min="3079" max="3080" width="9.88671875" style="12" customWidth="1"/>
    <col min="3081" max="3081" width="11.109375" style="12" customWidth="1"/>
    <col min="3082" max="3082" width="2.88671875" style="12" customWidth="1"/>
    <col min="3083" max="3083" width="3.5546875" style="12" customWidth="1"/>
    <col min="3084" max="3328" width="9.109375" style="12"/>
    <col min="3329" max="3329" width="8.6640625" style="12" customWidth="1"/>
    <col min="3330" max="3330" width="9.88671875" style="12" customWidth="1"/>
    <col min="3331" max="3331" width="14.44140625" style="12" customWidth="1"/>
    <col min="3332" max="3332" width="7.33203125" style="12" customWidth="1"/>
    <col min="3333" max="3333" width="5.5546875" style="12" customWidth="1"/>
    <col min="3334" max="3334" width="9" style="12" customWidth="1"/>
    <col min="3335" max="3336" width="9.88671875" style="12" customWidth="1"/>
    <col min="3337" max="3337" width="11.109375" style="12" customWidth="1"/>
    <col min="3338" max="3338" width="2.88671875" style="12" customWidth="1"/>
    <col min="3339" max="3339" width="3.5546875" style="12" customWidth="1"/>
    <col min="3340" max="3584" width="9.109375" style="12"/>
    <col min="3585" max="3585" width="8.6640625" style="12" customWidth="1"/>
    <col min="3586" max="3586" width="9.88671875" style="12" customWidth="1"/>
    <col min="3587" max="3587" width="14.44140625" style="12" customWidth="1"/>
    <col min="3588" max="3588" width="7.33203125" style="12" customWidth="1"/>
    <col min="3589" max="3589" width="5.5546875" style="12" customWidth="1"/>
    <col min="3590" max="3590" width="9" style="12" customWidth="1"/>
    <col min="3591" max="3592" width="9.88671875" style="12" customWidth="1"/>
    <col min="3593" max="3593" width="11.109375" style="12" customWidth="1"/>
    <col min="3594" max="3594" width="2.88671875" style="12" customWidth="1"/>
    <col min="3595" max="3595" width="3.5546875" style="12" customWidth="1"/>
    <col min="3596" max="3840" width="9.109375" style="12"/>
    <col min="3841" max="3841" width="8.6640625" style="12" customWidth="1"/>
    <col min="3842" max="3842" width="9.88671875" style="12" customWidth="1"/>
    <col min="3843" max="3843" width="14.44140625" style="12" customWidth="1"/>
    <col min="3844" max="3844" width="7.33203125" style="12" customWidth="1"/>
    <col min="3845" max="3845" width="5.5546875" style="12" customWidth="1"/>
    <col min="3846" max="3846" width="9" style="12" customWidth="1"/>
    <col min="3847" max="3848" width="9.88671875" style="12" customWidth="1"/>
    <col min="3849" max="3849" width="11.109375" style="12" customWidth="1"/>
    <col min="3850" max="3850" width="2.88671875" style="12" customWidth="1"/>
    <col min="3851" max="3851" width="3.5546875" style="12" customWidth="1"/>
    <col min="3852" max="4096" width="9.109375" style="12"/>
    <col min="4097" max="4097" width="8.6640625" style="12" customWidth="1"/>
    <col min="4098" max="4098" width="9.88671875" style="12" customWidth="1"/>
    <col min="4099" max="4099" width="14.44140625" style="12" customWidth="1"/>
    <col min="4100" max="4100" width="7.33203125" style="12" customWidth="1"/>
    <col min="4101" max="4101" width="5.5546875" style="12" customWidth="1"/>
    <col min="4102" max="4102" width="9" style="12" customWidth="1"/>
    <col min="4103" max="4104" width="9.88671875" style="12" customWidth="1"/>
    <col min="4105" max="4105" width="11.109375" style="12" customWidth="1"/>
    <col min="4106" max="4106" width="2.88671875" style="12" customWidth="1"/>
    <col min="4107" max="4107" width="3.5546875" style="12" customWidth="1"/>
    <col min="4108" max="4352" width="9.109375" style="12"/>
    <col min="4353" max="4353" width="8.6640625" style="12" customWidth="1"/>
    <col min="4354" max="4354" width="9.88671875" style="12" customWidth="1"/>
    <col min="4355" max="4355" width="14.44140625" style="12" customWidth="1"/>
    <col min="4356" max="4356" width="7.33203125" style="12" customWidth="1"/>
    <col min="4357" max="4357" width="5.5546875" style="12" customWidth="1"/>
    <col min="4358" max="4358" width="9" style="12" customWidth="1"/>
    <col min="4359" max="4360" width="9.88671875" style="12" customWidth="1"/>
    <col min="4361" max="4361" width="11.109375" style="12" customWidth="1"/>
    <col min="4362" max="4362" width="2.88671875" style="12" customWidth="1"/>
    <col min="4363" max="4363" width="3.5546875" style="12" customWidth="1"/>
    <col min="4364" max="4608" width="9.109375" style="12"/>
    <col min="4609" max="4609" width="8.6640625" style="12" customWidth="1"/>
    <col min="4610" max="4610" width="9.88671875" style="12" customWidth="1"/>
    <col min="4611" max="4611" width="14.44140625" style="12" customWidth="1"/>
    <col min="4612" max="4612" width="7.33203125" style="12" customWidth="1"/>
    <col min="4613" max="4613" width="5.5546875" style="12" customWidth="1"/>
    <col min="4614" max="4614" width="9" style="12" customWidth="1"/>
    <col min="4615" max="4616" width="9.88671875" style="12" customWidth="1"/>
    <col min="4617" max="4617" width="11.109375" style="12" customWidth="1"/>
    <col min="4618" max="4618" width="2.88671875" style="12" customWidth="1"/>
    <col min="4619" max="4619" width="3.5546875" style="12" customWidth="1"/>
    <col min="4620" max="4864" width="9.109375" style="12"/>
    <col min="4865" max="4865" width="8.6640625" style="12" customWidth="1"/>
    <col min="4866" max="4866" width="9.88671875" style="12" customWidth="1"/>
    <col min="4867" max="4867" width="14.44140625" style="12" customWidth="1"/>
    <col min="4868" max="4868" width="7.33203125" style="12" customWidth="1"/>
    <col min="4869" max="4869" width="5.5546875" style="12" customWidth="1"/>
    <col min="4870" max="4870" width="9" style="12" customWidth="1"/>
    <col min="4871" max="4872" width="9.88671875" style="12" customWidth="1"/>
    <col min="4873" max="4873" width="11.109375" style="12" customWidth="1"/>
    <col min="4874" max="4874" width="2.88671875" style="12" customWidth="1"/>
    <col min="4875" max="4875" width="3.5546875" style="12" customWidth="1"/>
    <col min="4876" max="5120" width="9.109375" style="12"/>
    <col min="5121" max="5121" width="8.6640625" style="12" customWidth="1"/>
    <col min="5122" max="5122" width="9.88671875" style="12" customWidth="1"/>
    <col min="5123" max="5123" width="14.44140625" style="12" customWidth="1"/>
    <col min="5124" max="5124" width="7.33203125" style="12" customWidth="1"/>
    <col min="5125" max="5125" width="5.5546875" style="12" customWidth="1"/>
    <col min="5126" max="5126" width="9" style="12" customWidth="1"/>
    <col min="5127" max="5128" width="9.88671875" style="12" customWidth="1"/>
    <col min="5129" max="5129" width="11.109375" style="12" customWidth="1"/>
    <col min="5130" max="5130" width="2.88671875" style="12" customWidth="1"/>
    <col min="5131" max="5131" width="3.5546875" style="12" customWidth="1"/>
    <col min="5132" max="5376" width="9.109375" style="12"/>
    <col min="5377" max="5377" width="8.6640625" style="12" customWidth="1"/>
    <col min="5378" max="5378" width="9.88671875" style="12" customWidth="1"/>
    <col min="5379" max="5379" width="14.44140625" style="12" customWidth="1"/>
    <col min="5380" max="5380" width="7.33203125" style="12" customWidth="1"/>
    <col min="5381" max="5381" width="5.5546875" style="12" customWidth="1"/>
    <col min="5382" max="5382" width="9" style="12" customWidth="1"/>
    <col min="5383" max="5384" width="9.88671875" style="12" customWidth="1"/>
    <col min="5385" max="5385" width="11.109375" style="12" customWidth="1"/>
    <col min="5386" max="5386" width="2.88671875" style="12" customWidth="1"/>
    <col min="5387" max="5387" width="3.5546875" style="12" customWidth="1"/>
    <col min="5388" max="5632" width="9.109375" style="12"/>
    <col min="5633" max="5633" width="8.6640625" style="12" customWidth="1"/>
    <col min="5634" max="5634" width="9.88671875" style="12" customWidth="1"/>
    <col min="5635" max="5635" width="14.44140625" style="12" customWidth="1"/>
    <col min="5636" max="5636" width="7.33203125" style="12" customWidth="1"/>
    <col min="5637" max="5637" width="5.5546875" style="12" customWidth="1"/>
    <col min="5638" max="5638" width="9" style="12" customWidth="1"/>
    <col min="5639" max="5640" width="9.88671875" style="12" customWidth="1"/>
    <col min="5641" max="5641" width="11.109375" style="12" customWidth="1"/>
    <col min="5642" max="5642" width="2.88671875" style="12" customWidth="1"/>
    <col min="5643" max="5643" width="3.5546875" style="12" customWidth="1"/>
    <col min="5644" max="5888" width="9.109375" style="12"/>
    <col min="5889" max="5889" width="8.6640625" style="12" customWidth="1"/>
    <col min="5890" max="5890" width="9.88671875" style="12" customWidth="1"/>
    <col min="5891" max="5891" width="14.44140625" style="12" customWidth="1"/>
    <col min="5892" max="5892" width="7.33203125" style="12" customWidth="1"/>
    <col min="5893" max="5893" width="5.5546875" style="12" customWidth="1"/>
    <col min="5894" max="5894" width="9" style="12" customWidth="1"/>
    <col min="5895" max="5896" width="9.88671875" style="12" customWidth="1"/>
    <col min="5897" max="5897" width="11.109375" style="12" customWidth="1"/>
    <col min="5898" max="5898" width="2.88671875" style="12" customWidth="1"/>
    <col min="5899" max="5899" width="3.5546875" style="12" customWidth="1"/>
    <col min="5900" max="6144" width="9.109375" style="12"/>
    <col min="6145" max="6145" width="8.6640625" style="12" customWidth="1"/>
    <col min="6146" max="6146" width="9.88671875" style="12" customWidth="1"/>
    <col min="6147" max="6147" width="14.44140625" style="12" customWidth="1"/>
    <col min="6148" max="6148" width="7.33203125" style="12" customWidth="1"/>
    <col min="6149" max="6149" width="5.5546875" style="12" customWidth="1"/>
    <col min="6150" max="6150" width="9" style="12" customWidth="1"/>
    <col min="6151" max="6152" width="9.88671875" style="12" customWidth="1"/>
    <col min="6153" max="6153" width="11.109375" style="12" customWidth="1"/>
    <col min="6154" max="6154" width="2.88671875" style="12" customWidth="1"/>
    <col min="6155" max="6155" width="3.5546875" style="12" customWidth="1"/>
    <col min="6156" max="6400" width="9.109375" style="12"/>
    <col min="6401" max="6401" width="8.6640625" style="12" customWidth="1"/>
    <col min="6402" max="6402" width="9.88671875" style="12" customWidth="1"/>
    <col min="6403" max="6403" width="14.44140625" style="12" customWidth="1"/>
    <col min="6404" max="6404" width="7.33203125" style="12" customWidth="1"/>
    <col min="6405" max="6405" width="5.5546875" style="12" customWidth="1"/>
    <col min="6406" max="6406" width="9" style="12" customWidth="1"/>
    <col min="6407" max="6408" width="9.88671875" style="12" customWidth="1"/>
    <col min="6409" max="6409" width="11.109375" style="12" customWidth="1"/>
    <col min="6410" max="6410" width="2.88671875" style="12" customWidth="1"/>
    <col min="6411" max="6411" width="3.5546875" style="12" customWidth="1"/>
    <col min="6412" max="6656" width="9.109375" style="12"/>
    <col min="6657" max="6657" width="8.6640625" style="12" customWidth="1"/>
    <col min="6658" max="6658" width="9.88671875" style="12" customWidth="1"/>
    <col min="6659" max="6659" width="14.44140625" style="12" customWidth="1"/>
    <col min="6660" max="6660" width="7.33203125" style="12" customWidth="1"/>
    <col min="6661" max="6661" width="5.5546875" style="12" customWidth="1"/>
    <col min="6662" max="6662" width="9" style="12" customWidth="1"/>
    <col min="6663" max="6664" width="9.88671875" style="12" customWidth="1"/>
    <col min="6665" max="6665" width="11.109375" style="12" customWidth="1"/>
    <col min="6666" max="6666" width="2.88671875" style="12" customWidth="1"/>
    <col min="6667" max="6667" width="3.5546875" style="12" customWidth="1"/>
    <col min="6668" max="6912" width="9.109375" style="12"/>
    <col min="6913" max="6913" width="8.6640625" style="12" customWidth="1"/>
    <col min="6914" max="6914" width="9.88671875" style="12" customWidth="1"/>
    <col min="6915" max="6915" width="14.44140625" style="12" customWidth="1"/>
    <col min="6916" max="6916" width="7.33203125" style="12" customWidth="1"/>
    <col min="6917" max="6917" width="5.5546875" style="12" customWidth="1"/>
    <col min="6918" max="6918" width="9" style="12" customWidth="1"/>
    <col min="6919" max="6920" width="9.88671875" style="12" customWidth="1"/>
    <col min="6921" max="6921" width="11.109375" style="12" customWidth="1"/>
    <col min="6922" max="6922" width="2.88671875" style="12" customWidth="1"/>
    <col min="6923" max="6923" width="3.5546875" style="12" customWidth="1"/>
    <col min="6924" max="7168" width="9.109375" style="12"/>
    <col min="7169" max="7169" width="8.6640625" style="12" customWidth="1"/>
    <col min="7170" max="7170" width="9.88671875" style="12" customWidth="1"/>
    <col min="7171" max="7171" width="14.44140625" style="12" customWidth="1"/>
    <col min="7172" max="7172" width="7.33203125" style="12" customWidth="1"/>
    <col min="7173" max="7173" width="5.5546875" style="12" customWidth="1"/>
    <col min="7174" max="7174" width="9" style="12" customWidth="1"/>
    <col min="7175" max="7176" width="9.88671875" style="12" customWidth="1"/>
    <col min="7177" max="7177" width="11.109375" style="12" customWidth="1"/>
    <col min="7178" max="7178" width="2.88671875" style="12" customWidth="1"/>
    <col min="7179" max="7179" width="3.5546875" style="12" customWidth="1"/>
    <col min="7180" max="7424" width="9.109375" style="12"/>
    <col min="7425" max="7425" width="8.6640625" style="12" customWidth="1"/>
    <col min="7426" max="7426" width="9.88671875" style="12" customWidth="1"/>
    <col min="7427" max="7427" width="14.44140625" style="12" customWidth="1"/>
    <col min="7428" max="7428" width="7.33203125" style="12" customWidth="1"/>
    <col min="7429" max="7429" width="5.5546875" style="12" customWidth="1"/>
    <col min="7430" max="7430" width="9" style="12" customWidth="1"/>
    <col min="7431" max="7432" width="9.88671875" style="12" customWidth="1"/>
    <col min="7433" max="7433" width="11.109375" style="12" customWidth="1"/>
    <col min="7434" max="7434" width="2.88671875" style="12" customWidth="1"/>
    <col min="7435" max="7435" width="3.5546875" style="12" customWidth="1"/>
    <col min="7436" max="7680" width="9.109375" style="12"/>
    <col min="7681" max="7681" width="8.6640625" style="12" customWidth="1"/>
    <col min="7682" max="7682" width="9.88671875" style="12" customWidth="1"/>
    <col min="7683" max="7683" width="14.44140625" style="12" customWidth="1"/>
    <col min="7684" max="7684" width="7.33203125" style="12" customWidth="1"/>
    <col min="7685" max="7685" width="5.5546875" style="12" customWidth="1"/>
    <col min="7686" max="7686" width="9" style="12" customWidth="1"/>
    <col min="7687" max="7688" width="9.88671875" style="12" customWidth="1"/>
    <col min="7689" max="7689" width="11.109375" style="12" customWidth="1"/>
    <col min="7690" max="7690" width="2.88671875" style="12" customWidth="1"/>
    <col min="7691" max="7691" width="3.5546875" style="12" customWidth="1"/>
    <col min="7692" max="7936" width="9.109375" style="12"/>
    <col min="7937" max="7937" width="8.6640625" style="12" customWidth="1"/>
    <col min="7938" max="7938" width="9.88671875" style="12" customWidth="1"/>
    <col min="7939" max="7939" width="14.44140625" style="12" customWidth="1"/>
    <col min="7940" max="7940" width="7.33203125" style="12" customWidth="1"/>
    <col min="7941" max="7941" width="5.5546875" style="12" customWidth="1"/>
    <col min="7942" max="7942" width="9" style="12" customWidth="1"/>
    <col min="7943" max="7944" width="9.88671875" style="12" customWidth="1"/>
    <col min="7945" max="7945" width="11.109375" style="12" customWidth="1"/>
    <col min="7946" max="7946" width="2.88671875" style="12" customWidth="1"/>
    <col min="7947" max="7947" width="3.5546875" style="12" customWidth="1"/>
    <col min="7948" max="8192" width="9.109375" style="12"/>
    <col min="8193" max="8193" width="8.6640625" style="12" customWidth="1"/>
    <col min="8194" max="8194" width="9.88671875" style="12" customWidth="1"/>
    <col min="8195" max="8195" width="14.44140625" style="12" customWidth="1"/>
    <col min="8196" max="8196" width="7.33203125" style="12" customWidth="1"/>
    <col min="8197" max="8197" width="5.5546875" style="12" customWidth="1"/>
    <col min="8198" max="8198" width="9" style="12" customWidth="1"/>
    <col min="8199" max="8200" width="9.88671875" style="12" customWidth="1"/>
    <col min="8201" max="8201" width="11.109375" style="12" customWidth="1"/>
    <col min="8202" max="8202" width="2.88671875" style="12" customWidth="1"/>
    <col min="8203" max="8203" width="3.5546875" style="12" customWidth="1"/>
    <col min="8204" max="8448" width="9.109375" style="12"/>
    <col min="8449" max="8449" width="8.6640625" style="12" customWidth="1"/>
    <col min="8450" max="8450" width="9.88671875" style="12" customWidth="1"/>
    <col min="8451" max="8451" width="14.44140625" style="12" customWidth="1"/>
    <col min="8452" max="8452" width="7.33203125" style="12" customWidth="1"/>
    <col min="8453" max="8453" width="5.5546875" style="12" customWidth="1"/>
    <col min="8454" max="8454" width="9" style="12" customWidth="1"/>
    <col min="8455" max="8456" width="9.88671875" style="12" customWidth="1"/>
    <col min="8457" max="8457" width="11.109375" style="12" customWidth="1"/>
    <col min="8458" max="8458" width="2.88671875" style="12" customWidth="1"/>
    <col min="8459" max="8459" width="3.5546875" style="12" customWidth="1"/>
    <col min="8460" max="8704" width="9.109375" style="12"/>
    <col min="8705" max="8705" width="8.6640625" style="12" customWidth="1"/>
    <col min="8706" max="8706" width="9.88671875" style="12" customWidth="1"/>
    <col min="8707" max="8707" width="14.44140625" style="12" customWidth="1"/>
    <col min="8708" max="8708" width="7.33203125" style="12" customWidth="1"/>
    <col min="8709" max="8709" width="5.5546875" style="12" customWidth="1"/>
    <col min="8710" max="8710" width="9" style="12" customWidth="1"/>
    <col min="8711" max="8712" width="9.88671875" style="12" customWidth="1"/>
    <col min="8713" max="8713" width="11.109375" style="12" customWidth="1"/>
    <col min="8714" max="8714" width="2.88671875" style="12" customWidth="1"/>
    <col min="8715" max="8715" width="3.5546875" style="12" customWidth="1"/>
    <col min="8716" max="8960" width="9.109375" style="12"/>
    <col min="8961" max="8961" width="8.6640625" style="12" customWidth="1"/>
    <col min="8962" max="8962" width="9.88671875" style="12" customWidth="1"/>
    <col min="8963" max="8963" width="14.44140625" style="12" customWidth="1"/>
    <col min="8964" max="8964" width="7.33203125" style="12" customWidth="1"/>
    <col min="8965" max="8965" width="5.5546875" style="12" customWidth="1"/>
    <col min="8966" max="8966" width="9" style="12" customWidth="1"/>
    <col min="8967" max="8968" width="9.88671875" style="12" customWidth="1"/>
    <col min="8969" max="8969" width="11.109375" style="12" customWidth="1"/>
    <col min="8970" max="8970" width="2.88671875" style="12" customWidth="1"/>
    <col min="8971" max="8971" width="3.5546875" style="12" customWidth="1"/>
    <col min="8972" max="9216" width="9.109375" style="12"/>
    <col min="9217" max="9217" width="8.6640625" style="12" customWidth="1"/>
    <col min="9218" max="9218" width="9.88671875" style="12" customWidth="1"/>
    <col min="9219" max="9219" width="14.44140625" style="12" customWidth="1"/>
    <col min="9220" max="9220" width="7.33203125" style="12" customWidth="1"/>
    <col min="9221" max="9221" width="5.5546875" style="12" customWidth="1"/>
    <col min="9222" max="9222" width="9" style="12" customWidth="1"/>
    <col min="9223" max="9224" width="9.88671875" style="12" customWidth="1"/>
    <col min="9225" max="9225" width="11.109375" style="12" customWidth="1"/>
    <col min="9226" max="9226" width="2.88671875" style="12" customWidth="1"/>
    <col min="9227" max="9227" width="3.5546875" style="12" customWidth="1"/>
    <col min="9228" max="9472" width="9.109375" style="12"/>
    <col min="9473" max="9473" width="8.6640625" style="12" customWidth="1"/>
    <col min="9474" max="9474" width="9.88671875" style="12" customWidth="1"/>
    <col min="9475" max="9475" width="14.44140625" style="12" customWidth="1"/>
    <col min="9476" max="9476" width="7.33203125" style="12" customWidth="1"/>
    <col min="9477" max="9477" width="5.5546875" style="12" customWidth="1"/>
    <col min="9478" max="9478" width="9" style="12" customWidth="1"/>
    <col min="9479" max="9480" width="9.88671875" style="12" customWidth="1"/>
    <col min="9481" max="9481" width="11.109375" style="12" customWidth="1"/>
    <col min="9482" max="9482" width="2.88671875" style="12" customWidth="1"/>
    <col min="9483" max="9483" width="3.5546875" style="12" customWidth="1"/>
    <col min="9484" max="9728" width="9.109375" style="12"/>
    <col min="9729" max="9729" width="8.6640625" style="12" customWidth="1"/>
    <col min="9730" max="9730" width="9.88671875" style="12" customWidth="1"/>
    <col min="9731" max="9731" width="14.44140625" style="12" customWidth="1"/>
    <col min="9732" max="9732" width="7.33203125" style="12" customWidth="1"/>
    <col min="9733" max="9733" width="5.5546875" style="12" customWidth="1"/>
    <col min="9734" max="9734" width="9" style="12" customWidth="1"/>
    <col min="9735" max="9736" width="9.88671875" style="12" customWidth="1"/>
    <col min="9737" max="9737" width="11.109375" style="12" customWidth="1"/>
    <col min="9738" max="9738" width="2.88671875" style="12" customWidth="1"/>
    <col min="9739" max="9739" width="3.5546875" style="12" customWidth="1"/>
    <col min="9740" max="9984" width="9.109375" style="12"/>
    <col min="9985" max="9985" width="8.6640625" style="12" customWidth="1"/>
    <col min="9986" max="9986" width="9.88671875" style="12" customWidth="1"/>
    <col min="9987" max="9987" width="14.44140625" style="12" customWidth="1"/>
    <col min="9988" max="9988" width="7.33203125" style="12" customWidth="1"/>
    <col min="9989" max="9989" width="5.5546875" style="12" customWidth="1"/>
    <col min="9990" max="9990" width="9" style="12" customWidth="1"/>
    <col min="9991" max="9992" width="9.88671875" style="12" customWidth="1"/>
    <col min="9993" max="9993" width="11.109375" style="12" customWidth="1"/>
    <col min="9994" max="9994" width="2.88671875" style="12" customWidth="1"/>
    <col min="9995" max="9995" width="3.5546875" style="12" customWidth="1"/>
    <col min="9996" max="10240" width="9.109375" style="12"/>
    <col min="10241" max="10241" width="8.6640625" style="12" customWidth="1"/>
    <col min="10242" max="10242" width="9.88671875" style="12" customWidth="1"/>
    <col min="10243" max="10243" width="14.44140625" style="12" customWidth="1"/>
    <col min="10244" max="10244" width="7.33203125" style="12" customWidth="1"/>
    <col min="10245" max="10245" width="5.5546875" style="12" customWidth="1"/>
    <col min="10246" max="10246" width="9" style="12" customWidth="1"/>
    <col min="10247" max="10248" width="9.88671875" style="12" customWidth="1"/>
    <col min="10249" max="10249" width="11.109375" style="12" customWidth="1"/>
    <col min="10250" max="10250" width="2.88671875" style="12" customWidth="1"/>
    <col min="10251" max="10251" width="3.5546875" style="12" customWidth="1"/>
    <col min="10252" max="10496" width="9.109375" style="12"/>
    <col min="10497" max="10497" width="8.6640625" style="12" customWidth="1"/>
    <col min="10498" max="10498" width="9.88671875" style="12" customWidth="1"/>
    <col min="10499" max="10499" width="14.44140625" style="12" customWidth="1"/>
    <col min="10500" max="10500" width="7.33203125" style="12" customWidth="1"/>
    <col min="10501" max="10501" width="5.5546875" style="12" customWidth="1"/>
    <col min="10502" max="10502" width="9" style="12" customWidth="1"/>
    <col min="10503" max="10504" width="9.88671875" style="12" customWidth="1"/>
    <col min="10505" max="10505" width="11.109375" style="12" customWidth="1"/>
    <col min="10506" max="10506" width="2.88671875" style="12" customWidth="1"/>
    <col min="10507" max="10507" width="3.5546875" style="12" customWidth="1"/>
    <col min="10508" max="10752" width="9.109375" style="12"/>
    <col min="10753" max="10753" width="8.6640625" style="12" customWidth="1"/>
    <col min="10754" max="10754" width="9.88671875" style="12" customWidth="1"/>
    <col min="10755" max="10755" width="14.44140625" style="12" customWidth="1"/>
    <col min="10756" max="10756" width="7.33203125" style="12" customWidth="1"/>
    <col min="10757" max="10757" width="5.5546875" style="12" customWidth="1"/>
    <col min="10758" max="10758" width="9" style="12" customWidth="1"/>
    <col min="10759" max="10760" width="9.88671875" style="12" customWidth="1"/>
    <col min="10761" max="10761" width="11.109375" style="12" customWidth="1"/>
    <col min="10762" max="10762" width="2.88671875" style="12" customWidth="1"/>
    <col min="10763" max="10763" width="3.5546875" style="12" customWidth="1"/>
    <col min="10764" max="11008" width="9.109375" style="12"/>
    <col min="11009" max="11009" width="8.6640625" style="12" customWidth="1"/>
    <col min="11010" max="11010" width="9.88671875" style="12" customWidth="1"/>
    <col min="11011" max="11011" width="14.44140625" style="12" customWidth="1"/>
    <col min="11012" max="11012" width="7.33203125" style="12" customWidth="1"/>
    <col min="11013" max="11013" width="5.5546875" style="12" customWidth="1"/>
    <col min="11014" max="11014" width="9" style="12" customWidth="1"/>
    <col min="11015" max="11016" width="9.88671875" style="12" customWidth="1"/>
    <col min="11017" max="11017" width="11.109375" style="12" customWidth="1"/>
    <col min="11018" max="11018" width="2.88671875" style="12" customWidth="1"/>
    <col min="11019" max="11019" width="3.5546875" style="12" customWidth="1"/>
    <col min="11020" max="11264" width="9.109375" style="12"/>
    <col min="11265" max="11265" width="8.6640625" style="12" customWidth="1"/>
    <col min="11266" max="11266" width="9.88671875" style="12" customWidth="1"/>
    <col min="11267" max="11267" width="14.44140625" style="12" customWidth="1"/>
    <col min="11268" max="11268" width="7.33203125" style="12" customWidth="1"/>
    <col min="11269" max="11269" width="5.5546875" style="12" customWidth="1"/>
    <col min="11270" max="11270" width="9" style="12" customWidth="1"/>
    <col min="11271" max="11272" width="9.88671875" style="12" customWidth="1"/>
    <col min="11273" max="11273" width="11.109375" style="12" customWidth="1"/>
    <col min="11274" max="11274" width="2.88671875" style="12" customWidth="1"/>
    <col min="11275" max="11275" width="3.5546875" style="12" customWidth="1"/>
    <col min="11276" max="11520" width="9.109375" style="12"/>
    <col min="11521" max="11521" width="8.6640625" style="12" customWidth="1"/>
    <col min="11522" max="11522" width="9.88671875" style="12" customWidth="1"/>
    <col min="11523" max="11523" width="14.44140625" style="12" customWidth="1"/>
    <col min="11524" max="11524" width="7.33203125" style="12" customWidth="1"/>
    <col min="11525" max="11525" width="5.5546875" style="12" customWidth="1"/>
    <col min="11526" max="11526" width="9" style="12" customWidth="1"/>
    <col min="11527" max="11528" width="9.88671875" style="12" customWidth="1"/>
    <col min="11529" max="11529" width="11.109375" style="12" customWidth="1"/>
    <col min="11530" max="11530" width="2.88671875" style="12" customWidth="1"/>
    <col min="11531" max="11531" width="3.5546875" style="12" customWidth="1"/>
    <col min="11532" max="11776" width="9.109375" style="12"/>
    <col min="11777" max="11777" width="8.6640625" style="12" customWidth="1"/>
    <col min="11778" max="11778" width="9.88671875" style="12" customWidth="1"/>
    <col min="11779" max="11779" width="14.44140625" style="12" customWidth="1"/>
    <col min="11780" max="11780" width="7.33203125" style="12" customWidth="1"/>
    <col min="11781" max="11781" width="5.5546875" style="12" customWidth="1"/>
    <col min="11782" max="11782" width="9" style="12" customWidth="1"/>
    <col min="11783" max="11784" width="9.88671875" style="12" customWidth="1"/>
    <col min="11785" max="11785" width="11.109375" style="12" customWidth="1"/>
    <col min="11786" max="11786" width="2.88671875" style="12" customWidth="1"/>
    <col min="11787" max="11787" width="3.5546875" style="12" customWidth="1"/>
    <col min="11788" max="12032" width="9.109375" style="12"/>
    <col min="12033" max="12033" width="8.6640625" style="12" customWidth="1"/>
    <col min="12034" max="12034" width="9.88671875" style="12" customWidth="1"/>
    <col min="12035" max="12035" width="14.44140625" style="12" customWidth="1"/>
    <col min="12036" max="12036" width="7.33203125" style="12" customWidth="1"/>
    <col min="12037" max="12037" width="5.5546875" style="12" customWidth="1"/>
    <col min="12038" max="12038" width="9" style="12" customWidth="1"/>
    <col min="12039" max="12040" width="9.88671875" style="12" customWidth="1"/>
    <col min="12041" max="12041" width="11.109375" style="12" customWidth="1"/>
    <col min="12042" max="12042" width="2.88671875" style="12" customWidth="1"/>
    <col min="12043" max="12043" width="3.5546875" style="12" customWidth="1"/>
    <col min="12044" max="12288" width="9.109375" style="12"/>
    <col min="12289" max="12289" width="8.6640625" style="12" customWidth="1"/>
    <col min="12290" max="12290" width="9.88671875" style="12" customWidth="1"/>
    <col min="12291" max="12291" width="14.44140625" style="12" customWidth="1"/>
    <col min="12292" max="12292" width="7.33203125" style="12" customWidth="1"/>
    <col min="12293" max="12293" width="5.5546875" style="12" customWidth="1"/>
    <col min="12294" max="12294" width="9" style="12" customWidth="1"/>
    <col min="12295" max="12296" width="9.88671875" style="12" customWidth="1"/>
    <col min="12297" max="12297" width="11.109375" style="12" customWidth="1"/>
    <col min="12298" max="12298" width="2.88671875" style="12" customWidth="1"/>
    <col min="12299" max="12299" width="3.5546875" style="12" customWidth="1"/>
    <col min="12300" max="12544" width="9.109375" style="12"/>
    <col min="12545" max="12545" width="8.6640625" style="12" customWidth="1"/>
    <col min="12546" max="12546" width="9.88671875" style="12" customWidth="1"/>
    <col min="12547" max="12547" width="14.44140625" style="12" customWidth="1"/>
    <col min="12548" max="12548" width="7.33203125" style="12" customWidth="1"/>
    <col min="12549" max="12549" width="5.5546875" style="12" customWidth="1"/>
    <col min="12550" max="12550" width="9" style="12" customWidth="1"/>
    <col min="12551" max="12552" width="9.88671875" style="12" customWidth="1"/>
    <col min="12553" max="12553" width="11.109375" style="12" customWidth="1"/>
    <col min="12554" max="12554" width="2.88671875" style="12" customWidth="1"/>
    <col min="12555" max="12555" width="3.5546875" style="12" customWidth="1"/>
    <col min="12556" max="12800" width="9.109375" style="12"/>
    <col min="12801" max="12801" width="8.6640625" style="12" customWidth="1"/>
    <col min="12802" max="12802" width="9.88671875" style="12" customWidth="1"/>
    <col min="12803" max="12803" width="14.44140625" style="12" customWidth="1"/>
    <col min="12804" max="12804" width="7.33203125" style="12" customWidth="1"/>
    <col min="12805" max="12805" width="5.5546875" style="12" customWidth="1"/>
    <col min="12806" max="12806" width="9" style="12" customWidth="1"/>
    <col min="12807" max="12808" width="9.88671875" style="12" customWidth="1"/>
    <col min="12809" max="12809" width="11.109375" style="12" customWidth="1"/>
    <col min="12810" max="12810" width="2.88671875" style="12" customWidth="1"/>
    <col min="12811" max="12811" width="3.5546875" style="12" customWidth="1"/>
    <col min="12812" max="13056" width="9.109375" style="12"/>
    <col min="13057" max="13057" width="8.6640625" style="12" customWidth="1"/>
    <col min="13058" max="13058" width="9.88671875" style="12" customWidth="1"/>
    <col min="13059" max="13059" width="14.44140625" style="12" customWidth="1"/>
    <col min="13060" max="13060" width="7.33203125" style="12" customWidth="1"/>
    <col min="13061" max="13061" width="5.5546875" style="12" customWidth="1"/>
    <col min="13062" max="13062" width="9" style="12" customWidth="1"/>
    <col min="13063" max="13064" width="9.88671875" style="12" customWidth="1"/>
    <col min="13065" max="13065" width="11.109375" style="12" customWidth="1"/>
    <col min="13066" max="13066" width="2.88671875" style="12" customWidth="1"/>
    <col min="13067" max="13067" width="3.5546875" style="12" customWidth="1"/>
    <col min="13068" max="13312" width="9.109375" style="12"/>
    <col min="13313" max="13313" width="8.6640625" style="12" customWidth="1"/>
    <col min="13314" max="13314" width="9.88671875" style="12" customWidth="1"/>
    <col min="13315" max="13315" width="14.44140625" style="12" customWidth="1"/>
    <col min="13316" max="13316" width="7.33203125" style="12" customWidth="1"/>
    <col min="13317" max="13317" width="5.5546875" style="12" customWidth="1"/>
    <col min="13318" max="13318" width="9" style="12" customWidth="1"/>
    <col min="13319" max="13320" width="9.88671875" style="12" customWidth="1"/>
    <col min="13321" max="13321" width="11.109375" style="12" customWidth="1"/>
    <col min="13322" max="13322" width="2.88671875" style="12" customWidth="1"/>
    <col min="13323" max="13323" width="3.5546875" style="12" customWidth="1"/>
    <col min="13324" max="13568" width="9.109375" style="12"/>
    <col min="13569" max="13569" width="8.6640625" style="12" customWidth="1"/>
    <col min="13570" max="13570" width="9.88671875" style="12" customWidth="1"/>
    <col min="13571" max="13571" width="14.44140625" style="12" customWidth="1"/>
    <col min="13572" max="13572" width="7.33203125" style="12" customWidth="1"/>
    <col min="13573" max="13573" width="5.5546875" style="12" customWidth="1"/>
    <col min="13574" max="13574" width="9" style="12" customWidth="1"/>
    <col min="13575" max="13576" width="9.88671875" style="12" customWidth="1"/>
    <col min="13577" max="13577" width="11.109375" style="12" customWidth="1"/>
    <col min="13578" max="13578" width="2.88671875" style="12" customWidth="1"/>
    <col min="13579" max="13579" width="3.5546875" style="12" customWidth="1"/>
    <col min="13580" max="13824" width="9.109375" style="12"/>
    <col min="13825" max="13825" width="8.6640625" style="12" customWidth="1"/>
    <col min="13826" max="13826" width="9.88671875" style="12" customWidth="1"/>
    <col min="13827" max="13827" width="14.44140625" style="12" customWidth="1"/>
    <col min="13828" max="13828" width="7.33203125" style="12" customWidth="1"/>
    <col min="13829" max="13829" width="5.5546875" style="12" customWidth="1"/>
    <col min="13830" max="13830" width="9" style="12" customWidth="1"/>
    <col min="13831" max="13832" width="9.88671875" style="12" customWidth="1"/>
    <col min="13833" max="13833" width="11.109375" style="12" customWidth="1"/>
    <col min="13834" max="13834" width="2.88671875" style="12" customWidth="1"/>
    <col min="13835" max="13835" width="3.5546875" style="12" customWidth="1"/>
    <col min="13836" max="14080" width="9.109375" style="12"/>
    <col min="14081" max="14081" width="8.6640625" style="12" customWidth="1"/>
    <col min="14082" max="14082" width="9.88671875" style="12" customWidth="1"/>
    <col min="14083" max="14083" width="14.44140625" style="12" customWidth="1"/>
    <col min="14084" max="14084" width="7.33203125" style="12" customWidth="1"/>
    <col min="14085" max="14085" width="5.5546875" style="12" customWidth="1"/>
    <col min="14086" max="14086" width="9" style="12" customWidth="1"/>
    <col min="14087" max="14088" width="9.88671875" style="12" customWidth="1"/>
    <col min="14089" max="14089" width="11.109375" style="12" customWidth="1"/>
    <col min="14090" max="14090" width="2.88671875" style="12" customWidth="1"/>
    <col min="14091" max="14091" width="3.5546875" style="12" customWidth="1"/>
    <col min="14092" max="14336" width="9.109375" style="12"/>
    <col min="14337" max="14337" width="8.6640625" style="12" customWidth="1"/>
    <col min="14338" max="14338" width="9.88671875" style="12" customWidth="1"/>
    <col min="14339" max="14339" width="14.44140625" style="12" customWidth="1"/>
    <col min="14340" max="14340" width="7.33203125" style="12" customWidth="1"/>
    <col min="14341" max="14341" width="5.5546875" style="12" customWidth="1"/>
    <col min="14342" max="14342" width="9" style="12" customWidth="1"/>
    <col min="14343" max="14344" width="9.88671875" style="12" customWidth="1"/>
    <col min="14345" max="14345" width="11.109375" style="12" customWidth="1"/>
    <col min="14346" max="14346" width="2.88671875" style="12" customWidth="1"/>
    <col min="14347" max="14347" width="3.5546875" style="12" customWidth="1"/>
    <col min="14348" max="14592" width="9.109375" style="12"/>
    <col min="14593" max="14593" width="8.6640625" style="12" customWidth="1"/>
    <col min="14594" max="14594" width="9.88671875" style="12" customWidth="1"/>
    <col min="14595" max="14595" width="14.44140625" style="12" customWidth="1"/>
    <col min="14596" max="14596" width="7.33203125" style="12" customWidth="1"/>
    <col min="14597" max="14597" width="5.5546875" style="12" customWidth="1"/>
    <col min="14598" max="14598" width="9" style="12" customWidth="1"/>
    <col min="14599" max="14600" width="9.88671875" style="12" customWidth="1"/>
    <col min="14601" max="14601" width="11.109375" style="12" customWidth="1"/>
    <col min="14602" max="14602" width="2.88671875" style="12" customWidth="1"/>
    <col min="14603" max="14603" width="3.5546875" style="12" customWidth="1"/>
    <col min="14604" max="14848" width="9.109375" style="12"/>
    <col min="14849" max="14849" width="8.6640625" style="12" customWidth="1"/>
    <col min="14850" max="14850" width="9.88671875" style="12" customWidth="1"/>
    <col min="14851" max="14851" width="14.44140625" style="12" customWidth="1"/>
    <col min="14852" max="14852" width="7.33203125" style="12" customWidth="1"/>
    <col min="14853" max="14853" width="5.5546875" style="12" customWidth="1"/>
    <col min="14854" max="14854" width="9" style="12" customWidth="1"/>
    <col min="14855" max="14856" width="9.88671875" style="12" customWidth="1"/>
    <col min="14857" max="14857" width="11.109375" style="12" customWidth="1"/>
    <col min="14858" max="14858" width="2.88671875" style="12" customWidth="1"/>
    <col min="14859" max="14859" width="3.5546875" style="12" customWidth="1"/>
    <col min="14860" max="15104" width="9.109375" style="12"/>
    <col min="15105" max="15105" width="8.6640625" style="12" customWidth="1"/>
    <col min="15106" max="15106" width="9.88671875" style="12" customWidth="1"/>
    <col min="15107" max="15107" width="14.44140625" style="12" customWidth="1"/>
    <col min="15108" max="15108" width="7.33203125" style="12" customWidth="1"/>
    <col min="15109" max="15109" width="5.5546875" style="12" customWidth="1"/>
    <col min="15110" max="15110" width="9" style="12" customWidth="1"/>
    <col min="15111" max="15112" width="9.88671875" style="12" customWidth="1"/>
    <col min="15113" max="15113" width="11.109375" style="12" customWidth="1"/>
    <col min="15114" max="15114" width="2.88671875" style="12" customWidth="1"/>
    <col min="15115" max="15115" width="3.5546875" style="12" customWidth="1"/>
    <col min="15116" max="15360" width="9.109375" style="12"/>
    <col min="15361" max="15361" width="8.6640625" style="12" customWidth="1"/>
    <col min="15362" max="15362" width="9.88671875" style="12" customWidth="1"/>
    <col min="15363" max="15363" width="14.44140625" style="12" customWidth="1"/>
    <col min="15364" max="15364" width="7.33203125" style="12" customWidth="1"/>
    <col min="15365" max="15365" width="5.5546875" style="12" customWidth="1"/>
    <col min="15366" max="15366" width="9" style="12" customWidth="1"/>
    <col min="15367" max="15368" width="9.88671875" style="12" customWidth="1"/>
    <col min="15369" max="15369" width="11.109375" style="12" customWidth="1"/>
    <col min="15370" max="15370" width="2.88671875" style="12" customWidth="1"/>
    <col min="15371" max="15371" width="3.5546875" style="12" customWidth="1"/>
    <col min="15372" max="15616" width="9.109375" style="12"/>
    <col min="15617" max="15617" width="8.6640625" style="12" customWidth="1"/>
    <col min="15618" max="15618" width="9.88671875" style="12" customWidth="1"/>
    <col min="15619" max="15619" width="14.44140625" style="12" customWidth="1"/>
    <col min="15620" max="15620" width="7.33203125" style="12" customWidth="1"/>
    <col min="15621" max="15621" width="5.5546875" style="12" customWidth="1"/>
    <col min="15622" max="15622" width="9" style="12" customWidth="1"/>
    <col min="15623" max="15624" width="9.88671875" style="12" customWidth="1"/>
    <col min="15625" max="15625" width="11.109375" style="12" customWidth="1"/>
    <col min="15626" max="15626" width="2.88671875" style="12" customWidth="1"/>
    <col min="15627" max="15627" width="3.5546875" style="12" customWidth="1"/>
    <col min="15628" max="15872" width="9.109375" style="12"/>
    <col min="15873" max="15873" width="8.6640625" style="12" customWidth="1"/>
    <col min="15874" max="15874" width="9.88671875" style="12" customWidth="1"/>
    <col min="15875" max="15875" width="14.44140625" style="12" customWidth="1"/>
    <col min="15876" max="15876" width="7.33203125" style="12" customWidth="1"/>
    <col min="15877" max="15877" width="5.5546875" style="12" customWidth="1"/>
    <col min="15878" max="15878" width="9" style="12" customWidth="1"/>
    <col min="15879" max="15880" width="9.88671875" style="12" customWidth="1"/>
    <col min="15881" max="15881" width="11.109375" style="12" customWidth="1"/>
    <col min="15882" max="15882" width="2.88671875" style="12" customWidth="1"/>
    <col min="15883" max="15883" width="3.5546875" style="12" customWidth="1"/>
    <col min="15884" max="16128" width="9.109375" style="12"/>
    <col min="16129" max="16129" width="8.6640625" style="12" customWidth="1"/>
    <col min="16130" max="16130" width="9.88671875" style="12" customWidth="1"/>
    <col min="16131" max="16131" width="14.44140625" style="12" customWidth="1"/>
    <col min="16132" max="16132" width="7.33203125" style="12" customWidth="1"/>
    <col min="16133" max="16133" width="5.5546875" style="12" customWidth="1"/>
    <col min="16134" max="16134" width="9" style="12" customWidth="1"/>
    <col min="16135" max="16136" width="9.88671875" style="12" customWidth="1"/>
    <col min="16137" max="16137" width="11.109375" style="12" customWidth="1"/>
    <col min="16138" max="16138" width="2.88671875" style="12" customWidth="1"/>
    <col min="16139" max="16139" width="3.5546875" style="12" customWidth="1"/>
    <col min="16140" max="16384" width="9.109375" style="12"/>
  </cols>
  <sheetData>
    <row r="1" spans="1:10" ht="46.5" customHeight="1" x14ac:dyDescent="0.3">
      <c r="A1" s="211" t="s">
        <v>249</v>
      </c>
      <c r="B1" s="212"/>
      <c r="C1" s="212"/>
      <c r="D1" s="212"/>
      <c r="E1" s="212"/>
      <c r="F1" s="212"/>
      <c r="G1" s="212"/>
      <c r="H1" s="212"/>
      <c r="I1" s="212"/>
      <c r="J1" s="213"/>
    </row>
    <row r="2" spans="1:10" ht="16.5" customHeight="1" x14ac:dyDescent="0.3">
      <c r="A2" s="137" t="s">
        <v>0</v>
      </c>
      <c r="B2" s="138"/>
      <c r="C2" s="138"/>
      <c r="D2" s="138"/>
      <c r="E2" s="138"/>
      <c r="F2" s="138"/>
      <c r="G2" s="138"/>
      <c r="H2" s="138"/>
      <c r="I2" s="138"/>
      <c r="J2" s="139"/>
    </row>
    <row r="3" spans="1:10" x14ac:dyDescent="0.3">
      <c r="A3" s="107" t="s">
        <v>1</v>
      </c>
      <c r="B3" s="108"/>
      <c r="C3" s="108"/>
      <c r="D3" s="108"/>
      <c r="E3" s="109"/>
      <c r="F3" s="71" t="str">
        <f ca="1">TEXT(TODAY(),"DD/MM/YYYY")</f>
        <v>14/09/2025</v>
      </c>
      <c r="G3" s="72"/>
      <c r="H3" s="72"/>
      <c r="I3" s="72"/>
      <c r="J3" s="73"/>
    </row>
    <row r="4" spans="1:10" ht="15" customHeight="1" x14ac:dyDescent="0.3">
      <c r="A4" s="107" t="s">
        <v>2</v>
      </c>
      <c r="B4" s="108"/>
      <c r="C4" s="108"/>
      <c r="D4" s="108"/>
      <c r="E4" s="109"/>
      <c r="F4" s="214" t="s">
        <v>174</v>
      </c>
      <c r="G4" s="215"/>
      <c r="H4" s="215"/>
      <c r="I4" s="215"/>
      <c r="J4" s="216"/>
    </row>
    <row r="5" spans="1:10" x14ac:dyDescent="0.3">
      <c r="A5" s="107" t="s">
        <v>3</v>
      </c>
      <c r="B5" s="108"/>
      <c r="C5" s="108"/>
      <c r="D5" s="108"/>
      <c r="E5" s="109"/>
      <c r="F5" s="217">
        <v>45909</v>
      </c>
      <c r="G5" s="218"/>
      <c r="H5" s="218"/>
      <c r="I5" s="218"/>
      <c r="J5" s="219"/>
    </row>
    <row r="6" spans="1:10" ht="16.5" customHeight="1" x14ac:dyDescent="0.3">
      <c r="A6" s="107" t="s">
        <v>4</v>
      </c>
      <c r="B6" s="108"/>
      <c r="C6" s="108"/>
      <c r="D6" s="108"/>
      <c r="E6" s="109"/>
      <c r="F6" s="126" t="s">
        <v>175</v>
      </c>
      <c r="G6" s="127"/>
      <c r="H6" s="127"/>
      <c r="I6" s="127"/>
      <c r="J6" s="128"/>
    </row>
    <row r="7" spans="1:10" ht="15" customHeight="1" x14ac:dyDescent="0.3">
      <c r="A7" s="107" t="s">
        <v>5</v>
      </c>
      <c r="B7" s="108"/>
      <c r="C7" s="108"/>
      <c r="D7" s="108"/>
      <c r="E7" s="109"/>
      <c r="F7" s="126" t="str">
        <f>F6</f>
        <v>M/s. Unnati Estate</v>
      </c>
      <c r="G7" s="127"/>
      <c r="H7" s="127"/>
      <c r="I7" s="127"/>
      <c r="J7" s="128"/>
    </row>
    <row r="8" spans="1:10" x14ac:dyDescent="0.3">
      <c r="A8" s="107" t="s">
        <v>6</v>
      </c>
      <c r="B8" s="108"/>
      <c r="C8" s="108"/>
      <c r="D8" s="108"/>
      <c r="E8" s="109"/>
      <c r="F8" s="113" t="s">
        <v>271</v>
      </c>
      <c r="G8" s="114"/>
      <c r="H8" s="114"/>
      <c r="I8" s="114"/>
      <c r="J8" s="115"/>
    </row>
    <row r="9" spans="1:10" x14ac:dyDescent="0.3">
      <c r="A9" s="107" t="s">
        <v>7</v>
      </c>
      <c r="B9" s="108"/>
      <c r="C9" s="108"/>
      <c r="D9" s="108"/>
      <c r="E9" s="109"/>
      <c r="F9" s="107" t="s">
        <v>176</v>
      </c>
      <c r="G9" s="108"/>
      <c r="H9" s="108"/>
      <c r="I9" s="108"/>
      <c r="J9" s="109"/>
    </row>
    <row r="10" spans="1:10" x14ac:dyDescent="0.3">
      <c r="A10" s="107" t="s">
        <v>8</v>
      </c>
      <c r="B10" s="108"/>
      <c r="C10" s="108"/>
      <c r="D10" s="108"/>
      <c r="E10" s="109"/>
      <c r="F10" s="110" t="s">
        <v>273</v>
      </c>
      <c r="G10" s="111"/>
      <c r="H10" s="111"/>
      <c r="I10" s="111"/>
      <c r="J10" s="112"/>
    </row>
    <row r="11" spans="1:10" ht="16.5" customHeight="1" x14ac:dyDescent="0.3">
      <c r="A11" s="107" t="s">
        <v>9</v>
      </c>
      <c r="B11" s="108"/>
      <c r="C11" s="108"/>
      <c r="D11" s="108"/>
      <c r="E11" s="109"/>
      <c r="F11" s="74" t="s">
        <v>10</v>
      </c>
      <c r="G11" s="75"/>
      <c r="H11" s="75"/>
      <c r="I11" s="75"/>
      <c r="J11" s="76"/>
    </row>
    <row r="12" spans="1:10" x14ac:dyDescent="0.3">
      <c r="A12" s="107" t="s">
        <v>11</v>
      </c>
      <c r="B12" s="108"/>
      <c r="C12" s="108"/>
      <c r="D12" s="108"/>
      <c r="E12" s="109"/>
      <c r="F12" s="107" t="s">
        <v>272</v>
      </c>
      <c r="G12" s="108"/>
      <c r="H12" s="108"/>
      <c r="I12" s="108"/>
      <c r="J12" s="109"/>
    </row>
    <row r="13" spans="1:10" ht="35.25" customHeight="1" x14ac:dyDescent="0.3">
      <c r="A13" s="220" t="s">
        <v>12</v>
      </c>
      <c r="B13" s="220"/>
      <c r="C13" s="126" t="str">
        <f>CONCATENATE((IF(OR(F8="",F8="NA"),"",F8)),", ",(IF(OR(A14="",A14="NA"),"",A14)),".",(IF(OR(C14="",C14="NA"),"",C14)),", ",(IF(OR(C15="",C15="NA"),"",C15)),", ",(IF(OR(H15="",H15="NA"),"",H15)),", ",(IF(OR(H16="",H16="NA"),"",H16)),".")</f>
        <v>Unnathi Woods Phase VIII, CTS/ Survey No.244/13, 244/14/2(pt), 250/1/A,250/2/A,250/3, 251/5/A, 244/16B, Vijay - Vilas Road, Kavesar, Thane.</v>
      </c>
      <c r="D13" s="127"/>
      <c r="E13" s="127"/>
      <c r="F13" s="127"/>
      <c r="G13" s="127"/>
      <c r="H13" s="127"/>
      <c r="I13" s="127"/>
      <c r="J13" s="128"/>
    </row>
    <row r="14" spans="1:10" ht="15.75" customHeight="1" x14ac:dyDescent="0.3">
      <c r="A14" s="126" t="s">
        <v>137</v>
      </c>
      <c r="B14" s="128"/>
      <c r="C14" s="126" t="s">
        <v>256</v>
      </c>
      <c r="D14" s="127"/>
      <c r="E14" s="127"/>
      <c r="F14" s="127"/>
      <c r="G14" s="127"/>
      <c r="H14" s="127"/>
      <c r="I14" s="127"/>
      <c r="J14" s="128"/>
    </row>
    <row r="15" spans="1:10" ht="15.75" customHeight="1" x14ac:dyDescent="0.3">
      <c r="A15" s="126" t="s">
        <v>13</v>
      </c>
      <c r="B15" s="128"/>
      <c r="C15" s="198" t="s">
        <v>200</v>
      </c>
      <c r="D15" s="198"/>
      <c r="E15" s="198"/>
      <c r="F15" s="221" t="s">
        <v>138</v>
      </c>
      <c r="G15" s="223"/>
      <c r="H15" s="126" t="s">
        <v>178</v>
      </c>
      <c r="I15" s="127"/>
      <c r="J15" s="128"/>
    </row>
    <row r="16" spans="1:10" x14ac:dyDescent="0.3">
      <c r="A16" s="198" t="s">
        <v>15</v>
      </c>
      <c r="B16" s="198"/>
      <c r="C16" s="198" t="s">
        <v>248</v>
      </c>
      <c r="D16" s="198"/>
      <c r="E16" s="198"/>
      <c r="F16" s="221" t="s">
        <v>14</v>
      </c>
      <c r="G16" s="223"/>
      <c r="H16" s="237" t="s">
        <v>177</v>
      </c>
      <c r="I16" s="237"/>
      <c r="J16" s="237"/>
    </row>
    <row r="17" spans="1:19" x14ac:dyDescent="0.3">
      <c r="A17" s="198" t="s">
        <v>139</v>
      </c>
      <c r="B17" s="198"/>
      <c r="C17" s="126" t="s">
        <v>177</v>
      </c>
      <c r="D17" s="127"/>
      <c r="E17" s="128"/>
      <c r="F17" s="221" t="s">
        <v>16</v>
      </c>
      <c r="G17" s="223"/>
      <c r="H17" s="126">
        <v>400615</v>
      </c>
      <c r="I17" s="127"/>
      <c r="J17" s="128"/>
    </row>
    <row r="18" spans="1:19" ht="32.25" customHeight="1" x14ac:dyDescent="0.3">
      <c r="A18" s="198" t="s">
        <v>17</v>
      </c>
      <c r="B18" s="198"/>
      <c r="C18" s="238" t="s">
        <v>179</v>
      </c>
      <c r="D18" s="238"/>
      <c r="E18" s="238"/>
      <c r="F18" s="220" t="s">
        <v>18</v>
      </c>
      <c r="G18" s="220"/>
      <c r="H18" s="239" t="s">
        <v>191</v>
      </c>
      <c r="I18" s="239"/>
      <c r="J18" s="240"/>
    </row>
    <row r="19" spans="1:19" ht="15" customHeight="1" x14ac:dyDescent="0.3">
      <c r="A19" s="221" t="s">
        <v>150</v>
      </c>
      <c r="B19" s="222"/>
      <c r="C19" s="222"/>
      <c r="D19" s="222"/>
      <c r="E19" s="223"/>
      <c r="F19" s="241" t="s">
        <v>19</v>
      </c>
      <c r="G19" s="242"/>
      <c r="H19" s="242"/>
      <c r="I19" s="242"/>
      <c r="J19" s="243"/>
    </row>
    <row r="20" spans="1:19" ht="18.75" customHeight="1" x14ac:dyDescent="0.3">
      <c r="A20" s="205"/>
      <c r="B20" s="206"/>
      <c r="C20" s="206"/>
      <c r="D20" s="206"/>
      <c r="E20" s="224"/>
      <c r="F20" s="244"/>
      <c r="G20" s="245"/>
      <c r="H20" s="245"/>
      <c r="I20" s="245"/>
      <c r="J20" s="246"/>
    </row>
    <row r="21" spans="1:19" ht="15" customHeight="1" x14ac:dyDescent="0.3">
      <c r="A21" s="221" t="s">
        <v>20</v>
      </c>
      <c r="B21" s="222"/>
      <c r="C21" s="222"/>
      <c r="D21" s="222"/>
      <c r="E21" s="223"/>
      <c r="F21" s="221" t="s">
        <v>21</v>
      </c>
      <c r="G21" s="222"/>
      <c r="H21" s="222"/>
      <c r="I21" s="222"/>
      <c r="J21" s="223"/>
    </row>
    <row r="22" spans="1:19" x14ac:dyDescent="0.3">
      <c r="A22" s="205"/>
      <c r="B22" s="206"/>
      <c r="C22" s="206"/>
      <c r="D22" s="206"/>
      <c r="E22" s="224"/>
      <c r="F22" s="205"/>
      <c r="G22" s="206"/>
      <c r="H22" s="206"/>
      <c r="I22" s="206"/>
      <c r="J22" s="224"/>
    </row>
    <row r="23" spans="1:19" ht="15" customHeight="1" x14ac:dyDescent="0.3">
      <c r="A23" s="107" t="s">
        <v>22</v>
      </c>
      <c r="B23" s="108"/>
      <c r="C23" s="108"/>
      <c r="D23" s="108"/>
      <c r="E23" s="109"/>
      <c r="F23" s="214" t="s">
        <v>23</v>
      </c>
      <c r="G23" s="215"/>
      <c r="H23" s="215"/>
      <c r="I23" s="215"/>
      <c r="J23" s="216"/>
    </row>
    <row r="24" spans="1:19" x14ac:dyDescent="0.3">
      <c r="A24" s="107" t="s">
        <v>24</v>
      </c>
      <c r="B24" s="108"/>
      <c r="C24" s="108"/>
      <c r="D24" s="108"/>
      <c r="E24" s="109"/>
      <c r="F24" s="214" t="s">
        <v>25</v>
      </c>
      <c r="G24" s="215"/>
      <c r="H24" s="215"/>
      <c r="I24" s="215"/>
      <c r="J24" s="216"/>
    </row>
    <row r="25" spans="1:19" ht="15" customHeight="1" x14ac:dyDescent="0.3">
      <c r="A25" s="107" t="s">
        <v>26</v>
      </c>
      <c r="B25" s="108"/>
      <c r="C25" s="108"/>
      <c r="D25" s="108"/>
      <c r="E25" s="109"/>
      <c r="F25" s="214" t="s">
        <v>27</v>
      </c>
      <c r="G25" s="215"/>
      <c r="H25" s="215"/>
      <c r="I25" s="215"/>
      <c r="J25" s="216"/>
    </row>
    <row r="26" spans="1:19" x14ac:dyDescent="0.3">
      <c r="A26" s="107" t="s">
        <v>28</v>
      </c>
      <c r="B26" s="108"/>
      <c r="C26" s="108"/>
      <c r="D26" s="108"/>
      <c r="E26" s="109"/>
      <c r="F26" s="214" t="s">
        <v>29</v>
      </c>
      <c r="G26" s="215"/>
      <c r="H26" s="215"/>
      <c r="I26" s="215"/>
      <c r="J26" s="216"/>
    </row>
    <row r="27" spans="1:19" s="36" customFormat="1" x14ac:dyDescent="0.3">
      <c r="A27" s="102" t="s">
        <v>30</v>
      </c>
      <c r="B27" s="103"/>
      <c r="C27" s="102" t="s">
        <v>31</v>
      </c>
      <c r="D27" s="103"/>
      <c r="E27" s="102" t="s">
        <v>32</v>
      </c>
      <c r="F27" s="103"/>
      <c r="G27" s="102" t="s">
        <v>34</v>
      </c>
      <c r="H27" s="103"/>
      <c r="I27" s="102" t="s">
        <v>33</v>
      </c>
      <c r="J27" s="103"/>
    </row>
    <row r="28" spans="1:19" s="36" customFormat="1" x14ac:dyDescent="0.3">
      <c r="A28" s="102" t="s">
        <v>187</v>
      </c>
      <c r="B28" s="103"/>
      <c r="C28" s="102" t="s">
        <v>35</v>
      </c>
      <c r="D28" s="103"/>
      <c r="E28" s="102" t="s">
        <v>35</v>
      </c>
      <c r="F28" s="103"/>
      <c r="G28" s="102" t="s">
        <v>35</v>
      </c>
      <c r="H28" s="103"/>
      <c r="I28" s="102" t="s">
        <v>35</v>
      </c>
      <c r="J28" s="103"/>
    </row>
    <row r="29" spans="1:19" s="36" customFormat="1" x14ac:dyDescent="0.3">
      <c r="A29" s="102" t="s">
        <v>36</v>
      </c>
      <c r="B29" s="103"/>
      <c r="C29" s="102" t="s">
        <v>192</v>
      </c>
      <c r="D29" s="103"/>
      <c r="E29" s="102" t="s">
        <v>13</v>
      </c>
      <c r="F29" s="103"/>
      <c r="G29" s="102" t="s">
        <v>192</v>
      </c>
      <c r="H29" s="103"/>
      <c r="I29" s="102" t="s">
        <v>13</v>
      </c>
      <c r="J29" s="103"/>
    </row>
    <row r="30" spans="1:19" x14ac:dyDescent="0.3">
      <c r="A30" s="179" t="s">
        <v>37</v>
      </c>
      <c r="B30" s="180"/>
      <c r="C30" s="180"/>
      <c r="D30" s="180"/>
      <c r="E30" s="180"/>
      <c r="F30" s="180"/>
      <c r="G30" s="180"/>
      <c r="H30" s="180"/>
      <c r="I30" s="180"/>
      <c r="J30" s="181"/>
    </row>
    <row r="31" spans="1:19" x14ac:dyDescent="0.3">
      <c r="A31" s="107" t="s">
        <v>38</v>
      </c>
      <c r="B31" s="108"/>
      <c r="C31" s="108"/>
      <c r="D31" s="108"/>
      <c r="E31" s="108"/>
      <c r="F31" s="108"/>
      <c r="G31" s="108"/>
      <c r="H31" s="108"/>
      <c r="I31" s="108"/>
      <c r="J31" s="109"/>
      <c r="L31" s="70" t="s">
        <v>268</v>
      </c>
    </row>
    <row r="32" spans="1:19" x14ac:dyDescent="0.3">
      <c r="A32" s="107" t="s">
        <v>39</v>
      </c>
      <c r="B32" s="109"/>
      <c r="C32" s="107" t="s">
        <v>269</v>
      </c>
      <c r="D32" s="108"/>
      <c r="E32" s="108"/>
      <c r="F32" s="108"/>
      <c r="G32" s="108"/>
      <c r="H32" s="108"/>
      <c r="I32" s="108"/>
      <c r="J32" s="109"/>
      <c r="L32" s="107" t="s">
        <v>252</v>
      </c>
      <c r="M32" s="108"/>
      <c r="N32" s="108"/>
      <c r="O32" s="108"/>
      <c r="P32" s="108"/>
      <c r="Q32" s="108"/>
      <c r="R32" s="108"/>
      <c r="S32" s="109"/>
    </row>
    <row r="33" spans="1:19" x14ac:dyDescent="0.3">
      <c r="A33" s="107" t="s">
        <v>250</v>
      </c>
      <c r="B33" s="109"/>
      <c r="C33" s="210" t="s">
        <v>270</v>
      </c>
      <c r="D33" s="108"/>
      <c r="E33" s="108"/>
      <c r="F33" s="108"/>
      <c r="G33" s="108"/>
      <c r="H33" s="108"/>
      <c r="I33" s="108"/>
      <c r="J33" s="109"/>
      <c r="L33" s="210" t="s">
        <v>251</v>
      </c>
      <c r="M33" s="108"/>
      <c r="N33" s="108"/>
      <c r="O33" s="108"/>
      <c r="P33" s="108"/>
      <c r="Q33" s="108"/>
      <c r="R33" s="108"/>
      <c r="S33" s="109"/>
    </row>
    <row r="34" spans="1:19" x14ac:dyDescent="0.3">
      <c r="A34" s="113" t="s">
        <v>40</v>
      </c>
      <c r="B34" s="114"/>
      <c r="C34" s="114"/>
      <c r="D34" s="114"/>
      <c r="E34" s="114"/>
      <c r="F34" s="114"/>
      <c r="G34" s="114"/>
      <c r="H34" s="114"/>
      <c r="I34" s="114"/>
      <c r="J34" s="115"/>
    </row>
    <row r="35" spans="1:19" ht="15" customHeight="1" x14ac:dyDescent="0.3">
      <c r="A35" s="126" t="s">
        <v>41</v>
      </c>
      <c r="B35" s="127"/>
      <c r="C35" s="127"/>
      <c r="D35" s="127"/>
      <c r="E35" s="128"/>
      <c r="F35" s="207" t="s">
        <v>180</v>
      </c>
      <c r="G35" s="208"/>
      <c r="H35" s="208"/>
      <c r="I35" s="208"/>
      <c r="J35" s="209"/>
    </row>
    <row r="36" spans="1:19" ht="15" customHeight="1" x14ac:dyDescent="0.3">
      <c r="A36" s="205" t="s">
        <v>42</v>
      </c>
      <c r="B36" s="206"/>
      <c r="C36" s="206"/>
      <c r="D36" s="206"/>
      <c r="E36" s="206"/>
      <c r="F36" s="126" t="s">
        <v>43</v>
      </c>
      <c r="G36" s="127"/>
      <c r="H36" s="127"/>
      <c r="I36" s="127"/>
      <c r="J36" s="128"/>
    </row>
    <row r="37" spans="1:19" x14ac:dyDescent="0.3">
      <c r="A37" s="113" t="s">
        <v>44</v>
      </c>
      <c r="B37" s="114"/>
      <c r="C37" s="114"/>
      <c r="D37" s="114"/>
      <c r="E37" s="114"/>
      <c r="F37" s="114"/>
      <c r="G37" s="114"/>
      <c r="H37" s="114"/>
      <c r="I37" s="114"/>
      <c r="J37" s="115"/>
    </row>
    <row r="38" spans="1:19" x14ac:dyDescent="0.3">
      <c r="A38" s="107" t="s">
        <v>45</v>
      </c>
      <c r="B38" s="108"/>
      <c r="C38" s="108"/>
      <c r="D38" s="108"/>
      <c r="E38" s="109"/>
      <c r="F38" s="199">
        <v>7065</v>
      </c>
      <c r="G38" s="200"/>
      <c r="H38" s="200"/>
      <c r="I38" s="200"/>
      <c r="J38" s="201"/>
    </row>
    <row r="39" spans="1:19" x14ac:dyDescent="0.3">
      <c r="A39" s="107" t="s">
        <v>46</v>
      </c>
      <c r="B39" s="108"/>
      <c r="C39" s="108"/>
      <c r="D39" s="108"/>
      <c r="E39" s="109"/>
      <c r="F39" s="171">
        <v>1.1000000000000001</v>
      </c>
      <c r="G39" s="172"/>
      <c r="H39" s="172"/>
      <c r="I39" s="172"/>
      <c r="J39" s="173"/>
    </row>
    <row r="40" spans="1:19" x14ac:dyDescent="0.3">
      <c r="A40" s="107" t="s">
        <v>47</v>
      </c>
      <c r="B40" s="108"/>
      <c r="C40" s="108"/>
      <c r="D40" s="108"/>
      <c r="E40" s="109"/>
      <c r="F40" s="171">
        <f>(F42/F38)-F39</f>
        <v>2.7880198159943381</v>
      </c>
      <c r="G40" s="172"/>
      <c r="H40" s="172"/>
      <c r="I40" s="172"/>
      <c r="J40" s="173"/>
    </row>
    <row r="41" spans="1:19" x14ac:dyDescent="0.3">
      <c r="A41" s="107" t="s">
        <v>48</v>
      </c>
      <c r="B41" s="108"/>
      <c r="C41" s="108"/>
      <c r="D41" s="108"/>
      <c r="E41" s="109"/>
      <c r="F41" s="171">
        <f>F39+F40</f>
        <v>3.8880198159943382</v>
      </c>
      <c r="G41" s="172"/>
      <c r="H41" s="172"/>
      <c r="I41" s="172"/>
      <c r="J41" s="173"/>
    </row>
    <row r="42" spans="1:19" x14ac:dyDescent="0.3">
      <c r="A42" s="107" t="s">
        <v>49</v>
      </c>
      <c r="B42" s="108"/>
      <c r="C42" s="108"/>
      <c r="D42" s="108"/>
      <c r="E42" s="109"/>
      <c r="F42" s="171">
        <v>27468.86</v>
      </c>
      <c r="G42" s="172"/>
      <c r="H42" s="172"/>
      <c r="I42" s="172"/>
      <c r="J42" s="173"/>
    </row>
    <row r="43" spans="1:19" x14ac:dyDescent="0.3">
      <c r="A43" s="107" t="s">
        <v>50</v>
      </c>
      <c r="B43" s="108"/>
      <c r="C43" s="108"/>
      <c r="D43" s="108"/>
      <c r="E43" s="109"/>
      <c r="F43" s="110" t="s">
        <v>188</v>
      </c>
      <c r="G43" s="111"/>
      <c r="H43" s="111"/>
      <c r="I43" s="111"/>
      <c r="J43" s="112"/>
    </row>
    <row r="44" spans="1:19" x14ac:dyDescent="0.3">
      <c r="A44" s="113" t="s">
        <v>51</v>
      </c>
      <c r="B44" s="114"/>
      <c r="C44" s="114"/>
      <c r="D44" s="114"/>
      <c r="E44" s="114"/>
      <c r="F44" s="114"/>
      <c r="G44" s="114"/>
      <c r="H44" s="114"/>
      <c r="I44" s="114"/>
      <c r="J44" s="115"/>
    </row>
    <row r="45" spans="1:19" x14ac:dyDescent="0.3">
      <c r="A45" s="126" t="s">
        <v>52</v>
      </c>
      <c r="B45" s="128"/>
      <c r="C45" s="163" t="s">
        <v>257</v>
      </c>
      <c r="D45" s="164"/>
      <c r="E45" s="164"/>
      <c r="F45" s="165"/>
      <c r="G45" s="20" t="s">
        <v>53</v>
      </c>
      <c r="H45" s="202">
        <v>45265</v>
      </c>
      <c r="I45" s="127"/>
      <c r="J45" s="128"/>
    </row>
    <row r="46" spans="1:19" ht="31.5" customHeight="1" x14ac:dyDescent="0.3">
      <c r="A46" s="126" t="s">
        <v>54</v>
      </c>
      <c r="B46" s="128"/>
      <c r="C46" s="163" t="str">
        <f>C45</f>
        <v>TMCB/TDD/0032/[P/C]/2023/AutoDCR</v>
      </c>
      <c r="D46" s="164"/>
      <c r="E46" s="164"/>
      <c r="F46" s="165"/>
      <c r="G46" s="20" t="s">
        <v>53</v>
      </c>
      <c r="H46" s="202">
        <f>H45</f>
        <v>45265</v>
      </c>
      <c r="I46" s="203"/>
      <c r="J46" s="204"/>
    </row>
    <row r="47" spans="1:19" ht="63" customHeight="1" x14ac:dyDescent="0.3">
      <c r="A47" s="126" t="s">
        <v>254</v>
      </c>
      <c r="B47" s="128"/>
      <c r="C47" s="163" t="s">
        <v>255</v>
      </c>
      <c r="D47" s="132"/>
      <c r="E47" s="132"/>
      <c r="F47" s="133"/>
      <c r="G47" s="13" t="s">
        <v>53</v>
      </c>
      <c r="H47" s="225">
        <v>45265</v>
      </c>
      <c r="I47" s="132"/>
      <c r="J47" s="133"/>
    </row>
    <row r="48" spans="1:19" ht="15" customHeight="1" x14ac:dyDescent="0.3">
      <c r="A48" s="126" t="s">
        <v>55</v>
      </c>
      <c r="B48" s="128"/>
      <c r="C48" s="163" t="s">
        <v>148</v>
      </c>
      <c r="D48" s="132"/>
      <c r="E48" s="132"/>
      <c r="F48" s="133" t="s">
        <v>56</v>
      </c>
      <c r="G48" s="20" t="s">
        <v>53</v>
      </c>
      <c r="H48" s="126" t="s">
        <v>35</v>
      </c>
      <c r="I48" s="127" t="s">
        <v>35</v>
      </c>
      <c r="J48" s="128"/>
    </row>
    <row r="49" spans="1:12" x14ac:dyDescent="0.3">
      <c r="A49" s="198" t="s">
        <v>57</v>
      </c>
      <c r="B49" s="198"/>
      <c r="C49" s="198"/>
      <c r="D49" s="71">
        <v>46752</v>
      </c>
      <c r="E49" s="72"/>
      <c r="F49" s="72"/>
      <c r="G49" s="72"/>
      <c r="H49" s="72"/>
      <c r="I49" s="72"/>
      <c r="J49" s="73"/>
    </row>
    <row r="50" spans="1:12" x14ac:dyDescent="0.3">
      <c r="A50" s="182" t="s">
        <v>58</v>
      </c>
      <c r="B50" s="183"/>
      <c r="C50" s="183"/>
      <c r="D50" s="183"/>
      <c r="E50" s="183"/>
      <c r="F50" s="183"/>
      <c r="G50" s="183"/>
      <c r="H50" s="183"/>
      <c r="I50" s="183"/>
      <c r="J50" s="184"/>
    </row>
    <row r="51" spans="1:12" x14ac:dyDescent="0.3">
      <c r="A51" s="107" t="s">
        <v>59</v>
      </c>
      <c r="B51" s="108"/>
      <c r="C51" s="109"/>
      <c r="D51" s="185">
        <f>F42</f>
        <v>27468.86</v>
      </c>
      <c r="E51" s="186"/>
      <c r="F51" s="187" t="s">
        <v>60</v>
      </c>
      <c r="G51" s="188"/>
      <c r="H51" s="187" t="s">
        <v>219</v>
      </c>
      <c r="I51" s="189"/>
      <c r="J51" s="188"/>
    </row>
    <row r="52" spans="1:12" ht="18.75" customHeight="1" x14ac:dyDescent="0.3">
      <c r="A52" s="110" t="s">
        <v>61</v>
      </c>
      <c r="B52" s="111"/>
      <c r="C52" s="74" t="s">
        <v>253</v>
      </c>
      <c r="D52" s="75"/>
      <c r="E52" s="75"/>
      <c r="F52" s="75"/>
      <c r="G52" s="75"/>
      <c r="H52" s="75"/>
      <c r="I52" s="75"/>
      <c r="J52" s="76"/>
    </row>
    <row r="53" spans="1:12" ht="18.75" customHeight="1" x14ac:dyDescent="0.3">
      <c r="A53" s="110" t="s">
        <v>185</v>
      </c>
      <c r="B53" s="111"/>
      <c r="C53" s="74" t="s">
        <v>253</v>
      </c>
      <c r="D53" s="75"/>
      <c r="E53" s="75"/>
      <c r="F53" s="75"/>
      <c r="G53" s="75"/>
      <c r="H53" s="75"/>
      <c r="I53" s="75"/>
      <c r="J53" s="76"/>
    </row>
    <row r="54" spans="1:12" ht="15.75" customHeight="1" x14ac:dyDescent="0.3">
      <c r="A54" s="107" t="s">
        <v>244</v>
      </c>
      <c r="B54" s="108"/>
      <c r="C54" s="108"/>
      <c r="D54" s="126" t="s">
        <v>62</v>
      </c>
      <c r="E54" s="127"/>
      <c r="F54" s="127"/>
      <c r="G54" s="127"/>
      <c r="H54" s="127"/>
      <c r="I54" s="127"/>
      <c r="J54" s="128"/>
    </row>
    <row r="55" spans="1:12" ht="16.2" thickBot="1" x14ac:dyDescent="0.35">
      <c r="A55" s="89" t="s">
        <v>247</v>
      </c>
      <c r="B55" s="90"/>
      <c r="C55" s="90" t="s">
        <v>265</v>
      </c>
      <c r="D55" s="90"/>
      <c r="E55" s="90"/>
      <c r="F55" s="90"/>
      <c r="G55" s="90"/>
      <c r="H55" s="90"/>
      <c r="I55" s="90"/>
      <c r="J55" s="90"/>
    </row>
    <row r="56" spans="1:12" customFormat="1" ht="15" customHeight="1" x14ac:dyDescent="0.3">
      <c r="A56" s="190" t="s">
        <v>220</v>
      </c>
      <c r="B56" s="191"/>
      <c r="C56" s="91" t="str">
        <f>C53</f>
        <v>Building A - Stilt + 1st to 45th Floors</v>
      </c>
      <c r="D56" s="92"/>
      <c r="E56" s="92"/>
      <c r="F56" s="92"/>
      <c r="G56" s="92"/>
      <c r="H56" s="92"/>
      <c r="I56" s="92"/>
      <c r="J56" s="93"/>
      <c r="K56" s="53"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External Plaster, Flooring upto 37 Floor, Painting upto 20 Floor Completed</v>
      </c>
      <c r="L56" s="54"/>
    </row>
    <row r="57" spans="1:12" customFormat="1" ht="19.5" customHeight="1" x14ac:dyDescent="0.3">
      <c r="A57" s="58" t="s">
        <v>133</v>
      </c>
      <c r="B57" s="59">
        <v>0</v>
      </c>
      <c r="C57" s="59" t="s">
        <v>135</v>
      </c>
      <c r="D57" s="59">
        <v>1</v>
      </c>
      <c r="E57" s="94" t="s">
        <v>134</v>
      </c>
      <c r="F57" s="95"/>
      <c r="G57" s="59">
        <v>0</v>
      </c>
      <c r="H57" s="59" t="s">
        <v>221</v>
      </c>
      <c r="I57" s="94">
        <f ca="1">--TRIM(RIGHT(SUBSTITUTE(LEFT(C56,_xlfn.AGGREGATE(16,6,FIND({0,1,2,3,4,5,6,7,8,9},C56,ROW(INDIRECT("1:"&amp;LEN(C56)))),1))," ",REPT(" ",LEN(C56))),LEN(C56)))</f>
        <v>45</v>
      </c>
      <c r="J57" s="96"/>
      <c r="K57" s="55"/>
      <c r="L57" s="56"/>
    </row>
    <row r="58" spans="1:12" customFormat="1" ht="49.5" customHeight="1" x14ac:dyDescent="0.3">
      <c r="A58" s="192" t="s">
        <v>222</v>
      </c>
      <c r="B58" s="193"/>
      <c r="C58" s="97" t="str">
        <f ca="1">K56</f>
        <v>Excavation work Completed. Plinth work completed, RCC Slab, Brickwork, Internal Plaster, External Plaster, Flooring upto 37 Floor, Painting upto 20 Floor Completed</v>
      </c>
      <c r="D58" s="98"/>
      <c r="E58" s="98"/>
      <c r="F58" s="98"/>
      <c r="G58" s="98"/>
      <c r="H58" s="98"/>
      <c r="I58" s="98"/>
      <c r="J58" s="99"/>
      <c r="K58" s="55" t="s">
        <v>223</v>
      </c>
      <c r="L58" s="56"/>
    </row>
    <row r="59" spans="1:12" customFormat="1" x14ac:dyDescent="0.3">
      <c r="A59" s="194" t="s">
        <v>63</v>
      </c>
      <c r="B59" s="195"/>
      <c r="C59" s="60" t="s">
        <v>224</v>
      </c>
      <c r="D59" s="100" t="s">
        <v>225</v>
      </c>
      <c r="E59" s="100"/>
      <c r="F59" s="100" t="s">
        <v>226</v>
      </c>
      <c r="G59" s="100"/>
      <c r="H59" s="100" t="s">
        <v>227</v>
      </c>
      <c r="I59" s="100"/>
      <c r="J59" s="101"/>
      <c r="K59" s="61" t="s">
        <v>228</v>
      </c>
      <c r="L59" s="57">
        <f ca="1">I57*25%</f>
        <v>11.25</v>
      </c>
    </row>
    <row r="60" spans="1:12" customFormat="1" x14ac:dyDescent="0.3">
      <c r="A60" s="116" t="s">
        <v>229</v>
      </c>
      <c r="B60" s="100"/>
      <c r="C60" s="62">
        <v>45</v>
      </c>
      <c r="D60" s="159">
        <f ca="1">((100/I57)*C60)/100</f>
        <v>1</v>
      </c>
      <c r="E60" s="160"/>
      <c r="F60" s="161">
        <f ca="1">(((C61/I57*10)+(40/(D57+G57+I57)*C62)+(7.5/(I57)*C63)+(7.5/(I57)*C64)+(10/I57*C65)+(10/I57*C66)+(5/I57*C67)+(5/I57*C68)+(5/I57*C69))/100)</f>
        <v>0.85444444444444456</v>
      </c>
      <c r="G60" s="161"/>
      <c r="H60" s="117">
        <f ca="1">((((C60/I57)*20)+((C61/I57)*25)+(30/(I57+G57+D57)*C62)+(5/I57*C63)+(5/I57*C64)+(5/I57*C65)+(5/I57*C66)+(0/I57*C67)+(0/I57*C68)+(5/I57*C69))/100)</f>
        <v>0.94111111111111112</v>
      </c>
      <c r="I60" s="118"/>
      <c r="J60" s="119"/>
      <c r="K60" s="61" t="s">
        <v>142</v>
      </c>
      <c r="L60" s="63">
        <f ca="1">I57*50%</f>
        <v>22.5</v>
      </c>
    </row>
    <row r="61" spans="1:12" customFormat="1" x14ac:dyDescent="0.3">
      <c r="A61" s="116" t="s">
        <v>64</v>
      </c>
      <c r="B61" s="100"/>
      <c r="C61" s="64">
        <f ca="1">L69</f>
        <v>45</v>
      </c>
      <c r="D61" s="159">
        <f ca="1">((100/I57)*C61)/100</f>
        <v>1</v>
      </c>
      <c r="E61" s="160"/>
      <c r="F61" s="161"/>
      <c r="G61" s="161"/>
      <c r="H61" s="120"/>
      <c r="I61" s="121"/>
      <c r="J61" s="122"/>
      <c r="K61" s="61" t="s">
        <v>143</v>
      </c>
      <c r="L61" s="63">
        <f ca="1">I57</f>
        <v>45</v>
      </c>
    </row>
    <row r="62" spans="1:12" customFormat="1" x14ac:dyDescent="0.3">
      <c r="A62" s="116" t="s">
        <v>230</v>
      </c>
      <c r="B62" s="100"/>
      <c r="C62" s="64">
        <v>46</v>
      </c>
      <c r="D62" s="159">
        <f ca="1">((100/(D57+G57+I57))*C62)/100</f>
        <v>1</v>
      </c>
      <c r="E62" s="160"/>
      <c r="F62" s="161"/>
      <c r="G62" s="161"/>
      <c r="H62" s="120"/>
      <c r="I62" s="121"/>
      <c r="J62" s="122"/>
      <c r="K62" s="61" t="s">
        <v>144</v>
      </c>
      <c r="L62" s="65">
        <f ca="1">(IF(B57&gt;1,(I57/(B57+2)),I57/4))</f>
        <v>11.25</v>
      </c>
    </row>
    <row r="63" spans="1:12" customFormat="1" x14ac:dyDescent="0.3">
      <c r="A63" s="116" t="s">
        <v>231</v>
      </c>
      <c r="B63" s="100" t="s">
        <v>232</v>
      </c>
      <c r="C63" s="64">
        <f>C62-1</f>
        <v>45</v>
      </c>
      <c r="D63" s="159">
        <f ca="1">((100/I57)*C63)/100</f>
        <v>1</v>
      </c>
      <c r="E63" s="160"/>
      <c r="F63" s="161"/>
      <c r="G63" s="161"/>
      <c r="H63" s="120"/>
      <c r="I63" s="121"/>
      <c r="J63" s="122"/>
      <c r="K63" s="61" t="s">
        <v>145</v>
      </c>
      <c r="L63" s="65">
        <f ca="1">(IF(B57&gt;1,(I57/(B57+2)+L62),I57/4+L62))</f>
        <v>22.5</v>
      </c>
    </row>
    <row r="64" spans="1:12" customFormat="1" ht="15" customHeight="1" x14ac:dyDescent="0.3">
      <c r="A64" s="116" t="s">
        <v>233</v>
      </c>
      <c r="B64" s="100" t="s">
        <v>232</v>
      </c>
      <c r="C64" s="64">
        <v>45</v>
      </c>
      <c r="D64" s="159">
        <f ca="1">((100/I57)*C64)/100</f>
        <v>1</v>
      </c>
      <c r="E64" s="160"/>
      <c r="F64" s="161"/>
      <c r="G64" s="161"/>
      <c r="H64" s="120"/>
      <c r="I64" s="121"/>
      <c r="J64" s="122"/>
      <c r="K64" s="61" t="s">
        <v>234</v>
      </c>
      <c r="L64" s="65">
        <f>(IF(B57&gt;1,(I57/(B57+2)+L63),0))</f>
        <v>0</v>
      </c>
    </row>
    <row r="65" spans="1:12" customFormat="1" x14ac:dyDescent="0.3">
      <c r="A65" s="116" t="s">
        <v>235</v>
      </c>
      <c r="B65" s="100" t="s">
        <v>236</v>
      </c>
      <c r="C65" s="64">
        <v>45</v>
      </c>
      <c r="D65" s="159">
        <f ca="1">((100/(I57))*C65)/100</f>
        <v>1</v>
      </c>
      <c r="E65" s="160"/>
      <c r="F65" s="161"/>
      <c r="G65" s="161"/>
      <c r="H65" s="120"/>
      <c r="I65" s="121"/>
      <c r="J65" s="122"/>
      <c r="K65" s="61" t="s">
        <v>237</v>
      </c>
      <c r="L65" s="65">
        <f>(IF(B57&gt;2,(I57/(B57+2)+L64),0))</f>
        <v>0</v>
      </c>
    </row>
    <row r="66" spans="1:12" customFormat="1" x14ac:dyDescent="0.3">
      <c r="A66" s="116" t="s">
        <v>238</v>
      </c>
      <c r="B66" s="100" t="s">
        <v>238</v>
      </c>
      <c r="C66" s="62">
        <v>37</v>
      </c>
      <c r="D66" s="159">
        <f ca="1">((100/I57)*C66)/100</f>
        <v>0.8222222222222223</v>
      </c>
      <c r="E66" s="160"/>
      <c r="F66" s="161"/>
      <c r="G66" s="161"/>
      <c r="H66" s="120"/>
      <c r="I66" s="121"/>
      <c r="J66" s="122"/>
      <c r="K66" s="61" t="s">
        <v>239</v>
      </c>
      <c r="L66" s="66">
        <f>(IF(B57&gt;3,(I57/(B57+2)+L65),0))</f>
        <v>0</v>
      </c>
    </row>
    <row r="67" spans="1:12" customFormat="1" ht="15" customHeight="1" x14ac:dyDescent="0.3">
      <c r="A67" s="116" t="s">
        <v>240</v>
      </c>
      <c r="B67" s="100"/>
      <c r="C67" s="62">
        <v>20</v>
      </c>
      <c r="D67" s="159">
        <f ca="1">((100/I57)*C67)/100</f>
        <v>0.44444444444444442</v>
      </c>
      <c r="E67" s="160"/>
      <c r="F67" s="161"/>
      <c r="G67" s="161"/>
      <c r="H67" s="120"/>
      <c r="I67" s="121"/>
      <c r="J67" s="122"/>
      <c r="K67" s="61" t="s">
        <v>241</v>
      </c>
      <c r="L67" s="65">
        <f>(IF(B57&gt;4,(I57/(B57+2)+L66),0))</f>
        <v>0</v>
      </c>
    </row>
    <row r="68" spans="1:12" customFormat="1" x14ac:dyDescent="0.3">
      <c r="A68" s="116" t="s">
        <v>242</v>
      </c>
      <c r="B68" s="100" t="s">
        <v>242</v>
      </c>
      <c r="C68" s="62">
        <v>0</v>
      </c>
      <c r="D68" s="159">
        <f ca="1">((100/(I57))*C68)/100</f>
        <v>0</v>
      </c>
      <c r="E68" s="160"/>
      <c r="F68" s="161"/>
      <c r="G68" s="161"/>
      <c r="H68" s="120"/>
      <c r="I68" s="121"/>
      <c r="J68" s="122"/>
      <c r="K68" s="61" t="s">
        <v>146</v>
      </c>
      <c r="L68" s="65">
        <f ca="1">(IF(B57=1,(I57/(B57+3)+L63),IF(B57=0,(I57/4+L63),IF(B57&gt;1,0))))</f>
        <v>33.75</v>
      </c>
    </row>
    <row r="69" spans="1:12" customFormat="1" ht="16.2" thickBot="1" x14ac:dyDescent="0.35">
      <c r="A69" s="196" t="s">
        <v>243</v>
      </c>
      <c r="B69" s="197"/>
      <c r="C69" s="67">
        <v>0</v>
      </c>
      <c r="D69" s="169">
        <f ca="1">((100/(I57))*C69)/100</f>
        <v>0</v>
      </c>
      <c r="E69" s="170"/>
      <c r="F69" s="162"/>
      <c r="G69" s="162"/>
      <c r="H69" s="123"/>
      <c r="I69" s="124"/>
      <c r="J69" s="125"/>
      <c r="K69" s="68" t="s">
        <v>147</v>
      </c>
      <c r="L69" s="69">
        <f ca="1">(IF(B57&gt;1.5,(I57/(B57+2)+L63+MAX(0,L64-L63)+MAX(0,L65-L64)+MAX(0,L66-L65)+MAX(0,L67-L66)+MAX(0,L68-L67)),IF(B57=1,(I57/(B57+3)+L68),IF(B57=0,I57/4+L68))))</f>
        <v>45</v>
      </c>
    </row>
    <row r="70" spans="1:12" x14ac:dyDescent="0.3">
      <c r="A70" s="179" t="s">
        <v>245</v>
      </c>
      <c r="B70" s="180"/>
      <c r="C70" s="180"/>
      <c r="D70" s="180"/>
      <c r="E70" s="180"/>
      <c r="F70" s="180"/>
      <c r="G70" s="180"/>
      <c r="H70" s="180"/>
      <c r="I70" s="180"/>
      <c r="J70" s="181"/>
    </row>
    <row r="71" spans="1:12" x14ac:dyDescent="0.3">
      <c r="A71" s="107" t="s">
        <v>69</v>
      </c>
      <c r="B71" s="108"/>
      <c r="C71" s="108"/>
      <c r="D71" s="108"/>
      <c r="E71" s="108"/>
      <c r="F71" s="108"/>
      <c r="G71" s="108"/>
      <c r="H71" s="108"/>
      <c r="I71" s="108"/>
      <c r="J71" s="109"/>
    </row>
    <row r="72" spans="1:12" ht="15.75" customHeight="1" x14ac:dyDescent="0.3">
      <c r="A72" s="174" t="s">
        <v>140</v>
      </c>
      <c r="B72" s="175"/>
      <c r="C72" s="176" t="s">
        <v>141</v>
      </c>
      <c r="D72" s="177"/>
      <c r="E72" s="177"/>
      <c r="F72" s="177"/>
      <c r="G72" s="177"/>
      <c r="H72" s="177"/>
      <c r="I72" s="177"/>
      <c r="J72" s="178"/>
    </row>
    <row r="73" spans="1:12" ht="16.5" customHeight="1" x14ac:dyDescent="0.3">
      <c r="A73" s="113" t="s">
        <v>70</v>
      </c>
      <c r="B73" s="114"/>
      <c r="C73" s="114"/>
      <c r="D73" s="114"/>
      <c r="E73" s="114"/>
      <c r="F73" s="114"/>
      <c r="G73" s="114"/>
      <c r="H73" s="114"/>
      <c r="I73" s="114"/>
      <c r="J73" s="115"/>
    </row>
    <row r="74" spans="1:12" x14ac:dyDescent="0.3">
      <c r="A74" s="107" t="s">
        <v>149</v>
      </c>
      <c r="B74" s="108"/>
      <c r="C74" s="108"/>
      <c r="D74" s="108"/>
      <c r="E74" s="108"/>
      <c r="F74" s="109"/>
      <c r="G74" s="166">
        <v>9500</v>
      </c>
      <c r="H74" s="167"/>
      <c r="I74" s="167"/>
      <c r="J74" s="168"/>
    </row>
    <row r="75" spans="1:12" x14ac:dyDescent="0.3">
      <c r="A75" s="107" t="s">
        <v>71</v>
      </c>
      <c r="B75" s="108"/>
      <c r="C75" s="108"/>
      <c r="D75" s="108"/>
      <c r="E75" s="108"/>
      <c r="F75" s="109"/>
      <c r="G75" s="163" t="s">
        <v>196</v>
      </c>
      <c r="H75" s="164"/>
      <c r="I75" s="164"/>
      <c r="J75" s="165"/>
    </row>
    <row r="76" spans="1:12" ht="15.75" customHeight="1" x14ac:dyDescent="0.3">
      <c r="A76" s="126" t="s">
        <v>198</v>
      </c>
      <c r="B76" s="127"/>
      <c r="C76" s="127"/>
      <c r="D76" s="127"/>
      <c r="E76" s="127"/>
      <c r="F76" s="128"/>
      <c r="G76" s="163" t="s">
        <v>155</v>
      </c>
      <c r="H76" s="164"/>
      <c r="I76" s="164"/>
      <c r="J76" s="165"/>
    </row>
    <row r="77" spans="1:12" x14ac:dyDescent="0.3">
      <c r="A77" s="107" t="s">
        <v>197</v>
      </c>
      <c r="B77" s="108"/>
      <c r="C77" s="108"/>
      <c r="D77" s="108"/>
      <c r="E77" s="108"/>
      <c r="F77" s="109"/>
      <c r="G77" s="163" t="s">
        <v>159</v>
      </c>
      <c r="H77" s="164"/>
      <c r="I77" s="164"/>
      <c r="J77" s="165"/>
    </row>
    <row r="78" spans="1:12" x14ac:dyDescent="0.3">
      <c r="A78" s="107" t="s">
        <v>72</v>
      </c>
      <c r="B78" s="108"/>
      <c r="C78" s="108"/>
      <c r="D78" s="108"/>
      <c r="E78" s="108"/>
      <c r="F78" s="109"/>
      <c r="G78" s="163" t="s">
        <v>170</v>
      </c>
      <c r="H78" s="164"/>
      <c r="I78" s="164"/>
      <c r="J78" s="165"/>
    </row>
    <row r="79" spans="1:12" x14ac:dyDescent="0.3">
      <c r="A79" s="107" t="s">
        <v>195</v>
      </c>
      <c r="B79" s="108"/>
      <c r="C79" s="108"/>
      <c r="D79" s="108"/>
      <c r="E79" s="108"/>
      <c r="F79" s="109"/>
      <c r="G79" s="163" t="s">
        <v>159</v>
      </c>
      <c r="H79" s="164"/>
      <c r="I79" s="164"/>
      <c r="J79" s="165"/>
    </row>
    <row r="80" spans="1:12" s="14" customFormat="1" ht="14.4" customHeight="1" x14ac:dyDescent="0.3">
      <c r="A80" s="113" t="s">
        <v>73</v>
      </c>
      <c r="B80" s="114"/>
      <c r="C80" s="114"/>
      <c r="D80" s="114"/>
      <c r="E80" s="114"/>
      <c r="F80" s="115"/>
      <c r="G80" s="131">
        <f>G74*0.8</f>
        <v>7600</v>
      </c>
      <c r="H80" s="132"/>
      <c r="I80" s="132"/>
      <c r="J80" s="133"/>
    </row>
    <row r="81" spans="1:15" s="1" customFormat="1" x14ac:dyDescent="0.3">
      <c r="A81" s="142" t="s">
        <v>131</v>
      </c>
      <c r="B81" s="143"/>
      <c r="C81" s="143"/>
      <c r="D81" s="143"/>
      <c r="E81" s="143"/>
      <c r="F81" s="143"/>
      <c r="G81" s="143"/>
      <c r="H81" s="143"/>
      <c r="I81" s="143"/>
      <c r="J81" s="144"/>
    </row>
    <row r="82" spans="1:15" s="1" customFormat="1" ht="15.75" customHeight="1" x14ac:dyDescent="0.3">
      <c r="A82" s="147" t="s">
        <v>74</v>
      </c>
      <c r="B82" s="148"/>
      <c r="C82" s="10" t="s">
        <v>190</v>
      </c>
      <c r="D82" s="149" t="s">
        <v>75</v>
      </c>
      <c r="E82" s="150"/>
      <c r="F82" s="151"/>
      <c r="G82" s="147" t="s">
        <v>76</v>
      </c>
      <c r="H82" s="152"/>
      <c r="I82" s="152"/>
      <c r="J82" s="148"/>
    </row>
    <row r="83" spans="1:15" s="1" customFormat="1" x14ac:dyDescent="0.3">
      <c r="A83" s="145" t="s">
        <v>181</v>
      </c>
      <c r="B83" s="146"/>
      <c r="C83" s="11">
        <f>COUNT(D90:D91)+COUNT(D93:D99)*19+COUNT(D101:D104,D106:D107)*3+COUNT(D110:D116)*17+COUNT(D118:D121,D123:D124)*4</f>
        <v>296</v>
      </c>
      <c r="D83" s="153">
        <f>SUM(D90:E91)+SUM(D93:E99)*19+SUM(D101:E104,D106:E107)*3+SUM(D110:E116)*17+SUM(D118:E121,D123:E124)*4</f>
        <v>421308.66492000001</v>
      </c>
      <c r="E83" s="154"/>
      <c r="F83" s="155"/>
      <c r="G83" s="156">
        <f>SUM(E90:G91)+SUM(E93:G99)*19+SUM(E101:G104,E106:G107)*3+SUM(E110:G116)*17+SUM(E118:G121,E123:G124)*4</f>
        <v>590753.11595040001</v>
      </c>
      <c r="H83" s="157"/>
      <c r="I83" s="157"/>
      <c r="J83" s="158"/>
    </row>
    <row r="84" spans="1:15" s="14" customFormat="1" x14ac:dyDescent="0.3">
      <c r="A84" s="137" t="s">
        <v>79</v>
      </c>
      <c r="B84" s="138"/>
      <c r="C84" s="138"/>
      <c r="D84" s="138"/>
      <c r="E84" s="138"/>
      <c r="F84" s="138"/>
      <c r="G84" s="138"/>
      <c r="H84" s="138"/>
      <c r="I84" s="138"/>
      <c r="J84" s="139"/>
    </row>
    <row r="85" spans="1:15" x14ac:dyDescent="0.3">
      <c r="A85" s="137" t="s">
        <v>80</v>
      </c>
      <c r="B85" s="138"/>
      <c r="C85" s="138"/>
      <c r="D85" s="138"/>
      <c r="E85" s="138"/>
      <c r="F85" s="138"/>
      <c r="G85" s="138"/>
      <c r="H85" s="138"/>
      <c r="I85" s="138"/>
      <c r="J85" s="139"/>
    </row>
    <row r="86" spans="1:15" ht="50.25" customHeight="1" x14ac:dyDescent="0.3">
      <c r="A86" s="140" t="s">
        <v>189</v>
      </c>
      <c r="B86" s="141"/>
      <c r="C86" s="2" t="s">
        <v>81</v>
      </c>
      <c r="D86" s="140" t="s">
        <v>82</v>
      </c>
      <c r="E86" s="141"/>
      <c r="F86" s="15" t="s">
        <v>83</v>
      </c>
      <c r="G86" s="2" t="s">
        <v>193</v>
      </c>
      <c r="H86" s="2" t="s">
        <v>84</v>
      </c>
      <c r="I86" s="140" t="s">
        <v>85</v>
      </c>
      <c r="J86" s="141"/>
    </row>
    <row r="87" spans="1:15" s="3" customFormat="1" x14ac:dyDescent="0.3">
      <c r="A87" s="79" t="s">
        <v>181</v>
      </c>
      <c r="B87" s="80"/>
      <c r="C87" s="80"/>
      <c r="D87" s="80"/>
      <c r="E87" s="80"/>
      <c r="F87" s="80"/>
      <c r="G87" s="80"/>
      <c r="H87" s="80"/>
      <c r="I87" s="80"/>
      <c r="J87" s="81"/>
    </row>
    <row r="88" spans="1:15" s="3" customFormat="1" x14ac:dyDescent="0.3">
      <c r="A88" s="79" t="s">
        <v>194</v>
      </c>
      <c r="B88" s="80"/>
      <c r="C88" s="80"/>
      <c r="D88" s="80"/>
      <c r="E88" s="80"/>
      <c r="F88" s="80"/>
      <c r="G88" s="80"/>
      <c r="H88" s="80"/>
      <c r="I88" s="80"/>
      <c r="J88" s="81"/>
    </row>
    <row r="89" spans="1:15" s="3" customFormat="1" x14ac:dyDescent="0.3">
      <c r="A89" s="134" t="s">
        <v>182</v>
      </c>
      <c r="B89" s="135"/>
      <c r="C89" s="135"/>
      <c r="D89" s="135"/>
      <c r="E89" s="135"/>
      <c r="F89" s="135"/>
      <c r="G89" s="135"/>
      <c r="H89" s="135"/>
      <c r="I89" s="135"/>
      <c r="J89" s="136"/>
      <c r="L89" s="3">
        <v>6</v>
      </c>
    </row>
    <row r="90" spans="1:15" s="3" customFormat="1" x14ac:dyDescent="0.3">
      <c r="A90" s="77">
        <v>1</v>
      </c>
      <c r="B90" s="78"/>
      <c r="C90" s="4" t="s">
        <v>186</v>
      </c>
      <c r="D90" s="77">
        <f>(62.98+ ((3.1+3.85+1.85+3.1)*0.75))*10.764</f>
        <v>773.98541999999998</v>
      </c>
      <c r="E90" s="78">
        <f>62.98*10.764</f>
        <v>677.91671999999994</v>
      </c>
      <c r="F90" s="4">
        <v>0</v>
      </c>
      <c r="G90" s="4">
        <f>D90*1.76</f>
        <v>1362.2143392</v>
      </c>
      <c r="H90" s="4" t="s">
        <v>86</v>
      </c>
      <c r="I90" s="82" t="str">
        <f>A89</f>
        <v>1st Floor</v>
      </c>
      <c r="J90" s="83"/>
      <c r="L90" s="3">
        <f>G90/D90</f>
        <v>1.76</v>
      </c>
      <c r="N90" s="3">
        <f>0.75*1.85+4.6*3.1+2.55*1.81+3.35*2.91+3.95*3.05+3.8*2.15+2.25*1.25+1.33*2.25+1.25*2+0.6*1.48+2.17*0.68</f>
        <v>60.897599999999997</v>
      </c>
    </row>
    <row r="91" spans="1:15" s="3" customFormat="1" x14ac:dyDescent="0.3">
      <c r="A91" s="77">
        <v>2</v>
      </c>
      <c r="B91" s="78"/>
      <c r="C91" s="4" t="s">
        <v>186</v>
      </c>
      <c r="D91" s="77">
        <f>(63.04+ ((3.1+3.85+1.85+3.1)*0.75))*10.764</f>
        <v>774.63126</v>
      </c>
      <c r="E91" s="78">
        <f>62.98*10.764</f>
        <v>677.91671999999994</v>
      </c>
      <c r="F91" s="4">
        <v>0</v>
      </c>
      <c r="G91" s="4">
        <f>D91*1.76</f>
        <v>1363.3510176</v>
      </c>
      <c r="H91" s="4" t="s">
        <v>86</v>
      </c>
      <c r="I91" s="84"/>
      <c r="J91" s="85"/>
    </row>
    <row r="92" spans="1:15" s="3" customFormat="1" x14ac:dyDescent="0.3">
      <c r="A92" s="79" t="s">
        <v>258</v>
      </c>
      <c r="B92" s="80"/>
      <c r="C92" s="80"/>
      <c r="D92" s="80"/>
      <c r="E92" s="80"/>
      <c r="F92" s="80"/>
      <c r="G92" s="80"/>
      <c r="H92" s="80"/>
      <c r="I92" s="80"/>
      <c r="J92" s="81"/>
      <c r="O92" s="3">
        <f>7*16</f>
        <v>112</v>
      </c>
    </row>
    <row r="93" spans="1:15" s="3" customFormat="1" x14ac:dyDescent="0.3">
      <c r="A93" s="77">
        <v>1</v>
      </c>
      <c r="B93" s="78"/>
      <c r="C93" s="4" t="s">
        <v>186</v>
      </c>
      <c r="D93" s="77">
        <f>(62.98*10.764)+(((3.1+3.85+1.85+3.1)*0.75)*10.764)</f>
        <v>773.98541999999998</v>
      </c>
      <c r="E93" s="78">
        <f>0+(((3.1+3.85+1.85+3.1)*0.75)*10.764)</f>
        <v>96.068700000000007</v>
      </c>
      <c r="F93" s="4">
        <v>0</v>
      </c>
      <c r="G93" s="4">
        <f>D93*1.76</f>
        <v>1362.2143392</v>
      </c>
      <c r="H93" s="4" t="s">
        <v>86</v>
      </c>
      <c r="I93" s="82" t="str">
        <f>A92</f>
        <v>2nd to 7th, 9th to 12th, 14th to 17th, 19th to 22nd &amp; 24th Floor</v>
      </c>
      <c r="J93" s="83"/>
      <c r="L93" s="3">
        <f>(11500000-M93)/G93</f>
        <v>7901.6776261519472</v>
      </c>
      <c r="M93" s="3">
        <f>100*G93+300000+300000</f>
        <v>736221.43391999998</v>
      </c>
    </row>
    <row r="94" spans="1:15" s="3" customFormat="1" x14ac:dyDescent="0.3">
      <c r="A94" s="77">
        <v>2</v>
      </c>
      <c r="B94" s="78"/>
      <c r="C94" s="4" t="s">
        <v>186</v>
      </c>
      <c r="D94" s="77">
        <f>(63.04*10.764)+(((3.1+3.85+1.85+3.1)*0.75)*10.764)</f>
        <v>774.63126</v>
      </c>
      <c r="E94" s="78">
        <f>(63.04*10.764)+(((3.1+3.85+1.85+3.1)*0.75)*10.764)</f>
        <v>774.63126</v>
      </c>
      <c r="F94" s="4">
        <v>0</v>
      </c>
      <c r="G94" s="4">
        <f>D94*1.76</f>
        <v>1363.3510176</v>
      </c>
      <c r="H94" s="4" t="s">
        <v>86</v>
      </c>
      <c r="I94" s="84"/>
      <c r="J94" s="85"/>
      <c r="L94" s="3">
        <f t="shared" ref="L94:L99" si="0">(11500000-M94)/G94</f>
        <v>7895.006318466696</v>
      </c>
      <c r="M94" s="3">
        <f t="shared" ref="M94:M99" si="1">100*G94+300000+300000</f>
        <v>736335.10175999999</v>
      </c>
    </row>
    <row r="95" spans="1:15" s="3" customFormat="1" x14ac:dyDescent="0.3">
      <c r="A95" s="77">
        <v>3</v>
      </c>
      <c r="B95" s="78"/>
      <c r="C95" s="4" t="s">
        <v>186</v>
      </c>
      <c r="D95" s="77">
        <f>(61.51*10.764)+(((3.1+3.9+1.85+2.15)*0.75)*10.764)</f>
        <v>750.89663999999993</v>
      </c>
      <c r="E95" s="78">
        <f>(61.51*10.764)+(((3.1+3.9+1.85+2.15)*0.75)*10.764)</f>
        <v>750.89663999999993</v>
      </c>
      <c r="F95" s="4">
        <v>0</v>
      </c>
      <c r="G95" s="4">
        <f t="shared" ref="G95:G107" si="2">D95*1.76</f>
        <v>1321.5780863999998</v>
      </c>
      <c r="H95" s="4" t="s">
        <v>86</v>
      </c>
      <c r="I95" s="84"/>
      <c r="J95" s="85"/>
      <c r="L95" s="3">
        <f t="shared" si="0"/>
        <v>8147.7154488024071</v>
      </c>
      <c r="M95" s="3">
        <f t="shared" si="1"/>
        <v>732157.80863999994</v>
      </c>
    </row>
    <row r="96" spans="1:15" s="3" customFormat="1" x14ac:dyDescent="0.3">
      <c r="A96" s="77">
        <v>4</v>
      </c>
      <c r="B96" s="78"/>
      <c r="C96" s="4" t="s">
        <v>186</v>
      </c>
      <c r="D96" s="77">
        <f>(60.85*10.764)+(((3.1+3.9+1.85+2.15)*0.75)*10.764)</f>
        <v>743.79239999999993</v>
      </c>
      <c r="E96" s="78">
        <f>(60.85*10.764)+(((3.1+3.9+1.85+2.15)*0.75)*10.764)</f>
        <v>743.79239999999993</v>
      </c>
      <c r="F96" s="4">
        <v>0</v>
      </c>
      <c r="G96" s="4">
        <f t="shared" si="2"/>
        <v>1309.0746239999999</v>
      </c>
      <c r="H96" s="4" t="s">
        <v>86</v>
      </c>
      <c r="I96" s="84"/>
      <c r="J96" s="85"/>
      <c r="L96" s="3">
        <f t="shared" si="0"/>
        <v>8226.4924704552213</v>
      </c>
      <c r="M96" s="3">
        <f t="shared" si="1"/>
        <v>730907.46239999996</v>
      </c>
    </row>
    <row r="97" spans="1:18" s="3" customFormat="1" x14ac:dyDescent="0.3">
      <c r="A97" s="77">
        <v>5</v>
      </c>
      <c r="B97" s="78"/>
      <c r="C97" s="4" t="s">
        <v>186</v>
      </c>
      <c r="D97" s="77">
        <f>(63.22*10.764)+(((3.05+3.05)*0.75)*10.764)</f>
        <v>729.74537999999984</v>
      </c>
      <c r="E97" s="78">
        <f>(63.22*10.764)+(((3.05+3.05)*0.75)*10.764)</f>
        <v>729.74537999999984</v>
      </c>
      <c r="F97" s="4">
        <v>0</v>
      </c>
      <c r="G97" s="4">
        <f t="shared" si="2"/>
        <v>1284.3518687999997</v>
      </c>
      <c r="H97" s="4" t="s">
        <v>86</v>
      </c>
      <c r="I97" s="84"/>
      <c r="J97" s="85"/>
      <c r="L97" s="3">
        <f t="shared" si="0"/>
        <v>8386.7708490073892</v>
      </c>
      <c r="M97" s="3">
        <f t="shared" si="1"/>
        <v>728435.18687999994</v>
      </c>
      <c r="R97" s="3" t="e">
        <f>L89+O92+L101+#REF!</f>
        <v>#REF!</v>
      </c>
    </row>
    <row r="98" spans="1:18" s="3" customFormat="1" x14ac:dyDescent="0.3">
      <c r="A98" s="77">
        <v>6</v>
      </c>
      <c r="B98" s="78"/>
      <c r="C98" s="4" t="s">
        <v>186</v>
      </c>
      <c r="D98" s="77">
        <f>(60.85*10.764)+(((3.1+3.9+1.85+2.15)*0.75)*10.764)</f>
        <v>743.79239999999993</v>
      </c>
      <c r="E98" s="78">
        <f>(60.85*10.764)+(((3.1+3.9+1.85+2.15)*0.75)*10.764)</f>
        <v>743.79239999999993</v>
      </c>
      <c r="F98" s="4">
        <v>0</v>
      </c>
      <c r="G98" s="4">
        <f t="shared" si="2"/>
        <v>1309.0746239999999</v>
      </c>
      <c r="H98" s="4" t="s">
        <v>86</v>
      </c>
      <c r="I98" s="84"/>
      <c r="J98" s="85"/>
      <c r="L98" s="3">
        <f t="shared" si="0"/>
        <v>8226.4924704552213</v>
      </c>
      <c r="M98" s="3">
        <f t="shared" si="1"/>
        <v>730907.46239999996</v>
      </c>
    </row>
    <row r="99" spans="1:18" s="3" customFormat="1" x14ac:dyDescent="0.3">
      <c r="A99" s="77">
        <v>7</v>
      </c>
      <c r="B99" s="78"/>
      <c r="C99" s="4" t="s">
        <v>186</v>
      </c>
      <c r="D99" s="77">
        <f>(61.51*10.764)+(((3.1+3.9+1.85+2.15)*0.75)*10.764)</f>
        <v>750.89663999999993</v>
      </c>
      <c r="E99" s="78">
        <f>(61.51*10.764)+(((3.1+3.9+1.85+2.15)*0.75)*10.764)</f>
        <v>750.89663999999993</v>
      </c>
      <c r="F99" s="4">
        <v>0</v>
      </c>
      <c r="G99" s="4">
        <f t="shared" si="2"/>
        <v>1321.5780863999998</v>
      </c>
      <c r="H99" s="4" t="s">
        <v>86</v>
      </c>
      <c r="I99" s="86"/>
      <c r="J99" s="87"/>
      <c r="L99" s="3">
        <f t="shared" si="0"/>
        <v>8147.7154488024071</v>
      </c>
      <c r="M99" s="3">
        <f t="shared" si="1"/>
        <v>732157.80863999994</v>
      </c>
    </row>
    <row r="100" spans="1:18" s="3" customFormat="1" x14ac:dyDescent="0.3">
      <c r="A100" s="79" t="s">
        <v>259</v>
      </c>
      <c r="B100" s="80"/>
      <c r="C100" s="80"/>
      <c r="D100" s="80"/>
      <c r="E100" s="80"/>
      <c r="F100" s="80"/>
      <c r="G100" s="80"/>
      <c r="H100" s="80"/>
      <c r="I100" s="80"/>
      <c r="J100" s="81"/>
    </row>
    <row r="101" spans="1:18" s="3" customFormat="1" x14ac:dyDescent="0.3">
      <c r="A101" s="77">
        <v>1</v>
      </c>
      <c r="B101" s="78"/>
      <c r="C101" s="4" t="s">
        <v>186</v>
      </c>
      <c r="D101" s="77">
        <f>(62.98*10.764)+(((3.1+3.85+1.85+3.1)*0.75)*10.764)</f>
        <v>773.98541999999998</v>
      </c>
      <c r="E101" s="78">
        <f>(62.98*10.764)+(((3.1+3.85+1.85+3.1)*0.75)*10.764)</f>
        <v>773.98541999999998</v>
      </c>
      <c r="F101" s="4">
        <v>0</v>
      </c>
      <c r="G101" s="4">
        <f t="shared" si="2"/>
        <v>1362.2143392</v>
      </c>
      <c r="H101" s="4" t="s">
        <v>86</v>
      </c>
      <c r="I101" s="82" t="str">
        <f>A100</f>
        <v>8th, 13th &amp; 18th Floor (Refuge Area)</v>
      </c>
      <c r="J101" s="83"/>
      <c r="L101" s="3">
        <f>6*3</f>
        <v>18</v>
      </c>
    </row>
    <row r="102" spans="1:18" s="3" customFormat="1" x14ac:dyDescent="0.3">
      <c r="A102" s="77">
        <v>2</v>
      </c>
      <c r="B102" s="78"/>
      <c r="C102" s="4" t="s">
        <v>186</v>
      </c>
      <c r="D102" s="77">
        <f>(63.04*10.764)+(((3.1+3.85+1.85+3.1)*0.75)*10.764)</f>
        <v>774.63126</v>
      </c>
      <c r="E102" s="78">
        <f>(63.04*10.764)+(((3.1+3.85+1.85+3.1)*0.75)*10.764)</f>
        <v>774.63126</v>
      </c>
      <c r="F102" s="4">
        <v>0</v>
      </c>
      <c r="G102" s="4">
        <f t="shared" si="2"/>
        <v>1363.3510176</v>
      </c>
      <c r="H102" s="4" t="s">
        <v>86</v>
      </c>
      <c r="I102" s="84"/>
      <c r="J102" s="85"/>
    </row>
    <row r="103" spans="1:18" s="3" customFormat="1" x14ac:dyDescent="0.3">
      <c r="A103" s="77">
        <v>3</v>
      </c>
      <c r="B103" s="78"/>
      <c r="C103" s="4" t="s">
        <v>186</v>
      </c>
      <c r="D103" s="77">
        <f>(61.51*10.764)+(((3.1+3.9+1.85+2.15)*0.75)*10.764)</f>
        <v>750.89663999999993</v>
      </c>
      <c r="E103" s="78">
        <f>(61.51*10.764)+(((3.1+3.9+1.85+2.15)*0.75)*10.764)</f>
        <v>750.89663999999993</v>
      </c>
      <c r="F103" s="4">
        <v>0</v>
      </c>
      <c r="G103" s="4">
        <f t="shared" si="2"/>
        <v>1321.5780863999998</v>
      </c>
      <c r="H103" s="4" t="s">
        <v>86</v>
      </c>
      <c r="I103" s="84"/>
      <c r="J103" s="85"/>
    </row>
    <row r="104" spans="1:18" s="3" customFormat="1" x14ac:dyDescent="0.3">
      <c r="A104" s="77">
        <v>4</v>
      </c>
      <c r="B104" s="78"/>
      <c r="C104" s="4" t="s">
        <v>186</v>
      </c>
      <c r="D104" s="77">
        <f>(60.85*10.764)+(((3.1+3.9+1.85+2.15)*0.75)*10.764)</f>
        <v>743.79239999999993</v>
      </c>
      <c r="E104" s="78">
        <f>(60.85*10.764)+(((3.1+3.9+1.85+2.15)*0.75)*10.764)</f>
        <v>743.79239999999993</v>
      </c>
      <c r="F104" s="4">
        <v>0</v>
      </c>
      <c r="G104" s="4">
        <f t="shared" si="2"/>
        <v>1309.0746239999999</v>
      </c>
      <c r="H104" s="4" t="s">
        <v>86</v>
      </c>
      <c r="I104" s="84"/>
      <c r="J104" s="85"/>
    </row>
    <row r="105" spans="1:18" s="3" customFormat="1" x14ac:dyDescent="0.3">
      <c r="A105" s="77">
        <v>5</v>
      </c>
      <c r="B105" s="78"/>
      <c r="C105" s="88" t="s">
        <v>261</v>
      </c>
      <c r="D105" s="88"/>
      <c r="E105" s="88"/>
      <c r="F105" s="88"/>
      <c r="G105" s="88"/>
      <c r="H105" s="88"/>
      <c r="I105" s="84"/>
      <c r="J105" s="85"/>
    </row>
    <row r="106" spans="1:18" s="3" customFormat="1" x14ac:dyDescent="0.3">
      <c r="A106" s="77">
        <v>6</v>
      </c>
      <c r="B106" s="78"/>
      <c r="C106" s="4" t="s">
        <v>186</v>
      </c>
      <c r="D106" s="77">
        <f>(60.85*10.764)+(((3.1+3.9+1.85+2.15)*0.75)*10.764)</f>
        <v>743.79239999999993</v>
      </c>
      <c r="E106" s="78">
        <f>(60.85*10.764)+(((3.1+3.9+1.85+2.15)*0.75)*10.764)</f>
        <v>743.79239999999993</v>
      </c>
      <c r="F106" s="4">
        <v>0</v>
      </c>
      <c r="G106" s="4">
        <f t="shared" si="2"/>
        <v>1309.0746239999999</v>
      </c>
      <c r="H106" s="4" t="s">
        <v>86</v>
      </c>
      <c r="I106" s="84"/>
      <c r="J106" s="85"/>
    </row>
    <row r="107" spans="1:18" s="3" customFormat="1" x14ac:dyDescent="0.3">
      <c r="A107" s="77">
        <v>7</v>
      </c>
      <c r="B107" s="78"/>
      <c r="C107" s="4" t="s">
        <v>186</v>
      </c>
      <c r="D107" s="77">
        <f>(61.51*10.764)+(((3.1+3.9+1.85+2.15)*0.75)*10.764)</f>
        <v>750.89663999999993</v>
      </c>
      <c r="E107" s="78">
        <f>(61.51*10.764)+(((3.1+3.9+1.85+2.15)*0.75)*10.764)</f>
        <v>750.89663999999993</v>
      </c>
      <c r="F107" s="4">
        <v>0</v>
      </c>
      <c r="G107" s="4">
        <f t="shared" si="2"/>
        <v>1321.5780863999998</v>
      </c>
      <c r="H107" s="4" t="s">
        <v>86</v>
      </c>
      <c r="I107" s="86"/>
      <c r="J107" s="87"/>
    </row>
    <row r="108" spans="1:18" s="3" customFormat="1" x14ac:dyDescent="0.3">
      <c r="A108" s="79" t="s">
        <v>262</v>
      </c>
      <c r="B108" s="80"/>
      <c r="C108" s="80"/>
      <c r="D108" s="80"/>
      <c r="E108" s="80"/>
      <c r="F108" s="80"/>
      <c r="G108" s="80"/>
      <c r="H108" s="80"/>
      <c r="I108" s="80"/>
      <c r="J108" s="81"/>
      <c r="O108" s="3">
        <f>7*16</f>
        <v>112</v>
      </c>
    </row>
    <row r="109" spans="1:18" s="3" customFormat="1" x14ac:dyDescent="0.3">
      <c r="A109" s="79" t="s">
        <v>264</v>
      </c>
      <c r="B109" s="80"/>
      <c r="C109" s="80"/>
      <c r="D109" s="80"/>
      <c r="E109" s="80"/>
      <c r="F109" s="80"/>
      <c r="G109" s="80"/>
      <c r="H109" s="80"/>
      <c r="I109" s="80"/>
      <c r="J109" s="81"/>
      <c r="O109" s="3">
        <f>7*16</f>
        <v>112</v>
      </c>
    </row>
    <row r="110" spans="1:18" s="3" customFormat="1" x14ac:dyDescent="0.3">
      <c r="A110" s="77">
        <v>1</v>
      </c>
      <c r="B110" s="78"/>
      <c r="C110" s="4" t="s">
        <v>186</v>
      </c>
      <c r="D110" s="77">
        <f>(62.98*10.764)+(((3.1+3.85+1.85+3.1)*0.75)*10.764)</f>
        <v>773.98541999999998</v>
      </c>
      <c r="E110" s="78">
        <f>0+(((3.1+3.85+1.85+3.1)*0.75)*10.764)</f>
        <v>96.068700000000007</v>
      </c>
      <c r="F110" s="4">
        <v>0</v>
      </c>
      <c r="G110" s="4">
        <f>D110*1.76</f>
        <v>1362.2143392</v>
      </c>
      <c r="H110" s="4" t="s">
        <v>86</v>
      </c>
      <c r="I110" s="82" t="str">
        <f>A109</f>
        <v>25th to 27th, 29th to 32nd, 34th to 37th, 39th to 42nd, 44th &amp; 45th Floor</v>
      </c>
      <c r="J110" s="83"/>
      <c r="L110" s="3">
        <f>(11500000-M110)/G110</f>
        <v>7901.6776261519472</v>
      </c>
      <c r="M110" s="3">
        <f>100*G110+300000+300000</f>
        <v>736221.43391999998</v>
      </c>
    </row>
    <row r="111" spans="1:18" s="3" customFormat="1" x14ac:dyDescent="0.3">
      <c r="A111" s="77">
        <v>2</v>
      </c>
      <c r="B111" s="78"/>
      <c r="C111" s="4" t="s">
        <v>186</v>
      </c>
      <c r="D111" s="77">
        <f>(63.04*10.764)+(((3.1+3.85+1.85+3.1)*0.75)*10.764)</f>
        <v>774.63126</v>
      </c>
      <c r="E111" s="78">
        <f>(63.04*10.764)+(((3.1+3.85+1.85+3.1)*0.75)*10.764)</f>
        <v>774.63126</v>
      </c>
      <c r="F111" s="4">
        <v>0</v>
      </c>
      <c r="G111" s="4">
        <f>D111*1.76</f>
        <v>1363.3510176</v>
      </c>
      <c r="H111" s="4" t="s">
        <v>86</v>
      </c>
      <c r="I111" s="84"/>
      <c r="J111" s="85"/>
      <c r="L111" s="3">
        <f t="shared" ref="L111:L116" si="3">(11500000-M111)/G111</f>
        <v>7895.006318466696</v>
      </c>
      <c r="M111" s="3">
        <f t="shared" ref="M111:M116" si="4">100*G111+300000+300000</f>
        <v>736335.10175999999</v>
      </c>
    </row>
    <row r="112" spans="1:18" s="3" customFormat="1" x14ac:dyDescent="0.3">
      <c r="A112" s="77">
        <v>3</v>
      </c>
      <c r="B112" s="78"/>
      <c r="C112" s="4" t="s">
        <v>186</v>
      </c>
      <c r="D112" s="77">
        <f>(61.51*10.764)+(((3.1+3.9+1.85+2.15)*0.75)*10.764)</f>
        <v>750.89663999999993</v>
      </c>
      <c r="E112" s="78">
        <f>(61.51*10.764)+(((3.1+3.9+1.85+2.15)*0.75)*10.764)</f>
        <v>750.89663999999993</v>
      </c>
      <c r="F112" s="4">
        <v>0</v>
      </c>
      <c r="G112" s="4">
        <f t="shared" ref="G112:G116" si="5">D112*1.76</f>
        <v>1321.5780863999998</v>
      </c>
      <c r="H112" s="4" t="s">
        <v>86</v>
      </c>
      <c r="I112" s="84"/>
      <c r="J112" s="85"/>
      <c r="L112" s="3">
        <f t="shared" si="3"/>
        <v>8147.7154488024071</v>
      </c>
      <c r="M112" s="3">
        <f t="shared" si="4"/>
        <v>732157.80863999994</v>
      </c>
    </row>
    <row r="113" spans="1:18" s="3" customFormat="1" x14ac:dyDescent="0.3">
      <c r="A113" s="77">
        <v>4</v>
      </c>
      <c r="B113" s="78"/>
      <c r="C113" s="4" t="s">
        <v>186</v>
      </c>
      <c r="D113" s="77">
        <f>(60.85*10.764)+(((3.1+3.9+1.85+2.15)*0.75)*10.764)</f>
        <v>743.79239999999993</v>
      </c>
      <c r="E113" s="78">
        <f>(60.85*10.764)+(((3.1+3.9+1.85+2.15)*0.75)*10.764)</f>
        <v>743.79239999999993</v>
      </c>
      <c r="F113" s="4">
        <v>0</v>
      </c>
      <c r="G113" s="4">
        <f t="shared" si="5"/>
        <v>1309.0746239999999</v>
      </c>
      <c r="H113" s="4" t="s">
        <v>86</v>
      </c>
      <c r="I113" s="84"/>
      <c r="J113" s="85"/>
      <c r="L113" s="3">
        <f t="shared" si="3"/>
        <v>8226.4924704552213</v>
      </c>
      <c r="M113" s="3">
        <f t="shared" si="4"/>
        <v>730907.46239999996</v>
      </c>
    </row>
    <row r="114" spans="1:18" s="3" customFormat="1" x14ac:dyDescent="0.3">
      <c r="A114" s="77">
        <v>5</v>
      </c>
      <c r="B114" s="78"/>
      <c r="C114" s="4" t="s">
        <v>186</v>
      </c>
      <c r="D114" s="77">
        <f>(63.22*10.764)+(((3.05+3.05)*0.75)*10.764)</f>
        <v>729.74537999999984</v>
      </c>
      <c r="E114" s="78">
        <f>(63.22*10.764)+(((3.05+3.05)*0.75)*10.764)</f>
        <v>729.74537999999984</v>
      </c>
      <c r="F114" s="4">
        <v>0</v>
      </c>
      <c r="G114" s="4">
        <f t="shared" si="5"/>
        <v>1284.3518687999997</v>
      </c>
      <c r="H114" s="4" t="s">
        <v>86</v>
      </c>
      <c r="I114" s="84"/>
      <c r="J114" s="85"/>
      <c r="L114" s="3">
        <f t="shared" si="3"/>
        <v>8386.7708490073892</v>
      </c>
      <c r="M114" s="3">
        <f t="shared" si="4"/>
        <v>728435.18687999994</v>
      </c>
      <c r="R114" s="3" t="e">
        <f>L105+O109+L118+#REF!</f>
        <v>#REF!</v>
      </c>
    </row>
    <row r="115" spans="1:18" s="3" customFormat="1" x14ac:dyDescent="0.3">
      <c r="A115" s="77">
        <v>6</v>
      </c>
      <c r="B115" s="78"/>
      <c r="C115" s="4" t="s">
        <v>186</v>
      </c>
      <c r="D115" s="77">
        <f>(60.85*10.764)+(((3.1+3.9+1.85+2.15)*0.75)*10.764)</f>
        <v>743.79239999999993</v>
      </c>
      <c r="E115" s="78">
        <f>(60.85*10.764)+(((3.1+3.9+1.85+2.15)*0.75)*10.764)</f>
        <v>743.79239999999993</v>
      </c>
      <c r="F115" s="4">
        <v>0</v>
      </c>
      <c r="G115" s="4">
        <f t="shared" si="5"/>
        <v>1309.0746239999999</v>
      </c>
      <c r="H115" s="4" t="s">
        <v>86</v>
      </c>
      <c r="I115" s="84"/>
      <c r="J115" s="85"/>
      <c r="L115" s="3">
        <f t="shared" si="3"/>
        <v>8226.4924704552213</v>
      </c>
      <c r="M115" s="3">
        <f t="shared" si="4"/>
        <v>730907.46239999996</v>
      </c>
    </row>
    <row r="116" spans="1:18" s="3" customFormat="1" x14ac:dyDescent="0.3">
      <c r="A116" s="77">
        <v>7</v>
      </c>
      <c r="B116" s="78"/>
      <c r="C116" s="4" t="s">
        <v>186</v>
      </c>
      <c r="D116" s="77">
        <f>(61.51*10.764)+(((3.1+3.9+1.85+2.15)*0.75)*10.764)</f>
        <v>750.89663999999993</v>
      </c>
      <c r="E116" s="78">
        <f>(61.51*10.764)+(((3.1+3.9+1.85+2.15)*0.75)*10.764)</f>
        <v>750.89663999999993</v>
      </c>
      <c r="F116" s="4">
        <v>0</v>
      </c>
      <c r="G116" s="4">
        <f t="shared" si="5"/>
        <v>1321.5780863999998</v>
      </c>
      <c r="H116" s="4" t="s">
        <v>86</v>
      </c>
      <c r="I116" s="86"/>
      <c r="J116" s="87"/>
      <c r="L116" s="3">
        <f t="shared" si="3"/>
        <v>8147.7154488024071</v>
      </c>
      <c r="M116" s="3">
        <f t="shared" si="4"/>
        <v>732157.80863999994</v>
      </c>
    </row>
    <row r="117" spans="1:18" s="3" customFormat="1" x14ac:dyDescent="0.3">
      <c r="A117" s="79" t="s">
        <v>260</v>
      </c>
      <c r="B117" s="80"/>
      <c r="C117" s="80"/>
      <c r="D117" s="80"/>
      <c r="E117" s="80"/>
      <c r="F117" s="80"/>
      <c r="G117" s="80"/>
      <c r="H117" s="80"/>
      <c r="I117" s="80"/>
      <c r="J117" s="81"/>
    </row>
    <row r="118" spans="1:18" s="3" customFormat="1" x14ac:dyDescent="0.3">
      <c r="A118" s="77">
        <v>1</v>
      </c>
      <c r="B118" s="78"/>
      <c r="C118" s="4" t="s">
        <v>186</v>
      </c>
      <c r="D118" s="77">
        <f>(62.98*10.764)+(((3.1+3.85+1.85+3.1)*0.75)*10.764)</f>
        <v>773.98541999999998</v>
      </c>
      <c r="E118" s="78">
        <f>(62.98*10.764)+(((3.1+3.85+1.85+3.1)*0.75)*10.764)</f>
        <v>773.98541999999998</v>
      </c>
      <c r="F118" s="4">
        <v>0</v>
      </c>
      <c r="G118" s="4">
        <f t="shared" ref="G118:G121" si="6">D118*1.76</f>
        <v>1362.2143392</v>
      </c>
      <c r="H118" s="4" t="s">
        <v>86</v>
      </c>
      <c r="I118" s="82" t="str">
        <f>A117</f>
        <v>28th, 33rd, 38th, 43rd Floor (Refuge Area)</v>
      </c>
      <c r="J118" s="83"/>
      <c r="L118" s="3">
        <f>6*3</f>
        <v>18</v>
      </c>
    </row>
    <row r="119" spans="1:18" s="3" customFormat="1" x14ac:dyDescent="0.3">
      <c r="A119" s="77">
        <v>2</v>
      </c>
      <c r="B119" s="78"/>
      <c r="C119" s="4" t="s">
        <v>186</v>
      </c>
      <c r="D119" s="77">
        <f>(63.04*10.764)+(((3.1+3.85+1.85+3.1)*0.75)*10.764)</f>
        <v>774.63126</v>
      </c>
      <c r="E119" s="78">
        <f>(63.04*10.764)+(((3.1+3.85+1.85+3.1)*0.75)*10.764)</f>
        <v>774.63126</v>
      </c>
      <c r="F119" s="4">
        <v>0</v>
      </c>
      <c r="G119" s="4">
        <f t="shared" si="6"/>
        <v>1363.3510176</v>
      </c>
      <c r="H119" s="4" t="s">
        <v>86</v>
      </c>
      <c r="I119" s="84"/>
      <c r="J119" s="85"/>
    </row>
    <row r="120" spans="1:18" s="3" customFormat="1" x14ac:dyDescent="0.3">
      <c r="A120" s="77">
        <v>3</v>
      </c>
      <c r="B120" s="78"/>
      <c r="C120" s="4" t="s">
        <v>186</v>
      </c>
      <c r="D120" s="77">
        <f>(61.51*10.764)+(((3.1+3.9+1.85+2.15)*0.75)*10.764)</f>
        <v>750.89663999999993</v>
      </c>
      <c r="E120" s="78">
        <f>(61.51*10.764)+(((3.1+3.9+1.85+2.15)*0.75)*10.764)</f>
        <v>750.89663999999993</v>
      </c>
      <c r="F120" s="4">
        <v>0</v>
      </c>
      <c r="G120" s="4">
        <f t="shared" si="6"/>
        <v>1321.5780863999998</v>
      </c>
      <c r="H120" s="4" t="s">
        <v>86</v>
      </c>
      <c r="I120" s="84"/>
      <c r="J120" s="85"/>
    </row>
    <row r="121" spans="1:18" s="3" customFormat="1" x14ac:dyDescent="0.3">
      <c r="A121" s="77">
        <v>4</v>
      </c>
      <c r="B121" s="78"/>
      <c r="C121" s="4" t="s">
        <v>186</v>
      </c>
      <c r="D121" s="77">
        <f>(60.85*10.764)+(((3.1+3.9+1.85+2.15)*0.75)*10.764)</f>
        <v>743.79239999999993</v>
      </c>
      <c r="E121" s="78">
        <f>(60.85*10.764)+(((3.1+3.9+1.85+2.15)*0.75)*10.764)</f>
        <v>743.79239999999993</v>
      </c>
      <c r="F121" s="4">
        <v>0</v>
      </c>
      <c r="G121" s="4">
        <f t="shared" si="6"/>
        <v>1309.0746239999999</v>
      </c>
      <c r="H121" s="4" t="s">
        <v>86</v>
      </c>
      <c r="I121" s="84"/>
      <c r="J121" s="85"/>
    </row>
    <row r="122" spans="1:18" s="3" customFormat="1" x14ac:dyDescent="0.3">
      <c r="A122" s="77">
        <v>5</v>
      </c>
      <c r="B122" s="78"/>
      <c r="C122" s="88" t="s">
        <v>261</v>
      </c>
      <c r="D122" s="88"/>
      <c r="E122" s="88"/>
      <c r="F122" s="88"/>
      <c r="G122" s="88"/>
      <c r="H122" s="88"/>
      <c r="I122" s="84"/>
      <c r="J122" s="85"/>
    </row>
    <row r="123" spans="1:18" s="3" customFormat="1" x14ac:dyDescent="0.3">
      <c r="A123" s="77">
        <v>6</v>
      </c>
      <c r="B123" s="78"/>
      <c r="C123" s="4" t="s">
        <v>186</v>
      </c>
      <c r="D123" s="77">
        <f>(60.85*10.764)+(((3.1+3.9+1.85+2.15)*0.75)*10.764)</f>
        <v>743.79239999999993</v>
      </c>
      <c r="E123" s="78">
        <f>(60.85*10.764)+(((3.1+3.9+1.85+2.15)*0.75)*10.764)</f>
        <v>743.79239999999993</v>
      </c>
      <c r="F123" s="4">
        <v>0</v>
      </c>
      <c r="G123" s="4">
        <f t="shared" ref="G123:G124" si="7">D123*1.76</f>
        <v>1309.0746239999999</v>
      </c>
      <c r="H123" s="4" t="s">
        <v>86</v>
      </c>
      <c r="I123" s="84"/>
      <c r="J123" s="85"/>
    </row>
    <row r="124" spans="1:18" s="3" customFormat="1" x14ac:dyDescent="0.3">
      <c r="A124" s="77">
        <v>7</v>
      </c>
      <c r="B124" s="78"/>
      <c r="C124" s="4" t="s">
        <v>186</v>
      </c>
      <c r="D124" s="77">
        <f>(61.51*10.764)+(((3.1+3.9+1.85+2.15)*0.75)*10.764)</f>
        <v>750.89663999999993</v>
      </c>
      <c r="E124" s="78">
        <f>(61.51*10.764)+(((3.1+3.9+1.85+2.15)*0.75)*10.764)</f>
        <v>750.89663999999993</v>
      </c>
      <c r="F124" s="4">
        <v>0</v>
      </c>
      <c r="G124" s="4">
        <f t="shared" si="7"/>
        <v>1321.5780863999998</v>
      </c>
      <c r="H124" s="4" t="s">
        <v>86</v>
      </c>
      <c r="I124" s="86"/>
      <c r="J124" s="87"/>
    </row>
    <row r="125" spans="1:18" s="1" customFormat="1" x14ac:dyDescent="0.3">
      <c r="A125" s="129" t="s">
        <v>96</v>
      </c>
      <c r="B125" s="129"/>
      <c r="C125" s="129"/>
      <c r="D125" s="129"/>
      <c r="E125" s="129"/>
      <c r="F125" s="129"/>
      <c r="G125" s="129"/>
      <c r="H125" s="129"/>
      <c r="I125" s="129"/>
      <c r="J125" s="129"/>
    </row>
    <row r="126" spans="1:18" s="16" customFormat="1" ht="177" customHeight="1" x14ac:dyDescent="0.3">
      <c r="A126" s="130" t="s">
        <v>266</v>
      </c>
      <c r="B126" s="130"/>
      <c r="C126" s="130"/>
      <c r="D126" s="130"/>
      <c r="E126" s="130"/>
      <c r="F126" s="130"/>
      <c r="G126" s="130"/>
      <c r="H126" s="130"/>
      <c r="I126" s="130"/>
      <c r="J126" s="130"/>
    </row>
    <row r="127" spans="1:18" x14ac:dyDescent="0.3">
      <c r="A127" s="104" t="s">
        <v>87</v>
      </c>
      <c r="B127" s="105"/>
      <c r="C127" s="105"/>
      <c r="D127" s="105"/>
      <c r="E127" s="105"/>
      <c r="F127" s="105"/>
      <c r="G127" s="105"/>
      <c r="H127" s="105"/>
      <c r="I127" s="105"/>
      <c r="J127" s="106"/>
    </row>
    <row r="128" spans="1:18" x14ac:dyDescent="0.3">
      <c r="A128" s="107" t="s">
        <v>88</v>
      </c>
      <c r="B128" s="108"/>
      <c r="C128" s="108"/>
      <c r="D128" s="108"/>
      <c r="E128" s="108"/>
      <c r="F128" s="108"/>
      <c r="G128" s="108"/>
      <c r="H128" s="108"/>
      <c r="I128" s="108"/>
      <c r="J128" s="109"/>
    </row>
    <row r="129" spans="1:10" ht="15.75" customHeight="1" x14ac:dyDescent="0.3">
      <c r="A129" s="104" t="s">
        <v>89</v>
      </c>
      <c r="B129" s="105"/>
      <c r="C129" s="105"/>
      <c r="D129" s="105"/>
      <c r="E129" s="105"/>
      <c r="F129" s="105"/>
      <c r="G129" s="105"/>
      <c r="H129" s="105"/>
      <c r="I129" s="105"/>
      <c r="J129" s="106"/>
    </row>
    <row r="130" spans="1:10" x14ac:dyDescent="0.3">
      <c r="A130" s="107" t="s">
        <v>90</v>
      </c>
      <c r="B130" s="108"/>
      <c r="C130" s="108"/>
      <c r="D130" s="108"/>
      <c r="E130" s="108"/>
      <c r="F130" s="108"/>
      <c r="G130" s="108"/>
      <c r="H130" s="108"/>
      <c r="I130" s="108"/>
      <c r="J130" s="109"/>
    </row>
    <row r="131" spans="1:10" x14ac:dyDescent="0.3">
      <c r="A131" s="107" t="s">
        <v>91</v>
      </c>
      <c r="B131" s="108"/>
      <c r="C131" s="108"/>
      <c r="D131" s="108"/>
      <c r="E131" s="108"/>
      <c r="F131" s="108"/>
      <c r="G131" s="108"/>
      <c r="H131" s="108"/>
      <c r="I131" s="108"/>
      <c r="J131" s="109"/>
    </row>
    <row r="132" spans="1:10" x14ac:dyDescent="0.3">
      <c r="A132" s="107" t="s">
        <v>92</v>
      </c>
      <c r="B132" s="108"/>
      <c r="C132" s="108"/>
      <c r="D132" s="108"/>
      <c r="E132" s="108"/>
      <c r="F132" s="108"/>
      <c r="G132" s="108"/>
      <c r="H132" s="108"/>
      <c r="I132" s="108"/>
      <c r="J132" s="109"/>
    </row>
    <row r="133" spans="1:10" ht="35.25" customHeight="1" x14ac:dyDescent="0.3">
      <c r="A133" s="126" t="s">
        <v>93</v>
      </c>
      <c r="B133" s="127"/>
      <c r="C133" s="127"/>
      <c r="D133" s="127"/>
      <c r="E133" s="127"/>
      <c r="F133" s="127"/>
      <c r="G133" s="127"/>
      <c r="H133" s="127"/>
      <c r="I133" s="127"/>
      <c r="J133" s="128"/>
    </row>
    <row r="134" spans="1:10" x14ac:dyDescent="0.3">
      <c r="A134" s="235" t="s">
        <v>171</v>
      </c>
      <c r="B134" s="235"/>
      <c r="C134" s="236" t="s">
        <v>246</v>
      </c>
      <c r="D134" s="236"/>
      <c r="E134" s="236" t="s">
        <v>172</v>
      </c>
      <c r="F134" s="236"/>
      <c r="G134" s="236"/>
      <c r="H134" s="236" t="s">
        <v>267</v>
      </c>
      <c r="I134" s="236"/>
      <c r="J134" s="236"/>
    </row>
    <row r="135" spans="1:10" x14ac:dyDescent="0.3">
      <c r="A135" s="226" t="s">
        <v>173</v>
      </c>
      <c r="B135" s="227"/>
      <c r="C135" s="227"/>
      <c r="D135" s="227"/>
      <c r="E135" s="227"/>
      <c r="F135" s="227"/>
      <c r="G135" s="227"/>
      <c r="H135" s="227"/>
      <c r="I135" s="227"/>
      <c r="J135" s="228"/>
    </row>
    <row r="136" spans="1:10" x14ac:dyDescent="0.3">
      <c r="A136" s="229"/>
      <c r="B136" s="230"/>
      <c r="C136" s="230"/>
      <c r="D136" s="230"/>
      <c r="E136" s="230"/>
      <c r="F136" s="230"/>
      <c r="G136" s="230"/>
      <c r="H136" s="230"/>
      <c r="I136" s="230"/>
      <c r="J136" s="231"/>
    </row>
    <row r="137" spans="1:10" x14ac:dyDescent="0.3">
      <c r="A137" s="229"/>
      <c r="B137" s="230"/>
      <c r="C137" s="230"/>
      <c r="D137" s="230"/>
      <c r="E137" s="230"/>
      <c r="F137" s="230"/>
      <c r="G137" s="230"/>
      <c r="H137" s="230"/>
      <c r="I137" s="230"/>
      <c r="J137" s="231"/>
    </row>
    <row r="138" spans="1:10" x14ac:dyDescent="0.3">
      <c r="A138" s="232"/>
      <c r="B138" s="233"/>
      <c r="C138" s="233"/>
      <c r="D138" s="233"/>
      <c r="E138" s="233"/>
      <c r="F138" s="233"/>
      <c r="G138" s="233"/>
      <c r="H138" s="233"/>
      <c r="I138" s="233"/>
      <c r="J138" s="234"/>
    </row>
    <row r="139" spans="1:10" x14ac:dyDescent="0.3">
      <c r="A139" s="17" t="s">
        <v>94</v>
      </c>
      <c r="B139" s="18"/>
      <c r="C139" s="18"/>
      <c r="D139" s="17" t="str">
        <f>F8</f>
        <v>Unnathi Woods Phase VIII</v>
      </c>
      <c r="G139" s="18"/>
      <c r="H139" s="18"/>
      <c r="I139" s="18"/>
      <c r="J139" s="18"/>
    </row>
    <row r="140" spans="1:10" x14ac:dyDescent="0.3">
      <c r="A140" s="18"/>
      <c r="B140" s="18"/>
      <c r="C140" s="18"/>
      <c r="D140" s="18"/>
      <c r="E140" s="18"/>
      <c r="F140" s="18"/>
      <c r="G140" s="18"/>
      <c r="H140" s="18"/>
      <c r="I140" s="18"/>
      <c r="J140" s="18"/>
    </row>
    <row r="141" spans="1:10" x14ac:dyDescent="0.3">
      <c r="A141" s="18"/>
      <c r="B141" s="18"/>
      <c r="C141" s="18"/>
      <c r="D141" s="18"/>
      <c r="E141" s="18"/>
      <c r="F141" s="18"/>
      <c r="G141" s="18"/>
      <c r="H141" s="18"/>
      <c r="I141" s="18"/>
      <c r="J141" s="18"/>
    </row>
    <row r="142" spans="1:10" ht="15" customHeight="1" x14ac:dyDescent="0.3"/>
    <row r="178" spans="1:10" x14ac:dyDescent="0.3">
      <c r="A178" s="17" t="s">
        <v>263</v>
      </c>
      <c r="B178" s="18"/>
      <c r="C178" s="18"/>
      <c r="D178" s="17"/>
      <c r="G178" s="18"/>
      <c r="H178" s="18"/>
      <c r="I178" s="18"/>
      <c r="J178" s="18"/>
    </row>
    <row r="179" spans="1:10" x14ac:dyDescent="0.3">
      <c r="A179" s="18"/>
      <c r="B179" s="18"/>
      <c r="C179" s="18"/>
      <c r="D179" s="18"/>
      <c r="E179" s="18"/>
      <c r="F179" s="18"/>
      <c r="G179" s="18"/>
      <c r="H179" s="18"/>
      <c r="I179" s="18"/>
      <c r="J179" s="18"/>
    </row>
    <row r="180" spans="1:10" x14ac:dyDescent="0.3">
      <c r="A180" s="18"/>
      <c r="B180" s="18"/>
      <c r="C180" s="18"/>
      <c r="D180" s="18"/>
      <c r="E180" s="18"/>
      <c r="F180" s="18"/>
      <c r="G180" s="18"/>
      <c r="H180" s="18"/>
      <c r="I180" s="18"/>
      <c r="J180" s="18"/>
    </row>
    <row r="181" spans="1:10" ht="15" customHeight="1" x14ac:dyDescent="0.3"/>
    <row r="217" spans="1:1" x14ac:dyDescent="0.3">
      <c r="A217" s="19" t="s">
        <v>95</v>
      </c>
    </row>
  </sheetData>
  <mergeCells count="273">
    <mergeCell ref="L32:S32"/>
    <mergeCell ref="L33:S33"/>
    <mergeCell ref="G28:H28"/>
    <mergeCell ref="I29:J29"/>
    <mergeCell ref="A39:E39"/>
    <mergeCell ref="F39:J39"/>
    <mergeCell ref="A35:E35"/>
    <mergeCell ref="A29:B29"/>
    <mergeCell ref="A15:B15"/>
    <mergeCell ref="C15:E15"/>
    <mergeCell ref="F15:G15"/>
    <mergeCell ref="H15:J15"/>
    <mergeCell ref="A24:E24"/>
    <mergeCell ref="A25:E25"/>
    <mergeCell ref="F25:J25"/>
    <mergeCell ref="F17:G17"/>
    <mergeCell ref="H17:J17"/>
    <mergeCell ref="A18:B18"/>
    <mergeCell ref="C18:E18"/>
    <mergeCell ref="F18:G18"/>
    <mergeCell ref="H18:J18"/>
    <mergeCell ref="A19:E20"/>
    <mergeCell ref="F19:J20"/>
    <mergeCell ref="A21:E22"/>
    <mergeCell ref="F21:J22"/>
    <mergeCell ref="G29:H29"/>
    <mergeCell ref="H47:J47"/>
    <mergeCell ref="A135:J138"/>
    <mergeCell ref="A134:B134"/>
    <mergeCell ref="E134:G134"/>
    <mergeCell ref="C134:D134"/>
    <mergeCell ref="H134:J134"/>
    <mergeCell ref="A16:B16"/>
    <mergeCell ref="C16:E16"/>
    <mergeCell ref="F16:G16"/>
    <mergeCell ref="H16:J16"/>
    <mergeCell ref="A27:B27"/>
    <mergeCell ref="C27:D27"/>
    <mergeCell ref="E27:F27"/>
    <mergeCell ref="G27:H27"/>
    <mergeCell ref="I27:J27"/>
    <mergeCell ref="A28:B28"/>
    <mergeCell ref="C28:D28"/>
    <mergeCell ref="F24:J24"/>
    <mergeCell ref="A26:E26"/>
    <mergeCell ref="F26:J26"/>
    <mergeCell ref="A23:E23"/>
    <mergeCell ref="F23:J23"/>
    <mergeCell ref="A17:B17"/>
    <mergeCell ref="C17:E17"/>
    <mergeCell ref="F7:J7"/>
    <mergeCell ref="A14:B14"/>
    <mergeCell ref="A11:E11"/>
    <mergeCell ref="F11:J11"/>
    <mergeCell ref="A12:E12"/>
    <mergeCell ref="F12:J12"/>
    <mergeCell ref="A13:B13"/>
    <mergeCell ref="C13:J13"/>
    <mergeCell ref="C14:J14"/>
    <mergeCell ref="A34:J34"/>
    <mergeCell ref="A36:E36"/>
    <mergeCell ref="F36:J36"/>
    <mergeCell ref="F35:J35"/>
    <mergeCell ref="A30:J30"/>
    <mergeCell ref="A33:B33"/>
    <mergeCell ref="C33:J33"/>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C29:D29"/>
    <mergeCell ref="E29:F29"/>
    <mergeCell ref="A37:J37"/>
    <mergeCell ref="H48:J48"/>
    <mergeCell ref="A48:B48"/>
    <mergeCell ref="C48:F48"/>
    <mergeCell ref="A49:C49"/>
    <mergeCell ref="A38:E38"/>
    <mergeCell ref="F38:J38"/>
    <mergeCell ref="H45:J45"/>
    <mergeCell ref="H46:J46"/>
    <mergeCell ref="A46:B46"/>
    <mergeCell ref="C46:F46"/>
    <mergeCell ref="A47:B47"/>
    <mergeCell ref="C47:F47"/>
    <mergeCell ref="A45:B45"/>
    <mergeCell ref="C45:F45"/>
    <mergeCell ref="F40:J40"/>
    <mergeCell ref="A41:E41"/>
    <mergeCell ref="F41:J41"/>
    <mergeCell ref="A42:E42"/>
    <mergeCell ref="A31:J31"/>
    <mergeCell ref="A32:B32"/>
    <mergeCell ref="C32:J32"/>
    <mergeCell ref="F42:J42"/>
    <mergeCell ref="A43:E43"/>
    <mergeCell ref="A71:J71"/>
    <mergeCell ref="A72:B72"/>
    <mergeCell ref="C72:J72"/>
    <mergeCell ref="A70:J70"/>
    <mergeCell ref="A50:J50"/>
    <mergeCell ref="A51:C51"/>
    <mergeCell ref="D51:E51"/>
    <mergeCell ref="F51:G51"/>
    <mergeCell ref="H51:J51"/>
    <mergeCell ref="A53:B53"/>
    <mergeCell ref="C53:J53"/>
    <mergeCell ref="A56:B56"/>
    <mergeCell ref="A58:B58"/>
    <mergeCell ref="A59:B59"/>
    <mergeCell ref="A62:B62"/>
    <mergeCell ref="A63:B63"/>
    <mergeCell ref="A64:B64"/>
    <mergeCell ref="A65:B65"/>
    <mergeCell ref="A66:B66"/>
    <mergeCell ref="A67:B67"/>
    <mergeCell ref="A69:B69"/>
    <mergeCell ref="A68:B68"/>
    <mergeCell ref="D60:E60"/>
    <mergeCell ref="F60:G69"/>
    <mergeCell ref="A75:F75"/>
    <mergeCell ref="G75:J75"/>
    <mergeCell ref="A73:J73"/>
    <mergeCell ref="A74:F74"/>
    <mergeCell ref="G74:J74"/>
    <mergeCell ref="A79:F79"/>
    <mergeCell ref="G79:J79"/>
    <mergeCell ref="A76:F76"/>
    <mergeCell ref="G76:J76"/>
    <mergeCell ref="A77:F77"/>
    <mergeCell ref="G77:J77"/>
    <mergeCell ref="A78:F78"/>
    <mergeCell ref="G78:J78"/>
    <mergeCell ref="D64:E64"/>
    <mergeCell ref="D65:E65"/>
    <mergeCell ref="D66:E66"/>
    <mergeCell ref="D67:E67"/>
    <mergeCell ref="D68:E68"/>
    <mergeCell ref="D69:E69"/>
    <mergeCell ref="D61:E61"/>
    <mergeCell ref="D62:E62"/>
    <mergeCell ref="D63:E63"/>
    <mergeCell ref="A92:J92"/>
    <mergeCell ref="I90:J91"/>
    <mergeCell ref="A90:B90"/>
    <mergeCell ref="D90:E90"/>
    <mergeCell ref="A91:B91"/>
    <mergeCell ref="D91:E91"/>
    <mergeCell ref="A80:F80"/>
    <mergeCell ref="G80:J80"/>
    <mergeCell ref="A88:J88"/>
    <mergeCell ref="A89:J89"/>
    <mergeCell ref="A84:J84"/>
    <mergeCell ref="A85:J85"/>
    <mergeCell ref="A86:B86"/>
    <mergeCell ref="D86:E86"/>
    <mergeCell ref="I86:J86"/>
    <mergeCell ref="A87:J87"/>
    <mergeCell ref="A81:J81"/>
    <mergeCell ref="A83:B83"/>
    <mergeCell ref="A82:B82"/>
    <mergeCell ref="D82:F82"/>
    <mergeCell ref="G82:J82"/>
    <mergeCell ref="D83:F83"/>
    <mergeCell ref="G83:J83"/>
    <mergeCell ref="A116:B116"/>
    <mergeCell ref="D116:E116"/>
    <mergeCell ref="I110:J116"/>
    <mergeCell ref="A114:B114"/>
    <mergeCell ref="D114:E114"/>
    <mergeCell ref="A115:B115"/>
    <mergeCell ref="D115:E115"/>
    <mergeCell ref="A112:B112"/>
    <mergeCell ref="D112:E112"/>
    <mergeCell ref="A113:B113"/>
    <mergeCell ref="D113:E113"/>
    <mergeCell ref="A110:B110"/>
    <mergeCell ref="A111:B111"/>
    <mergeCell ref="A98:B98"/>
    <mergeCell ref="D98:E98"/>
    <mergeCell ref="A95:B95"/>
    <mergeCell ref="D95:E95"/>
    <mergeCell ref="A96:B96"/>
    <mergeCell ref="D96:E96"/>
    <mergeCell ref="A93:B93"/>
    <mergeCell ref="D93:E93"/>
    <mergeCell ref="A94:B94"/>
    <mergeCell ref="D94:E94"/>
    <mergeCell ref="A130:J130"/>
    <mergeCell ref="A131:J131"/>
    <mergeCell ref="A132:J132"/>
    <mergeCell ref="A133:J133"/>
    <mergeCell ref="A52:B52"/>
    <mergeCell ref="A54:C54"/>
    <mergeCell ref="D54:J54"/>
    <mergeCell ref="A125:J125"/>
    <mergeCell ref="A126:J126"/>
    <mergeCell ref="A127:J127"/>
    <mergeCell ref="A128:J128"/>
    <mergeCell ref="I101:J107"/>
    <mergeCell ref="A105:B105"/>
    <mergeCell ref="A106:B106"/>
    <mergeCell ref="A107:B107"/>
    <mergeCell ref="D107:E107"/>
    <mergeCell ref="A109:J109"/>
    <mergeCell ref="D106:E106"/>
    <mergeCell ref="A103:B103"/>
    <mergeCell ref="D103:E103"/>
    <mergeCell ref="A104:B104"/>
    <mergeCell ref="D104:E104"/>
    <mergeCell ref="C105:H105"/>
    <mergeCell ref="A101:B101"/>
    <mergeCell ref="E57:F57"/>
    <mergeCell ref="I57:J57"/>
    <mergeCell ref="C58:J58"/>
    <mergeCell ref="D59:E59"/>
    <mergeCell ref="F59:G59"/>
    <mergeCell ref="H59:J59"/>
    <mergeCell ref="E28:F28"/>
    <mergeCell ref="I28:J28"/>
    <mergeCell ref="A129:J129"/>
    <mergeCell ref="A40:E40"/>
    <mergeCell ref="F43:J43"/>
    <mergeCell ref="A44:J44"/>
    <mergeCell ref="D101:E101"/>
    <mergeCell ref="A102:B102"/>
    <mergeCell ref="D102:E102"/>
    <mergeCell ref="A99:B99"/>
    <mergeCell ref="D99:E99"/>
    <mergeCell ref="A100:J100"/>
    <mergeCell ref="I93:J99"/>
    <mergeCell ref="A97:B97"/>
    <mergeCell ref="D97:E97"/>
    <mergeCell ref="A60:B60"/>
    <mergeCell ref="A61:B61"/>
    <mergeCell ref="H60:J69"/>
    <mergeCell ref="D49:J49"/>
    <mergeCell ref="C52:J52"/>
    <mergeCell ref="D110:E110"/>
    <mergeCell ref="D111:E111"/>
    <mergeCell ref="A117:J117"/>
    <mergeCell ref="A118:B118"/>
    <mergeCell ref="D118:E118"/>
    <mergeCell ref="I118:J124"/>
    <mergeCell ref="A119:B119"/>
    <mergeCell ref="D119:E119"/>
    <mergeCell ref="A120:B120"/>
    <mergeCell ref="D120:E120"/>
    <mergeCell ref="A121:B121"/>
    <mergeCell ref="D121:E121"/>
    <mergeCell ref="A122:B122"/>
    <mergeCell ref="C122:H122"/>
    <mergeCell ref="A123:B123"/>
    <mergeCell ref="D123:E123"/>
    <mergeCell ref="A124:B124"/>
    <mergeCell ref="D124:E124"/>
    <mergeCell ref="A108:J108"/>
    <mergeCell ref="A55:B55"/>
    <mergeCell ref="C55:J55"/>
    <mergeCell ref="C56:J56"/>
  </mergeCells>
  <hyperlinks>
    <hyperlink ref="C33" r:id="rId1" xr:uid="{00000000-0004-0000-0000-000000000000}"/>
    <hyperlink ref="L33" r:id="rId2" xr:uid="{C6609DA7-EDE7-4D8B-81B1-05D70F3F055D}"/>
  </hyperlinks>
  <pageMargins left="0.55118110236220474" right="0.55118110236220474" top="0.78740157480314965" bottom="1.1811023622047245" header="0.19685039370078741" footer="0.19685039370078741"/>
  <pageSetup paperSize="9" fitToHeight="0" orientation="portrait" r:id="rId3"/>
  <headerFooter>
    <oddHeader>&amp;C&amp;"Times New Roman,Bold"&amp;20&amp;G</oddHeader>
    <oddFooter>&amp;L&amp;"Times New Roman,Bold"&amp;12Ref No: &amp;F&amp;C&amp;G&amp;R&amp;"Times New Roman,Bold"&amp;12&amp;P</oddFooter>
  </headerFooter>
  <rowBreaks count="3" manualBreakCount="3">
    <brk id="138" max="16383" man="1"/>
    <brk id="177" max="16383" man="1"/>
    <brk id="216"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B12" sqref="B12"/>
    </sheetView>
  </sheetViews>
  <sheetFormatPr defaultRowHeight="14.4" x14ac:dyDescent="0.3"/>
  <cols>
    <col min="1" max="1" width="11.44140625" customWidth="1"/>
    <col min="2" max="2" width="12" customWidth="1"/>
    <col min="257" max="257" width="11.44140625" customWidth="1"/>
    <col min="258" max="258" width="12" customWidth="1"/>
    <col min="513" max="513" width="11.44140625" customWidth="1"/>
    <col min="514" max="514" width="12" customWidth="1"/>
    <col min="769" max="769" width="11.44140625" customWidth="1"/>
    <col min="770" max="770" width="12" customWidth="1"/>
    <col min="1025" max="1025" width="11.44140625" customWidth="1"/>
    <col min="1026" max="1026" width="12" customWidth="1"/>
    <col min="1281" max="1281" width="11.44140625" customWidth="1"/>
    <col min="1282" max="1282" width="12" customWidth="1"/>
    <col min="1537" max="1537" width="11.44140625" customWidth="1"/>
    <col min="1538" max="1538" width="12" customWidth="1"/>
    <col min="1793" max="1793" width="11.44140625" customWidth="1"/>
    <col min="1794" max="1794" width="12" customWidth="1"/>
    <col min="2049" max="2049" width="11.44140625" customWidth="1"/>
    <col min="2050" max="2050" width="12" customWidth="1"/>
    <col min="2305" max="2305" width="11.44140625" customWidth="1"/>
    <col min="2306" max="2306" width="12" customWidth="1"/>
    <col min="2561" max="2561" width="11.44140625" customWidth="1"/>
    <col min="2562" max="2562" width="12" customWidth="1"/>
    <col min="2817" max="2817" width="11.44140625" customWidth="1"/>
    <col min="2818" max="2818" width="12" customWidth="1"/>
    <col min="3073" max="3073" width="11.44140625" customWidth="1"/>
    <col min="3074" max="3074" width="12" customWidth="1"/>
    <col min="3329" max="3329" width="11.44140625" customWidth="1"/>
    <col min="3330" max="3330" width="12" customWidth="1"/>
    <col min="3585" max="3585" width="11.44140625" customWidth="1"/>
    <col min="3586" max="3586" width="12" customWidth="1"/>
    <col min="3841" max="3841" width="11.44140625" customWidth="1"/>
    <col min="3842" max="3842" width="12" customWidth="1"/>
    <col min="4097" max="4097" width="11.44140625" customWidth="1"/>
    <col min="4098" max="4098" width="12" customWidth="1"/>
    <col min="4353" max="4353" width="11.44140625" customWidth="1"/>
    <col min="4354" max="4354" width="12" customWidth="1"/>
    <col min="4609" max="4609" width="11.44140625" customWidth="1"/>
    <col min="4610" max="4610" width="12" customWidth="1"/>
    <col min="4865" max="4865" width="11.44140625" customWidth="1"/>
    <col min="4866" max="4866" width="12" customWidth="1"/>
    <col min="5121" max="5121" width="11.44140625" customWidth="1"/>
    <col min="5122" max="5122" width="12" customWidth="1"/>
    <col min="5377" max="5377" width="11.44140625" customWidth="1"/>
    <col min="5378" max="5378" width="12" customWidth="1"/>
    <col min="5633" max="5633" width="11.44140625" customWidth="1"/>
    <col min="5634" max="5634" width="12" customWidth="1"/>
    <col min="5889" max="5889" width="11.44140625" customWidth="1"/>
    <col min="5890" max="5890" width="12" customWidth="1"/>
    <col min="6145" max="6145" width="11.44140625" customWidth="1"/>
    <col min="6146" max="6146" width="12" customWidth="1"/>
    <col min="6401" max="6401" width="11.44140625" customWidth="1"/>
    <col min="6402" max="6402" width="12" customWidth="1"/>
    <col min="6657" max="6657" width="11.44140625" customWidth="1"/>
    <col min="6658" max="6658" width="12" customWidth="1"/>
    <col min="6913" max="6913" width="11.44140625" customWidth="1"/>
    <col min="6914" max="6914" width="12" customWidth="1"/>
    <col min="7169" max="7169" width="11.44140625" customWidth="1"/>
    <col min="7170" max="7170" width="12" customWidth="1"/>
    <col min="7425" max="7425" width="11.44140625" customWidth="1"/>
    <col min="7426" max="7426" width="12" customWidth="1"/>
    <col min="7681" max="7681" width="11.44140625" customWidth="1"/>
    <col min="7682" max="7682" width="12" customWidth="1"/>
    <col min="7937" max="7937" width="11.44140625" customWidth="1"/>
    <col min="7938" max="7938" width="12" customWidth="1"/>
    <col min="8193" max="8193" width="11.44140625" customWidth="1"/>
    <col min="8194" max="8194" width="12" customWidth="1"/>
    <col min="8449" max="8449" width="11.44140625" customWidth="1"/>
    <col min="8450" max="8450" width="12" customWidth="1"/>
    <col min="8705" max="8705" width="11.44140625" customWidth="1"/>
    <col min="8706" max="8706" width="12" customWidth="1"/>
    <col min="8961" max="8961" width="11.44140625" customWidth="1"/>
    <col min="8962" max="8962" width="12" customWidth="1"/>
    <col min="9217" max="9217" width="11.44140625" customWidth="1"/>
    <col min="9218" max="9218" width="12" customWidth="1"/>
    <col min="9473" max="9473" width="11.44140625" customWidth="1"/>
    <col min="9474" max="9474" width="12" customWidth="1"/>
    <col min="9729" max="9729" width="11.44140625" customWidth="1"/>
    <col min="9730" max="9730" width="12" customWidth="1"/>
    <col min="9985" max="9985" width="11.44140625" customWidth="1"/>
    <col min="9986" max="9986" width="12" customWidth="1"/>
    <col min="10241" max="10241" width="11.44140625" customWidth="1"/>
    <col min="10242" max="10242" width="12" customWidth="1"/>
    <col min="10497" max="10497" width="11.44140625" customWidth="1"/>
    <col min="10498" max="10498" width="12" customWidth="1"/>
    <col min="10753" max="10753" width="11.44140625" customWidth="1"/>
    <col min="10754" max="10754" width="12" customWidth="1"/>
    <col min="11009" max="11009" width="11.44140625" customWidth="1"/>
    <col min="11010" max="11010" width="12" customWidth="1"/>
    <col min="11265" max="11265" width="11.44140625" customWidth="1"/>
    <col min="11266" max="11266" width="12" customWidth="1"/>
    <col min="11521" max="11521" width="11.44140625" customWidth="1"/>
    <col min="11522" max="11522" width="12" customWidth="1"/>
    <col min="11777" max="11777" width="11.44140625" customWidth="1"/>
    <col min="11778" max="11778" width="12" customWidth="1"/>
    <col min="12033" max="12033" width="11.44140625" customWidth="1"/>
    <col min="12034" max="12034" width="12" customWidth="1"/>
    <col min="12289" max="12289" width="11.44140625" customWidth="1"/>
    <col min="12290" max="12290" width="12" customWidth="1"/>
    <col min="12545" max="12545" width="11.44140625" customWidth="1"/>
    <col min="12546" max="12546" width="12" customWidth="1"/>
    <col min="12801" max="12801" width="11.44140625" customWidth="1"/>
    <col min="12802" max="12802" width="12" customWidth="1"/>
    <col min="13057" max="13057" width="11.44140625" customWidth="1"/>
    <col min="13058" max="13058" width="12" customWidth="1"/>
    <col min="13313" max="13313" width="11.44140625" customWidth="1"/>
    <col min="13314" max="13314" width="12" customWidth="1"/>
    <col min="13569" max="13569" width="11.44140625" customWidth="1"/>
    <col min="13570" max="13570" width="12" customWidth="1"/>
    <col min="13825" max="13825" width="11.44140625" customWidth="1"/>
    <col min="13826" max="13826" width="12" customWidth="1"/>
    <col min="14081" max="14081" width="11.44140625" customWidth="1"/>
    <col min="14082" max="14082" width="12" customWidth="1"/>
    <col min="14337" max="14337" width="11.44140625" customWidth="1"/>
    <col min="14338" max="14338" width="12" customWidth="1"/>
    <col min="14593" max="14593" width="11.44140625" customWidth="1"/>
    <col min="14594" max="14594" width="12" customWidth="1"/>
    <col min="14849" max="14849" width="11.44140625" customWidth="1"/>
    <col min="14850" max="14850" width="12" customWidth="1"/>
    <col min="15105" max="15105" width="11.44140625" customWidth="1"/>
    <col min="15106" max="15106" width="12" customWidth="1"/>
    <col min="15361" max="15361" width="11.44140625" customWidth="1"/>
    <col min="15362" max="15362" width="12" customWidth="1"/>
    <col min="15617" max="15617" width="11.44140625" customWidth="1"/>
    <col min="15618" max="15618" width="12" customWidth="1"/>
    <col min="15873" max="15873" width="11.44140625" customWidth="1"/>
    <col min="15874" max="15874" width="12" customWidth="1"/>
    <col min="16129" max="16129" width="11.44140625" customWidth="1"/>
    <col min="16130" max="16130" width="12" customWidth="1"/>
  </cols>
  <sheetData>
    <row r="1" spans="1:3" x14ac:dyDescent="0.3">
      <c r="A1" t="s">
        <v>201</v>
      </c>
      <c r="B1" t="s">
        <v>215</v>
      </c>
      <c r="C1" t="s">
        <v>216</v>
      </c>
    </row>
    <row r="2" spans="1:3" x14ac:dyDescent="0.3">
      <c r="C2" t="s">
        <v>217</v>
      </c>
    </row>
    <row r="4" spans="1:3" x14ac:dyDescent="0.3">
      <c r="A4" s="52">
        <v>44254</v>
      </c>
      <c r="B4" t="s">
        <v>218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workbookViewId="0">
      <selection activeCell="J1" sqref="J1"/>
    </sheetView>
  </sheetViews>
  <sheetFormatPr defaultColWidth="8.6640625" defaultRowHeight="14.4" x14ac:dyDescent="0.3"/>
  <cols>
    <col min="1" max="1" width="8.6640625" style="37"/>
    <col min="2" max="2" width="22.109375" style="37" customWidth="1"/>
    <col min="3" max="3" width="37" style="37" customWidth="1"/>
    <col min="4" max="5" width="11.44140625" style="37" customWidth="1"/>
    <col min="6" max="6" width="14" style="37" customWidth="1"/>
    <col min="7" max="7" width="20" style="37" customWidth="1"/>
    <col min="8" max="8" width="16.44140625" style="37" customWidth="1"/>
    <col min="9" max="9" width="8.6640625" style="37"/>
    <col min="10" max="10" width="9.88671875" style="37" bestFit="1" customWidth="1"/>
    <col min="11" max="16384" width="8.6640625" style="37"/>
  </cols>
  <sheetData>
    <row r="1" spans="1:10" ht="15" customHeight="1" x14ac:dyDescent="0.3"/>
    <row r="2" spans="1:10" ht="15" customHeight="1" x14ac:dyDescent="0.3">
      <c r="A2" s="38"/>
      <c r="B2" s="38"/>
      <c r="C2" s="38"/>
      <c r="D2" s="38"/>
      <c r="E2" s="38"/>
      <c r="F2" s="38"/>
      <c r="G2" s="38"/>
      <c r="H2" s="38"/>
    </row>
    <row r="3" spans="1:10" ht="15.75" customHeight="1" x14ac:dyDescent="0.3">
      <c r="A3" s="38"/>
      <c r="B3" s="247" t="s">
        <v>202</v>
      </c>
      <c r="C3" s="247"/>
      <c r="D3" s="247"/>
      <c r="E3" s="247"/>
      <c r="F3" s="247"/>
      <c r="G3" s="247"/>
      <c r="H3" s="247"/>
    </row>
    <row r="4" spans="1:10" ht="14.25" customHeight="1" x14ac:dyDescent="0.3">
      <c r="A4" s="38"/>
      <c r="B4" s="39" t="s">
        <v>203</v>
      </c>
      <c r="C4" s="39" t="s">
        <v>204</v>
      </c>
      <c r="D4" s="39" t="s">
        <v>110</v>
      </c>
      <c r="E4" s="39" t="s">
        <v>205</v>
      </c>
      <c r="F4" s="39" t="s">
        <v>206</v>
      </c>
      <c r="G4" s="39" t="s">
        <v>207</v>
      </c>
      <c r="H4" s="39" t="s">
        <v>208</v>
      </c>
    </row>
    <row r="5" spans="1:10" ht="15" customHeight="1" x14ac:dyDescent="0.3">
      <c r="A5" s="38"/>
      <c r="B5" s="40" t="s">
        <v>209</v>
      </c>
      <c r="C5" s="41" t="s">
        <v>199</v>
      </c>
      <c r="D5" s="42" t="s">
        <v>210</v>
      </c>
      <c r="E5" s="42">
        <v>645</v>
      </c>
      <c r="F5" s="43">
        <f>E5*1.5</f>
        <v>967.5</v>
      </c>
      <c r="G5" s="43">
        <f t="shared" ref="G5:G13" si="0">H5/F5</f>
        <v>10199.483204134367</v>
      </c>
      <c r="H5" s="44">
        <v>9868000</v>
      </c>
      <c r="J5" s="45"/>
    </row>
    <row r="6" spans="1:10" x14ac:dyDescent="0.3">
      <c r="A6" s="38"/>
      <c r="B6" s="40" t="s">
        <v>209</v>
      </c>
      <c r="C6" s="41" t="s">
        <v>199</v>
      </c>
      <c r="D6" s="42" t="s">
        <v>210</v>
      </c>
      <c r="E6" s="42">
        <v>665</v>
      </c>
      <c r="F6" s="43">
        <f>E6*1.5</f>
        <v>997.5</v>
      </c>
      <c r="G6" s="43">
        <f t="shared" si="0"/>
        <v>11528.822055137845</v>
      </c>
      <c r="H6" s="44">
        <v>11500000</v>
      </c>
      <c r="J6" s="45"/>
    </row>
    <row r="7" spans="1:10" ht="15" customHeight="1" x14ac:dyDescent="0.3">
      <c r="A7" s="38"/>
      <c r="B7" s="40" t="s">
        <v>211</v>
      </c>
      <c r="C7" s="41" t="s">
        <v>199</v>
      </c>
      <c r="D7" s="42" t="s">
        <v>210</v>
      </c>
      <c r="E7" s="42">
        <v>665</v>
      </c>
      <c r="F7" s="43">
        <v>982</v>
      </c>
      <c r="G7" s="43">
        <f t="shared" si="0"/>
        <v>9164.969450101833</v>
      </c>
      <c r="H7" s="44">
        <v>9000000</v>
      </c>
      <c r="J7" s="45"/>
    </row>
    <row r="8" spans="1:10" ht="15" customHeight="1" x14ac:dyDescent="0.3">
      <c r="A8" s="38"/>
      <c r="B8" s="40" t="s">
        <v>211</v>
      </c>
      <c r="C8" s="41" t="s">
        <v>199</v>
      </c>
      <c r="D8" s="42" t="s">
        <v>210</v>
      </c>
      <c r="E8" s="42">
        <v>650</v>
      </c>
      <c r="F8" s="43">
        <v>1100</v>
      </c>
      <c r="G8" s="43">
        <f t="shared" si="0"/>
        <v>7636.363636363636</v>
      </c>
      <c r="H8" s="44">
        <v>8400000</v>
      </c>
      <c r="J8" s="45"/>
    </row>
    <row r="9" spans="1:10" ht="15" customHeight="1" x14ac:dyDescent="0.3">
      <c r="A9" s="38"/>
      <c r="B9" s="40" t="s">
        <v>212</v>
      </c>
      <c r="C9" s="41" t="s">
        <v>199</v>
      </c>
      <c r="D9" s="42" t="s">
        <v>210</v>
      </c>
      <c r="E9" s="42">
        <v>0</v>
      </c>
      <c r="F9" s="43">
        <v>583</v>
      </c>
      <c r="G9" s="43">
        <f t="shared" si="0"/>
        <v>13603.773584905661</v>
      </c>
      <c r="H9" s="44">
        <v>7931000</v>
      </c>
      <c r="J9" s="45"/>
    </row>
    <row r="10" spans="1:10" ht="15" customHeight="1" x14ac:dyDescent="0.3">
      <c r="A10" s="38"/>
      <c r="B10" s="40" t="s">
        <v>212</v>
      </c>
      <c r="C10" s="41" t="s">
        <v>199</v>
      </c>
      <c r="D10" s="42" t="s">
        <v>210</v>
      </c>
      <c r="E10" s="42">
        <v>0</v>
      </c>
      <c r="F10" s="43">
        <v>602</v>
      </c>
      <c r="G10" s="43">
        <f t="shared" si="0"/>
        <v>13617.940199335548</v>
      </c>
      <c r="H10" s="44">
        <v>8198000</v>
      </c>
      <c r="J10" s="45"/>
    </row>
    <row r="11" spans="1:10" ht="15" customHeight="1" x14ac:dyDescent="0.3">
      <c r="A11" s="38"/>
      <c r="B11" s="40" t="s">
        <v>212</v>
      </c>
      <c r="C11" s="41" t="s">
        <v>199</v>
      </c>
      <c r="D11" s="42" t="s">
        <v>210</v>
      </c>
      <c r="E11" s="42">
        <v>0</v>
      </c>
      <c r="F11" s="43">
        <v>634</v>
      </c>
      <c r="G11" s="43">
        <f t="shared" si="0"/>
        <v>13610.410094637224</v>
      </c>
      <c r="H11" s="44">
        <v>8629000</v>
      </c>
      <c r="J11" s="45"/>
    </row>
    <row r="12" spans="1:10" ht="15" customHeight="1" x14ac:dyDescent="0.3">
      <c r="A12" s="38"/>
      <c r="B12" s="40" t="s">
        <v>212</v>
      </c>
      <c r="C12" s="41" t="s">
        <v>199</v>
      </c>
      <c r="D12" s="42" t="s">
        <v>210</v>
      </c>
      <c r="E12" s="42">
        <v>0</v>
      </c>
      <c r="F12" s="43">
        <v>594</v>
      </c>
      <c r="G12" s="43">
        <f t="shared" si="0"/>
        <v>14962.962962962964</v>
      </c>
      <c r="H12" s="44">
        <v>8888000</v>
      </c>
      <c r="J12" s="45"/>
    </row>
    <row r="13" spans="1:10" ht="15" customHeight="1" x14ac:dyDescent="0.3">
      <c r="A13" s="38"/>
      <c r="B13" s="40" t="s">
        <v>212</v>
      </c>
      <c r="C13" s="41" t="s">
        <v>199</v>
      </c>
      <c r="D13" s="42" t="s">
        <v>210</v>
      </c>
      <c r="E13" s="42">
        <v>0</v>
      </c>
      <c r="F13" s="43">
        <v>617</v>
      </c>
      <c r="G13" s="43">
        <f t="shared" si="0"/>
        <v>13615.883306320908</v>
      </c>
      <c r="H13" s="44">
        <v>8401000</v>
      </c>
      <c r="J13" s="45"/>
    </row>
    <row r="14" spans="1:10" ht="15" customHeight="1" x14ac:dyDescent="0.3">
      <c r="A14" s="38"/>
      <c r="B14" s="46" t="s">
        <v>213</v>
      </c>
      <c r="C14" s="42"/>
      <c r="D14" s="42"/>
      <c r="E14" s="42">
        <v>0</v>
      </c>
      <c r="F14" s="43">
        <f>E14*1.5</f>
        <v>0</v>
      </c>
      <c r="G14" s="47">
        <f>AVERAGE(G5:G13)</f>
        <v>11993.400943766663</v>
      </c>
      <c r="H14" s="42"/>
      <c r="J14" s="45"/>
    </row>
    <row r="15" spans="1:10" ht="15" customHeight="1" x14ac:dyDescent="0.3">
      <c r="B15" s="46" t="s">
        <v>214</v>
      </c>
      <c r="C15" s="42"/>
      <c r="D15" s="42"/>
      <c r="E15" s="42"/>
      <c r="F15" s="48"/>
      <c r="G15" s="46">
        <v>12000</v>
      </c>
      <c r="H15" s="46"/>
      <c r="I15" s="49"/>
      <c r="J15" s="45"/>
    </row>
    <row r="16" spans="1:10" ht="15" customHeight="1" x14ac:dyDescent="0.3">
      <c r="G16" s="50"/>
    </row>
    <row r="17" spans="2:7" x14ac:dyDescent="0.3">
      <c r="E17" s="50"/>
      <c r="G17" s="50"/>
    </row>
    <row r="18" spans="2:7" x14ac:dyDescent="0.3">
      <c r="E18" s="50"/>
      <c r="G18" s="50"/>
    </row>
    <row r="19" spans="2:7" x14ac:dyDescent="0.3">
      <c r="E19" s="50"/>
      <c r="G19" s="50"/>
    </row>
    <row r="20" spans="2:7" x14ac:dyDescent="0.3">
      <c r="E20" s="50"/>
      <c r="G20" s="50"/>
    </row>
    <row r="21" spans="2:7" x14ac:dyDescent="0.3">
      <c r="E21" s="50"/>
      <c r="G21" s="50"/>
    </row>
    <row r="22" spans="2:7" x14ac:dyDescent="0.3">
      <c r="E22" s="50"/>
      <c r="G22" s="50"/>
    </row>
    <row r="23" spans="2:7" x14ac:dyDescent="0.3">
      <c r="G23" s="50"/>
    </row>
    <row r="24" spans="2:7" x14ac:dyDescent="0.3">
      <c r="G24" s="50"/>
    </row>
    <row r="25" spans="2:7" x14ac:dyDescent="0.3">
      <c r="B25" s="51"/>
      <c r="G25" s="50"/>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7"/>
  <sheetViews>
    <sheetView topLeftCell="B1" workbookViewId="0">
      <selection activeCell="H25" sqref="H25"/>
    </sheetView>
  </sheetViews>
  <sheetFormatPr defaultRowHeight="13.8" x14ac:dyDescent="0.25"/>
  <cols>
    <col min="1" max="1" width="26.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E2" s="22" t="s">
        <v>132</v>
      </c>
      <c r="F2" s="23" t="s">
        <v>133</v>
      </c>
      <c r="G2" s="23" t="s">
        <v>134</v>
      </c>
      <c r="H2" s="23" t="s">
        <v>135</v>
      </c>
      <c r="I2" s="23" t="s">
        <v>136</v>
      </c>
    </row>
    <row r="3" spans="1:13" x14ac:dyDescent="0.25">
      <c r="A3" s="21" t="s">
        <v>97</v>
      </c>
      <c r="B3" s="24" t="s">
        <v>151</v>
      </c>
      <c r="C3" s="24">
        <f>I3</f>
        <v>8</v>
      </c>
      <c r="D3" s="25"/>
      <c r="E3" s="23">
        <f>F3+G3+H3+I3</f>
        <v>9</v>
      </c>
      <c r="F3" s="26">
        <v>0</v>
      </c>
      <c r="G3" s="26">
        <v>0</v>
      </c>
      <c r="H3" s="26">
        <v>1</v>
      </c>
      <c r="I3" s="26">
        <v>8</v>
      </c>
    </row>
    <row r="4" spans="1:13" x14ac:dyDescent="0.25">
      <c r="A4" s="21" t="s">
        <v>98</v>
      </c>
      <c r="B4" s="27">
        <v>10</v>
      </c>
      <c r="C4" s="28">
        <v>0</v>
      </c>
      <c r="D4" s="29">
        <f>((100/B4)*C4)/100</f>
        <v>0</v>
      </c>
    </row>
    <row r="5" spans="1:13" x14ac:dyDescent="0.25">
      <c r="A5" s="21" t="s">
        <v>99</v>
      </c>
      <c r="B5" s="27">
        <f>E3</f>
        <v>9</v>
      </c>
      <c r="C5" s="28">
        <v>0</v>
      </c>
      <c r="D5" s="29">
        <f t="shared" ref="D5:D10" si="0">((100/B5)*C5)/100</f>
        <v>0</v>
      </c>
      <c r="F5" s="249" t="s">
        <v>152</v>
      </c>
      <c r="G5" s="249"/>
      <c r="H5" s="30" t="s">
        <v>153</v>
      </c>
    </row>
    <row r="6" spans="1:13" x14ac:dyDescent="0.25">
      <c r="A6" s="21" t="s">
        <v>104</v>
      </c>
      <c r="B6" s="27">
        <f>C3</f>
        <v>8</v>
      </c>
      <c r="C6" s="28">
        <v>0</v>
      </c>
      <c r="D6" s="29">
        <f t="shared" si="0"/>
        <v>0</v>
      </c>
      <c r="F6" s="248" t="s">
        <v>154</v>
      </c>
      <c r="G6" s="248"/>
      <c r="H6" s="27" t="s">
        <v>155</v>
      </c>
    </row>
    <row r="7" spans="1:13" x14ac:dyDescent="0.25">
      <c r="A7" s="21" t="s">
        <v>106</v>
      </c>
      <c r="B7" s="27">
        <f>C3</f>
        <v>8</v>
      </c>
      <c r="C7" s="28">
        <v>0</v>
      </c>
      <c r="D7" s="29">
        <f t="shared" si="0"/>
        <v>0</v>
      </c>
      <c r="F7" s="248" t="s">
        <v>156</v>
      </c>
      <c r="G7" s="248"/>
      <c r="H7" s="27" t="s">
        <v>157</v>
      </c>
    </row>
    <row r="8" spans="1:13" x14ac:dyDescent="0.25">
      <c r="A8" s="21" t="s">
        <v>67</v>
      </c>
      <c r="B8" s="27">
        <f>C3</f>
        <v>8</v>
      </c>
      <c r="C8" s="28">
        <v>0</v>
      </c>
      <c r="D8" s="29">
        <f t="shared" si="0"/>
        <v>0</v>
      </c>
      <c r="F8" s="248" t="s">
        <v>158</v>
      </c>
      <c r="G8" s="248"/>
      <c r="H8" s="27" t="s">
        <v>159</v>
      </c>
    </row>
    <row r="9" spans="1:13" x14ac:dyDescent="0.25">
      <c r="A9" s="31" t="s">
        <v>102</v>
      </c>
      <c r="B9" s="27">
        <f>C3</f>
        <v>8</v>
      </c>
      <c r="C9" s="28">
        <v>0</v>
      </c>
      <c r="D9" s="29">
        <f t="shared" si="0"/>
        <v>0</v>
      </c>
      <c r="F9" s="248" t="s">
        <v>160</v>
      </c>
      <c r="G9" s="248"/>
      <c r="H9" s="27" t="s">
        <v>161</v>
      </c>
    </row>
    <row r="10" spans="1:13" x14ac:dyDescent="0.25">
      <c r="A10" s="21" t="s">
        <v>68</v>
      </c>
      <c r="B10" s="27">
        <f>C3</f>
        <v>8</v>
      </c>
      <c r="C10" s="28">
        <v>0</v>
      </c>
      <c r="D10" s="29">
        <f t="shared" si="0"/>
        <v>0</v>
      </c>
      <c r="F10" s="248" t="s">
        <v>162</v>
      </c>
      <c r="G10" s="248"/>
      <c r="H10" s="27" t="s">
        <v>163</v>
      </c>
    </row>
    <row r="11" spans="1:13" x14ac:dyDescent="0.25">
      <c r="F11" s="248" t="s">
        <v>164</v>
      </c>
      <c r="G11" s="248"/>
      <c r="H11" s="27" t="s">
        <v>165</v>
      </c>
    </row>
    <row r="12" spans="1:13" hidden="1" x14ac:dyDescent="0.25">
      <c r="A12" s="23"/>
      <c r="B12" s="23" t="s">
        <v>103</v>
      </c>
      <c r="C12" s="23" t="s">
        <v>107</v>
      </c>
      <c r="G12" s="23" t="s">
        <v>98</v>
      </c>
      <c r="H12" s="23" t="s">
        <v>100</v>
      </c>
      <c r="I12" s="23" t="s">
        <v>101</v>
      </c>
      <c r="J12" s="23" t="s">
        <v>66</v>
      </c>
      <c r="K12" s="23" t="s">
        <v>67</v>
      </c>
      <c r="L12" s="23" t="s">
        <v>102</v>
      </c>
      <c r="M12" s="23" t="s">
        <v>68</v>
      </c>
    </row>
    <row r="13" spans="1:13" hidden="1" x14ac:dyDescent="0.25">
      <c r="A13" s="23" t="s">
        <v>64</v>
      </c>
      <c r="B13" s="23">
        <f>G13</f>
        <v>0</v>
      </c>
      <c r="C13" s="23">
        <f>G14</f>
        <v>20</v>
      </c>
      <c r="E13" s="250" t="s">
        <v>103</v>
      </c>
      <c r="F13" s="250"/>
      <c r="G13" s="32">
        <f>C4</f>
        <v>0</v>
      </c>
      <c r="H13" s="32">
        <f>40/B5*C5</f>
        <v>0</v>
      </c>
      <c r="I13" s="32">
        <f>15/B6*C6</f>
        <v>0</v>
      </c>
      <c r="J13" s="32">
        <f>10/B7*C7</f>
        <v>0</v>
      </c>
      <c r="K13" s="32">
        <f>10/B8*C8</f>
        <v>0</v>
      </c>
      <c r="L13" s="32">
        <f>5/B9*C9</f>
        <v>0</v>
      </c>
      <c r="M13" s="32">
        <f>5/B10*C10</f>
        <v>0</v>
      </c>
    </row>
    <row r="14" spans="1:13" hidden="1" x14ac:dyDescent="0.25">
      <c r="A14" s="23" t="s">
        <v>65</v>
      </c>
      <c r="B14" s="23">
        <f>H13</f>
        <v>0</v>
      </c>
      <c r="C14" s="23">
        <f>H14</f>
        <v>0</v>
      </c>
      <c r="E14" s="250" t="s">
        <v>105</v>
      </c>
      <c r="F14" s="250"/>
      <c r="G14" s="23">
        <f>G13+20</f>
        <v>20</v>
      </c>
      <c r="H14" s="23">
        <f>30/B5*C5</f>
        <v>0</v>
      </c>
      <c r="I14" s="23">
        <f>15/B6*C6</f>
        <v>0</v>
      </c>
      <c r="J14" s="23">
        <f>10/B7*C7</f>
        <v>0</v>
      </c>
      <c r="K14" s="23">
        <f>5/B8*C8</f>
        <v>0</v>
      </c>
      <c r="L14" s="23">
        <f>5/B9*C9</f>
        <v>0</v>
      </c>
      <c r="M14" s="23">
        <f>5/B10*C10</f>
        <v>0</v>
      </c>
    </row>
    <row r="15" spans="1:13" hidden="1" x14ac:dyDescent="0.25">
      <c r="A15" s="23" t="s">
        <v>101</v>
      </c>
      <c r="B15" s="23">
        <f>I13</f>
        <v>0</v>
      </c>
      <c r="C15" s="23">
        <f>I14</f>
        <v>0</v>
      </c>
    </row>
    <row r="16" spans="1:13" hidden="1" x14ac:dyDescent="0.25">
      <c r="A16" s="23" t="s">
        <v>66</v>
      </c>
      <c r="B16" s="23">
        <f>J13</f>
        <v>0</v>
      </c>
      <c r="C16" s="23">
        <f>J14</f>
        <v>0</v>
      </c>
    </row>
    <row r="17" spans="1:8" hidden="1" x14ac:dyDescent="0.25">
      <c r="A17" s="23" t="s">
        <v>67</v>
      </c>
      <c r="B17" s="23">
        <f>K13</f>
        <v>0</v>
      </c>
      <c r="C17" s="23">
        <f>K14</f>
        <v>0</v>
      </c>
    </row>
    <row r="18" spans="1:8" hidden="1" x14ac:dyDescent="0.25">
      <c r="A18" s="33" t="s">
        <v>102</v>
      </c>
      <c r="B18" s="23">
        <f>L13</f>
        <v>0</v>
      </c>
      <c r="C18" s="23">
        <f>L14</f>
        <v>0</v>
      </c>
    </row>
    <row r="19" spans="1:8" hidden="1" x14ac:dyDescent="0.25">
      <c r="A19" s="23" t="s">
        <v>68</v>
      </c>
      <c r="B19" s="23">
        <f>M13</f>
        <v>0</v>
      </c>
      <c r="C19" s="23">
        <f>M14</f>
        <v>0</v>
      </c>
    </row>
    <row r="20" spans="1:8" x14ac:dyDescent="0.25">
      <c r="A20" s="23" t="s">
        <v>108</v>
      </c>
      <c r="B20" s="34">
        <f>(B13+B14+B15+B16+B17+B18+B19)/100</f>
        <v>0</v>
      </c>
      <c r="C20" s="34">
        <f>(C13+C14+C15+C16+C17+C18+C19)/100</f>
        <v>0.2</v>
      </c>
      <c r="F20" s="248" t="s">
        <v>166</v>
      </c>
      <c r="G20" s="248"/>
      <c r="H20" s="27" t="s">
        <v>157</v>
      </c>
    </row>
    <row r="21" spans="1:8" x14ac:dyDescent="0.25">
      <c r="F21" s="248" t="s">
        <v>167</v>
      </c>
      <c r="G21" s="248"/>
      <c r="H21" s="27" t="s">
        <v>168</v>
      </c>
    </row>
    <row r="22" spans="1:8" x14ac:dyDescent="0.25">
      <c r="A22" s="21" t="s">
        <v>142</v>
      </c>
      <c r="B22" s="35">
        <v>0.01</v>
      </c>
      <c r="C22" s="35">
        <v>0.02</v>
      </c>
      <c r="F22" s="248" t="s">
        <v>169</v>
      </c>
      <c r="G22" s="248"/>
      <c r="H22" s="27" t="s">
        <v>170</v>
      </c>
    </row>
    <row r="23" spans="1:8" x14ac:dyDescent="0.25">
      <c r="A23" s="21" t="s">
        <v>143</v>
      </c>
      <c r="B23" s="35">
        <v>0.01</v>
      </c>
      <c r="C23" s="35">
        <v>0.03</v>
      </c>
    </row>
    <row r="24" spans="1:8" x14ac:dyDescent="0.25">
      <c r="A24" s="21" t="s">
        <v>144</v>
      </c>
      <c r="B24" s="35">
        <v>0.03</v>
      </c>
      <c r="C24" s="35">
        <v>0.08</v>
      </c>
    </row>
    <row r="25" spans="1:8" x14ac:dyDescent="0.25">
      <c r="A25" s="21" t="s">
        <v>145</v>
      </c>
      <c r="B25" s="35">
        <v>0.05</v>
      </c>
      <c r="C25" s="35">
        <v>0.15</v>
      </c>
    </row>
    <row r="26" spans="1:8" x14ac:dyDescent="0.25">
      <c r="A26" s="21" t="s">
        <v>146</v>
      </c>
      <c r="B26" s="35">
        <v>7.0000000000000007E-2</v>
      </c>
      <c r="C26" s="35">
        <v>0.2</v>
      </c>
    </row>
    <row r="27" spans="1:8" x14ac:dyDescent="0.25">
      <c r="A27" s="21" t="s">
        <v>147</v>
      </c>
      <c r="B27" s="35">
        <v>0.1</v>
      </c>
      <c r="C27" s="35">
        <v>0.3</v>
      </c>
    </row>
  </sheetData>
  <mergeCells count="12">
    <mergeCell ref="E14:F14"/>
    <mergeCell ref="F20:G20"/>
    <mergeCell ref="F21:G21"/>
    <mergeCell ref="F22:G22"/>
    <mergeCell ref="E13:F13"/>
    <mergeCell ref="F10:G10"/>
    <mergeCell ref="F11:G11"/>
    <mergeCell ref="F5:G5"/>
    <mergeCell ref="F6:G6"/>
    <mergeCell ref="F7:G7"/>
    <mergeCell ref="F8:G8"/>
    <mergeCell ref="F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6"/>
  <sheetViews>
    <sheetView topLeftCell="A16" workbookViewId="0">
      <selection activeCell="E36" sqref="E36"/>
    </sheetView>
  </sheetViews>
  <sheetFormatPr defaultRowHeight="14.4" x14ac:dyDescent="0.3"/>
  <cols>
    <col min="2" max="2" width="12.33203125" customWidth="1"/>
  </cols>
  <sheetData>
    <row r="2" spans="1:12" x14ac:dyDescent="0.3">
      <c r="B2" s="5" t="s">
        <v>109</v>
      </c>
      <c r="C2" s="251" t="s">
        <v>183</v>
      </c>
      <c r="D2" s="251"/>
    </row>
    <row r="3" spans="1:12" x14ac:dyDescent="0.3">
      <c r="D3" s="6"/>
      <c r="E3" s="6"/>
      <c r="F3" s="6"/>
      <c r="G3" s="6"/>
      <c r="H3" s="6"/>
      <c r="I3" s="6"/>
    </row>
    <row r="4" spans="1:12" x14ac:dyDescent="0.3">
      <c r="A4" s="5" t="s">
        <v>110</v>
      </c>
      <c r="B4" s="7" t="s">
        <v>111</v>
      </c>
      <c r="C4" s="252" t="s">
        <v>112</v>
      </c>
      <c r="D4" s="252"/>
      <c r="E4" s="252"/>
      <c r="F4" s="8"/>
      <c r="G4" s="252" t="s">
        <v>113</v>
      </c>
      <c r="H4" s="252"/>
      <c r="I4" s="252"/>
      <c r="J4" s="252" t="s">
        <v>114</v>
      </c>
      <c r="K4" s="252"/>
      <c r="L4" s="252"/>
    </row>
    <row r="5" spans="1:12" x14ac:dyDescent="0.3">
      <c r="A5" s="5">
        <v>1</v>
      </c>
      <c r="B5" s="7"/>
      <c r="C5" s="7" t="s">
        <v>115</v>
      </c>
      <c r="D5" s="7" t="s">
        <v>116</v>
      </c>
      <c r="E5" s="7" t="s">
        <v>77</v>
      </c>
      <c r="F5" s="7"/>
      <c r="G5" s="7" t="s">
        <v>115</v>
      </c>
      <c r="H5" s="7" t="s">
        <v>116</v>
      </c>
      <c r="I5" s="7" t="s">
        <v>77</v>
      </c>
      <c r="J5" s="7" t="s">
        <v>115</v>
      </c>
      <c r="K5" s="7" t="s">
        <v>116</v>
      </c>
      <c r="L5" s="7" t="s">
        <v>77</v>
      </c>
    </row>
    <row r="6" spans="1:12" x14ac:dyDescent="0.3">
      <c r="B6" s="9" t="s">
        <v>117</v>
      </c>
      <c r="C6" s="9">
        <v>3.1</v>
      </c>
      <c r="D6" s="9">
        <v>3.1</v>
      </c>
      <c r="E6" s="9">
        <f>C6*D6</f>
        <v>9.6100000000000012</v>
      </c>
      <c r="F6" s="9" t="s">
        <v>118</v>
      </c>
      <c r="G6" s="9">
        <v>3.1</v>
      </c>
      <c r="H6" s="9">
        <v>1.85</v>
      </c>
      <c r="I6" s="9">
        <f>G6*H6</f>
        <v>5.7350000000000003</v>
      </c>
      <c r="J6" s="9"/>
      <c r="K6" s="9"/>
      <c r="L6" s="9">
        <f>J6*K6</f>
        <v>0</v>
      </c>
    </row>
    <row r="7" spans="1:12" x14ac:dyDescent="0.3">
      <c r="B7" s="9" t="s">
        <v>184</v>
      </c>
      <c r="C7" s="9">
        <v>1.73</v>
      </c>
      <c r="D7" s="9">
        <v>2.65</v>
      </c>
      <c r="E7" s="9">
        <f t="shared" ref="E7:E33" si="0">C7*D7</f>
        <v>4.5845000000000002</v>
      </c>
      <c r="F7" s="9" t="s">
        <v>119</v>
      </c>
      <c r="G7" s="9">
        <v>3.05</v>
      </c>
      <c r="H7" s="9">
        <v>0.75</v>
      </c>
      <c r="I7" s="9">
        <f t="shared" ref="I7:I29" si="1">G7*H7</f>
        <v>2.2874999999999996</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120</v>
      </c>
      <c r="C9" s="9">
        <v>2.9</v>
      </c>
      <c r="D9" s="9">
        <v>2.15</v>
      </c>
      <c r="E9" s="9">
        <f t="shared" si="0"/>
        <v>6.2349999999999994</v>
      </c>
      <c r="F9" s="9" t="s">
        <v>118</v>
      </c>
      <c r="G9" s="9"/>
      <c r="H9" s="9"/>
      <c r="I9" s="9">
        <f t="shared" si="1"/>
        <v>0</v>
      </c>
      <c r="J9" s="9"/>
      <c r="K9" s="9"/>
      <c r="L9" s="9">
        <f t="shared" si="2"/>
        <v>0</v>
      </c>
    </row>
    <row r="10" spans="1:12" x14ac:dyDescent="0.3">
      <c r="B10" s="9"/>
      <c r="C10" s="9"/>
      <c r="D10" s="9"/>
      <c r="E10" s="9">
        <f t="shared" si="0"/>
        <v>0</v>
      </c>
      <c r="F10" s="9" t="s">
        <v>119</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121</v>
      </c>
      <c r="C13" s="9">
        <v>3.35</v>
      </c>
      <c r="D13" s="9">
        <v>3.05</v>
      </c>
      <c r="E13" s="9">
        <f t="shared" si="0"/>
        <v>10.217499999999999</v>
      </c>
      <c r="F13" s="9" t="s">
        <v>118</v>
      </c>
      <c r="G13" s="9"/>
      <c r="H13" s="9"/>
      <c r="I13" s="9">
        <f t="shared" si="1"/>
        <v>0</v>
      </c>
      <c r="J13" s="9"/>
      <c r="K13" s="9"/>
      <c r="L13" s="9">
        <f t="shared" si="2"/>
        <v>0</v>
      </c>
    </row>
    <row r="14" spans="1:12" x14ac:dyDescent="0.3">
      <c r="B14" s="9"/>
      <c r="C14" s="9"/>
      <c r="D14" s="9"/>
      <c r="E14" s="9">
        <f t="shared" si="0"/>
        <v>0</v>
      </c>
      <c r="F14" s="9" t="s">
        <v>119</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122</v>
      </c>
      <c r="C17" s="9">
        <v>3.95</v>
      </c>
      <c r="D17" s="9">
        <v>3.05</v>
      </c>
      <c r="E17" s="9">
        <f t="shared" si="0"/>
        <v>12.047499999999999</v>
      </c>
      <c r="F17" s="9" t="s">
        <v>118</v>
      </c>
      <c r="G17" s="9"/>
      <c r="H17" s="9"/>
      <c r="I17" s="9">
        <f t="shared" si="1"/>
        <v>0</v>
      </c>
      <c r="J17" s="9"/>
      <c r="K17" s="9"/>
      <c r="L17" s="9">
        <f t="shared" si="2"/>
        <v>0</v>
      </c>
    </row>
    <row r="18" spans="2:12" x14ac:dyDescent="0.3">
      <c r="B18" s="9" t="s">
        <v>118</v>
      </c>
      <c r="C18" s="9">
        <v>2.1</v>
      </c>
      <c r="D18" s="9">
        <v>0.6</v>
      </c>
      <c r="E18" s="9">
        <f t="shared" si="0"/>
        <v>1.26</v>
      </c>
      <c r="F18" s="9" t="s">
        <v>119</v>
      </c>
      <c r="G18" s="9"/>
      <c r="H18" s="9"/>
      <c r="I18" s="9">
        <f t="shared" si="1"/>
        <v>0</v>
      </c>
      <c r="J18" s="9"/>
      <c r="K18" s="9"/>
      <c r="L18" s="9">
        <f t="shared" si="2"/>
        <v>0</v>
      </c>
    </row>
    <row r="19" spans="2:12" x14ac:dyDescent="0.3">
      <c r="B19" s="9"/>
      <c r="C19" s="9">
        <v>1.48</v>
      </c>
      <c r="D19" s="9">
        <v>0.6</v>
      </c>
      <c r="E19" s="9">
        <f t="shared" si="0"/>
        <v>0.88800000000000001</v>
      </c>
      <c r="F19" s="9"/>
      <c r="G19" s="9"/>
      <c r="H19" s="9"/>
      <c r="I19" s="9">
        <f t="shared" si="1"/>
        <v>0</v>
      </c>
      <c r="J19" s="9"/>
      <c r="K19" s="9"/>
      <c r="L19" s="9">
        <f t="shared" si="2"/>
        <v>0</v>
      </c>
    </row>
    <row r="20" spans="2:12" x14ac:dyDescent="0.3">
      <c r="B20" s="9" t="s">
        <v>122</v>
      </c>
      <c r="C20" s="9"/>
      <c r="D20" s="9"/>
      <c r="E20" s="9">
        <f t="shared" si="0"/>
        <v>0</v>
      </c>
      <c r="F20" s="9" t="s">
        <v>118</v>
      </c>
      <c r="G20" s="9"/>
      <c r="H20" s="9"/>
      <c r="I20" s="9">
        <f t="shared" si="1"/>
        <v>0</v>
      </c>
      <c r="J20" s="9"/>
      <c r="K20" s="9"/>
      <c r="L20" s="9">
        <f t="shared" si="2"/>
        <v>0</v>
      </c>
    </row>
    <row r="21" spans="2:12" x14ac:dyDescent="0.3">
      <c r="B21" s="9"/>
      <c r="C21" s="9"/>
      <c r="D21" s="9"/>
      <c r="E21" s="9">
        <f t="shared" si="0"/>
        <v>0</v>
      </c>
      <c r="F21" s="9" t="s">
        <v>119</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123</v>
      </c>
      <c r="C23" s="9">
        <v>1.4</v>
      </c>
      <c r="D23" s="9">
        <v>2.25</v>
      </c>
      <c r="E23" s="9">
        <f t="shared" si="0"/>
        <v>3.15</v>
      </c>
      <c r="F23" s="9" t="s">
        <v>124</v>
      </c>
      <c r="G23" s="9"/>
      <c r="H23" s="9"/>
      <c r="I23" s="9">
        <f t="shared" si="1"/>
        <v>0</v>
      </c>
      <c r="J23" s="9"/>
      <c r="K23" s="9"/>
      <c r="L23" s="9">
        <f t="shared" si="2"/>
        <v>0</v>
      </c>
    </row>
    <row r="24" spans="2:12" x14ac:dyDescent="0.3">
      <c r="B24" s="9" t="s">
        <v>125</v>
      </c>
      <c r="C24" s="9">
        <v>1.4</v>
      </c>
      <c r="D24" s="9">
        <v>2.25</v>
      </c>
      <c r="E24" s="9">
        <f t="shared" si="0"/>
        <v>3.15</v>
      </c>
      <c r="F24" s="9" t="s">
        <v>124</v>
      </c>
      <c r="G24" s="9"/>
      <c r="H24" s="9"/>
      <c r="I24" s="9">
        <f t="shared" si="1"/>
        <v>0</v>
      </c>
      <c r="J24" s="9"/>
      <c r="K24" s="9"/>
      <c r="L24" s="9">
        <f t="shared" si="2"/>
        <v>0</v>
      </c>
    </row>
    <row r="25" spans="2:12" x14ac:dyDescent="0.3">
      <c r="B25" s="9" t="s">
        <v>126</v>
      </c>
      <c r="C25" s="9"/>
      <c r="D25" s="9"/>
      <c r="E25" s="9">
        <f t="shared" si="0"/>
        <v>0</v>
      </c>
      <c r="F25" s="9" t="s">
        <v>124</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127</v>
      </c>
      <c r="C27" s="9">
        <v>1.4</v>
      </c>
      <c r="D27" s="9">
        <v>1.4</v>
      </c>
      <c r="E27" s="9">
        <f t="shared" si="0"/>
        <v>1.9599999999999997</v>
      </c>
      <c r="F27" s="9"/>
      <c r="G27" s="9"/>
      <c r="H27" s="9"/>
      <c r="I27" s="9">
        <f t="shared" si="1"/>
        <v>0</v>
      </c>
      <c r="J27" s="9"/>
      <c r="K27" s="9"/>
      <c r="L27" s="9">
        <f t="shared" si="2"/>
        <v>0</v>
      </c>
    </row>
    <row r="28" spans="2:12" x14ac:dyDescent="0.3">
      <c r="B28" s="9" t="s">
        <v>128</v>
      </c>
      <c r="C28" s="9"/>
      <c r="D28" s="9"/>
      <c r="E28" s="9">
        <f t="shared" si="0"/>
        <v>0</v>
      </c>
      <c r="F28" s="9"/>
      <c r="G28" s="9"/>
      <c r="H28" s="9"/>
      <c r="I28" s="9">
        <f t="shared" si="1"/>
        <v>0</v>
      </c>
      <c r="J28" s="9"/>
      <c r="K28" s="9"/>
      <c r="L28" s="9">
        <f t="shared" si="2"/>
        <v>0</v>
      </c>
    </row>
    <row r="29" spans="2:12" x14ac:dyDescent="0.3">
      <c r="B29" s="9" t="s">
        <v>129</v>
      </c>
      <c r="C29" s="9"/>
      <c r="D29" s="9"/>
      <c r="E29" s="9">
        <f t="shared" si="0"/>
        <v>0</v>
      </c>
      <c r="F29" s="9"/>
      <c r="G29" s="9"/>
      <c r="H29" s="9"/>
      <c r="I29" s="9">
        <f t="shared" si="1"/>
        <v>0</v>
      </c>
      <c r="J29" s="9"/>
      <c r="K29" s="9"/>
      <c r="L29" s="9">
        <f t="shared" si="2"/>
        <v>0</v>
      </c>
    </row>
    <row r="30" spans="2:12" x14ac:dyDescent="0.3">
      <c r="B30" s="9" t="s">
        <v>130</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78</v>
      </c>
      <c r="C34" s="9"/>
      <c r="D34" s="9">
        <f>E34*10.764</f>
        <v>571.59530999999993</v>
      </c>
      <c r="E34" s="9">
        <f>SUM(E6:E33)</f>
        <v>53.102499999999992</v>
      </c>
      <c r="F34" s="9"/>
      <c r="G34" s="9"/>
      <c r="H34" s="9">
        <f>I34*10.764</f>
        <v>86.354190000000003</v>
      </c>
      <c r="I34" s="9">
        <f>SUM(I6:I33)</f>
        <v>8.0225000000000009</v>
      </c>
      <c r="J34" s="9"/>
      <c r="K34" s="9">
        <f>L34*10.764</f>
        <v>0</v>
      </c>
      <c r="L34" s="9">
        <f>SUM(L6:L33)</f>
        <v>0</v>
      </c>
    </row>
    <row r="36" spans="2:12" x14ac:dyDescent="0.3">
      <c r="D36">
        <f>D34+H34</f>
        <v>657.94949999999994</v>
      </c>
      <c r="E36">
        <f>E34+I34</f>
        <v>61.124999999999993</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6"/>
  <sheetViews>
    <sheetView topLeftCell="A22" workbookViewId="0">
      <selection activeCell="D36" sqref="D36"/>
    </sheetView>
  </sheetViews>
  <sheetFormatPr defaultRowHeight="14.4" x14ac:dyDescent="0.3"/>
  <cols>
    <col min="2" max="2" width="12.33203125" customWidth="1"/>
  </cols>
  <sheetData>
    <row r="2" spans="1:12" x14ac:dyDescent="0.3">
      <c r="B2" s="5" t="s">
        <v>109</v>
      </c>
      <c r="C2" s="251" t="s">
        <v>183</v>
      </c>
      <c r="D2" s="251"/>
    </row>
    <row r="3" spans="1:12" x14ac:dyDescent="0.3">
      <c r="D3" s="6"/>
      <c r="E3" s="6"/>
      <c r="F3" s="6"/>
      <c r="G3" s="6"/>
      <c r="H3" s="6"/>
      <c r="I3" s="6"/>
    </row>
    <row r="4" spans="1:12" x14ac:dyDescent="0.3">
      <c r="A4" s="5" t="s">
        <v>110</v>
      </c>
      <c r="B4" s="7" t="s">
        <v>111</v>
      </c>
      <c r="C4" s="252" t="s">
        <v>112</v>
      </c>
      <c r="D4" s="252"/>
      <c r="E4" s="252"/>
      <c r="F4" s="8"/>
      <c r="G4" s="252" t="s">
        <v>113</v>
      </c>
      <c r="H4" s="252"/>
      <c r="I4" s="252"/>
      <c r="J4" s="252" t="s">
        <v>114</v>
      </c>
      <c r="K4" s="252"/>
      <c r="L4" s="252"/>
    </row>
    <row r="5" spans="1:12" x14ac:dyDescent="0.3">
      <c r="A5" s="5">
        <v>4</v>
      </c>
      <c r="B5" s="7"/>
      <c r="C5" s="7" t="s">
        <v>115</v>
      </c>
      <c r="D5" s="7" t="s">
        <v>116</v>
      </c>
      <c r="E5" s="7" t="s">
        <v>77</v>
      </c>
      <c r="F5" s="7"/>
      <c r="G5" s="7" t="s">
        <v>115</v>
      </c>
      <c r="H5" s="7" t="s">
        <v>116</v>
      </c>
      <c r="I5" s="7" t="s">
        <v>77</v>
      </c>
      <c r="J5" s="7" t="s">
        <v>115</v>
      </c>
      <c r="K5" s="7" t="s">
        <v>116</v>
      </c>
      <c r="L5" s="7" t="s">
        <v>77</v>
      </c>
    </row>
    <row r="6" spans="1:12" x14ac:dyDescent="0.3">
      <c r="B6" s="9" t="s">
        <v>117</v>
      </c>
      <c r="C6" s="9">
        <v>3.1</v>
      </c>
      <c r="D6" s="9">
        <v>4.5</v>
      </c>
      <c r="E6" s="9">
        <f>C6*D6</f>
        <v>13.950000000000001</v>
      </c>
      <c r="F6" s="9" t="s">
        <v>118</v>
      </c>
      <c r="G6" s="9">
        <v>3.05</v>
      </c>
      <c r="H6" s="9">
        <v>1.45</v>
      </c>
      <c r="I6" s="9">
        <f>G6*H6</f>
        <v>4.4224999999999994</v>
      </c>
      <c r="J6" s="9"/>
      <c r="K6" s="9"/>
      <c r="L6" s="9">
        <f>J6*K6</f>
        <v>0</v>
      </c>
    </row>
    <row r="7" spans="1:12" x14ac:dyDescent="0.3">
      <c r="B7" s="9"/>
      <c r="C7" s="9"/>
      <c r="D7" s="9"/>
      <c r="E7" s="9">
        <f t="shared" ref="E7:E33" si="0">C7*D7</f>
        <v>0</v>
      </c>
      <c r="F7" s="9" t="s">
        <v>119</v>
      </c>
      <c r="G7" s="9">
        <v>1</v>
      </c>
      <c r="H7" s="9">
        <v>3.05</v>
      </c>
      <c r="I7" s="9">
        <f t="shared" ref="I7:I29" si="1">G7*H7</f>
        <v>3.05</v>
      </c>
      <c r="J7" s="9"/>
      <c r="K7" s="9"/>
      <c r="L7" s="9">
        <f t="shared" ref="L7:L29" si="2">J7*K7</f>
        <v>0</v>
      </c>
    </row>
    <row r="8" spans="1:12" x14ac:dyDescent="0.3">
      <c r="B8" s="9"/>
      <c r="C8" s="9">
        <v>1.75</v>
      </c>
      <c r="D8" s="9">
        <v>1.55</v>
      </c>
      <c r="E8" s="9">
        <f t="shared" si="0"/>
        <v>2.7124999999999999</v>
      </c>
      <c r="F8" s="9"/>
      <c r="G8" s="9">
        <v>3.1</v>
      </c>
      <c r="H8" s="9">
        <v>0.75</v>
      </c>
      <c r="I8" s="9">
        <f t="shared" si="1"/>
        <v>2.3250000000000002</v>
      </c>
      <c r="J8" s="9"/>
      <c r="K8" s="9"/>
      <c r="L8" s="9">
        <f t="shared" si="2"/>
        <v>0</v>
      </c>
    </row>
    <row r="9" spans="1:12" x14ac:dyDescent="0.3">
      <c r="B9" s="9" t="s">
        <v>120</v>
      </c>
      <c r="C9" s="9">
        <v>2.15</v>
      </c>
      <c r="D9" s="9">
        <v>2.95</v>
      </c>
      <c r="E9" s="9">
        <f t="shared" si="0"/>
        <v>6.3425000000000002</v>
      </c>
      <c r="F9" s="9" t="s">
        <v>118</v>
      </c>
      <c r="G9" s="9"/>
      <c r="H9" s="9"/>
      <c r="I9" s="9">
        <f t="shared" si="1"/>
        <v>0</v>
      </c>
      <c r="J9" s="9"/>
      <c r="K9" s="9"/>
      <c r="L9" s="9">
        <f t="shared" si="2"/>
        <v>0</v>
      </c>
    </row>
    <row r="10" spans="1:12" x14ac:dyDescent="0.3">
      <c r="B10" s="9"/>
      <c r="C10" s="9"/>
      <c r="D10" s="9"/>
      <c r="E10" s="9">
        <f t="shared" si="0"/>
        <v>0</v>
      </c>
      <c r="F10" s="9" t="s">
        <v>119</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121</v>
      </c>
      <c r="C13" s="9">
        <v>3.05</v>
      </c>
      <c r="D13" s="9">
        <v>3.05</v>
      </c>
      <c r="E13" s="9">
        <f t="shared" si="0"/>
        <v>9.3024999999999984</v>
      </c>
      <c r="F13" s="9" t="s">
        <v>118</v>
      </c>
      <c r="G13" s="9"/>
      <c r="H13" s="9"/>
      <c r="I13" s="9">
        <f t="shared" si="1"/>
        <v>0</v>
      </c>
      <c r="J13" s="9"/>
      <c r="K13" s="9"/>
      <c r="L13" s="9">
        <f t="shared" si="2"/>
        <v>0</v>
      </c>
    </row>
    <row r="14" spans="1:12" x14ac:dyDescent="0.3">
      <c r="B14" s="9"/>
      <c r="C14" s="9"/>
      <c r="D14" s="9"/>
      <c r="E14" s="9">
        <f t="shared" si="0"/>
        <v>0</v>
      </c>
      <c r="F14" s="9" t="s">
        <v>119</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122</v>
      </c>
      <c r="C17" s="9">
        <v>3.05</v>
      </c>
      <c r="D17" s="9">
        <v>3.05</v>
      </c>
      <c r="E17" s="9">
        <f t="shared" si="0"/>
        <v>9.3024999999999984</v>
      </c>
      <c r="F17" s="9" t="s">
        <v>118</v>
      </c>
      <c r="G17" s="9"/>
      <c r="H17" s="9"/>
      <c r="I17" s="9">
        <f t="shared" si="1"/>
        <v>0</v>
      </c>
      <c r="J17" s="9"/>
      <c r="K17" s="9"/>
      <c r="L17" s="9">
        <f t="shared" si="2"/>
        <v>0</v>
      </c>
    </row>
    <row r="18" spans="2:12" x14ac:dyDescent="0.3">
      <c r="B18" s="9" t="s">
        <v>118</v>
      </c>
      <c r="C18" s="9">
        <v>2.1</v>
      </c>
      <c r="D18" s="9">
        <v>0.6</v>
      </c>
      <c r="E18" s="9">
        <f t="shared" si="0"/>
        <v>1.26</v>
      </c>
      <c r="F18" s="9" t="s">
        <v>119</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122</v>
      </c>
      <c r="C20" s="9"/>
      <c r="D20" s="9"/>
      <c r="E20" s="9">
        <f t="shared" si="0"/>
        <v>0</v>
      </c>
      <c r="F20" s="9" t="s">
        <v>118</v>
      </c>
      <c r="G20" s="9"/>
      <c r="H20" s="9"/>
      <c r="I20" s="9">
        <f t="shared" si="1"/>
        <v>0</v>
      </c>
      <c r="J20" s="9"/>
      <c r="K20" s="9"/>
      <c r="L20" s="9">
        <f t="shared" si="2"/>
        <v>0</v>
      </c>
    </row>
    <row r="21" spans="2:12" x14ac:dyDescent="0.3">
      <c r="B21" s="9"/>
      <c r="C21" s="9"/>
      <c r="D21" s="9"/>
      <c r="E21" s="9">
        <f t="shared" si="0"/>
        <v>0</v>
      </c>
      <c r="F21" s="9" t="s">
        <v>119</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123</v>
      </c>
      <c r="C23" s="9">
        <v>1.4</v>
      </c>
      <c r="D23" s="9">
        <v>2.25</v>
      </c>
      <c r="E23" s="9">
        <f t="shared" si="0"/>
        <v>3.15</v>
      </c>
      <c r="F23" s="9" t="s">
        <v>124</v>
      </c>
      <c r="G23" s="9"/>
      <c r="H23" s="9"/>
      <c r="I23" s="9">
        <f t="shared" si="1"/>
        <v>0</v>
      </c>
      <c r="J23" s="9"/>
      <c r="K23" s="9"/>
      <c r="L23" s="9">
        <f t="shared" si="2"/>
        <v>0</v>
      </c>
    </row>
    <row r="24" spans="2:12" x14ac:dyDescent="0.3">
      <c r="B24" s="9" t="s">
        <v>125</v>
      </c>
      <c r="C24" s="9">
        <v>1.4</v>
      </c>
      <c r="D24" s="9">
        <v>2.25</v>
      </c>
      <c r="E24" s="9">
        <f t="shared" si="0"/>
        <v>3.15</v>
      </c>
      <c r="F24" s="9" t="s">
        <v>124</v>
      </c>
      <c r="G24" s="9"/>
      <c r="H24" s="9"/>
      <c r="I24" s="9">
        <f t="shared" si="1"/>
        <v>0</v>
      </c>
      <c r="J24" s="9"/>
      <c r="K24" s="9"/>
      <c r="L24" s="9">
        <f t="shared" si="2"/>
        <v>0</v>
      </c>
    </row>
    <row r="25" spans="2:12" x14ac:dyDescent="0.3">
      <c r="B25" s="9" t="s">
        <v>126</v>
      </c>
      <c r="C25" s="9"/>
      <c r="D25" s="9"/>
      <c r="E25" s="9">
        <f t="shared" si="0"/>
        <v>0</v>
      </c>
      <c r="F25" s="9" t="s">
        <v>124</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127</v>
      </c>
      <c r="C27" s="9"/>
      <c r="D27" s="9"/>
      <c r="E27" s="9">
        <f t="shared" si="0"/>
        <v>0</v>
      </c>
      <c r="F27" s="9"/>
      <c r="G27" s="9"/>
      <c r="H27" s="9"/>
      <c r="I27" s="9">
        <f t="shared" si="1"/>
        <v>0</v>
      </c>
      <c r="J27" s="9"/>
      <c r="K27" s="9"/>
      <c r="L27" s="9">
        <f t="shared" si="2"/>
        <v>0</v>
      </c>
    </row>
    <row r="28" spans="2:12" x14ac:dyDescent="0.3">
      <c r="B28" s="9" t="s">
        <v>128</v>
      </c>
      <c r="C28" s="9"/>
      <c r="D28" s="9"/>
      <c r="E28" s="9">
        <f t="shared" si="0"/>
        <v>0</v>
      </c>
      <c r="F28" s="9"/>
      <c r="G28" s="9"/>
      <c r="H28" s="9"/>
      <c r="I28" s="9">
        <f t="shared" si="1"/>
        <v>0</v>
      </c>
      <c r="J28" s="9"/>
      <c r="K28" s="9"/>
      <c r="L28" s="9">
        <f t="shared" si="2"/>
        <v>0</v>
      </c>
    </row>
    <row r="29" spans="2:12" x14ac:dyDescent="0.3">
      <c r="B29" s="9" t="s">
        <v>129</v>
      </c>
      <c r="C29" s="9"/>
      <c r="D29" s="9"/>
      <c r="E29" s="9">
        <f t="shared" si="0"/>
        <v>0</v>
      </c>
      <c r="F29" s="9"/>
      <c r="G29" s="9"/>
      <c r="H29" s="9"/>
      <c r="I29" s="9">
        <f t="shared" si="1"/>
        <v>0</v>
      </c>
      <c r="J29" s="9"/>
      <c r="K29" s="9"/>
      <c r="L29" s="9">
        <f t="shared" si="2"/>
        <v>0</v>
      </c>
    </row>
    <row r="30" spans="2:12" x14ac:dyDescent="0.3">
      <c r="B30" s="9" t="s">
        <v>130</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78</v>
      </c>
      <c r="C34" s="9"/>
      <c r="D34" s="9">
        <f>E34*10.764</f>
        <v>529.26587999999992</v>
      </c>
      <c r="E34" s="9">
        <f>SUM(E6:E33)</f>
        <v>49.169999999999995</v>
      </c>
      <c r="F34" s="9"/>
      <c r="G34" s="9"/>
      <c r="H34" s="9">
        <f>I34*10.764</f>
        <v>105.46028999999999</v>
      </c>
      <c r="I34" s="9">
        <f>SUM(I6:I33)</f>
        <v>9.7974999999999994</v>
      </c>
      <c r="J34" s="9"/>
      <c r="K34" s="9">
        <f>L34*10.764</f>
        <v>0</v>
      </c>
      <c r="L34" s="9">
        <f>SUM(L6:L33)</f>
        <v>0</v>
      </c>
    </row>
    <row r="36" spans="2:12" x14ac:dyDescent="0.3">
      <c r="D36">
        <f>D34+H34</f>
        <v>634.72616999999991</v>
      </c>
      <c r="E36">
        <f>E34+I34</f>
        <v>58.967499999999994</v>
      </c>
    </row>
  </sheetData>
  <mergeCells count="4">
    <mergeCell ref="C2:D2"/>
    <mergeCell ref="C4:E4"/>
    <mergeCell ref="G4:I4"/>
    <mergeCell ref="J4: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36"/>
  <sheetViews>
    <sheetView workbookViewId="0">
      <selection activeCell="D36" sqref="D36"/>
    </sheetView>
  </sheetViews>
  <sheetFormatPr defaultRowHeight="14.4" x14ac:dyDescent="0.3"/>
  <cols>
    <col min="2" max="2" width="12.33203125" customWidth="1"/>
  </cols>
  <sheetData>
    <row r="2" spans="1:17" x14ac:dyDescent="0.3">
      <c r="B2" s="5" t="s">
        <v>109</v>
      </c>
      <c r="C2" s="251" t="s">
        <v>183</v>
      </c>
      <c r="D2" s="251"/>
    </row>
    <row r="3" spans="1:17" x14ac:dyDescent="0.3">
      <c r="D3" s="6"/>
      <c r="E3" s="6"/>
      <c r="F3" s="6"/>
      <c r="G3" s="6"/>
      <c r="H3" s="6"/>
      <c r="I3" s="6"/>
    </row>
    <row r="4" spans="1:17" x14ac:dyDescent="0.3">
      <c r="A4" s="5" t="s">
        <v>110</v>
      </c>
      <c r="B4" s="7" t="s">
        <v>111</v>
      </c>
      <c r="C4" s="252" t="s">
        <v>112</v>
      </c>
      <c r="D4" s="252"/>
      <c r="E4" s="252"/>
      <c r="F4" s="8"/>
      <c r="G4" s="252" t="s">
        <v>113</v>
      </c>
      <c r="H4" s="252"/>
      <c r="I4" s="252"/>
      <c r="J4" s="252" t="s">
        <v>114</v>
      </c>
      <c r="K4" s="252"/>
      <c r="L4" s="252"/>
    </row>
    <row r="5" spans="1:17" x14ac:dyDescent="0.3">
      <c r="A5" s="5">
        <v>3</v>
      </c>
      <c r="B5" s="7"/>
      <c r="C5" s="7" t="s">
        <v>115</v>
      </c>
      <c r="D5" s="7" t="s">
        <v>116</v>
      </c>
      <c r="E5" s="7" t="s">
        <v>77</v>
      </c>
      <c r="F5" s="7"/>
      <c r="G5" s="7" t="s">
        <v>115</v>
      </c>
      <c r="H5" s="7" t="s">
        <v>116</v>
      </c>
      <c r="I5" s="7" t="s">
        <v>77</v>
      </c>
      <c r="J5" s="7" t="s">
        <v>115</v>
      </c>
      <c r="K5" s="7" t="s">
        <v>116</v>
      </c>
      <c r="L5" s="7" t="s">
        <v>77</v>
      </c>
    </row>
    <row r="6" spans="1:17" x14ac:dyDescent="0.3">
      <c r="B6" s="9" t="s">
        <v>117</v>
      </c>
      <c r="C6" s="9">
        <v>3.1</v>
      </c>
      <c r="D6" s="9">
        <v>2.9</v>
      </c>
      <c r="E6" s="9">
        <f>C6*D6</f>
        <v>8.99</v>
      </c>
      <c r="F6" s="9" t="s">
        <v>118</v>
      </c>
      <c r="G6" s="9">
        <v>3.1</v>
      </c>
      <c r="H6" s="9">
        <v>1.6</v>
      </c>
      <c r="I6" s="9">
        <f>G6*H6</f>
        <v>4.9600000000000009</v>
      </c>
      <c r="J6" s="9"/>
      <c r="K6" s="9"/>
      <c r="L6" s="9">
        <f>J6*K6</f>
        <v>0</v>
      </c>
    </row>
    <row r="7" spans="1:17" x14ac:dyDescent="0.3">
      <c r="B7" s="9"/>
      <c r="C7" s="9"/>
      <c r="D7" s="9"/>
      <c r="E7" s="9">
        <f t="shared" ref="E7:E33" si="0">C7*D7</f>
        <v>0</v>
      </c>
      <c r="F7" s="9" t="s">
        <v>119</v>
      </c>
      <c r="G7" s="9"/>
      <c r="H7" s="9"/>
      <c r="I7" s="9">
        <f t="shared" ref="I7:I29" si="1">G7*H7</f>
        <v>0</v>
      </c>
      <c r="J7" s="9"/>
      <c r="K7" s="9"/>
      <c r="L7" s="9">
        <f t="shared" ref="L7:L29" si="2">J7*K7</f>
        <v>0</v>
      </c>
    </row>
    <row r="8" spans="1:17" x14ac:dyDescent="0.3">
      <c r="B8" s="9"/>
      <c r="C8" s="9">
        <v>1.73</v>
      </c>
      <c r="D8" s="9">
        <v>2.5</v>
      </c>
      <c r="E8" s="9">
        <f t="shared" si="0"/>
        <v>4.3250000000000002</v>
      </c>
      <c r="F8" s="9"/>
      <c r="G8" s="9">
        <v>3.05</v>
      </c>
      <c r="H8" s="9">
        <v>0.75</v>
      </c>
      <c r="I8" s="9">
        <f t="shared" si="1"/>
        <v>2.2874999999999996</v>
      </c>
      <c r="J8" s="9"/>
      <c r="K8" s="9"/>
      <c r="L8" s="9">
        <f t="shared" si="2"/>
        <v>0</v>
      </c>
    </row>
    <row r="9" spans="1:17" x14ac:dyDescent="0.3">
      <c r="B9" s="9" t="s">
        <v>120</v>
      </c>
      <c r="C9" s="9">
        <v>2.15</v>
      </c>
      <c r="D9" s="9">
        <v>2.95</v>
      </c>
      <c r="E9" s="9">
        <f t="shared" si="0"/>
        <v>6.3425000000000002</v>
      </c>
      <c r="F9" s="9" t="s">
        <v>118</v>
      </c>
      <c r="G9" s="9"/>
      <c r="H9" s="9"/>
      <c r="I9" s="9">
        <f t="shared" si="1"/>
        <v>0</v>
      </c>
      <c r="J9" s="9"/>
      <c r="K9" s="9"/>
      <c r="L9" s="9">
        <f t="shared" si="2"/>
        <v>0</v>
      </c>
    </row>
    <row r="10" spans="1:17" x14ac:dyDescent="0.3">
      <c r="B10" s="9"/>
      <c r="C10" s="9"/>
      <c r="D10" s="9"/>
      <c r="E10" s="9">
        <f t="shared" si="0"/>
        <v>0</v>
      </c>
      <c r="F10" s="9" t="s">
        <v>119</v>
      </c>
      <c r="G10" s="9"/>
      <c r="H10" s="9"/>
      <c r="I10" s="9">
        <f t="shared" si="1"/>
        <v>0</v>
      </c>
      <c r="J10" s="9"/>
      <c r="K10" s="9"/>
      <c r="L10" s="9">
        <f t="shared" si="2"/>
        <v>0</v>
      </c>
    </row>
    <row r="11" spans="1:17" x14ac:dyDescent="0.3">
      <c r="B11" s="9"/>
      <c r="C11" s="9"/>
      <c r="D11" s="9"/>
      <c r="E11" s="9">
        <f t="shared" si="0"/>
        <v>0</v>
      </c>
      <c r="F11" s="9"/>
      <c r="G11" s="9"/>
      <c r="H11" s="9"/>
      <c r="I11" s="9">
        <f t="shared" si="1"/>
        <v>0</v>
      </c>
      <c r="J11" s="9"/>
      <c r="K11" s="9"/>
      <c r="L11" s="9">
        <f t="shared" si="2"/>
        <v>0</v>
      </c>
    </row>
    <row r="12" spans="1:17" x14ac:dyDescent="0.3">
      <c r="B12" s="9"/>
      <c r="C12" s="9"/>
      <c r="D12" s="9"/>
      <c r="E12" s="9">
        <f t="shared" si="0"/>
        <v>0</v>
      </c>
      <c r="F12" s="9"/>
      <c r="G12" s="9"/>
      <c r="H12" s="9"/>
      <c r="I12" s="9">
        <f t="shared" si="1"/>
        <v>0</v>
      </c>
      <c r="J12" s="9"/>
      <c r="K12" s="9"/>
      <c r="L12" s="9">
        <f t="shared" si="2"/>
        <v>0</v>
      </c>
    </row>
    <row r="13" spans="1:17" x14ac:dyDescent="0.3">
      <c r="B13" s="9" t="s">
        <v>121</v>
      </c>
      <c r="C13" s="9">
        <v>3.05</v>
      </c>
      <c r="D13" s="9">
        <v>3.05</v>
      </c>
      <c r="E13" s="9">
        <f t="shared" si="0"/>
        <v>9.3024999999999984</v>
      </c>
      <c r="F13" s="9" t="s">
        <v>118</v>
      </c>
      <c r="G13" s="9"/>
      <c r="H13" s="9"/>
      <c r="I13" s="9">
        <f t="shared" si="1"/>
        <v>0</v>
      </c>
      <c r="J13" s="9"/>
      <c r="K13" s="9"/>
      <c r="L13" s="9">
        <f t="shared" si="2"/>
        <v>0</v>
      </c>
    </row>
    <row r="14" spans="1:17" x14ac:dyDescent="0.3">
      <c r="B14" s="9"/>
      <c r="C14" s="9"/>
      <c r="D14" s="9"/>
      <c r="E14" s="9">
        <f t="shared" si="0"/>
        <v>0</v>
      </c>
      <c r="F14" s="9" t="s">
        <v>119</v>
      </c>
      <c r="G14" s="9"/>
      <c r="H14" s="9"/>
      <c r="I14" s="9">
        <f t="shared" si="1"/>
        <v>0</v>
      </c>
      <c r="J14" s="9"/>
      <c r="K14" s="9"/>
      <c r="L14" s="9">
        <f t="shared" si="2"/>
        <v>0</v>
      </c>
    </row>
    <row r="15" spans="1:17" x14ac:dyDescent="0.3">
      <c r="B15" s="9"/>
      <c r="C15" s="9"/>
      <c r="D15" s="9"/>
      <c r="E15" s="9">
        <f t="shared" si="0"/>
        <v>0</v>
      </c>
      <c r="F15" s="9"/>
      <c r="G15" s="9"/>
      <c r="H15" s="9"/>
      <c r="I15" s="9">
        <f t="shared" si="1"/>
        <v>0</v>
      </c>
      <c r="J15" s="9"/>
      <c r="K15" s="9"/>
      <c r="L15" s="9">
        <f t="shared" si="2"/>
        <v>0</v>
      </c>
    </row>
    <row r="16" spans="1:17" x14ac:dyDescent="0.3">
      <c r="B16" s="9"/>
      <c r="C16" s="9"/>
      <c r="D16" s="9"/>
      <c r="E16" s="9">
        <f t="shared" si="0"/>
        <v>0</v>
      </c>
      <c r="F16" s="9"/>
      <c r="G16" s="9"/>
      <c r="H16" s="9"/>
      <c r="I16" s="9">
        <f t="shared" si="1"/>
        <v>0</v>
      </c>
      <c r="J16" s="9"/>
      <c r="K16" s="9"/>
      <c r="L16" s="9">
        <f t="shared" si="2"/>
        <v>0</v>
      </c>
      <c r="Q16">
        <f>7*20</f>
        <v>140</v>
      </c>
    </row>
    <row r="17" spans="2:12" x14ac:dyDescent="0.3">
      <c r="B17" s="9" t="s">
        <v>122</v>
      </c>
      <c r="C17" s="9">
        <v>3.05</v>
      </c>
      <c r="D17" s="9">
        <v>3.9</v>
      </c>
      <c r="E17" s="9">
        <f t="shared" si="0"/>
        <v>11.895</v>
      </c>
      <c r="F17" s="9" t="s">
        <v>118</v>
      </c>
      <c r="G17" s="9"/>
      <c r="H17" s="9"/>
      <c r="I17" s="9">
        <f t="shared" si="1"/>
        <v>0</v>
      </c>
      <c r="J17" s="9"/>
      <c r="K17" s="9"/>
      <c r="L17" s="9">
        <f t="shared" si="2"/>
        <v>0</v>
      </c>
    </row>
    <row r="18" spans="2:12" x14ac:dyDescent="0.3">
      <c r="B18" s="9" t="s">
        <v>118</v>
      </c>
      <c r="C18" s="9">
        <v>2.1</v>
      </c>
      <c r="D18" s="9">
        <v>0.6</v>
      </c>
      <c r="E18" s="9">
        <f t="shared" si="0"/>
        <v>1.26</v>
      </c>
      <c r="F18" s="9" t="s">
        <v>119</v>
      </c>
      <c r="G18" s="9"/>
      <c r="H18" s="9"/>
      <c r="I18" s="9">
        <f t="shared" si="1"/>
        <v>0</v>
      </c>
      <c r="J18" s="9"/>
      <c r="K18" s="9"/>
      <c r="L18" s="9">
        <f t="shared" si="2"/>
        <v>0</v>
      </c>
    </row>
    <row r="19" spans="2:12" x14ac:dyDescent="0.3">
      <c r="B19" s="9"/>
      <c r="C19" s="9">
        <v>1.53</v>
      </c>
      <c r="D19" s="9">
        <v>0.6</v>
      </c>
      <c r="E19" s="9">
        <f t="shared" si="0"/>
        <v>0.91799999999999993</v>
      </c>
      <c r="F19" s="9"/>
      <c r="G19" s="9"/>
      <c r="H19" s="9"/>
      <c r="I19" s="9">
        <f t="shared" si="1"/>
        <v>0</v>
      </c>
      <c r="J19" s="9"/>
      <c r="K19" s="9"/>
      <c r="L19" s="9">
        <f t="shared" si="2"/>
        <v>0</v>
      </c>
    </row>
    <row r="20" spans="2:12" x14ac:dyDescent="0.3">
      <c r="B20" s="9" t="s">
        <v>122</v>
      </c>
      <c r="C20" s="9"/>
      <c r="D20" s="9"/>
      <c r="E20" s="9">
        <f t="shared" si="0"/>
        <v>0</v>
      </c>
      <c r="F20" s="9" t="s">
        <v>118</v>
      </c>
      <c r="G20" s="9"/>
      <c r="H20" s="9"/>
      <c r="I20" s="9">
        <f t="shared" si="1"/>
        <v>0</v>
      </c>
      <c r="J20" s="9"/>
      <c r="K20" s="9"/>
      <c r="L20" s="9">
        <f t="shared" si="2"/>
        <v>0</v>
      </c>
    </row>
    <row r="21" spans="2:12" x14ac:dyDescent="0.3">
      <c r="B21" s="9"/>
      <c r="C21" s="9"/>
      <c r="D21" s="9"/>
      <c r="E21" s="9">
        <f t="shared" si="0"/>
        <v>0</v>
      </c>
      <c r="F21" s="9" t="s">
        <v>119</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123</v>
      </c>
      <c r="C23" s="9">
        <v>1.4</v>
      </c>
      <c r="D23" s="9">
        <v>2.25</v>
      </c>
      <c r="E23" s="9">
        <f t="shared" si="0"/>
        <v>3.15</v>
      </c>
      <c r="F23" s="9" t="s">
        <v>124</v>
      </c>
      <c r="G23" s="9"/>
      <c r="H23" s="9"/>
      <c r="I23" s="9">
        <f t="shared" si="1"/>
        <v>0</v>
      </c>
      <c r="J23" s="9"/>
      <c r="K23" s="9"/>
      <c r="L23" s="9">
        <f t="shared" si="2"/>
        <v>0</v>
      </c>
    </row>
    <row r="24" spans="2:12" x14ac:dyDescent="0.3">
      <c r="B24" s="9" t="s">
        <v>125</v>
      </c>
      <c r="C24" s="9">
        <v>1.4</v>
      </c>
      <c r="D24" s="9">
        <v>2.25</v>
      </c>
      <c r="E24" s="9">
        <f t="shared" si="0"/>
        <v>3.15</v>
      </c>
      <c r="F24" s="9" t="s">
        <v>124</v>
      </c>
      <c r="G24" s="9"/>
      <c r="H24" s="9"/>
      <c r="I24" s="9">
        <f t="shared" si="1"/>
        <v>0</v>
      </c>
      <c r="J24" s="9"/>
      <c r="K24" s="9"/>
      <c r="L24" s="9">
        <f t="shared" si="2"/>
        <v>0</v>
      </c>
    </row>
    <row r="25" spans="2:12" x14ac:dyDescent="0.3">
      <c r="B25" s="9" t="s">
        <v>126</v>
      </c>
      <c r="C25" s="9"/>
      <c r="D25" s="9"/>
      <c r="E25" s="9">
        <f t="shared" si="0"/>
        <v>0</v>
      </c>
      <c r="F25" s="9" t="s">
        <v>124</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127</v>
      </c>
      <c r="C27" s="9">
        <v>1.5</v>
      </c>
      <c r="D27" s="9">
        <v>1</v>
      </c>
      <c r="E27" s="9">
        <f t="shared" si="0"/>
        <v>1.5</v>
      </c>
      <c r="F27" s="9"/>
      <c r="G27" s="9"/>
      <c r="H27" s="9"/>
      <c r="I27" s="9">
        <f t="shared" si="1"/>
        <v>0</v>
      </c>
      <c r="J27" s="9"/>
      <c r="K27" s="9"/>
      <c r="L27" s="9">
        <f t="shared" si="2"/>
        <v>0</v>
      </c>
    </row>
    <row r="28" spans="2:12" x14ac:dyDescent="0.3">
      <c r="B28" s="9" t="s">
        <v>128</v>
      </c>
      <c r="C28" s="9"/>
      <c r="D28" s="9"/>
      <c r="E28" s="9">
        <f t="shared" si="0"/>
        <v>0</v>
      </c>
      <c r="F28" s="9"/>
      <c r="G28" s="9"/>
      <c r="H28" s="9"/>
      <c r="I28" s="9">
        <f t="shared" si="1"/>
        <v>0</v>
      </c>
      <c r="J28" s="9"/>
      <c r="K28" s="9"/>
      <c r="L28" s="9">
        <f t="shared" si="2"/>
        <v>0</v>
      </c>
    </row>
    <row r="29" spans="2:12" x14ac:dyDescent="0.3">
      <c r="B29" s="9" t="s">
        <v>129</v>
      </c>
      <c r="C29" s="9"/>
      <c r="D29" s="9"/>
      <c r="E29" s="9">
        <f t="shared" si="0"/>
        <v>0</v>
      </c>
      <c r="F29" s="9"/>
      <c r="G29" s="9"/>
      <c r="H29" s="9"/>
      <c r="I29" s="9">
        <f t="shared" si="1"/>
        <v>0</v>
      </c>
      <c r="J29" s="9"/>
      <c r="K29" s="9"/>
      <c r="L29" s="9">
        <f t="shared" si="2"/>
        <v>0</v>
      </c>
    </row>
    <row r="30" spans="2:12" x14ac:dyDescent="0.3">
      <c r="B30" s="9" t="s">
        <v>130</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78</v>
      </c>
      <c r="C34" s="9"/>
      <c r="D34" s="9">
        <f>E34*10.764</f>
        <v>547.16641199999992</v>
      </c>
      <c r="E34" s="9">
        <f>SUM(E6:E33)</f>
        <v>50.832999999999998</v>
      </c>
      <c r="F34" s="9"/>
      <c r="G34" s="9"/>
      <c r="H34" s="9">
        <f>I34*10.764</f>
        <v>78.012090000000001</v>
      </c>
      <c r="I34" s="9">
        <f>SUM(I6:I33)</f>
        <v>7.2475000000000005</v>
      </c>
      <c r="J34" s="9"/>
      <c r="K34" s="9">
        <f>L34*10.764</f>
        <v>0</v>
      </c>
      <c r="L34" s="9">
        <f>SUM(L6:L33)</f>
        <v>0</v>
      </c>
    </row>
    <row r="36" spans="2:12" x14ac:dyDescent="0.3">
      <c r="D36">
        <f>D34+H34</f>
        <v>625.17850199999998</v>
      </c>
      <c r="E36">
        <f>E34+I34</f>
        <v>58.080500000000001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NOTE</vt:lpstr>
      <vt:lpstr>VALUATION</vt:lpstr>
      <vt:lpstr>C%</vt:lpstr>
      <vt:lpstr>Flat detail</vt:lpstr>
      <vt:lpstr>Flat detail (2)</vt:lpstr>
      <vt:lpstr>Flat detail (3)</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Kaustubh Kulkarni</cp:lastModifiedBy>
  <cp:lastPrinted>2025-09-14T04:55:28Z</cp:lastPrinted>
  <dcterms:created xsi:type="dcterms:W3CDTF">2019-07-16T09:29:46Z</dcterms:created>
  <dcterms:modified xsi:type="dcterms:W3CDTF">2025-09-14T04:55:54Z</dcterms:modified>
</cp:coreProperties>
</file>