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Sept 25\DUMP\"/>
    </mc:Choice>
  </mc:AlternateContent>
  <xr:revisionPtr revIDLastSave="0" documentId="13_ncr:1_{7EF5F349-1573-4A0F-91C6-462AD4FBDDEE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4" i="1" l="1"/>
  <c r="B110" i="1"/>
  <c r="H110" i="1"/>
  <c r="H124" i="1"/>
  <c r="J128" i="1" l="1"/>
  <c r="C127" i="1" s="1"/>
  <c r="D127" i="1" s="1"/>
  <c r="D136" i="1"/>
  <c r="D132" i="1"/>
  <c r="J127" i="1"/>
  <c r="D135" i="1"/>
  <c r="D131" i="1"/>
  <c r="D134" i="1"/>
  <c r="D130" i="1"/>
  <c r="D129" i="1"/>
  <c r="J126" i="1"/>
  <c r="J123" i="1"/>
  <c r="J125" i="1" s="1"/>
  <c r="D133" i="1"/>
  <c r="J129" i="1"/>
  <c r="J133" i="1"/>
  <c r="J134" i="1"/>
  <c r="J131" i="1"/>
  <c r="J132" i="1"/>
  <c r="J114" i="1"/>
  <c r="C113" i="1" s="1"/>
  <c r="D113" i="1" s="1"/>
  <c r="D122" i="1"/>
  <c r="D118" i="1"/>
  <c r="J113" i="1"/>
  <c r="D121" i="1"/>
  <c r="D117" i="1"/>
  <c r="D116" i="1"/>
  <c r="J112" i="1"/>
  <c r="J109" i="1"/>
  <c r="J111" i="1" s="1"/>
  <c r="D120" i="1"/>
  <c r="D119" i="1"/>
  <c r="D115" i="1"/>
  <c r="J119" i="1"/>
  <c r="J115" i="1"/>
  <c r="J120" i="1"/>
  <c r="J117" i="1"/>
  <c r="J118" i="1"/>
  <c r="B82" i="1"/>
  <c r="H82" i="1"/>
  <c r="J116" i="1" l="1"/>
  <c r="J121" i="1" s="1"/>
  <c r="J130" i="1"/>
  <c r="J135" i="1" s="1"/>
  <c r="J85" i="1"/>
  <c r="D93" i="1"/>
  <c r="D89" i="1"/>
  <c r="D92" i="1"/>
  <c r="D88" i="1"/>
  <c r="J84" i="1"/>
  <c r="J81" i="1"/>
  <c r="J83" i="1" s="1"/>
  <c r="D87" i="1"/>
  <c r="D94" i="1"/>
  <c r="D90" i="1"/>
  <c r="D91" i="1"/>
  <c r="J86" i="1"/>
  <c r="C85" i="1" s="1"/>
  <c r="J89" i="1"/>
  <c r="J91" i="1"/>
  <c r="J87" i="1"/>
  <c r="J88" i="1" s="1"/>
  <c r="J93" i="1" s="1"/>
  <c r="J90" i="1"/>
  <c r="J92" i="1"/>
  <c r="G229" i="1"/>
  <c r="G203" i="1"/>
  <c r="G194" i="1"/>
  <c r="D234" i="1"/>
  <c r="F234" i="1" s="1"/>
  <c r="D233" i="1"/>
  <c r="F233" i="1" s="1"/>
  <c r="D232" i="1"/>
  <c r="F232" i="1" s="1"/>
  <c r="D231" i="1"/>
  <c r="F231" i="1" s="1"/>
  <c r="D230" i="1"/>
  <c r="F230" i="1" s="1"/>
  <c r="D229" i="1"/>
  <c r="A230" i="1"/>
  <c r="A231" i="1" s="1"/>
  <c r="A232" i="1" s="1"/>
  <c r="A233" i="1" s="1"/>
  <c r="A234" i="1" s="1"/>
  <c r="D225" i="1"/>
  <c r="F225" i="1" s="1"/>
  <c r="D224" i="1"/>
  <c r="F224" i="1" s="1"/>
  <c r="D223" i="1"/>
  <c r="F223" i="1" s="1"/>
  <c r="D222" i="1"/>
  <c r="F222" i="1" s="1"/>
  <c r="D219" i="1"/>
  <c r="F219" i="1" s="1"/>
  <c r="D217" i="1"/>
  <c r="F217" i="1" s="1"/>
  <c r="D221" i="1"/>
  <c r="F221" i="1" s="1"/>
  <c r="D220" i="1"/>
  <c r="F220" i="1" s="1"/>
  <c r="D218" i="1"/>
  <c r="F218" i="1" s="1"/>
  <c r="D216" i="1"/>
  <c r="F216" i="1" s="1"/>
  <c r="D215" i="1"/>
  <c r="F215" i="1" s="1"/>
  <c r="A216" i="1"/>
  <c r="A217" i="1" s="1"/>
  <c r="A218" i="1" s="1"/>
  <c r="A219" i="1" s="1"/>
  <c r="A220" i="1" s="1"/>
  <c r="A221" i="1" s="1"/>
  <c r="A222" i="1" s="1"/>
  <c r="A223" i="1" s="1"/>
  <c r="A224" i="1" s="1"/>
  <c r="A225" i="1" s="1"/>
  <c r="G215" i="1"/>
  <c r="D210" i="1"/>
  <c r="F210" i="1" s="1"/>
  <c r="D207" i="1"/>
  <c r="F207" i="1" s="1"/>
  <c r="D206" i="1"/>
  <c r="F206" i="1" s="1"/>
  <c r="D209" i="1"/>
  <c r="F209" i="1" s="1"/>
  <c r="D208" i="1"/>
  <c r="F208" i="1" s="1"/>
  <c r="D205" i="1"/>
  <c r="F205" i="1" s="1"/>
  <c r="D204" i="1"/>
  <c r="F204" i="1" s="1"/>
  <c r="D203" i="1"/>
  <c r="F203" i="1" s="1"/>
  <c r="A204" i="1"/>
  <c r="A205" i="1" s="1"/>
  <c r="A206" i="1" s="1"/>
  <c r="A207" i="1" s="1"/>
  <c r="A208" i="1" s="1"/>
  <c r="A209" i="1" s="1"/>
  <c r="A210" i="1" s="1"/>
  <c r="D199" i="1"/>
  <c r="F199" i="1" s="1"/>
  <c r="D198" i="1"/>
  <c r="F198" i="1" s="1"/>
  <c r="D197" i="1"/>
  <c r="F197" i="1" s="1"/>
  <c r="D196" i="1"/>
  <c r="F196" i="1" s="1"/>
  <c r="D195" i="1"/>
  <c r="F195" i="1" s="1"/>
  <c r="D194" i="1"/>
  <c r="F194" i="1" s="1"/>
  <c r="A195" i="1"/>
  <c r="A196" i="1" s="1"/>
  <c r="A197" i="1" s="1"/>
  <c r="A198" i="1" s="1"/>
  <c r="A199" i="1" s="1"/>
  <c r="D190" i="1"/>
  <c r="F190" i="1" s="1"/>
  <c r="D189" i="1"/>
  <c r="F189" i="1" s="1"/>
  <c r="D188" i="1"/>
  <c r="F188" i="1" s="1"/>
  <c r="J188" i="1" s="1"/>
  <c r="D187" i="1"/>
  <c r="F187" i="1" s="1"/>
  <c r="D186" i="1"/>
  <c r="F186" i="1" s="1"/>
  <c r="D185" i="1"/>
  <c r="F185" i="1" s="1"/>
  <c r="J185" i="1" s="1"/>
  <c r="D184" i="1"/>
  <c r="F184" i="1" s="1"/>
  <c r="D183" i="1"/>
  <c r="F183" i="1" s="1"/>
  <c r="D182" i="1"/>
  <c r="F182" i="1" s="1"/>
  <c r="D181" i="1"/>
  <c r="F181" i="1" s="1"/>
  <c r="A182" i="1"/>
  <c r="A183" i="1" s="1"/>
  <c r="A184" i="1" s="1"/>
  <c r="A185" i="1" s="1"/>
  <c r="A186" i="1" s="1"/>
  <c r="A187" i="1" s="1"/>
  <c r="A188" i="1" s="1"/>
  <c r="A189" i="1" s="1"/>
  <c r="A190" i="1" s="1"/>
  <c r="G181" i="1"/>
  <c r="J122" i="1" l="1"/>
  <c r="C114" i="1" s="1"/>
  <c r="J110" i="1"/>
  <c r="J136" i="1"/>
  <c r="C128" i="1" s="1"/>
  <c r="J124" i="1" s="1"/>
  <c r="C162" i="1"/>
  <c r="F229" i="1"/>
  <c r="G162" i="1" s="1"/>
  <c r="J94" i="1"/>
  <c r="C86" i="1" s="1"/>
  <c r="G85" i="1" s="1"/>
  <c r="D85" i="1"/>
  <c r="G159" i="1"/>
  <c r="C158" i="1"/>
  <c r="E159" i="1"/>
  <c r="C159" i="1"/>
  <c r="G158" i="1"/>
  <c r="C160" i="1"/>
  <c r="C161" i="1"/>
  <c r="G161" i="1"/>
  <c r="G160" i="1"/>
  <c r="E160" i="1"/>
  <c r="E161" i="1"/>
  <c r="E162" i="1"/>
  <c r="E158" i="1"/>
  <c r="Z12" i="1"/>
  <c r="I14" i="1"/>
  <c r="D114" i="1" l="1"/>
  <c r="I110" i="1" s="1"/>
  <c r="I111" i="1" s="1"/>
  <c r="E113" i="1"/>
  <c r="G113" i="1"/>
  <c r="G127" i="1"/>
  <c r="D128" i="1"/>
  <c r="I124" i="1" s="1"/>
  <c r="I125" i="1" s="1"/>
  <c r="E127" i="1"/>
  <c r="E163" i="1"/>
  <c r="J82" i="1"/>
  <c r="D86" i="1"/>
  <c r="I82" i="1" s="1"/>
  <c r="I83" i="1" s="1"/>
  <c r="E85" i="1"/>
  <c r="C163" i="1"/>
  <c r="G163" i="1"/>
  <c r="F236" i="1"/>
  <c r="F170" i="1"/>
  <c r="I109" i="1" l="1"/>
  <c r="C111" i="1" s="1"/>
  <c r="I123" i="1"/>
  <c r="C125" i="1" s="1"/>
  <c r="I81" i="1"/>
  <c r="C83" i="1" s="1"/>
  <c r="G164" i="1"/>
  <c r="E164" i="1"/>
  <c r="C164" i="1"/>
  <c r="E43" i="1" l="1"/>
  <c r="E44" i="1" s="1"/>
  <c r="C15" i="1" l="1"/>
  <c r="E30" i="1" l="1"/>
  <c r="F237" i="1" l="1"/>
  <c r="F238" i="1"/>
  <c r="F239" i="1"/>
  <c r="A237" i="1"/>
  <c r="A238" i="1" s="1"/>
  <c r="A239" i="1" s="1"/>
  <c r="G236" i="1"/>
  <c r="G237" i="1" s="1"/>
  <c r="G238" i="1" s="1"/>
  <c r="G239" i="1" s="1"/>
  <c r="F150" i="1" l="1"/>
  <c r="F171" i="1" l="1"/>
  <c r="F172" i="1"/>
  <c r="F173" i="1"/>
  <c r="B266" i="1" l="1"/>
  <c r="A247" i="1"/>
  <c r="A253" i="1"/>
  <c r="A259" i="1"/>
  <c r="F263" i="1" l="1"/>
  <c r="F262" i="1"/>
  <c r="F261" i="1"/>
  <c r="F260" i="1"/>
  <c r="F259" i="1"/>
  <c r="F257" i="1"/>
  <c r="F256" i="1"/>
  <c r="F255" i="1"/>
  <c r="F254" i="1"/>
  <c r="F253" i="1"/>
  <c r="F251" i="1"/>
  <c r="F250" i="1"/>
  <c r="F249" i="1"/>
  <c r="F248" i="1"/>
  <c r="F247" i="1"/>
  <c r="F245" i="1"/>
  <c r="F244" i="1"/>
  <c r="F242" i="1"/>
  <c r="F241" i="1"/>
  <c r="F243" i="1"/>
  <c r="A260" i="1"/>
  <c r="A248" i="1"/>
  <c r="A254" i="1"/>
  <c r="B267" i="1" l="1"/>
  <c r="A261" i="1"/>
  <c r="A255" i="1"/>
  <c r="A249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89" i="1"/>
  <c r="G259" i="1"/>
  <c r="G260" i="1" s="1"/>
  <c r="G261" i="1" s="1"/>
  <c r="G262" i="1" s="1"/>
  <c r="G263" i="1" s="1"/>
  <c r="G253" i="1"/>
  <c r="G254" i="1" s="1"/>
  <c r="G255" i="1" s="1"/>
  <c r="G256" i="1" s="1"/>
  <c r="G257" i="1" s="1"/>
  <c r="G247" i="1"/>
  <c r="G248" i="1" s="1"/>
  <c r="G249" i="1" s="1"/>
  <c r="G250" i="1" s="1"/>
  <c r="G251" i="1" s="1"/>
  <c r="G241" i="1"/>
  <c r="G242" i="1" s="1"/>
  <c r="G243" i="1" s="1"/>
  <c r="G244" i="1" s="1"/>
  <c r="G245" i="1" s="1"/>
  <c r="A241" i="1"/>
  <c r="A242" i="1" s="1"/>
  <c r="A243" i="1" s="1"/>
  <c r="A244" i="1" s="1"/>
  <c r="A245" i="1" s="1"/>
  <c r="A171" i="1"/>
  <c r="A172" i="1" s="1"/>
  <c r="A173" i="1" s="1"/>
  <c r="G170" i="1"/>
  <c r="G171" i="1" s="1"/>
  <c r="G172" i="1" s="1"/>
  <c r="G173" i="1" s="1"/>
  <c r="B96" i="1"/>
  <c r="C67" i="1"/>
  <c r="B68" i="1" s="1"/>
  <c r="D55" i="1"/>
  <c r="G50" i="1"/>
  <c r="C50" i="1"/>
  <c r="E27" i="1"/>
  <c r="E25" i="1"/>
  <c r="E7" i="1"/>
  <c r="E3" i="1"/>
  <c r="A250" i="1"/>
  <c r="A256" i="1"/>
  <c r="A262" i="1"/>
  <c r="D61" i="1" l="1"/>
  <c r="A257" i="1"/>
  <c r="H96" i="1"/>
  <c r="A263" i="1"/>
  <c r="H68" i="1"/>
  <c r="A251" i="1"/>
  <c r="J100" i="1" l="1"/>
  <c r="J98" i="1"/>
  <c r="J101" i="1"/>
  <c r="J102" i="1" s="1"/>
  <c r="J107" i="1" s="1"/>
  <c r="J95" i="1"/>
  <c r="J97" i="1" s="1"/>
  <c r="D103" i="1"/>
  <c r="D105" i="1"/>
  <c r="D108" i="1"/>
  <c r="D102" i="1"/>
  <c r="D106" i="1"/>
  <c r="D107" i="1"/>
  <c r="D104" i="1"/>
  <c r="J99" i="1"/>
  <c r="D80" i="1"/>
  <c r="D78" i="1"/>
  <c r="D77" i="1"/>
  <c r="D74" i="1"/>
  <c r="D76" i="1"/>
  <c r="J73" i="1"/>
  <c r="J74" i="1" s="1"/>
  <c r="J79" i="1" s="1"/>
  <c r="D79" i="1"/>
  <c r="J67" i="1"/>
  <c r="J69" i="1" s="1"/>
  <c r="D75" i="1"/>
  <c r="J71" i="1"/>
  <c r="J72" i="1"/>
  <c r="C71" i="1" s="1"/>
  <c r="D71" i="1" s="1"/>
  <c r="J70" i="1"/>
  <c r="J103" i="1"/>
  <c r="J104" i="1" s="1"/>
  <c r="J105" i="1" s="1"/>
  <c r="J106" i="1" s="1"/>
  <c r="J75" i="1"/>
  <c r="J76" i="1" s="1"/>
  <c r="J77" i="1" s="1"/>
  <c r="J78" i="1" s="1"/>
  <c r="D101" i="1"/>
  <c r="D73" i="1"/>
  <c r="C99" i="1" l="1"/>
  <c r="D99" i="1" s="1"/>
  <c r="J80" i="1"/>
  <c r="C72" i="1" s="1"/>
  <c r="G71" i="1" s="1"/>
  <c r="D65" i="1" s="1"/>
  <c r="D66" i="1" s="1"/>
  <c r="J108" i="1"/>
  <c r="C100" i="1" s="1"/>
  <c r="J96" i="1" l="1"/>
  <c r="J68" i="1"/>
  <c r="D72" i="1"/>
  <c r="I68" i="1" s="1"/>
  <c r="I69" i="1" s="1"/>
  <c r="E71" i="1"/>
  <c r="F66" i="1"/>
  <c r="E99" i="1"/>
  <c r="G99" i="1"/>
  <c r="D100" i="1"/>
  <c r="I96" i="1" s="1"/>
  <c r="I97" i="1" s="1"/>
  <c r="I67" i="1" l="1"/>
  <c r="C69" i="1" s="1"/>
  <c r="I95" i="1"/>
  <c r="C9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<sst xmlns="http://schemas.openxmlformats.org/spreadsheetml/2006/main" count="596" uniqueCount="293">
  <si>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</si>
  <si>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</si>
  <si>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</si>
  <si>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</si>
  <si>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</si>
  <si>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</si>
  <si>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</si>
  <si>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</si>
  <si>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</si>
  <si>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</si>
  <si>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</si>
  <si>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</si>
  <si>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</si>
  <si>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</si>
  <si>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</si>
  <si>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</si>
  <si>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</si>
  <si>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</si>
  <si>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</si>
  <si>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</si>
  <si>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</si>
  <si>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</si>
  <si>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</si>
  <si>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</si>
  <si>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</si>
  <si>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</si>
  <si>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</si>
  <si>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</si>
  <si>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</si>
  <si>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</si>
  <si>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</si>
  <si>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</si>
  <si>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</si>
  <si>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</si>
  <si>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</si>
  <si>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</si>
  <si>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</si>
  <si>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</si>
  <si>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</si>
  <si>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</si>
  <si>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</si>
  <si>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</si>
  <si>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</si>
  <si>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</si>
  <si>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</si>
  <si>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</si>
  <si>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</si>
  <si>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</si>
  <si>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</si>
  <si>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</si>
  <si>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</si>
  <si>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</si>
  <si>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</si>
  <si>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</si>
  <si>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</si>
  <si>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</si>
  <si>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</si>
  <si>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</si>
  <si>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</si>
  <si>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</si>
  <si>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</si>
  <si>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</si>
  <si>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</si>
  <si>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</si>
  <si>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</si>
  <si>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</si>
  <si>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</si>
  <si>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</si>
  <si>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</si>
  <si>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</si>
  <si>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</si>
  <si>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</si>
  <si>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</si>
  <si>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</si>
  <si>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</si>
  <si>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</si>
  <si>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</si>
  <si>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</si>
  <si>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</si>
  <si>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</si>
  <si>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</si>
  <si>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</si>
  <si>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</si>
  <si>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</si>
  <si>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</si>
  <si>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</si>
  <si>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</si>
  <si>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</si>
  <si>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</si>
  <si>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</si>
  <si>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</si>
  <si>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</si>
  <si>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</si>
  <si>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</si>
  <si>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</si>
  <si>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</si>
  <si>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</si>
  <si>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</si>
  <si>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</si>
  <si>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</si>
  <si>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</si>
  <si>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</si>
  <si>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</si>
  <si>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</si>
  <si>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</si>
  <si>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</si>
  <si>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</si>
  <si>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</si>
  <si>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</si>
  <si>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</si>
  <si>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</si>
  <si>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</si>
  <si>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</si>
  <si>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</si>
  <si>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</si>
  <si>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</si>
  <si>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</si>
  <si>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</si>
  <si>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</si>
  <si>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</si>
  <si>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</si>
  <si>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</si>
  <si>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</si>
  <si>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</si>
  <si>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</si>
  <si>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</si>
  <si>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</si>
  <si>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</si>
  <si>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</si>
  <si>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</si>
  <si>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</si>
  <si>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</si>
  <si>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</si>
  <si>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</si>
  <si>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</si>
  <si>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</si>
  <si>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</si>
  <si>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</si>
  <si>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</si>
  <si>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</si>
  <si>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</si>
  <si>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</si>
  <si>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</si>
  <si>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</si>
  <si>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</si>
  <si>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</si>
  <si>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</si>
  <si>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</si>
  <si>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</si>
  <si>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</si>
  <si>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</si>
  <si>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</si>
  <si>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</si>
  <si>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</si>
  <si>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</si>
  <si>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</si>
  <si>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</si>
  <si>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</si>
  <si>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</si>
  <si>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</si>
  <si>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</si>
  <si>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</si>
  <si>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</si>
  <si>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</si>
  <si>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</si>
  <si>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</si>
  <si>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</si>
  <si>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</si>
  <si>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</si>
  <si>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</si>
  <si>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</si>
  <si>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</si>
  <si>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</si>
  <si>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</si>
  <si>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</si>
  <si>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</si>
  <si>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</si>
  <si>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</si>
  <si>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</si>
  <si>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</si>
  <si>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</si>
  <si>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</si>
  <si>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</si>
  <si>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</si>
  <si>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</si>
  <si>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</si>
  <si>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</si>
  <si>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</si>
  <si>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</si>
  <si>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</si>
  <si>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</si>
  <si>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</si>
  <si>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</si>
  <si>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</si>
  <si>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</si>
  <si>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</si>
  <si>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</si>
  <si>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</si>
  <si>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</si>
  <si>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</si>
  <si>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</si>
  <si>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</si>
  <si>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</si>
  <si>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</si>
  <si>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</si>
  <si>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</si>
  <si>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</si>
  <si>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</si>
  <si>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</si>
  <si>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</si>
  <si>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</si>
  <si>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</si>
  <si>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</si>
  <si>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</si>
  <si>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</si>
  <si>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</si>
  <si>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</si>
  <si>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</si>
  <si>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</si>
  <si>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</si>
  <si>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</si>
  <si>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</si>
  <si>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</si>
  <si>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</si>
  <si>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</si>
  <si>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</si>
  <si>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</si>
  <si>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</si>
  <si>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</si>
  <si>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</si>
  <si>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</si>
  <si>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</si>
  <si>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</si>
  <si>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</si>
  <si>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</si>
  <si>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Axis Badlapur</t>
  </si>
  <si>
    <t>Tulsi Builders and Developers</t>
  </si>
  <si>
    <t>Tulsi Vrundavan</t>
  </si>
  <si>
    <t>Mr. Mrugesh Makwana 9172222750</t>
  </si>
  <si>
    <t>P51700051177</t>
  </si>
  <si>
    <t>Gut No</t>
  </si>
  <si>
    <t>13, 14</t>
  </si>
  <si>
    <t>Mohachi Wadi</t>
  </si>
  <si>
    <t>Neral - Badlapur Road</t>
  </si>
  <si>
    <t>Vangani</t>
  </si>
  <si>
    <t>0.550KM from Vangani Railway Station</t>
  </si>
  <si>
    <t>Vangani West</t>
  </si>
  <si>
    <t>Ekveera Gaurav Apartment</t>
  </si>
  <si>
    <t>Town Planning Thane</t>
  </si>
  <si>
    <t>Mahasul/K-1/T-14/B.P/SR-28/2022</t>
  </si>
  <si>
    <t>Building No. 1 (Wing A, B &amp; C) = Gr + 1st to 7th Floor
Building No. 2 (Wing D &amp; E) = Gr + 1st to 7th Floor</t>
  </si>
  <si>
    <t>Building No.1 Wing A to C
Building No.2 Wing D &amp; E</t>
  </si>
  <si>
    <t>5 Wings</t>
  </si>
  <si>
    <t>As per RERA - 30/09/2026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</si>
  <si>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</si>
  <si>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Vitrified Tiles, Kitchen Platform, Entrance Lobby</t>
  </si>
  <si>
    <t>Wing A =  Gr + 1st to 7th Floor</t>
  </si>
  <si>
    <t>Wing B to E =  Gr + 1st to 7th Floor</t>
  </si>
  <si>
    <t xml:space="preserve">Details of Residential in Building   </t>
  </si>
  <si>
    <t>Building No. 1</t>
  </si>
  <si>
    <t>Wing A</t>
  </si>
  <si>
    <t>Ground Floor For Entrance Lobby &amp; Parking</t>
  </si>
  <si>
    <t>1st to 7th Floor For Residential</t>
  </si>
  <si>
    <t>1BHK</t>
  </si>
  <si>
    <t>2BHK</t>
  </si>
  <si>
    <t>1RK</t>
  </si>
  <si>
    <t>Wing B</t>
  </si>
  <si>
    <t>Ground Floor For Entrance Lobby, Society Office, Drivers Room &amp; Parking</t>
  </si>
  <si>
    <t>Wing C</t>
  </si>
  <si>
    <t>Building No. 2</t>
  </si>
  <si>
    <t>Wing D</t>
  </si>
  <si>
    <t>Wing E</t>
  </si>
  <si>
    <t>We considered Gross carpet area = Net carpet + E.P Area.</t>
  </si>
  <si>
    <t>Flats - 287</t>
  </si>
  <si>
    <t>19.093261,73.295706</t>
  </si>
  <si>
    <t>https://goo.gl/maps/Te8SJZPv49XrA1hKA</t>
  </si>
  <si>
    <t>VS.Rekhankan/BP/Mauje.Vangani/
Taluka Ambernath/SSThane/2846</t>
  </si>
  <si>
    <t>Internal Road</t>
  </si>
  <si>
    <t>Other Plot</t>
  </si>
  <si>
    <t>Nalla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</si>
  <si>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</si>
  <si>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We have Referred revised approved CC from RERA site (on 26/09/2023).</t>
  </si>
  <si>
    <t>project copied from Yes bank apf 14352</t>
  </si>
  <si>
    <t>Nalla is adjacent to the project on east side.</t>
  </si>
  <si>
    <t>Wing C =  Gr + 1st to 7th Floor</t>
  </si>
  <si>
    <t>Wing D =  Gr + 1st to 7th Floor</t>
  </si>
  <si>
    <t>Wing E =  Gr + 1st to 7th Floor</t>
  </si>
  <si>
    <t>Since Wing D have received CC on 02/01/2023, but as of construction work is not
started.</t>
  </si>
  <si>
    <t>Nainesh Lovanshi</t>
  </si>
  <si>
    <t>Wing A = All work Completed. Please provide OC.
Wing B to E = Construction work is in process at the time of Visit.</t>
  </si>
  <si>
    <t>Mrs. Dipa Gawali (Sales) 8208724119</t>
  </si>
  <si>
    <t>Wing B =  Gr + 1st to 7th Floor
Wing C =  Gr + 1st to 7th Floor</t>
  </si>
  <si>
    <t>Gaurav Panchal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</si>
</sst>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24" fillId="2" borderId="15" xfId="0" applyFont="1" applyFill="1" applyBorder="1"/>
    <xf numFmtId="0" fontId="25" fillId="0" borderId="9" xfId="0" applyFont="1" applyBorder="1"/>
    <xf numFmtId="0" fontId="8" fillId="0" borderId="3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39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/>
      <protection locked="0"/>
    </xf>
    <xf numFmtId="0" fontId="6" fillId="0" borderId="9" xfId="1" applyFont="1" applyBorder="1" applyAlignment="1" applyProtection="1">
      <alignment horizontal="left" vertical="top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36" xfId="0" applyNumberFormat="1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8" fillId="0" borderId="35" xfId="0" applyNumberFormat="1" applyFont="1" applyBorder="1" applyAlignment="1" applyProtection="1">
      <alignment horizontal="center" vertical="center" wrapText="1"/>
      <protection locked="0"/>
    </xf>
    <xf numFmtId="1" fontId="8" fillId="0" borderId="36" xfId="0" applyNumberFormat="1" applyFont="1" applyBorder="1" applyAlignment="1" applyProtection="1">
      <alignment horizontal="center" vertical="center" wrapText="1"/>
      <protection locked="0"/>
    </xf>
    <xf numFmtId="1" fontId="10" fillId="0" borderId="36" xfId="0" applyNumberFormat="1" applyFont="1" applyBorder="1" applyAlignment="1" applyProtection="1">
      <alignment horizontal="center" vertical="top" wrapText="1"/>
      <protection locked="0"/>
    </xf>
    <xf numFmtId="0" fontId="10" fillId="0" borderId="36" xfId="0" applyFont="1" applyBorder="1" applyAlignment="1" applyProtection="1">
      <alignment horizontal="center" vertical="top" wrapText="1"/>
      <protection locked="0"/>
    </xf>
    <xf numFmtId="1" fontId="8" fillId="0" borderId="36" xfId="0" applyNumberFormat="1" applyFont="1" applyBorder="1" applyAlignment="1" applyProtection="1">
      <alignment horizontal="center" vertical="top" wrapText="1"/>
      <protection locked="0"/>
    </xf>
    <xf numFmtId="1" fontId="8" fillId="0" borderId="37" xfId="0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7.png"/><Relationship Id="rId1" Type="http://schemas.openxmlformats.org/officeDocument/2006/relationships/image" Target="../media/image3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233796</xdr:colOff>
      <xdr:row>333</xdr:row>
      <xdr:rowOff>43297</xdr:rowOff>
    </xdr:from>
    <xdr:to>
      <xdr:col>7</xdr:col>
      <xdr:colOff>502091</xdr:colOff>
      <xdr:row>350</xdr:row>
      <xdr:rowOff>100991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796" y="52794479"/>
          <a:ext cx="5940000" cy="344339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0</xdr:col>
      <xdr:colOff>355023</xdr:colOff>
      <xdr:row>358</xdr:row>
      <xdr:rowOff>86591</xdr:rowOff>
    </xdr:from>
    <xdr:to>
      <xdr:col>7</xdr:col>
      <xdr:colOff>443318</xdr:colOff>
      <xdr:row>375</xdr:row>
      <xdr:rowOff>1746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5023" y="61600773"/>
          <a:ext cx="5760000" cy="330086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369795</xdr:colOff>
      <xdr:row>375</xdr:row>
      <xdr:rowOff>145677</xdr:rowOff>
    </xdr:from>
    <xdr:to>
      <xdr:col>7</xdr:col>
      <xdr:colOff>448413</xdr:colOff>
      <xdr:row>395</xdr:row>
      <xdr:rowOff>100261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9795" y="63761471"/>
          <a:ext cx="5760000" cy="398870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672353</xdr:colOff>
      <xdr:row>380</xdr:row>
      <xdr:rowOff>56029</xdr:rowOff>
    </xdr:from>
    <xdr:to>
      <xdr:col>4</xdr:col>
      <xdr:colOff>212912</xdr:colOff>
      <xdr:row>382</xdr:row>
      <xdr:rowOff>44824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3081618" y="64680353"/>
          <a:ext cx="481853" cy="392206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123266</xdr:colOff>
      <xdr:row>382</xdr:row>
      <xdr:rowOff>22412</xdr:rowOff>
    </xdr:from>
    <xdr:to>
      <xdr:col>4</xdr:col>
      <xdr:colOff>201706</xdr:colOff>
      <xdr:row>389</xdr:row>
      <xdr:rowOff>156883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H="1">
          <a:off x="3473825" y="65251853"/>
          <a:ext cx="78440" cy="1546412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896470</xdr:colOff>
      <xdr:row>389</xdr:row>
      <xdr:rowOff>145677</xdr:rowOff>
    </xdr:from>
    <xdr:to>
      <xdr:col>4</xdr:col>
      <xdr:colOff>123265</xdr:colOff>
      <xdr:row>391</xdr:row>
      <xdr:rowOff>33618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H="1">
          <a:off x="3305735" y="66585353"/>
          <a:ext cx="168089" cy="291353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560294</xdr:colOff>
      <xdr:row>389</xdr:row>
      <xdr:rowOff>56030</xdr:rowOff>
    </xdr:from>
    <xdr:to>
      <xdr:col>3</xdr:col>
      <xdr:colOff>907676</xdr:colOff>
      <xdr:row>391</xdr:row>
      <xdr:rowOff>33618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flipH="1" flipV="1">
          <a:off x="2969559" y="66495706"/>
          <a:ext cx="347382" cy="381000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571500</xdr:colOff>
      <xdr:row>380</xdr:row>
      <xdr:rowOff>78441</xdr:rowOff>
    </xdr:from>
    <xdr:to>
      <xdr:col>3</xdr:col>
      <xdr:colOff>672353</xdr:colOff>
      <xdr:row>389</xdr:row>
      <xdr:rowOff>67236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 flipH="1">
          <a:off x="2980765" y="64702765"/>
          <a:ext cx="100853" cy="1804147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235323</xdr:colOff>
      <xdr:row>382</xdr:row>
      <xdr:rowOff>33618</xdr:rowOff>
    </xdr:from>
    <xdr:to>
      <xdr:col>4</xdr:col>
      <xdr:colOff>347383</xdr:colOff>
      <xdr:row>392</xdr:row>
      <xdr:rowOff>156882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3585882" y="65263059"/>
          <a:ext cx="112060" cy="2140323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134470</xdr:colOff>
      <xdr:row>381</xdr:row>
      <xdr:rowOff>197224</xdr:rowOff>
    </xdr:from>
    <xdr:to>
      <xdr:col>4</xdr:col>
      <xdr:colOff>253254</xdr:colOff>
      <xdr:row>393</xdr:row>
      <xdr:rowOff>44823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H="1">
          <a:off x="3485029" y="65224959"/>
          <a:ext cx="118784" cy="226807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5980</xdr:colOff>
      <xdr:row>387</xdr:row>
      <xdr:rowOff>168087</xdr:rowOff>
    </xdr:from>
    <xdr:ext cx="486095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140951" y="66406058"/>
          <a:ext cx="486095" cy="26456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Nalla</a:t>
          </a:r>
        </a:p>
      </xdr:txBody>
    </xdr:sp>
    <xdr:clientData/>
  </xdr:oneCellAnchor>
  <xdr:twoCellAnchor>
    <xdr:from>
      <xdr:col>4</xdr:col>
      <xdr:colOff>324972</xdr:colOff>
      <xdr:row>388</xdr:row>
      <xdr:rowOff>11206</xdr:rowOff>
    </xdr:from>
    <xdr:to>
      <xdr:col>4</xdr:col>
      <xdr:colOff>762000</xdr:colOff>
      <xdr:row>388</xdr:row>
      <xdr:rowOff>78442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H="1" flipV="1">
          <a:off x="3675531" y="66450882"/>
          <a:ext cx="437028" cy="67236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762000</xdr:colOff>
      <xdr:row>285</xdr:row>
      <xdr:rowOff>106680</xdr:rowOff>
    </xdr:from>
    <xdr:to>
      <xdr:col>17</xdr:col>
      <xdr:colOff>22860</xdr:colOff>
      <xdr:row>324</xdr:row>
      <xdr:rowOff>72484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172325" y="47464980"/>
          <a:ext cx="6280785" cy="7757254"/>
          <a:chOff x="57011" y="326569"/>
          <a:chExt cx="6743976" cy="7875364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8993" y="6041933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02668" y="6028869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90694" y="6028869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31308" y="3364251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69801" y="3364251"/>
            <a:ext cx="3356889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011" y="339633"/>
            <a:ext cx="215775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50124" y="339633"/>
            <a:ext cx="215775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43237" y="326569"/>
            <a:ext cx="215775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6" name="TextBox 21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4643237" y="3372793"/>
            <a:ext cx="929733" cy="3834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E</a:t>
            </a:r>
          </a:p>
        </xdr:txBody>
      </xdr:sp>
      <xdr:sp macro="" textlink="">
        <xdr:nvSpPr>
          <xdr:cNvPr id="20" name="TextBox 22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1591744" y="3505200"/>
            <a:ext cx="929733" cy="3834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D</a:t>
            </a:r>
          </a:p>
        </xdr:txBody>
      </xdr:sp>
      <xdr:sp macro="" textlink="">
        <xdr:nvSpPr>
          <xdr:cNvPr id="22" name="TextBox 23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>
            <a:off x="4846551" y="677459"/>
            <a:ext cx="929733" cy="3834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C</a:t>
            </a:r>
          </a:p>
        </xdr:txBody>
      </xdr:sp>
      <xdr:sp macro="" textlink="">
        <xdr:nvSpPr>
          <xdr:cNvPr id="24" name="TextBox 2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3043009" y="528410"/>
            <a:ext cx="919519" cy="3834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B</a:t>
            </a:r>
          </a:p>
        </xdr:txBody>
      </xdr:sp>
      <xdr:sp macro="" textlink="">
        <xdr:nvSpPr>
          <xdr:cNvPr id="30" name="TextBox 25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/>
        </xdr:nvSpPr>
        <xdr:spPr>
          <a:xfrm>
            <a:off x="579524" y="528410"/>
            <a:ext cx="929733" cy="3834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A</a:t>
            </a:r>
          </a:p>
        </xdr:txBody>
      </xdr:sp>
    </xdr:grpSp>
    <xdr:clientData/>
  </xdr:twoCellAnchor>
  <xdr:twoCellAnchor>
    <xdr:from>
      <xdr:col>8</xdr:col>
      <xdr:colOff>939800</xdr:colOff>
      <xdr:row>289</xdr:row>
      <xdr:rowOff>120650</xdr:rowOff>
    </xdr:from>
    <xdr:to>
      <xdr:col>17</xdr:col>
      <xdr:colOff>289929</xdr:colOff>
      <xdr:row>330</xdr:row>
      <xdr:rowOff>82550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3FFE432B-CFA3-439F-A060-051185690C99}"/>
            </a:ext>
          </a:extLst>
        </xdr:cNvPr>
        <xdr:cNvGrpSpPr/>
      </xdr:nvGrpSpPr>
      <xdr:grpSpPr>
        <a:xfrm>
          <a:off x="7350125" y="48279050"/>
          <a:ext cx="6370054" cy="8153400"/>
          <a:chOff x="44450" y="48221900"/>
          <a:chExt cx="6370054" cy="8153400"/>
        </a:xfrm>
      </xdr:grpSpPr>
      <xdr:pic>
        <xdr:nvPicPr>
          <xdr:cNvPr id="64" name="Picture 63" descr="https://vsjcllp.vsjadon.com/upload/insp-237700-1525.jpg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67084" y="55290474"/>
            <a:ext cx="1140710" cy="108482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5" name="Picture 64" descr="https://vsjcllp.vsjadon.com/upload/insp-237700-843.jpg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3940" y="51063383"/>
            <a:ext cx="1542113" cy="21949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6" name="Picture 65" descr="https://vsjcllp.vsjadon.com/upload/insp-237700-861.jpg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4658" y="48221900"/>
            <a:ext cx="1946691" cy="27412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7" name="Picture 66" descr="https://vsjcllp.vsjadon.com/upload/insp-237700-862.jpg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52427" y="48221900"/>
            <a:ext cx="1902241" cy="27412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8" name="Picture 67" descr="https://vsjcllp.vsjadon.com/upload/insp-237700-860.jpg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51110" y="51063383"/>
            <a:ext cx="1532588" cy="21949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9" name="Picture 68" descr="https://vsjcllp.vsjadon.com/upload/insp-237700-871.jpg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08755" y="51063383"/>
            <a:ext cx="2769383" cy="21949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0" name="Picture 69" descr="https://vsjcllp.vsjadon.com/upload/insp-237700-874.jpg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4450" y="53361691"/>
            <a:ext cx="2321578" cy="18285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1" name="Picture 70" descr="https://vsjcllp.vsjadon.com/upload/insp-237700-877.jpg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848147" y="53361691"/>
            <a:ext cx="1278744" cy="18285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2" name="Picture 71" descr="https://vsjcllp.vsjadon.com/upload/insp-237700-1022.jpg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15746" y="48221900"/>
            <a:ext cx="1949866" cy="27412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3" name="Picture 72" descr="https://vsjcllp.vsjadon.com/upload/insp-237700-925.jpg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37553" y="53361691"/>
            <a:ext cx="1300969" cy="18285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4" name="Picture 73" descr="https://vsjcllp.vsjadon.com/upload/insp-237700-928.jpg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236516" y="53362783"/>
            <a:ext cx="1177988" cy="18285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5" name="Picture 74" descr="https://vsjcllp.vsjadon.com/upload/insp-237700-1512.jpg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91349" y="55290474"/>
            <a:ext cx="1175635" cy="108482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6" name="TextBox 23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 txBox="1"/>
        </xdr:nvSpPr>
        <xdr:spPr>
          <a:xfrm>
            <a:off x="1993900" y="51082575"/>
            <a:ext cx="872861" cy="37814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C</a:t>
            </a:r>
          </a:p>
        </xdr:txBody>
      </xdr:sp>
      <xdr:sp macro="" textlink="">
        <xdr:nvSpPr>
          <xdr:cNvPr id="77" name="TextBox 23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 txBox="1"/>
        </xdr:nvSpPr>
        <xdr:spPr>
          <a:xfrm>
            <a:off x="762000" y="53527325"/>
            <a:ext cx="872861" cy="37814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E</a:t>
            </a:r>
          </a:p>
        </xdr:txBody>
      </xdr:sp>
      <xdr:sp macro="" textlink="">
        <xdr:nvSpPr>
          <xdr:cNvPr id="78" name="TextBox 23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 txBox="1"/>
        </xdr:nvSpPr>
        <xdr:spPr>
          <a:xfrm>
            <a:off x="4311650" y="48304450"/>
            <a:ext cx="876036" cy="37814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B</a:t>
            </a:r>
          </a:p>
        </xdr:txBody>
      </xdr:sp>
      <xdr:sp macro="" textlink="">
        <xdr:nvSpPr>
          <xdr:cNvPr id="80" name="TextBox 23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 txBox="1"/>
        </xdr:nvSpPr>
        <xdr:spPr>
          <a:xfrm>
            <a:off x="2736850" y="48383825"/>
            <a:ext cx="863336" cy="374967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B</a:t>
            </a:r>
          </a:p>
        </xdr:txBody>
      </xdr:sp>
    </xdr:grpSp>
    <xdr:clientData/>
  </xdr:twoCellAnchor>
  <xdr:twoCellAnchor>
    <xdr:from>
      <xdr:col>0</xdr:col>
      <xdr:colOff>114301</xdr:colOff>
      <xdr:row>289</xdr:row>
      <xdr:rowOff>76200</xdr:rowOff>
    </xdr:from>
    <xdr:to>
      <xdr:col>7</xdr:col>
      <xdr:colOff>619126</xdr:colOff>
      <xdr:row>330</xdr:row>
      <xdr:rowOff>135150</xdr:rowOff>
    </xdr:to>
    <xdr:grpSp>
      <xdr:nvGrpSpPr>
        <xdr:cNvPr id="45" name="Group 44">
          <a:extLst>
            <a:ext uri="{FF2B5EF4-FFF2-40B4-BE49-F238E27FC236}">
              <a16:creationId xmlns:a16="http://schemas.microsoft.com/office/drawing/2014/main" id="{3AF4FF73-2766-4217-8345-33124C5C25C6}"/>
            </a:ext>
          </a:extLst>
        </xdr:cNvPr>
        <xdr:cNvGrpSpPr/>
      </xdr:nvGrpSpPr>
      <xdr:grpSpPr>
        <a:xfrm>
          <a:off x="114301" y="48234600"/>
          <a:ext cx="6210300" cy="8250450"/>
          <a:chOff x="182867" y="591671"/>
          <a:chExt cx="6505245" cy="8460000"/>
        </a:xfrm>
      </xdr:grpSpPr>
      <xdr:grpSp>
        <xdr:nvGrpSpPr>
          <xdr:cNvPr id="46" name="Group 45">
            <a:extLst>
              <a:ext uri="{FF2B5EF4-FFF2-40B4-BE49-F238E27FC236}">
                <a16:creationId xmlns:a16="http://schemas.microsoft.com/office/drawing/2014/main" id="{A5196CEC-DE76-43C2-AACF-EFF43AB4684D}"/>
              </a:ext>
            </a:extLst>
          </xdr:cNvPr>
          <xdr:cNvGrpSpPr/>
        </xdr:nvGrpSpPr>
        <xdr:grpSpPr>
          <a:xfrm>
            <a:off x="182867" y="591671"/>
            <a:ext cx="6505245" cy="8460000"/>
            <a:chOff x="182867" y="591671"/>
            <a:chExt cx="6505245" cy="8460000"/>
          </a:xfrm>
        </xdr:grpSpPr>
        <xdr:pic>
          <xdr:nvPicPr>
            <xdr:cNvPr id="54" name="Picture 53">
              <a:extLst>
                <a:ext uri="{FF2B5EF4-FFF2-40B4-BE49-F238E27FC236}">
                  <a16:creationId xmlns:a16="http://schemas.microsoft.com/office/drawing/2014/main" id="{50C15660-77CF-4894-918F-93402D302F3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82867" y="591671"/>
              <a:ext cx="2022891" cy="27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5" name="Picture 54">
              <a:extLst>
                <a:ext uri="{FF2B5EF4-FFF2-40B4-BE49-F238E27FC236}">
                  <a16:creationId xmlns:a16="http://schemas.microsoft.com/office/drawing/2014/main" id="{21D98B5C-CC9A-437E-A736-FAF043BF5A3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24044" y="591671"/>
              <a:ext cx="2022891" cy="27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6" name="Picture 55">
              <a:extLst>
                <a:ext uri="{FF2B5EF4-FFF2-40B4-BE49-F238E27FC236}">
                  <a16:creationId xmlns:a16="http://schemas.microsoft.com/office/drawing/2014/main" id="{A5F3FE4D-FCB5-4CCB-BDD0-AC9937FE90A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665221" y="591671"/>
              <a:ext cx="2022891" cy="27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7" name="Picture 56">
              <a:extLst>
                <a:ext uri="{FF2B5EF4-FFF2-40B4-BE49-F238E27FC236}">
                  <a16:creationId xmlns:a16="http://schemas.microsoft.com/office/drawing/2014/main" id="{C6685382-51B7-4904-AF34-BA83A9ADE72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32056" y="3471671"/>
              <a:ext cx="2637555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8" name="Picture 57">
              <a:extLst>
                <a:ext uri="{FF2B5EF4-FFF2-40B4-BE49-F238E27FC236}">
                  <a16:creationId xmlns:a16="http://schemas.microsoft.com/office/drawing/2014/main" id="{292BA3E2-F5BF-4D13-92AE-21040729092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32760" y="5631671"/>
              <a:ext cx="1213734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9" name="Picture 58">
              <a:extLst>
                <a:ext uri="{FF2B5EF4-FFF2-40B4-BE49-F238E27FC236}">
                  <a16:creationId xmlns:a16="http://schemas.microsoft.com/office/drawing/2014/main" id="{ED346047-4492-4794-8A76-84561B6ACF5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04862" y="5631671"/>
              <a:ext cx="1213734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0" name="Picture 59">
              <a:extLst>
                <a:ext uri="{FF2B5EF4-FFF2-40B4-BE49-F238E27FC236}">
                  <a16:creationId xmlns:a16="http://schemas.microsoft.com/office/drawing/2014/main" id="{B377D021-8733-41D2-9693-D1E6B1CB438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25244" y="3471671"/>
              <a:ext cx="2637556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1" name="Picture 60">
              <a:extLst>
                <a:ext uri="{FF2B5EF4-FFF2-40B4-BE49-F238E27FC236}">
                  <a16:creationId xmlns:a16="http://schemas.microsoft.com/office/drawing/2014/main" id="{199F4483-0741-4690-8646-2AA3AD03837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76964" y="5631671"/>
              <a:ext cx="1213734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2" name="Picture 61">
              <a:extLst>
                <a:ext uri="{FF2B5EF4-FFF2-40B4-BE49-F238E27FC236}">
                  <a16:creationId xmlns:a16="http://schemas.microsoft.com/office/drawing/2014/main" id="{FD2E0441-5A27-4837-B827-0A626E92F3F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949066" y="5631671"/>
              <a:ext cx="1213734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3" name="Picture 62">
              <a:extLst>
                <a:ext uri="{FF2B5EF4-FFF2-40B4-BE49-F238E27FC236}">
                  <a16:creationId xmlns:a16="http://schemas.microsoft.com/office/drawing/2014/main" id="{3D73ABC8-B91D-48A3-AB9D-F307AC958BA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919303" y="7431671"/>
              <a:ext cx="1213735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9" name="Picture 78">
              <a:extLst>
                <a:ext uri="{FF2B5EF4-FFF2-40B4-BE49-F238E27FC236}">
                  <a16:creationId xmlns:a16="http://schemas.microsoft.com/office/drawing/2014/main" id="{43F8AC24-0F08-4479-90FB-4052568B2F3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91405" y="7431671"/>
              <a:ext cx="1213734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1" name="Picture 80">
              <a:extLst>
                <a:ext uri="{FF2B5EF4-FFF2-40B4-BE49-F238E27FC236}">
                  <a16:creationId xmlns:a16="http://schemas.microsoft.com/office/drawing/2014/main" id="{2080DA88-A4C7-4993-9508-03F29075A54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547201" y="7431671"/>
              <a:ext cx="1213734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47" name="TextBox 27">
            <a:extLst>
              <a:ext uri="{FF2B5EF4-FFF2-40B4-BE49-F238E27FC236}">
                <a16:creationId xmlns:a16="http://schemas.microsoft.com/office/drawing/2014/main" id="{9880F81B-FA87-4CE6-ABD1-89CC22A2A4FD}"/>
              </a:ext>
            </a:extLst>
          </xdr:cNvPr>
          <xdr:cNvSpPr txBox="1"/>
        </xdr:nvSpPr>
        <xdr:spPr>
          <a:xfrm>
            <a:off x="1090807" y="665596"/>
            <a:ext cx="1028953" cy="3836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8" name="TextBox 28">
            <a:extLst>
              <a:ext uri="{FF2B5EF4-FFF2-40B4-BE49-F238E27FC236}">
                <a16:creationId xmlns:a16="http://schemas.microsoft.com/office/drawing/2014/main" id="{F44AC5D6-30D8-49AD-B321-748E8FD810EF}"/>
              </a:ext>
            </a:extLst>
          </xdr:cNvPr>
          <xdr:cNvSpPr txBox="1"/>
        </xdr:nvSpPr>
        <xdr:spPr>
          <a:xfrm>
            <a:off x="3006462" y="778867"/>
            <a:ext cx="950416" cy="3836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9" name="TextBox 29">
            <a:extLst>
              <a:ext uri="{FF2B5EF4-FFF2-40B4-BE49-F238E27FC236}">
                <a16:creationId xmlns:a16="http://schemas.microsoft.com/office/drawing/2014/main" id="{854C0CB9-1385-4F84-A6C2-CE3781A44F32}"/>
              </a:ext>
            </a:extLst>
          </xdr:cNvPr>
          <xdr:cNvSpPr txBox="1"/>
        </xdr:nvSpPr>
        <xdr:spPr>
          <a:xfrm>
            <a:off x="4872231" y="630059"/>
            <a:ext cx="934764" cy="3836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C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0" name="TextBox 30">
            <a:extLst>
              <a:ext uri="{FF2B5EF4-FFF2-40B4-BE49-F238E27FC236}">
                <a16:creationId xmlns:a16="http://schemas.microsoft.com/office/drawing/2014/main" id="{D5E53B9B-B7AA-4C01-AC57-09526B8AE4F2}"/>
              </a:ext>
            </a:extLst>
          </xdr:cNvPr>
          <xdr:cNvSpPr txBox="1"/>
        </xdr:nvSpPr>
        <xdr:spPr>
          <a:xfrm>
            <a:off x="1380150" y="3817210"/>
            <a:ext cx="941450" cy="3836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D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1" name="TextBox 31">
            <a:extLst>
              <a:ext uri="{FF2B5EF4-FFF2-40B4-BE49-F238E27FC236}">
                <a16:creationId xmlns:a16="http://schemas.microsoft.com/office/drawing/2014/main" id="{BCC99814-88B6-48BE-8468-075B121A9E67}"/>
              </a:ext>
            </a:extLst>
          </xdr:cNvPr>
          <xdr:cNvSpPr txBox="1"/>
        </xdr:nvSpPr>
        <xdr:spPr>
          <a:xfrm>
            <a:off x="4882208" y="3469425"/>
            <a:ext cx="923874" cy="3836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E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2" name="TextBox 32">
            <a:extLst>
              <a:ext uri="{FF2B5EF4-FFF2-40B4-BE49-F238E27FC236}">
                <a16:creationId xmlns:a16="http://schemas.microsoft.com/office/drawing/2014/main" id="{F05003FF-7ADB-41C1-AB1B-C843321DCF81}"/>
              </a:ext>
            </a:extLst>
          </xdr:cNvPr>
          <xdr:cNvSpPr txBox="1"/>
        </xdr:nvSpPr>
        <xdr:spPr>
          <a:xfrm>
            <a:off x="998640" y="5530237"/>
            <a:ext cx="970175" cy="3836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3" name="TextBox 33">
            <a:extLst>
              <a:ext uri="{FF2B5EF4-FFF2-40B4-BE49-F238E27FC236}">
                <a16:creationId xmlns:a16="http://schemas.microsoft.com/office/drawing/2014/main" id="{DAE04E5F-1840-4F01-8B97-BA278F81FC3C}"/>
              </a:ext>
            </a:extLst>
          </xdr:cNvPr>
          <xdr:cNvSpPr txBox="1"/>
        </xdr:nvSpPr>
        <xdr:spPr>
          <a:xfrm>
            <a:off x="2268136" y="5714903"/>
            <a:ext cx="963738" cy="3836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C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15</xdr:col>
      <xdr:colOff>100348</xdr:colOff>
      <xdr:row>53</xdr:row>
      <xdr:rowOff>75286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868706"/>
          <a:ext cx="13009524" cy="7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Te8SJZPv49XrA1hKA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357"/>
  <sheetViews>
    <sheetView tabSelected="1" showWhiteSpace="0" view="pageBreakPreview" topLeftCell="A285" zoomScaleNormal="100" zoomScaleSheetLayoutView="100" zoomScalePageLayoutView="85" workbookViewId="0">
      <selection activeCell="I297" sqref="I297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85546875" style="40" customWidth="1"/>
    <col min="4" max="4" width="14.140625" style="40" customWidth="1"/>
    <col min="5" max="6" width="11.85546875" style="40" customWidth="1"/>
    <col min="7" max="7" width="11.42578125" style="40" customWidth="1"/>
    <col min="8" max="8" width="10.570312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85546875" style="21" customWidth="1"/>
    <col min="17" max="247" width="9.140625" style="21"/>
    <col min="248" max="248" width="8.85546875" style="21" customWidth="1"/>
    <col min="249" max="249" width="9.85546875" style="21" customWidth="1"/>
    <col min="250" max="250" width="14.42578125" style="21" customWidth="1"/>
    <col min="251" max="251" width="7.140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85546875" style="21" customWidth="1"/>
    <col min="505" max="505" width="9.85546875" style="21" customWidth="1"/>
    <col min="506" max="506" width="14.42578125" style="21" customWidth="1"/>
    <col min="507" max="507" width="7.140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85546875" style="21" customWidth="1"/>
    <col min="761" max="761" width="9.85546875" style="21" customWidth="1"/>
    <col min="762" max="762" width="14.42578125" style="21" customWidth="1"/>
    <col min="763" max="763" width="7.140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85546875" style="21" customWidth="1"/>
    <col min="1017" max="1017" width="9.85546875" style="21" customWidth="1"/>
    <col min="1018" max="1018" width="14.42578125" style="21" customWidth="1"/>
    <col min="1019" max="1019" width="7.140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85546875" style="21" customWidth="1"/>
    <col min="1273" max="1273" width="9.85546875" style="21" customWidth="1"/>
    <col min="1274" max="1274" width="14.42578125" style="21" customWidth="1"/>
    <col min="1275" max="1275" width="7.140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85546875" style="21" customWidth="1"/>
    <col min="1529" max="1529" width="9.85546875" style="21" customWidth="1"/>
    <col min="1530" max="1530" width="14.42578125" style="21" customWidth="1"/>
    <col min="1531" max="1531" width="7.140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85546875" style="21" customWidth="1"/>
    <col min="1785" max="1785" width="9.85546875" style="21" customWidth="1"/>
    <col min="1786" max="1786" width="14.42578125" style="21" customWidth="1"/>
    <col min="1787" max="1787" width="7.140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85546875" style="21" customWidth="1"/>
    <col min="2041" max="2041" width="9.85546875" style="21" customWidth="1"/>
    <col min="2042" max="2042" width="14.42578125" style="21" customWidth="1"/>
    <col min="2043" max="2043" width="7.140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85546875" style="21" customWidth="1"/>
    <col min="2297" max="2297" width="9.85546875" style="21" customWidth="1"/>
    <col min="2298" max="2298" width="14.42578125" style="21" customWidth="1"/>
    <col min="2299" max="2299" width="7.140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85546875" style="21" customWidth="1"/>
    <col min="2553" max="2553" width="9.85546875" style="21" customWidth="1"/>
    <col min="2554" max="2554" width="14.42578125" style="21" customWidth="1"/>
    <col min="2555" max="2555" width="7.140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85546875" style="21" customWidth="1"/>
    <col min="2809" max="2809" width="9.85546875" style="21" customWidth="1"/>
    <col min="2810" max="2810" width="14.42578125" style="21" customWidth="1"/>
    <col min="2811" max="2811" width="7.140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85546875" style="21" customWidth="1"/>
    <col min="3065" max="3065" width="9.85546875" style="21" customWidth="1"/>
    <col min="3066" max="3066" width="14.42578125" style="21" customWidth="1"/>
    <col min="3067" max="3067" width="7.140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85546875" style="21" customWidth="1"/>
    <col min="3321" max="3321" width="9.85546875" style="21" customWidth="1"/>
    <col min="3322" max="3322" width="14.42578125" style="21" customWidth="1"/>
    <col min="3323" max="3323" width="7.140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85546875" style="21" customWidth="1"/>
    <col min="3577" max="3577" width="9.85546875" style="21" customWidth="1"/>
    <col min="3578" max="3578" width="14.42578125" style="21" customWidth="1"/>
    <col min="3579" max="3579" width="7.140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85546875" style="21" customWidth="1"/>
    <col min="3833" max="3833" width="9.85546875" style="21" customWidth="1"/>
    <col min="3834" max="3834" width="14.42578125" style="21" customWidth="1"/>
    <col min="3835" max="3835" width="7.140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85546875" style="21" customWidth="1"/>
    <col min="4089" max="4089" width="9.85546875" style="21" customWidth="1"/>
    <col min="4090" max="4090" width="14.42578125" style="21" customWidth="1"/>
    <col min="4091" max="4091" width="7.140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85546875" style="21" customWidth="1"/>
    <col min="4345" max="4345" width="9.85546875" style="21" customWidth="1"/>
    <col min="4346" max="4346" width="14.42578125" style="21" customWidth="1"/>
    <col min="4347" max="4347" width="7.140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85546875" style="21" customWidth="1"/>
    <col min="4601" max="4601" width="9.85546875" style="21" customWidth="1"/>
    <col min="4602" max="4602" width="14.42578125" style="21" customWidth="1"/>
    <col min="4603" max="4603" width="7.140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85546875" style="21" customWidth="1"/>
    <col min="4857" max="4857" width="9.85546875" style="21" customWidth="1"/>
    <col min="4858" max="4858" width="14.42578125" style="21" customWidth="1"/>
    <col min="4859" max="4859" width="7.140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85546875" style="21" customWidth="1"/>
    <col min="5113" max="5113" width="9.85546875" style="21" customWidth="1"/>
    <col min="5114" max="5114" width="14.42578125" style="21" customWidth="1"/>
    <col min="5115" max="5115" width="7.140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85546875" style="21" customWidth="1"/>
    <col min="5369" max="5369" width="9.85546875" style="21" customWidth="1"/>
    <col min="5370" max="5370" width="14.42578125" style="21" customWidth="1"/>
    <col min="5371" max="5371" width="7.140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85546875" style="21" customWidth="1"/>
    <col min="5625" max="5625" width="9.85546875" style="21" customWidth="1"/>
    <col min="5626" max="5626" width="14.42578125" style="21" customWidth="1"/>
    <col min="5627" max="5627" width="7.140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85546875" style="21" customWidth="1"/>
    <col min="5881" max="5881" width="9.85546875" style="21" customWidth="1"/>
    <col min="5882" max="5882" width="14.42578125" style="21" customWidth="1"/>
    <col min="5883" max="5883" width="7.140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85546875" style="21" customWidth="1"/>
    <col min="6137" max="6137" width="9.85546875" style="21" customWidth="1"/>
    <col min="6138" max="6138" width="14.42578125" style="21" customWidth="1"/>
    <col min="6139" max="6139" width="7.140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85546875" style="21" customWidth="1"/>
    <col min="6393" max="6393" width="9.85546875" style="21" customWidth="1"/>
    <col min="6394" max="6394" width="14.42578125" style="21" customWidth="1"/>
    <col min="6395" max="6395" width="7.140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85546875" style="21" customWidth="1"/>
    <col min="6649" max="6649" width="9.85546875" style="21" customWidth="1"/>
    <col min="6650" max="6650" width="14.42578125" style="21" customWidth="1"/>
    <col min="6651" max="6651" width="7.140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85546875" style="21" customWidth="1"/>
    <col min="6905" max="6905" width="9.85546875" style="21" customWidth="1"/>
    <col min="6906" max="6906" width="14.42578125" style="21" customWidth="1"/>
    <col min="6907" max="6907" width="7.140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85546875" style="21" customWidth="1"/>
    <col min="7161" max="7161" width="9.85546875" style="21" customWidth="1"/>
    <col min="7162" max="7162" width="14.42578125" style="21" customWidth="1"/>
    <col min="7163" max="7163" width="7.140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85546875" style="21" customWidth="1"/>
    <col min="7417" max="7417" width="9.85546875" style="21" customWidth="1"/>
    <col min="7418" max="7418" width="14.42578125" style="21" customWidth="1"/>
    <col min="7419" max="7419" width="7.140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85546875" style="21" customWidth="1"/>
    <col min="7673" max="7673" width="9.85546875" style="21" customWidth="1"/>
    <col min="7674" max="7674" width="14.42578125" style="21" customWidth="1"/>
    <col min="7675" max="7675" width="7.140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85546875" style="21" customWidth="1"/>
    <col min="7929" max="7929" width="9.85546875" style="21" customWidth="1"/>
    <col min="7930" max="7930" width="14.42578125" style="21" customWidth="1"/>
    <col min="7931" max="7931" width="7.140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85546875" style="21" customWidth="1"/>
    <col min="8185" max="8185" width="9.85546875" style="21" customWidth="1"/>
    <col min="8186" max="8186" width="14.42578125" style="21" customWidth="1"/>
    <col min="8187" max="8187" width="7.140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85546875" style="21" customWidth="1"/>
    <col min="8441" max="8441" width="9.85546875" style="21" customWidth="1"/>
    <col min="8442" max="8442" width="14.42578125" style="21" customWidth="1"/>
    <col min="8443" max="8443" width="7.140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85546875" style="21" customWidth="1"/>
    <col min="8697" max="8697" width="9.85546875" style="21" customWidth="1"/>
    <col min="8698" max="8698" width="14.42578125" style="21" customWidth="1"/>
    <col min="8699" max="8699" width="7.140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85546875" style="21" customWidth="1"/>
    <col min="8953" max="8953" width="9.85546875" style="21" customWidth="1"/>
    <col min="8954" max="8954" width="14.42578125" style="21" customWidth="1"/>
    <col min="8955" max="8955" width="7.140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85546875" style="21" customWidth="1"/>
    <col min="9209" max="9209" width="9.85546875" style="21" customWidth="1"/>
    <col min="9210" max="9210" width="14.42578125" style="21" customWidth="1"/>
    <col min="9211" max="9211" width="7.140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85546875" style="21" customWidth="1"/>
    <col min="9465" max="9465" width="9.85546875" style="21" customWidth="1"/>
    <col min="9466" max="9466" width="14.42578125" style="21" customWidth="1"/>
    <col min="9467" max="9467" width="7.140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85546875" style="21" customWidth="1"/>
    <col min="9721" max="9721" width="9.85546875" style="21" customWidth="1"/>
    <col min="9722" max="9722" width="14.42578125" style="21" customWidth="1"/>
    <col min="9723" max="9723" width="7.140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85546875" style="21" customWidth="1"/>
    <col min="9977" max="9977" width="9.85546875" style="21" customWidth="1"/>
    <col min="9978" max="9978" width="14.42578125" style="21" customWidth="1"/>
    <col min="9979" max="9979" width="7.140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85546875" style="21" customWidth="1"/>
    <col min="10233" max="10233" width="9.85546875" style="21" customWidth="1"/>
    <col min="10234" max="10234" width="14.42578125" style="21" customWidth="1"/>
    <col min="10235" max="10235" width="7.140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85546875" style="21" customWidth="1"/>
    <col min="10489" max="10489" width="9.85546875" style="21" customWidth="1"/>
    <col min="10490" max="10490" width="14.42578125" style="21" customWidth="1"/>
    <col min="10491" max="10491" width="7.140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85546875" style="21" customWidth="1"/>
    <col min="10745" max="10745" width="9.85546875" style="21" customWidth="1"/>
    <col min="10746" max="10746" width="14.42578125" style="21" customWidth="1"/>
    <col min="10747" max="10747" width="7.140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85546875" style="21" customWidth="1"/>
    <col min="11001" max="11001" width="9.85546875" style="21" customWidth="1"/>
    <col min="11002" max="11002" width="14.42578125" style="21" customWidth="1"/>
    <col min="11003" max="11003" width="7.140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85546875" style="21" customWidth="1"/>
    <col min="11257" max="11257" width="9.85546875" style="21" customWidth="1"/>
    <col min="11258" max="11258" width="14.42578125" style="21" customWidth="1"/>
    <col min="11259" max="11259" width="7.140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85546875" style="21" customWidth="1"/>
    <col min="11513" max="11513" width="9.85546875" style="21" customWidth="1"/>
    <col min="11514" max="11514" width="14.42578125" style="21" customWidth="1"/>
    <col min="11515" max="11515" width="7.140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85546875" style="21" customWidth="1"/>
    <col min="11769" max="11769" width="9.85546875" style="21" customWidth="1"/>
    <col min="11770" max="11770" width="14.42578125" style="21" customWidth="1"/>
    <col min="11771" max="11771" width="7.140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85546875" style="21" customWidth="1"/>
    <col min="12025" max="12025" width="9.85546875" style="21" customWidth="1"/>
    <col min="12026" max="12026" width="14.42578125" style="21" customWidth="1"/>
    <col min="12027" max="12027" width="7.140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85546875" style="21" customWidth="1"/>
    <col min="12281" max="12281" width="9.85546875" style="21" customWidth="1"/>
    <col min="12282" max="12282" width="14.42578125" style="21" customWidth="1"/>
    <col min="12283" max="12283" width="7.140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85546875" style="21" customWidth="1"/>
    <col min="12537" max="12537" width="9.85546875" style="21" customWidth="1"/>
    <col min="12538" max="12538" width="14.42578125" style="21" customWidth="1"/>
    <col min="12539" max="12539" width="7.140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85546875" style="21" customWidth="1"/>
    <col min="12793" max="12793" width="9.85546875" style="21" customWidth="1"/>
    <col min="12794" max="12794" width="14.42578125" style="21" customWidth="1"/>
    <col min="12795" max="12795" width="7.140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85546875" style="21" customWidth="1"/>
    <col min="13049" max="13049" width="9.85546875" style="21" customWidth="1"/>
    <col min="13050" max="13050" width="14.42578125" style="21" customWidth="1"/>
    <col min="13051" max="13051" width="7.140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85546875" style="21" customWidth="1"/>
    <col min="13305" max="13305" width="9.85546875" style="21" customWidth="1"/>
    <col min="13306" max="13306" width="14.42578125" style="21" customWidth="1"/>
    <col min="13307" max="13307" width="7.140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85546875" style="21" customWidth="1"/>
    <col min="13561" max="13561" width="9.85546875" style="21" customWidth="1"/>
    <col min="13562" max="13562" width="14.42578125" style="21" customWidth="1"/>
    <col min="13563" max="13563" width="7.140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85546875" style="21" customWidth="1"/>
    <col min="13817" max="13817" width="9.85546875" style="21" customWidth="1"/>
    <col min="13818" max="13818" width="14.42578125" style="21" customWidth="1"/>
    <col min="13819" max="13819" width="7.140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85546875" style="21" customWidth="1"/>
    <col min="14073" max="14073" width="9.85546875" style="21" customWidth="1"/>
    <col min="14074" max="14074" width="14.42578125" style="21" customWidth="1"/>
    <col min="14075" max="14075" width="7.140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85546875" style="21" customWidth="1"/>
    <col min="14329" max="14329" width="9.85546875" style="21" customWidth="1"/>
    <col min="14330" max="14330" width="14.42578125" style="21" customWidth="1"/>
    <col min="14331" max="14331" width="7.140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85546875" style="21" customWidth="1"/>
    <col min="14585" max="14585" width="9.85546875" style="21" customWidth="1"/>
    <col min="14586" max="14586" width="14.42578125" style="21" customWidth="1"/>
    <col min="14587" max="14587" width="7.140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85546875" style="21" customWidth="1"/>
    <col min="14841" max="14841" width="9.85546875" style="21" customWidth="1"/>
    <col min="14842" max="14842" width="14.42578125" style="21" customWidth="1"/>
    <col min="14843" max="14843" width="7.140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85546875" style="21" customWidth="1"/>
    <col min="15097" max="15097" width="9.85546875" style="21" customWidth="1"/>
    <col min="15098" max="15098" width="14.42578125" style="21" customWidth="1"/>
    <col min="15099" max="15099" width="7.140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85546875" style="21" customWidth="1"/>
    <col min="15353" max="15353" width="9.85546875" style="21" customWidth="1"/>
    <col min="15354" max="15354" width="14.42578125" style="21" customWidth="1"/>
    <col min="15355" max="15355" width="7.140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85546875" style="21" customWidth="1"/>
    <col min="15609" max="15609" width="9.85546875" style="21" customWidth="1"/>
    <col min="15610" max="15610" width="14.42578125" style="21" customWidth="1"/>
    <col min="15611" max="15611" width="7.140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85546875" style="21" customWidth="1"/>
    <col min="15865" max="15865" width="9.85546875" style="21" customWidth="1"/>
    <col min="15866" max="15866" width="14.42578125" style="21" customWidth="1"/>
    <col min="15867" max="15867" width="7.140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85546875" style="21" customWidth="1"/>
    <col min="16121" max="16121" width="9.85546875" style="21" customWidth="1"/>
    <col min="16122" max="16122" width="14.42578125" style="21" customWidth="1"/>
    <col min="16123" max="16123" width="7.140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26" ht="46.5" customHeight="1" x14ac:dyDescent="0.25">
      <c r="A1" s="179" t="s">
        <v>280</v>
      </c>
      <c r="B1" s="179"/>
      <c r="C1" s="179"/>
      <c r="D1" s="179"/>
      <c r="E1" s="179"/>
      <c r="F1" s="179"/>
      <c r="G1" s="179"/>
      <c r="H1" s="179"/>
    </row>
    <row r="2" spans="1:26" ht="16.5" customHeight="1" x14ac:dyDescent="0.25">
      <c r="A2" s="119" t="s">
        <v>0</v>
      </c>
      <c r="B2" s="119"/>
      <c r="C2" s="119"/>
      <c r="D2" s="119"/>
      <c r="E2" s="119"/>
      <c r="F2" s="119"/>
      <c r="G2" s="119"/>
      <c r="H2" s="119"/>
    </row>
    <row r="3" spans="1:26" x14ac:dyDescent="0.25">
      <c r="A3" s="153" t="s">
        <v>1</v>
      </c>
      <c r="B3" s="153"/>
      <c r="C3" s="153"/>
      <c r="D3" s="153"/>
      <c r="E3" s="153" t="str">
        <f ca="1">TEXT(TODAY(),"DD/MM/YYYY")</f>
        <v>13/09/2025</v>
      </c>
      <c r="F3" s="153"/>
      <c r="G3" s="153"/>
      <c r="H3" s="153"/>
    </row>
    <row r="4" spans="1:26" ht="15" customHeight="1" x14ac:dyDescent="0.25">
      <c r="A4" s="153" t="s">
        <v>2</v>
      </c>
      <c r="B4" s="153"/>
      <c r="C4" s="153"/>
      <c r="D4" s="153"/>
      <c r="E4" s="153" t="s">
        <v>235</v>
      </c>
      <c r="F4" s="153"/>
      <c r="G4" s="153"/>
      <c r="H4" s="153"/>
    </row>
    <row r="5" spans="1:26" x14ac:dyDescent="0.25">
      <c r="A5" s="153" t="s">
        <v>3</v>
      </c>
      <c r="B5" s="153"/>
      <c r="C5" s="153"/>
      <c r="D5" s="153"/>
      <c r="E5" s="180">
        <v>45908</v>
      </c>
      <c r="F5" s="153"/>
      <c r="G5" s="153"/>
      <c r="H5" s="153"/>
    </row>
    <row r="6" spans="1:26" ht="16.5" customHeight="1" x14ac:dyDescent="0.25">
      <c r="A6" s="153" t="s">
        <v>4</v>
      </c>
      <c r="B6" s="153"/>
      <c r="C6" s="153"/>
      <c r="D6" s="153"/>
      <c r="E6" s="153" t="s">
        <v>236</v>
      </c>
      <c r="F6" s="153"/>
      <c r="G6" s="153"/>
      <c r="H6" s="153"/>
    </row>
    <row r="7" spans="1:26" ht="15" customHeight="1" x14ac:dyDescent="0.25">
      <c r="A7" s="153" t="s">
        <v>5</v>
      </c>
      <c r="B7" s="153"/>
      <c r="C7" s="153"/>
      <c r="D7" s="153"/>
      <c r="E7" s="153" t="str">
        <f>E6</f>
        <v>Tulsi Builders and Developers</v>
      </c>
      <c r="F7" s="153"/>
      <c r="G7" s="153"/>
      <c r="H7" s="153"/>
    </row>
    <row r="8" spans="1:26" x14ac:dyDescent="0.25">
      <c r="A8" s="153" t="s">
        <v>6</v>
      </c>
      <c r="B8" s="153"/>
      <c r="C8" s="153"/>
      <c r="D8" s="153"/>
      <c r="E8" s="67" t="s">
        <v>237</v>
      </c>
      <c r="F8" s="67"/>
      <c r="G8" s="67"/>
      <c r="H8" s="67"/>
    </row>
    <row r="9" spans="1:26" x14ac:dyDescent="0.25">
      <c r="A9" s="153" t="s">
        <v>173</v>
      </c>
      <c r="B9" s="153"/>
      <c r="C9" s="153"/>
      <c r="D9" s="153"/>
      <c r="E9" s="153" t="s">
        <v>238</v>
      </c>
      <c r="F9" s="153"/>
      <c r="G9" s="153"/>
      <c r="H9" s="153"/>
    </row>
    <row r="10" spans="1:26" x14ac:dyDescent="0.25">
      <c r="A10" s="153" t="s">
        <v>174</v>
      </c>
      <c r="B10" s="153"/>
      <c r="C10" s="153"/>
      <c r="D10" s="153"/>
      <c r="E10" s="153" t="s">
        <v>290</v>
      </c>
      <c r="F10" s="153"/>
      <c r="G10" s="153"/>
      <c r="H10" s="153"/>
      <c r="I10" s="153" t="s">
        <v>238</v>
      </c>
      <c r="J10" s="153"/>
      <c r="K10" s="153"/>
      <c r="L10" s="153"/>
    </row>
    <row r="11" spans="1:26" ht="32.25" customHeight="1" x14ac:dyDescent="0.25">
      <c r="A11" s="153" t="s">
        <v>7</v>
      </c>
      <c r="B11" s="153"/>
      <c r="C11" s="153"/>
      <c r="D11" s="153"/>
      <c r="E11" s="152" t="s">
        <v>251</v>
      </c>
      <c r="F11" s="153"/>
      <c r="G11" s="153"/>
      <c r="H11" s="153"/>
    </row>
    <row r="12" spans="1:26" x14ac:dyDescent="0.25">
      <c r="A12" s="153" t="s">
        <v>176</v>
      </c>
      <c r="B12" s="153"/>
      <c r="C12" s="153"/>
      <c r="D12" s="153"/>
      <c r="E12" s="153" t="s">
        <v>29</v>
      </c>
      <c r="F12" s="153"/>
      <c r="G12" s="153"/>
      <c r="H12" s="153"/>
      <c r="S12" s="55" t="s">
        <v>182</v>
      </c>
      <c r="T12" s="55" t="s">
        <v>192</v>
      </c>
      <c r="U12" s="55" t="s">
        <v>177</v>
      </c>
      <c r="V12" s="55" t="s">
        <v>197</v>
      </c>
      <c r="W12" s="55" t="s">
        <v>215</v>
      </c>
      <c r="X12"/>
      <c r="Y12" t="s">
        <v>197</v>
      </c>
      <c r="Z12" t="e">
        <f ca="1">OFFSET($S$12,1,MATCH($G19,$S$12:$W$12,0)-1,15,1)</f>
        <v>#VALUE!</v>
      </c>
    </row>
    <row r="13" spans="1:26" x14ac:dyDescent="0.25">
      <c r="A13" s="121" t="s">
        <v>8</v>
      </c>
      <c r="B13" s="121"/>
      <c r="C13" s="121"/>
      <c r="D13" s="121"/>
      <c r="E13" s="152" t="s">
        <v>230</v>
      </c>
      <c r="F13" s="152"/>
      <c r="G13" s="152"/>
      <c r="H13" s="152"/>
      <c r="S13" s="55" t="s">
        <v>183</v>
      </c>
      <c r="T13" s="55" t="s">
        <v>190</v>
      </c>
      <c r="U13" s="55" t="s">
        <v>212</v>
      </c>
      <c r="V13" s="55" t="s">
        <v>198</v>
      </c>
      <c r="W13" s="55" t="s">
        <v>216</v>
      </c>
      <c r="X13"/>
      <c r="Y13"/>
      <c r="Z13"/>
    </row>
    <row r="14" spans="1:26" x14ac:dyDescent="0.25">
      <c r="A14" s="121" t="s">
        <v>9</v>
      </c>
      <c r="B14" s="121"/>
      <c r="C14" s="121"/>
      <c r="D14" s="121"/>
      <c r="E14" s="152" t="s">
        <v>239</v>
      </c>
      <c r="F14" s="153"/>
      <c r="G14" s="153"/>
      <c r="H14" s="153"/>
      <c r="I14" s="116" t="e">
        <f ca="1">OFFSET($D$4,1,MATCH($J12,$D$4:$H$4,0)-1,15,1)</f>
        <v>#N/A</v>
      </c>
      <c r="J14" s="117"/>
      <c r="K14" s="117"/>
      <c r="L14" s="117"/>
      <c r="M14" s="117"/>
      <c r="N14" s="117"/>
      <c r="O14" s="117"/>
      <c r="P14" s="117"/>
      <c r="S14" s="55" t="s">
        <v>184</v>
      </c>
      <c r="T14" s="55" t="s">
        <v>191</v>
      </c>
      <c r="U14" s="55" t="s">
        <v>213</v>
      </c>
      <c r="V14" s="55" t="s">
        <v>199</v>
      </c>
      <c r="W14" s="55" t="s">
        <v>229</v>
      </c>
      <c r="X14"/>
      <c r="Y14"/>
      <c r="Z14"/>
    </row>
    <row r="15" spans="1:26" ht="51" customHeight="1" x14ac:dyDescent="0.25">
      <c r="A15" s="152" t="s">
        <v>10</v>
      </c>
      <c r="B15" s="152"/>
      <c r="C15" s="152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Tulsi Vrundavan, Gut No.13, 14, near Ekveera Gaurav Apartment, Neral - Badlapur Road, Mohachi Wadi, Vangani, Vangani West, Ambernath, Thane  - 421503.</v>
      </c>
      <c r="D15" s="152"/>
      <c r="E15" s="152"/>
      <c r="F15" s="152"/>
      <c r="G15" s="152"/>
      <c r="H15" s="152"/>
      <c r="S15" s="55" t="s">
        <v>185</v>
      </c>
      <c r="T15" s="55" t="s">
        <v>193</v>
      </c>
      <c r="U15" s="55" t="s">
        <v>214</v>
      </c>
      <c r="V15" s="55" t="s">
        <v>200</v>
      </c>
      <c r="W15" s="55" t="s">
        <v>217</v>
      </c>
      <c r="X15"/>
      <c r="Y15"/>
      <c r="Z15"/>
    </row>
    <row r="16" spans="1:26" x14ac:dyDescent="0.25">
      <c r="A16" s="152" t="s">
        <v>240</v>
      </c>
      <c r="B16" s="152"/>
      <c r="C16" s="152" t="s">
        <v>241</v>
      </c>
      <c r="D16" s="152"/>
      <c r="E16" s="152"/>
      <c r="F16" s="152"/>
      <c r="G16" s="152"/>
      <c r="H16" s="152"/>
      <c r="S16" s="55" t="s">
        <v>186</v>
      </c>
      <c r="T16" s="55" t="s">
        <v>194</v>
      </c>
      <c r="U16" s="55"/>
      <c r="V16" s="55" t="s">
        <v>201</v>
      </c>
      <c r="W16" s="55" t="s">
        <v>218</v>
      </c>
      <c r="X16"/>
      <c r="Y16"/>
      <c r="Z16"/>
    </row>
    <row r="17" spans="1:26" ht="15.75" customHeight="1" x14ac:dyDescent="0.25">
      <c r="A17" s="152" t="s">
        <v>169</v>
      </c>
      <c r="B17" s="152"/>
      <c r="C17" s="152" t="s">
        <v>242</v>
      </c>
      <c r="D17" s="152"/>
      <c r="E17" s="152"/>
      <c r="F17" s="152"/>
      <c r="G17" s="152"/>
      <c r="H17" s="152"/>
      <c r="S17" s="55" t="s">
        <v>187</v>
      </c>
      <c r="T17" s="55" t="s">
        <v>192</v>
      </c>
      <c r="U17" s="55"/>
      <c r="V17" s="55" t="s">
        <v>202</v>
      </c>
      <c r="W17" s="55" t="s">
        <v>219</v>
      </c>
      <c r="X17"/>
      <c r="Y17"/>
      <c r="Z17"/>
    </row>
    <row r="18" spans="1:26" ht="15.75" customHeight="1" x14ac:dyDescent="0.25">
      <c r="A18" s="152" t="s">
        <v>11</v>
      </c>
      <c r="B18" s="152"/>
      <c r="C18" s="153" t="s">
        <v>243</v>
      </c>
      <c r="D18" s="153"/>
      <c r="E18" s="152" t="s">
        <v>73</v>
      </c>
      <c r="F18" s="152"/>
      <c r="G18" s="152" t="s">
        <v>244</v>
      </c>
      <c r="H18" s="152"/>
      <c r="S18" s="55" t="s">
        <v>188</v>
      </c>
      <c r="T18" s="55" t="s">
        <v>195</v>
      </c>
      <c r="U18" s="55"/>
      <c r="V18" s="55" t="s">
        <v>203</v>
      </c>
      <c r="W18" s="55" t="s">
        <v>220</v>
      </c>
      <c r="X18"/>
      <c r="Y18"/>
      <c r="Z18"/>
    </row>
    <row r="19" spans="1:26" x14ac:dyDescent="0.25">
      <c r="A19" s="153" t="s">
        <v>13</v>
      </c>
      <c r="B19" s="153"/>
      <c r="C19" s="152" t="s">
        <v>246</v>
      </c>
      <c r="D19" s="152"/>
      <c r="E19" s="152" t="s">
        <v>12</v>
      </c>
      <c r="F19" s="152"/>
      <c r="G19" s="181" t="s">
        <v>182</v>
      </c>
      <c r="H19" s="181"/>
      <c r="S19" s="55" t="s">
        <v>189</v>
      </c>
      <c r="T19" s="55" t="s">
        <v>196</v>
      </c>
      <c r="U19" s="55"/>
      <c r="V19" s="55" t="s">
        <v>204</v>
      </c>
      <c r="W19" s="55" t="s">
        <v>221</v>
      </c>
      <c r="X19"/>
      <c r="Y19"/>
      <c r="Z19"/>
    </row>
    <row r="20" spans="1:26" x14ac:dyDescent="0.25">
      <c r="A20" s="153" t="s">
        <v>74</v>
      </c>
      <c r="B20" s="153"/>
      <c r="C20" s="152" t="s">
        <v>188</v>
      </c>
      <c r="D20" s="152"/>
      <c r="E20" s="152" t="s">
        <v>14</v>
      </c>
      <c r="F20" s="152"/>
      <c r="G20" s="152">
        <v>421503</v>
      </c>
      <c r="H20" s="152"/>
      <c r="S20" s="55"/>
      <c r="T20" s="55"/>
      <c r="U20" s="55"/>
      <c r="V20" s="55" t="s">
        <v>205</v>
      </c>
      <c r="W20" s="55" t="s">
        <v>222</v>
      </c>
      <c r="X20"/>
      <c r="Y20"/>
      <c r="Z20"/>
    </row>
    <row r="21" spans="1:26" ht="33.75" customHeight="1" x14ac:dyDescent="0.25">
      <c r="A21" s="153" t="s">
        <v>124</v>
      </c>
      <c r="B21" s="153"/>
      <c r="C21" s="152" t="s">
        <v>247</v>
      </c>
      <c r="D21" s="152"/>
      <c r="E21" s="152" t="s">
        <v>15</v>
      </c>
      <c r="F21" s="152"/>
      <c r="G21" s="152" t="s">
        <v>245</v>
      </c>
      <c r="H21" s="152"/>
      <c r="S21" s="55"/>
      <c r="T21" s="55"/>
      <c r="U21" s="55"/>
      <c r="V21" s="55" t="s">
        <v>206</v>
      </c>
      <c r="W21" s="55" t="s">
        <v>223</v>
      </c>
      <c r="X21"/>
      <c r="Y21"/>
      <c r="Z21"/>
    </row>
    <row r="22" spans="1:26" ht="15" customHeight="1" x14ac:dyDescent="0.25">
      <c r="A22" s="127" t="s">
        <v>76</v>
      </c>
      <c r="B22" s="127"/>
      <c r="C22" s="127"/>
      <c r="D22" s="127"/>
      <c r="E22" s="153" t="s">
        <v>16</v>
      </c>
      <c r="F22" s="153"/>
      <c r="G22" s="153"/>
      <c r="H22" s="153"/>
      <c r="S22" s="55"/>
      <c r="T22" s="55"/>
      <c r="U22" s="55"/>
      <c r="V22" s="55" t="s">
        <v>207</v>
      </c>
      <c r="W22" s="55" t="s">
        <v>224</v>
      </c>
      <c r="X22"/>
      <c r="Y22"/>
      <c r="Z22"/>
    </row>
    <row r="23" spans="1:26" ht="18.75" customHeight="1" x14ac:dyDescent="0.25">
      <c r="A23" s="127"/>
      <c r="B23" s="127"/>
      <c r="C23" s="127"/>
      <c r="D23" s="127"/>
      <c r="E23" s="153"/>
      <c r="F23" s="153"/>
      <c r="G23" s="153"/>
      <c r="H23" s="153"/>
      <c r="S23" s="55"/>
      <c r="T23" s="55"/>
      <c r="U23" s="55"/>
      <c r="V23" s="55" t="s">
        <v>208</v>
      </c>
      <c r="W23" s="55" t="s">
        <v>225</v>
      </c>
      <c r="X23"/>
      <c r="Y23"/>
      <c r="Z23"/>
    </row>
    <row r="24" spans="1:26" ht="15" customHeight="1" x14ac:dyDescent="0.25">
      <c r="A24" s="127" t="s">
        <v>17</v>
      </c>
      <c r="B24" s="127"/>
      <c r="C24" s="127"/>
      <c r="D24" s="127"/>
      <c r="E24" s="152" t="s">
        <v>18</v>
      </c>
      <c r="F24" s="152"/>
      <c r="G24" s="152"/>
      <c r="H24" s="152"/>
      <c r="S24" s="55"/>
      <c r="T24" s="55"/>
      <c r="U24" s="55"/>
      <c r="V24" s="55" t="s">
        <v>209</v>
      </c>
      <c r="W24" s="55" t="s">
        <v>226</v>
      </c>
      <c r="X24"/>
      <c r="Y24"/>
      <c r="Z24"/>
    </row>
    <row r="25" spans="1:26" ht="15" customHeight="1" x14ac:dyDescent="0.25">
      <c r="A25" s="121" t="s">
        <v>19</v>
      </c>
      <c r="B25" s="121"/>
      <c r="C25" s="121"/>
      <c r="D25" s="121"/>
      <c r="E25" s="152" t="str">
        <f>IF(AND(G19="Mumbai"),"Upper Class","Middle Class")</f>
        <v>Middle Class</v>
      </c>
      <c r="F25" s="152"/>
      <c r="G25" s="152"/>
      <c r="H25" s="152"/>
      <c r="S25" s="55"/>
      <c r="T25" s="55"/>
      <c r="U25" s="55"/>
      <c r="V25" s="55" t="s">
        <v>210</v>
      </c>
      <c r="W25" s="55" t="s">
        <v>227</v>
      </c>
      <c r="X25"/>
      <c r="Y25"/>
      <c r="Z25"/>
    </row>
    <row r="26" spans="1:26" x14ac:dyDescent="0.25">
      <c r="A26" s="121" t="s">
        <v>20</v>
      </c>
      <c r="B26" s="121"/>
      <c r="C26" s="121"/>
      <c r="D26" s="121"/>
      <c r="E26" s="152" t="s">
        <v>21</v>
      </c>
      <c r="F26" s="152"/>
      <c r="G26" s="152"/>
      <c r="H26" s="152"/>
      <c r="S26" s="55"/>
      <c r="T26" s="55"/>
      <c r="U26" s="55"/>
      <c r="V26" s="55" t="s">
        <v>211</v>
      </c>
      <c r="W26" s="55" t="s">
        <v>228</v>
      </c>
      <c r="X26"/>
      <c r="Y26"/>
      <c r="Z26"/>
    </row>
    <row r="27" spans="1:26" ht="15.75" customHeight="1" x14ac:dyDescent="0.25">
      <c r="A27" s="121" t="s">
        <v>22</v>
      </c>
      <c r="B27" s="121"/>
      <c r="C27" s="121"/>
      <c r="D27" s="121"/>
      <c r="E27" s="152" t="str">
        <f>IF(AND(G19="Mumbai"),"Developed","Developing")</f>
        <v>Developing</v>
      </c>
      <c r="F27" s="152"/>
      <c r="G27" s="152"/>
      <c r="H27" s="152"/>
    </row>
    <row r="28" spans="1:26" x14ac:dyDescent="0.25">
      <c r="A28" s="121" t="s">
        <v>23</v>
      </c>
      <c r="B28" s="121"/>
      <c r="C28" s="121"/>
      <c r="D28" s="121"/>
      <c r="E28" s="152" t="s">
        <v>24</v>
      </c>
      <c r="F28" s="152"/>
      <c r="G28" s="152"/>
      <c r="H28" s="152"/>
    </row>
    <row r="29" spans="1:26" ht="15.75" customHeight="1" x14ac:dyDescent="0.25">
      <c r="A29" s="121" t="s">
        <v>81</v>
      </c>
      <c r="B29" s="121"/>
      <c r="C29" s="121"/>
      <c r="D29" s="121"/>
      <c r="E29" s="152" t="s">
        <v>82</v>
      </c>
      <c r="F29" s="152"/>
      <c r="G29" s="152"/>
      <c r="H29" s="152"/>
    </row>
    <row r="30" spans="1:26" ht="15" customHeight="1" x14ac:dyDescent="0.25">
      <c r="A30" s="121" t="s">
        <v>32</v>
      </c>
      <c r="B30" s="121"/>
      <c r="C30" s="121"/>
      <c r="D30" s="121"/>
      <c r="E30" s="152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152"/>
      <c r="G30" s="152"/>
      <c r="H30" s="152"/>
    </row>
    <row r="31" spans="1:26" ht="15.75" customHeight="1" x14ac:dyDescent="0.25">
      <c r="A31" s="121" t="s">
        <v>93</v>
      </c>
      <c r="B31" s="121"/>
      <c r="C31" s="121"/>
      <c r="D31" s="121"/>
      <c r="E31" s="152" t="s">
        <v>33</v>
      </c>
      <c r="F31" s="152"/>
      <c r="G31" s="152"/>
      <c r="H31" s="152"/>
    </row>
    <row r="32" spans="1:26" s="22" customFormat="1" x14ac:dyDescent="0.25">
      <c r="A32" s="186" t="s">
        <v>94</v>
      </c>
      <c r="B32" s="186"/>
      <c r="C32" s="183" t="s">
        <v>178</v>
      </c>
      <c r="D32" s="184"/>
      <c r="E32" s="185"/>
      <c r="F32" s="183" t="s">
        <v>30</v>
      </c>
      <c r="G32" s="184"/>
      <c r="H32" s="185"/>
    </row>
    <row r="33" spans="1:8" s="22" customFormat="1" x14ac:dyDescent="0.25">
      <c r="A33" s="182" t="s">
        <v>25</v>
      </c>
      <c r="B33" s="182" t="s">
        <v>29</v>
      </c>
      <c r="C33" s="132" t="s">
        <v>279</v>
      </c>
      <c r="D33" s="133"/>
      <c r="E33" s="134"/>
      <c r="F33" s="132" t="s">
        <v>279</v>
      </c>
      <c r="G33" s="133"/>
      <c r="H33" s="134"/>
    </row>
    <row r="34" spans="1:8" x14ac:dyDescent="0.25">
      <c r="A34" s="182" t="s">
        <v>26</v>
      </c>
      <c r="B34" s="182" t="s">
        <v>29</v>
      </c>
      <c r="C34" s="132" t="s">
        <v>278</v>
      </c>
      <c r="D34" s="133"/>
      <c r="E34" s="134"/>
      <c r="F34" s="132" t="s">
        <v>247</v>
      </c>
      <c r="G34" s="133"/>
      <c r="H34" s="134"/>
    </row>
    <row r="35" spans="1:8" s="22" customFormat="1" x14ac:dyDescent="0.25">
      <c r="A35" s="182" t="s">
        <v>28</v>
      </c>
      <c r="B35" s="182" t="s">
        <v>29</v>
      </c>
      <c r="C35" s="132" t="s">
        <v>277</v>
      </c>
      <c r="D35" s="133"/>
      <c r="E35" s="134"/>
      <c r="F35" s="132" t="s">
        <v>277</v>
      </c>
      <c r="G35" s="133"/>
      <c r="H35" s="134"/>
    </row>
    <row r="36" spans="1:8" x14ac:dyDescent="0.25">
      <c r="A36" s="182" t="s">
        <v>27</v>
      </c>
      <c r="B36" s="182" t="s">
        <v>29</v>
      </c>
      <c r="C36" s="132" t="s">
        <v>277</v>
      </c>
      <c r="D36" s="133"/>
      <c r="E36" s="134"/>
      <c r="F36" s="132" t="s">
        <v>277</v>
      </c>
      <c r="G36" s="133"/>
      <c r="H36" s="134"/>
    </row>
    <row r="37" spans="1:8" x14ac:dyDescent="0.25">
      <c r="A37" s="121" t="s">
        <v>31</v>
      </c>
      <c r="B37" s="121"/>
      <c r="C37" s="121"/>
      <c r="D37" s="121"/>
      <c r="E37" s="121"/>
      <c r="F37" s="121"/>
      <c r="G37" s="121"/>
      <c r="H37" s="121"/>
    </row>
    <row r="38" spans="1:8" ht="15.75" customHeight="1" x14ac:dyDescent="0.25">
      <c r="A38" s="121" t="s">
        <v>171</v>
      </c>
      <c r="B38" s="121"/>
      <c r="C38" s="177" t="s">
        <v>274</v>
      </c>
      <c r="D38" s="177"/>
      <c r="E38" s="177"/>
      <c r="F38" s="177"/>
      <c r="G38" s="177"/>
      <c r="H38" s="177"/>
    </row>
    <row r="39" spans="1:8" x14ac:dyDescent="0.25">
      <c r="A39" s="121" t="s">
        <v>168</v>
      </c>
      <c r="B39" s="121"/>
      <c r="C39" s="199" t="s">
        <v>275</v>
      </c>
      <c r="D39" s="152"/>
      <c r="E39" s="152"/>
      <c r="F39" s="152"/>
      <c r="G39" s="152"/>
      <c r="H39" s="152"/>
    </row>
    <row r="40" spans="1:8" x14ac:dyDescent="0.25">
      <c r="A40" s="177" t="s">
        <v>34</v>
      </c>
      <c r="B40" s="177"/>
      <c r="C40" s="177"/>
      <c r="D40" s="177"/>
      <c r="E40" s="177"/>
      <c r="F40" s="177"/>
      <c r="G40" s="177"/>
      <c r="H40" s="177"/>
    </row>
    <row r="41" spans="1:8" x14ac:dyDescent="0.25">
      <c r="A41" s="121" t="s">
        <v>35</v>
      </c>
      <c r="B41" s="121"/>
      <c r="C41" s="121"/>
      <c r="D41" s="121"/>
      <c r="E41" s="187">
        <v>5974.9</v>
      </c>
      <c r="F41" s="187"/>
      <c r="G41" s="187"/>
      <c r="H41" s="187"/>
    </row>
    <row r="42" spans="1:8" x14ac:dyDescent="0.25">
      <c r="A42" s="121" t="s">
        <v>36</v>
      </c>
      <c r="B42" s="121"/>
      <c r="C42" s="121"/>
      <c r="D42" s="121"/>
      <c r="E42" s="141">
        <v>1.1000000000000001</v>
      </c>
      <c r="F42" s="141"/>
      <c r="G42" s="141"/>
      <c r="H42" s="141"/>
    </row>
    <row r="43" spans="1:8" x14ac:dyDescent="0.25">
      <c r="A43" s="121" t="s">
        <v>37</v>
      </c>
      <c r="B43" s="121"/>
      <c r="C43" s="121"/>
      <c r="D43" s="121"/>
      <c r="E43" s="141">
        <f>E45/E41-E42</f>
        <v>1.2559875479087519</v>
      </c>
      <c r="F43" s="141"/>
      <c r="G43" s="141"/>
      <c r="H43" s="141"/>
    </row>
    <row r="44" spans="1:8" x14ac:dyDescent="0.25">
      <c r="A44" s="121" t="s">
        <v>38</v>
      </c>
      <c r="B44" s="121"/>
      <c r="C44" s="121"/>
      <c r="D44" s="121"/>
      <c r="E44" s="141">
        <f>E42+E43</f>
        <v>2.355987547908752</v>
      </c>
      <c r="F44" s="141"/>
      <c r="G44" s="141"/>
      <c r="H44" s="141"/>
    </row>
    <row r="45" spans="1:8" x14ac:dyDescent="0.25">
      <c r="A45" s="121" t="s">
        <v>92</v>
      </c>
      <c r="B45" s="121"/>
      <c r="C45" s="121"/>
      <c r="D45" s="121"/>
      <c r="E45" s="196">
        <v>14076.79</v>
      </c>
      <c r="F45" s="196"/>
      <c r="G45" s="196"/>
      <c r="H45" s="196"/>
    </row>
    <row r="46" spans="1:8" x14ac:dyDescent="0.25">
      <c r="A46" s="153" t="s">
        <v>39</v>
      </c>
      <c r="B46" s="153"/>
      <c r="C46" s="153"/>
      <c r="D46" s="153"/>
      <c r="E46" s="153" t="s">
        <v>252</v>
      </c>
      <c r="F46" s="153"/>
      <c r="G46" s="153"/>
      <c r="H46" s="153"/>
    </row>
    <row r="47" spans="1:8" x14ac:dyDescent="0.25">
      <c r="A47" s="177" t="s">
        <v>40</v>
      </c>
      <c r="B47" s="177"/>
      <c r="C47" s="177"/>
      <c r="D47" s="177"/>
      <c r="E47" s="177"/>
      <c r="F47" s="177"/>
      <c r="G47" s="177"/>
      <c r="H47" s="177"/>
    </row>
    <row r="48" spans="1:8" ht="33.75" customHeight="1" x14ac:dyDescent="0.25">
      <c r="A48" s="98" t="s">
        <v>156</v>
      </c>
      <c r="B48" s="100"/>
      <c r="C48" s="201" t="s">
        <v>248</v>
      </c>
      <c r="D48" s="202"/>
      <c r="E48" s="202"/>
      <c r="F48" s="202"/>
      <c r="G48" s="202"/>
      <c r="H48" s="203"/>
    </row>
    <row r="49" spans="1:14" ht="33.75" customHeight="1" x14ac:dyDescent="0.25">
      <c r="A49" s="98" t="s">
        <v>41</v>
      </c>
      <c r="B49" s="100"/>
      <c r="C49" s="98" t="s">
        <v>276</v>
      </c>
      <c r="D49" s="147"/>
      <c r="E49" s="148"/>
      <c r="F49" s="18" t="s">
        <v>42</v>
      </c>
      <c r="G49" s="149">
        <v>44895</v>
      </c>
      <c r="H49" s="100"/>
    </row>
    <row r="50" spans="1:14" ht="32.25" customHeight="1" x14ac:dyDescent="0.25">
      <c r="A50" s="98" t="s">
        <v>43</v>
      </c>
      <c r="B50" s="100"/>
      <c r="C50" s="98" t="str">
        <f>C49</f>
        <v>VS.Rekhankan/BP/Mauje.Vangani/
Taluka Ambernath/SSThane/2846</v>
      </c>
      <c r="D50" s="99"/>
      <c r="E50" s="100"/>
      <c r="F50" s="18" t="s">
        <v>42</v>
      </c>
      <c r="G50" s="149">
        <f>G49</f>
        <v>44895</v>
      </c>
      <c r="H50" s="150"/>
    </row>
    <row r="51" spans="1:14" s="23" customFormat="1" x14ac:dyDescent="0.25">
      <c r="A51" s="191" t="s">
        <v>160</v>
      </c>
      <c r="B51" s="192"/>
      <c r="C51" s="98" t="s">
        <v>249</v>
      </c>
      <c r="D51" s="99"/>
      <c r="E51" s="100"/>
      <c r="F51" s="18" t="s">
        <v>42</v>
      </c>
      <c r="G51" s="149">
        <v>44928</v>
      </c>
      <c r="H51" s="150"/>
    </row>
    <row r="52" spans="1:14" s="23" customFormat="1" ht="33.75" customHeight="1" x14ac:dyDescent="0.25">
      <c r="A52" s="193"/>
      <c r="B52" s="194"/>
      <c r="C52" s="98" t="s">
        <v>250</v>
      </c>
      <c r="D52" s="99"/>
      <c r="E52" s="99"/>
      <c r="F52" s="99"/>
      <c r="G52" s="99"/>
      <c r="H52" s="100"/>
    </row>
    <row r="53" spans="1:14" x14ac:dyDescent="0.25">
      <c r="A53" s="122" t="s">
        <v>44</v>
      </c>
      <c r="B53" s="123"/>
      <c r="C53" s="122" t="s">
        <v>106</v>
      </c>
      <c r="D53" s="124"/>
      <c r="E53" s="123"/>
      <c r="F53" s="46" t="s">
        <v>42</v>
      </c>
      <c r="G53" s="154" t="s">
        <v>29</v>
      </c>
      <c r="H53" s="155"/>
    </row>
    <row r="54" spans="1:14" x14ac:dyDescent="0.25">
      <c r="A54" s="151" t="s">
        <v>46</v>
      </c>
      <c r="B54" s="151"/>
      <c r="C54" s="151"/>
      <c r="D54" s="151"/>
      <c r="E54" s="151"/>
      <c r="F54" s="151"/>
      <c r="G54" s="151"/>
      <c r="H54" s="151"/>
    </row>
    <row r="55" spans="1:14" x14ac:dyDescent="0.25">
      <c r="A55" s="127" t="s">
        <v>91</v>
      </c>
      <c r="B55" s="127"/>
      <c r="C55" s="127"/>
      <c r="D55" s="121">
        <f>E45</f>
        <v>14076.79</v>
      </c>
      <c r="E55" s="121"/>
      <c r="F55" s="121"/>
      <c r="G55" s="121"/>
      <c r="H55" s="121"/>
    </row>
    <row r="56" spans="1:14" x14ac:dyDescent="0.25">
      <c r="A56" s="152" t="s">
        <v>47</v>
      </c>
      <c r="B56" s="153"/>
      <c r="C56" s="153"/>
      <c r="D56" s="153" t="s">
        <v>273</v>
      </c>
      <c r="E56" s="153"/>
      <c r="F56" s="153"/>
      <c r="G56" s="153"/>
      <c r="H56" s="153"/>
      <c r="I56" s="24"/>
    </row>
    <row r="57" spans="1:14" ht="34.5" customHeight="1" x14ac:dyDescent="0.25">
      <c r="A57" s="106" t="s">
        <v>48</v>
      </c>
      <c r="B57" s="107"/>
      <c r="C57" s="190"/>
      <c r="D57" s="172" t="s">
        <v>250</v>
      </c>
      <c r="E57" s="189"/>
      <c r="F57" s="189"/>
      <c r="G57" s="189"/>
      <c r="H57" s="189"/>
    </row>
    <row r="58" spans="1:14" ht="15.75" customHeight="1" x14ac:dyDescent="0.25">
      <c r="A58" s="106" t="s">
        <v>89</v>
      </c>
      <c r="B58" s="107"/>
      <c r="C58" s="107"/>
      <c r="D58" s="110" t="s">
        <v>256</v>
      </c>
      <c r="E58" s="111"/>
      <c r="F58" s="111"/>
      <c r="G58" s="111"/>
      <c r="H58" s="112"/>
    </row>
    <row r="59" spans="1:14" ht="15.75" customHeight="1" x14ac:dyDescent="0.25">
      <c r="A59" s="108"/>
      <c r="B59" s="109"/>
      <c r="C59" s="109"/>
      <c r="D59" s="113" t="s">
        <v>257</v>
      </c>
      <c r="E59" s="114"/>
      <c r="F59" s="114"/>
      <c r="G59" s="114"/>
      <c r="H59" s="115"/>
    </row>
    <row r="60" spans="1:14" ht="15.75" customHeight="1" x14ac:dyDescent="0.25">
      <c r="A60" s="121" t="s">
        <v>45</v>
      </c>
      <c r="B60" s="121"/>
      <c r="C60" s="121"/>
      <c r="D60" s="188" t="s">
        <v>253</v>
      </c>
      <c r="E60" s="188"/>
      <c r="F60" s="188"/>
      <c r="G60" s="188"/>
      <c r="H60" s="188"/>
      <c r="J60" s="25"/>
      <c r="K60" s="24"/>
      <c r="N60" s="24"/>
    </row>
    <row r="61" spans="1:14" ht="15.75" customHeight="1" x14ac:dyDescent="0.25">
      <c r="A61" s="121" t="s">
        <v>87</v>
      </c>
      <c r="B61" s="121"/>
      <c r="C61" s="121"/>
      <c r="D61" s="195" t="str">
        <f>(IF(G53="NA","60 Years After Completion",IF(G53&lt;&gt;"NA",""&amp;60-ROUNDDOWN((E3-G53)/360,0)&amp;" Years"," ")))</f>
        <v>60 Years After Completion</v>
      </c>
      <c r="E61" s="195"/>
      <c r="F61" s="195"/>
      <c r="G61" s="195"/>
      <c r="H61" s="195"/>
      <c r="N61" s="24"/>
    </row>
    <row r="62" spans="1:14" ht="15.75" customHeight="1" x14ac:dyDescent="0.25">
      <c r="A62" s="121" t="s">
        <v>88</v>
      </c>
      <c r="B62" s="121"/>
      <c r="C62" s="121"/>
      <c r="D62" s="127" t="s">
        <v>24</v>
      </c>
      <c r="E62" s="127"/>
      <c r="F62" s="127"/>
      <c r="G62" s="127"/>
      <c r="H62" s="127"/>
      <c r="J62" s="26"/>
      <c r="K62" s="26"/>
    </row>
    <row r="63" spans="1:14" x14ac:dyDescent="0.25">
      <c r="A63" s="153" t="s">
        <v>254</v>
      </c>
      <c r="B63" s="153"/>
      <c r="C63" s="153"/>
      <c r="D63" s="152" t="s">
        <v>255</v>
      </c>
      <c r="E63" s="127"/>
      <c r="F63" s="127"/>
      <c r="G63" s="127"/>
      <c r="H63" s="127"/>
    </row>
    <row r="64" spans="1:14" x14ac:dyDescent="0.25">
      <c r="A64" s="127" t="s">
        <v>152</v>
      </c>
      <c r="B64" s="127"/>
      <c r="C64" s="127"/>
      <c r="D64" s="127" t="s">
        <v>29</v>
      </c>
      <c r="E64" s="127"/>
      <c r="F64" s="127"/>
      <c r="G64" s="127"/>
      <c r="H64" s="127"/>
      <c r="I64" s="27"/>
      <c r="J64" s="27"/>
      <c r="K64" s="27"/>
      <c r="L64" s="27"/>
      <c r="M64" s="27"/>
      <c r="N64" s="27"/>
    </row>
    <row r="65" spans="1:10" ht="15.75" customHeight="1" x14ac:dyDescent="0.25">
      <c r="A65" s="128" t="s">
        <v>86</v>
      </c>
      <c r="B65" s="128"/>
      <c r="C65" s="128"/>
      <c r="D65" s="172" t="str">
        <f ca="1">(IF(G71&gt;95%,"Nothing",IF(G71&gt;0%,"Cement, Aggregate, Steel, etc",IF(G71=0%,"Work not yet Started"))))</f>
        <v>Nothing</v>
      </c>
      <c r="E65" s="172"/>
      <c r="F65" s="172"/>
      <c r="G65" s="172"/>
      <c r="H65" s="172"/>
      <c r="J65" s="26"/>
    </row>
    <row r="66" spans="1:10" ht="33.75" customHeight="1" thickBot="1" x14ac:dyDescent="0.3">
      <c r="A66" s="127" t="s">
        <v>119</v>
      </c>
      <c r="B66" s="127"/>
      <c r="C66" s="127"/>
      <c r="D66" s="152" t="str">
        <f ca="1">(IF(D65="Nothing","Yes",IF(D65="Cement, Aggregate, Steel, etc","Under Construction",IF(D65="Work not yet Started","Work not yet Started"))))</f>
        <v>Yes</v>
      </c>
      <c r="E66" s="152"/>
      <c r="F66" s="152" t="str">
        <f ca="1">(IF(D65="Nothing","Yes",IF(D65="Cement, Aggregate, Steel, etc","Under Construction",IF(D65="Work not yet Started","Work not yet Started"))))</f>
        <v>Yes</v>
      </c>
      <c r="G66" s="152"/>
      <c r="H66" s="152"/>
    </row>
    <row r="67" spans="1:10" ht="15.75" customHeight="1" x14ac:dyDescent="0.25">
      <c r="A67" s="84" t="s">
        <v>142</v>
      </c>
      <c r="B67" s="84"/>
      <c r="C67" s="68" t="str">
        <f>D58</f>
        <v>Wing A =  Gr + 1st to 7th Floor</v>
      </c>
      <c r="D67" s="68"/>
      <c r="E67" s="68"/>
      <c r="F67" s="68"/>
      <c r="G67" s="68"/>
      <c r="H67" s="68"/>
      <c r="I67" s="59" t="str">
        <f ca="1">IF(D80=100%,"All work Completed. Possession granted to the Building.",IF(D79=100%,"All work Completed, Waiting for OC",I68&amp;""&amp;I69&amp;""&amp;J68&amp;""&amp;J67&amp;" "&amp;J69))</f>
        <v>All work Completed. Possession granted to the Building.</v>
      </c>
      <c r="J67" s="49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/>
      </c>
    </row>
    <row r="68" spans="1:10" x14ac:dyDescent="0.25">
      <c r="A68" s="52" t="s">
        <v>144</v>
      </c>
      <c r="B68" s="52">
        <f>IF(AND(ISNUMBER(SEARCH("1B",C67))),1,IF(AND(ISNUMBER(SEARCH("2B",C67))),2,IF(AND(ISNUMBER(SEARCH("3B",C67))),3,IF(AND(ISNUMBER(SEARCH("4B",C67))),4,IF(ISNUMBER(SEARCH("5B",C67)),5,0)))))</f>
        <v>0</v>
      </c>
      <c r="C68" s="52" t="s">
        <v>72</v>
      </c>
      <c r="D68" s="52">
        <v>1</v>
      </c>
      <c r="E68" s="52" t="s">
        <v>71</v>
      </c>
      <c r="F68" s="52">
        <v>0</v>
      </c>
      <c r="G68" s="52" t="s">
        <v>80</v>
      </c>
      <c r="H68" s="52">
        <f ca="1">--TRIM(RIGHT(SUBSTITUTE(LEFT(C67,_xlfn.AGGREGATE(16,6,FIND({0,1,2,3,4,5,6,7,8,9},C67,ROW(INDIRECT("1:"&amp;LEN(C67)))),1))," ",REPT(" ",LEN(C67))),LEN(C67)))</f>
        <v>7</v>
      </c>
      <c r="I68" s="60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Plaster, Flooring, Painting, Building common Amenities</v>
      </c>
      <c r="J68" s="51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x14ac:dyDescent="0.25">
      <c r="A69" s="67" t="s">
        <v>90</v>
      </c>
      <c r="B69" s="67"/>
      <c r="C69" s="68" t="str">
        <f ca="1">I67</f>
        <v>All work Completed. Possession granted to the Building.</v>
      </c>
      <c r="D69" s="68"/>
      <c r="E69" s="68"/>
      <c r="F69" s="68"/>
      <c r="G69" s="68"/>
      <c r="H69" s="68"/>
      <c r="I69" s="60" t="str">
        <f ca="1">IF(I68&lt;&gt;""," Completed","")</f>
        <v xml:space="preserve"> Completed</v>
      </c>
      <c r="J69" s="51" t="str">
        <f ca="1">IF(J67&lt;&gt;"","Completed","")</f>
        <v/>
      </c>
    </row>
    <row r="70" spans="1:10" ht="15.75" customHeight="1" x14ac:dyDescent="0.25">
      <c r="A70" s="71" t="s">
        <v>49</v>
      </c>
      <c r="B70" s="71"/>
      <c r="C70" s="58" t="s">
        <v>141</v>
      </c>
      <c r="D70" s="58" t="s">
        <v>83</v>
      </c>
      <c r="E70" s="71" t="s">
        <v>85</v>
      </c>
      <c r="F70" s="71"/>
      <c r="G70" s="71" t="s">
        <v>84</v>
      </c>
      <c r="H70" s="71"/>
      <c r="I70" s="14" t="s">
        <v>143</v>
      </c>
      <c r="J70" s="28">
        <f ca="1">H68*25%</f>
        <v>1.75</v>
      </c>
    </row>
    <row r="71" spans="1:10" x14ac:dyDescent="0.25">
      <c r="A71" s="71" t="s">
        <v>130</v>
      </c>
      <c r="B71" s="71"/>
      <c r="C71" s="58">
        <f ca="1">J72</f>
        <v>7</v>
      </c>
      <c r="D71" s="19">
        <f ca="1">((100/H68)*C71)/100</f>
        <v>1</v>
      </c>
      <c r="E71" s="85">
        <f ca="1">(((C72/H68*10)+(40/(D68+F68+H68)*C73)+(7.5/(H68)*C74)+(7.5/(H68)*C75)+(10/H68*C76)+(10/H68*C77)+(5/H68*C78)+(5/H68*C79)+(5/H68*C80))/100)</f>
        <v>1</v>
      </c>
      <c r="F71" s="85"/>
      <c r="G71" s="85">
        <f ca="1">((((C71/H68)*20)+((C72/H68)*25)+(30/(H68+F68+D68)*C73)+(5/H68*C74)+(5/H68*C75)+(5/H68*C76)+(5/H68*C77)+(0/H68*C78)+(0/H68*C79)+(5/H68*C80))/100)</f>
        <v>1</v>
      </c>
      <c r="H71" s="85"/>
      <c r="I71" s="14" t="s">
        <v>101</v>
      </c>
      <c r="J71" s="29">
        <f ca="1">H68*50%</f>
        <v>3.5</v>
      </c>
    </row>
    <row r="72" spans="1:10" x14ac:dyDescent="0.25">
      <c r="A72" s="71" t="s">
        <v>50</v>
      </c>
      <c r="B72" s="71"/>
      <c r="C72" s="58">
        <f ca="1">J80</f>
        <v>7</v>
      </c>
      <c r="D72" s="19">
        <f ca="1">((100/H68)*C72)/100</f>
        <v>1</v>
      </c>
      <c r="E72" s="85"/>
      <c r="F72" s="85"/>
      <c r="G72" s="85"/>
      <c r="H72" s="85"/>
      <c r="I72" s="14" t="s">
        <v>102</v>
      </c>
      <c r="J72" s="29">
        <f ca="1">H68</f>
        <v>7</v>
      </c>
    </row>
    <row r="73" spans="1:10" ht="15.75" customHeight="1" x14ac:dyDescent="0.25">
      <c r="A73" s="71" t="s">
        <v>131</v>
      </c>
      <c r="B73" s="71"/>
      <c r="C73" s="58">
        <v>8</v>
      </c>
      <c r="D73" s="19">
        <f ca="1">((100/(D68+F68+H68))*C73)/100</f>
        <v>1</v>
      </c>
      <c r="E73" s="85"/>
      <c r="F73" s="85"/>
      <c r="G73" s="85"/>
      <c r="H73" s="85"/>
      <c r="I73" s="14" t="s">
        <v>103</v>
      </c>
      <c r="J73" s="30">
        <f ca="1">(IF(B68&gt;1,(H68/(B68+2)),H68/4))</f>
        <v>1.75</v>
      </c>
    </row>
    <row r="74" spans="1:10" ht="15.75" customHeight="1" x14ac:dyDescent="0.25">
      <c r="A74" s="71" t="s">
        <v>138</v>
      </c>
      <c r="B74" s="71" t="s">
        <v>132</v>
      </c>
      <c r="C74" s="58">
        <v>7</v>
      </c>
      <c r="D74" s="19">
        <f ca="1">((100/H68)*C74)/100</f>
        <v>1</v>
      </c>
      <c r="E74" s="85"/>
      <c r="F74" s="85"/>
      <c r="G74" s="85"/>
      <c r="H74" s="85"/>
      <c r="I74" s="14" t="s">
        <v>104</v>
      </c>
      <c r="J74" s="30">
        <f ca="1">(IF(B68&gt;1,(H68/(B68+2)+J73),H68/4+J73))</f>
        <v>3.5</v>
      </c>
    </row>
    <row r="75" spans="1:10" ht="15.75" customHeight="1" x14ac:dyDescent="0.25">
      <c r="A75" s="71" t="s">
        <v>139</v>
      </c>
      <c r="B75" s="71" t="s">
        <v>132</v>
      </c>
      <c r="C75" s="58">
        <v>7</v>
      </c>
      <c r="D75" s="19">
        <f ca="1">((100/H68)*C75)/100</f>
        <v>1</v>
      </c>
      <c r="E75" s="85"/>
      <c r="F75" s="85"/>
      <c r="G75" s="85"/>
      <c r="H75" s="85"/>
      <c r="I75" s="14" t="s">
        <v>150</v>
      </c>
      <c r="J75" s="30">
        <f>(IF(B68&gt;1,(H68/(B68+2)+J74),0))</f>
        <v>0</v>
      </c>
    </row>
    <row r="76" spans="1:10" ht="15" customHeight="1" x14ac:dyDescent="0.25">
      <c r="A76" s="71" t="s">
        <v>137</v>
      </c>
      <c r="B76" s="71" t="s">
        <v>134</v>
      </c>
      <c r="C76" s="58">
        <v>7</v>
      </c>
      <c r="D76" s="19">
        <f ca="1">((100/(H68))*C76)/100</f>
        <v>1</v>
      </c>
      <c r="E76" s="85"/>
      <c r="F76" s="85"/>
      <c r="G76" s="85"/>
      <c r="H76" s="85"/>
      <c r="I76" s="14" t="s">
        <v>145</v>
      </c>
      <c r="J76" s="30">
        <f>(IF(B68&gt;2,(H68/(B68+2)+J75),0))</f>
        <v>0</v>
      </c>
    </row>
    <row r="77" spans="1:10" ht="15.75" customHeight="1" x14ac:dyDescent="0.25">
      <c r="A77" s="71" t="s">
        <v>133</v>
      </c>
      <c r="B77" s="71" t="s">
        <v>133</v>
      </c>
      <c r="C77" s="58">
        <v>7</v>
      </c>
      <c r="D77" s="19">
        <f ca="1">((100/H68)*C77)/100</f>
        <v>1</v>
      </c>
      <c r="E77" s="85"/>
      <c r="F77" s="85"/>
      <c r="G77" s="85"/>
      <c r="H77" s="85"/>
      <c r="I77" s="14" t="s">
        <v>146</v>
      </c>
      <c r="J77" s="31">
        <f>(IF(B68&gt;3,(H68/(B68+2)+J76),0))</f>
        <v>0</v>
      </c>
    </row>
    <row r="78" spans="1:10" ht="15.75" customHeight="1" x14ac:dyDescent="0.25">
      <c r="A78" s="71" t="s">
        <v>140</v>
      </c>
      <c r="B78" s="71"/>
      <c r="C78" s="58">
        <v>7</v>
      </c>
      <c r="D78" s="19">
        <f ca="1">((100/H68)*C78)/100</f>
        <v>1</v>
      </c>
      <c r="E78" s="85"/>
      <c r="F78" s="85"/>
      <c r="G78" s="85"/>
      <c r="H78" s="85"/>
      <c r="I78" s="14" t="s">
        <v>147</v>
      </c>
      <c r="J78" s="30">
        <f>(IF(B68&gt;4,(H68/(B68+2)+J77),0))</f>
        <v>0</v>
      </c>
    </row>
    <row r="79" spans="1:10" ht="15.75" customHeight="1" x14ac:dyDescent="0.25">
      <c r="A79" s="71" t="s">
        <v>135</v>
      </c>
      <c r="B79" s="71" t="s">
        <v>135</v>
      </c>
      <c r="C79" s="58">
        <v>7</v>
      </c>
      <c r="D79" s="19">
        <f ca="1">((100/(H68))*C79)/100</f>
        <v>1</v>
      </c>
      <c r="E79" s="85"/>
      <c r="F79" s="85"/>
      <c r="G79" s="85"/>
      <c r="H79" s="85"/>
      <c r="I79" s="14" t="s">
        <v>151</v>
      </c>
      <c r="J79" s="30">
        <f ca="1">(IF(B68=1,(H68/(B68+3)+J74),IF(B68=0,(H68/4+J74),IF(B68&gt;1,0))))</f>
        <v>5.25</v>
      </c>
    </row>
    <row r="80" spans="1:10" ht="16.5" thickBot="1" x14ac:dyDescent="0.3">
      <c r="A80" s="71" t="s">
        <v>136</v>
      </c>
      <c r="B80" s="71"/>
      <c r="C80" s="58">
        <v>7</v>
      </c>
      <c r="D80" s="19">
        <f ca="1">((100/(H68))*C80)/100</f>
        <v>1</v>
      </c>
      <c r="E80" s="85"/>
      <c r="F80" s="85"/>
      <c r="G80" s="85"/>
      <c r="H80" s="85"/>
      <c r="I80" s="15" t="s">
        <v>105</v>
      </c>
      <c r="J80" s="32">
        <f ca="1">(IF(B68&gt;1.5,(H68/(B68+2)+J74+MAX(0,J75-J74)+MAX(0,J76-J75)+MAX(0,J77-J76)+MAX(0,J78-J77)+MAX(0,J79-J78)),IF(B68=1,(H68/(B68+3)+J79),IF(B68=0,H68/4+J79))))</f>
        <v>7</v>
      </c>
    </row>
    <row r="81" spans="1:10" ht="33" customHeight="1" x14ac:dyDescent="0.25">
      <c r="A81" s="61" t="s">
        <v>142</v>
      </c>
      <c r="B81" s="62"/>
      <c r="C81" s="63" t="s">
        <v>291</v>
      </c>
      <c r="D81" s="64"/>
      <c r="E81" s="64"/>
      <c r="F81" s="64"/>
      <c r="G81" s="64"/>
      <c r="H81" s="65"/>
      <c r="I81" s="48" t="str">
        <f ca="1">IF(D94=100%,"All work Completed. Possession granted to the Building.",IF(D93=100%,"All work Completed, Waiting for OC",I82&amp;""&amp;I83&amp;""&amp;J82&amp;""&amp;J81&amp;" "&amp;J83))</f>
        <v>Excavation, Plinth, RCC Slab, Brickwork, Internal Plaster Completed, External Plaster upto 6 Floor Completed</v>
      </c>
      <c r="J81" s="49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External Plaster upto 6 Floor</v>
      </c>
    </row>
    <row r="82" spans="1:10" x14ac:dyDescent="0.25">
      <c r="A82" s="16" t="s">
        <v>144</v>
      </c>
      <c r="B82" s="52">
        <f>IF(AND(ISNUMBER(SEARCH("1B",C81))),1,IF(AND(ISNUMBER(SEARCH("2B",C81))),2,IF(AND(ISNUMBER(SEARCH("3B",C81))),3,IF(AND(ISNUMBER(SEARCH("4B",C81))),4,IF(ISNUMBER(SEARCH("5B",C81)),5,0)))))</f>
        <v>0</v>
      </c>
      <c r="C82" s="52" t="s">
        <v>72</v>
      </c>
      <c r="D82" s="52">
        <v>1</v>
      </c>
      <c r="E82" s="52" t="s">
        <v>71</v>
      </c>
      <c r="F82" s="52">
        <v>0</v>
      </c>
      <c r="G82" s="52" t="s">
        <v>80</v>
      </c>
      <c r="H82" s="17">
        <f ca="1">--TRIM(RIGHT(SUBSTITUTE(LEFT(C81,_xlfn.AGGREGATE(16,6,FIND({0,1,2,3,4,5,6,7,8,9},C81,ROW(INDIRECT("1:"&amp;LEN(C81)))),1))," ",REPT(" ",LEN(C81))),LEN(C81)))</f>
        <v>7</v>
      </c>
      <c r="I82" s="50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</v>
      </c>
      <c r="J82" s="51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33.950000000000003" customHeight="1" x14ac:dyDescent="0.25">
      <c r="A83" s="66" t="s">
        <v>90</v>
      </c>
      <c r="B83" s="67"/>
      <c r="C83" s="68" t="str">
        <f ca="1">(IF($G$53="NA",I81,"All work Completed. OC Received."))</f>
        <v>Excavation, Plinth, RCC Slab, Brickwork, Internal Plaster Completed, External Plaster upto 6 Floor Completed</v>
      </c>
      <c r="D83" s="68"/>
      <c r="E83" s="68"/>
      <c r="F83" s="68"/>
      <c r="G83" s="68"/>
      <c r="H83" s="69"/>
      <c r="I83" s="50" t="str">
        <f ca="1">IF(I82&lt;&gt;""," Completed","")</f>
        <v xml:space="preserve"> Completed</v>
      </c>
      <c r="J83" s="51" t="str">
        <f ca="1">IF(J81&lt;&gt;"","Completed","")</f>
        <v>Completed</v>
      </c>
    </row>
    <row r="84" spans="1:10" ht="15.75" customHeight="1" x14ac:dyDescent="0.25">
      <c r="A84" s="70" t="s">
        <v>49</v>
      </c>
      <c r="B84" s="71"/>
      <c r="C84" s="44" t="s">
        <v>141</v>
      </c>
      <c r="D84" s="44" t="s">
        <v>83</v>
      </c>
      <c r="E84" s="71" t="s">
        <v>85</v>
      </c>
      <c r="F84" s="71"/>
      <c r="G84" s="71" t="s">
        <v>84</v>
      </c>
      <c r="H84" s="72"/>
      <c r="I84" s="14" t="s">
        <v>143</v>
      </c>
      <c r="J84" s="28">
        <f ca="1">H82*25%</f>
        <v>1.75</v>
      </c>
    </row>
    <row r="85" spans="1:10" x14ac:dyDescent="0.25">
      <c r="A85" s="70" t="s">
        <v>130</v>
      </c>
      <c r="B85" s="71"/>
      <c r="C85" s="44">
        <f ca="1">J86</f>
        <v>7</v>
      </c>
      <c r="D85" s="19">
        <f ca="1">((100/H82)*C85)/100</f>
        <v>1</v>
      </c>
      <c r="E85" s="73">
        <f ca="1">(((C86/H82*10)+(40/(D82+F82+H82)*C87)+(7.5/(H82)*C88)+(7.5/(H82)*C89)+(10/H82*C90)+(10/H82*C91)+(5/H82*C92)+(5/H82*C93)+(5/H82*C94))/100)</f>
        <v>0.73571428571428565</v>
      </c>
      <c r="F85" s="74"/>
      <c r="G85" s="73">
        <f ca="1">((((C85/H82)*20)+((C86/H82)*25)+(30/(H82+F82+D82)*C87)+(5/H82*C88)+(5/H82*C89)+(5/H82*C90)+(5/H82*C91)+(0/H82*C92)+(0/H82*C93)+(5/H82*C94))/100)</f>
        <v>0.8928571428571429</v>
      </c>
      <c r="H85" s="79"/>
      <c r="I85" s="14" t="s">
        <v>101</v>
      </c>
      <c r="J85" s="29">
        <f ca="1">H82*50%</f>
        <v>3.5</v>
      </c>
    </row>
    <row r="86" spans="1:10" x14ac:dyDescent="0.25">
      <c r="A86" s="70" t="s">
        <v>50</v>
      </c>
      <c r="B86" s="71"/>
      <c r="C86" s="53">
        <f ca="1">J94</f>
        <v>7</v>
      </c>
      <c r="D86" s="19">
        <f ca="1">((100/H82)*C86)/100</f>
        <v>1</v>
      </c>
      <c r="E86" s="75"/>
      <c r="F86" s="76"/>
      <c r="G86" s="75"/>
      <c r="H86" s="80"/>
      <c r="I86" s="14" t="s">
        <v>102</v>
      </c>
      <c r="J86" s="29">
        <f ca="1">H82</f>
        <v>7</v>
      </c>
    </row>
    <row r="87" spans="1:10" ht="15.75" customHeight="1" x14ac:dyDescent="0.25">
      <c r="A87" s="70" t="s">
        <v>131</v>
      </c>
      <c r="B87" s="71"/>
      <c r="C87" s="44">
        <v>8</v>
      </c>
      <c r="D87" s="19">
        <f ca="1">((100/(D82+F82+H82))*C87)/100</f>
        <v>1</v>
      </c>
      <c r="E87" s="75"/>
      <c r="F87" s="76"/>
      <c r="G87" s="75"/>
      <c r="H87" s="80"/>
      <c r="I87" s="14" t="s">
        <v>103</v>
      </c>
      <c r="J87" s="30">
        <f ca="1">(IF(B82&gt;1,(H82/(B82+2)),H82/4))</f>
        <v>1.75</v>
      </c>
    </row>
    <row r="88" spans="1:10" ht="15.75" customHeight="1" x14ac:dyDescent="0.25">
      <c r="A88" s="70" t="s">
        <v>138</v>
      </c>
      <c r="B88" s="71" t="s">
        <v>132</v>
      </c>
      <c r="C88" s="44">
        <v>7</v>
      </c>
      <c r="D88" s="19">
        <f ca="1">((100/H82)*C88)/100</f>
        <v>1</v>
      </c>
      <c r="E88" s="75"/>
      <c r="F88" s="76"/>
      <c r="G88" s="75"/>
      <c r="H88" s="80"/>
      <c r="I88" s="14" t="s">
        <v>104</v>
      </c>
      <c r="J88" s="30">
        <f ca="1">(IF(B82&gt;1,(H82/(B82+2)+J87),H82/4+J87))</f>
        <v>3.5</v>
      </c>
    </row>
    <row r="89" spans="1:10" ht="15.75" customHeight="1" x14ac:dyDescent="0.25">
      <c r="A89" s="70" t="s">
        <v>139</v>
      </c>
      <c r="B89" s="71" t="s">
        <v>132</v>
      </c>
      <c r="C89" s="44">
        <v>7</v>
      </c>
      <c r="D89" s="19">
        <f ca="1">((100/H82)*C89)/100</f>
        <v>1</v>
      </c>
      <c r="E89" s="75"/>
      <c r="F89" s="76"/>
      <c r="G89" s="75"/>
      <c r="H89" s="80"/>
      <c r="I89" s="14" t="s">
        <v>150</v>
      </c>
      <c r="J89" s="30">
        <f>(IF(B82&gt;1,(H82/(B82+2)+J88),0))</f>
        <v>0</v>
      </c>
    </row>
    <row r="90" spans="1:10" ht="15" customHeight="1" x14ac:dyDescent="0.25">
      <c r="A90" s="70" t="s">
        <v>137</v>
      </c>
      <c r="B90" s="71" t="s">
        <v>134</v>
      </c>
      <c r="C90" s="44">
        <v>6</v>
      </c>
      <c r="D90" s="19">
        <f ca="1">((100/(H82))*C90)/100</f>
        <v>0.85714285714285721</v>
      </c>
      <c r="E90" s="75"/>
      <c r="F90" s="76"/>
      <c r="G90" s="75"/>
      <c r="H90" s="80"/>
      <c r="I90" s="14" t="s">
        <v>145</v>
      </c>
      <c r="J90" s="30">
        <f>(IF(B82&gt;2,(H82/(B82+2)+J89),0))</f>
        <v>0</v>
      </c>
    </row>
    <row r="91" spans="1:10" ht="15.75" customHeight="1" x14ac:dyDescent="0.25">
      <c r="A91" s="70" t="s">
        <v>133</v>
      </c>
      <c r="B91" s="71" t="s">
        <v>133</v>
      </c>
      <c r="C91" s="44">
        <v>0</v>
      </c>
      <c r="D91" s="19">
        <f ca="1">((100/H82)*C91)/100</f>
        <v>0</v>
      </c>
      <c r="E91" s="75"/>
      <c r="F91" s="76"/>
      <c r="G91" s="75"/>
      <c r="H91" s="80"/>
      <c r="I91" s="14" t="s">
        <v>146</v>
      </c>
      <c r="J91" s="31">
        <f>(IF(B82&gt;3,(H82/(B82+2)+J90),0))</f>
        <v>0</v>
      </c>
    </row>
    <row r="92" spans="1:10" ht="15.75" customHeight="1" x14ac:dyDescent="0.25">
      <c r="A92" s="70" t="s">
        <v>140</v>
      </c>
      <c r="B92" s="71"/>
      <c r="C92" s="44">
        <v>0</v>
      </c>
      <c r="D92" s="19">
        <f ca="1">((100/H82)*C92)/100</f>
        <v>0</v>
      </c>
      <c r="E92" s="75"/>
      <c r="F92" s="76"/>
      <c r="G92" s="75"/>
      <c r="H92" s="80"/>
      <c r="I92" s="14" t="s">
        <v>147</v>
      </c>
      <c r="J92" s="30">
        <f>(IF(B82&gt;4,(H82/(B82+2)+J91),0))</f>
        <v>0</v>
      </c>
    </row>
    <row r="93" spans="1:10" ht="15.75" customHeight="1" x14ac:dyDescent="0.25">
      <c r="A93" s="70" t="s">
        <v>135</v>
      </c>
      <c r="B93" s="71" t="s">
        <v>135</v>
      </c>
      <c r="C93" s="44">
        <v>0</v>
      </c>
      <c r="D93" s="19">
        <f ca="1">((100/(H82))*C93)/100</f>
        <v>0</v>
      </c>
      <c r="E93" s="75"/>
      <c r="F93" s="76"/>
      <c r="G93" s="75"/>
      <c r="H93" s="80"/>
      <c r="I93" s="14" t="s">
        <v>151</v>
      </c>
      <c r="J93" s="30">
        <f ca="1">(IF(B82=1,(H82/(B82+3)+J88),IF(B82=0,(H82/4+J88),IF(B82&gt;1,0))))</f>
        <v>5.25</v>
      </c>
    </row>
    <row r="94" spans="1:10" ht="16.5" thickBot="1" x14ac:dyDescent="0.3">
      <c r="A94" s="82" t="s">
        <v>136</v>
      </c>
      <c r="B94" s="83"/>
      <c r="C94" s="45">
        <v>0</v>
      </c>
      <c r="D94" s="20">
        <f ca="1">((100/(H82))*C94)/100</f>
        <v>0</v>
      </c>
      <c r="E94" s="77"/>
      <c r="F94" s="78"/>
      <c r="G94" s="77"/>
      <c r="H94" s="81"/>
      <c r="I94" s="15" t="s">
        <v>105</v>
      </c>
      <c r="J94" s="32">
        <f ca="1">(IF(B82&gt;1.5,(H82/(B82+2)+J88+MAX(0,J89-J88)+MAX(0,J90-J89)+MAX(0,J91-J90)+MAX(0,J92-J91)+MAX(0,J93-J92)),IF(B82=1,(H82/(B82+3)+J93),IF(B82=0,H82/4+J93))))</f>
        <v>7</v>
      </c>
    </row>
    <row r="95" spans="1:10" ht="15.75" hidden="1" customHeight="1" x14ac:dyDescent="0.25">
      <c r="A95" s="142" t="s">
        <v>142</v>
      </c>
      <c r="B95" s="143"/>
      <c r="C95" s="144" t="s">
        <v>284</v>
      </c>
      <c r="D95" s="145"/>
      <c r="E95" s="145"/>
      <c r="F95" s="145"/>
      <c r="G95" s="145"/>
      <c r="H95" s="146"/>
      <c r="I95" s="48" t="str">
        <f ca="1">IF(D108=100%,"All work Completed. Possession granted to the Building.",IF(D107=100%,"All work Completed, Waiting for OC",I96&amp;""&amp;I97&amp;""&amp;J96&amp;""&amp;J95&amp;" "&amp;J97))</f>
        <v>Excavation, Plinth, RCC Slab, Brickwork, Internal Plaster Completed, External Plaster upto 6 Floor Completed</v>
      </c>
      <c r="J95" s="49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>, External Plaster upto 6 Floor</v>
      </c>
    </row>
    <row r="96" spans="1:10" hidden="1" x14ac:dyDescent="0.25">
      <c r="A96" s="16" t="s">
        <v>144</v>
      </c>
      <c r="B96" s="52">
        <f>IF(AND(ISNUMBER(SEARCH("1B",C95))),1,IF(AND(ISNUMBER(SEARCH("2B",C95))),2,IF(AND(ISNUMBER(SEARCH("3B",C95))),3,IF(AND(ISNUMBER(SEARCH("4B",C95))),4,IF(ISNUMBER(SEARCH("5B",C95)),5,0)))))</f>
        <v>0</v>
      </c>
      <c r="C96" s="52" t="s">
        <v>72</v>
      </c>
      <c r="D96" s="52">
        <v>1</v>
      </c>
      <c r="E96" s="52" t="s">
        <v>71</v>
      </c>
      <c r="F96" s="52">
        <v>0</v>
      </c>
      <c r="G96" s="52" t="s">
        <v>80</v>
      </c>
      <c r="H96" s="17">
        <f ca="1">--TRIM(RIGHT(SUBSTITUTE(LEFT(C95,_xlfn.AGGREGATE(16,6,FIND({0,1,2,3,4,5,6,7,8,9},C95,ROW(INDIRECT("1:"&amp;LEN(C95)))),1))," ",REPT(" ",LEN(C95))),LEN(C95)))</f>
        <v>7</v>
      </c>
      <c r="I96" s="50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Excavation, Plinth, RCC Slab, Brickwork, Internal Plaster</v>
      </c>
      <c r="J96" s="51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0" ht="32.1" hidden="1" customHeight="1" x14ac:dyDescent="0.25">
      <c r="A97" s="66" t="s">
        <v>90</v>
      </c>
      <c r="B97" s="67"/>
      <c r="C97" s="68" t="str">
        <f ca="1">(IF($G$53="NA",I95,"All work Completed. OC Received."))</f>
        <v>Excavation, Plinth, RCC Slab, Brickwork, Internal Plaster Completed, External Plaster upto 6 Floor Completed</v>
      </c>
      <c r="D97" s="68"/>
      <c r="E97" s="68"/>
      <c r="F97" s="68"/>
      <c r="G97" s="68"/>
      <c r="H97" s="69"/>
      <c r="I97" s="50" t="str">
        <f ca="1">IF(I96&lt;&gt;""," Completed","")</f>
        <v xml:space="preserve"> Completed</v>
      </c>
      <c r="J97" s="51" t="str">
        <f ca="1">IF(J95&lt;&gt;"","Completed","")</f>
        <v>Completed</v>
      </c>
    </row>
    <row r="98" spans="1:10" ht="15.75" hidden="1" customHeight="1" x14ac:dyDescent="0.25">
      <c r="A98" s="70" t="s">
        <v>49</v>
      </c>
      <c r="B98" s="71"/>
      <c r="C98" s="44" t="s">
        <v>141</v>
      </c>
      <c r="D98" s="44" t="s">
        <v>83</v>
      </c>
      <c r="E98" s="71" t="s">
        <v>85</v>
      </c>
      <c r="F98" s="71"/>
      <c r="G98" s="71" t="s">
        <v>84</v>
      </c>
      <c r="H98" s="72"/>
      <c r="I98" s="14" t="s">
        <v>143</v>
      </c>
      <c r="J98" s="28">
        <f ca="1">H96*25%</f>
        <v>1.75</v>
      </c>
    </row>
    <row r="99" spans="1:10" hidden="1" x14ac:dyDescent="0.25">
      <c r="A99" s="71" t="s">
        <v>130</v>
      </c>
      <c r="B99" s="71"/>
      <c r="C99" s="58">
        <f ca="1">J100</f>
        <v>7</v>
      </c>
      <c r="D99" s="19">
        <f ca="1">((100/H96)*C99)/100</f>
        <v>1</v>
      </c>
      <c r="E99" s="85">
        <f ca="1">(((C100/H96*10)+(40/(D96+F96+H96)*C101)+(7.5/(H96)*C102)+(7.5/(H96)*C103)+(10/H96*C104)+(10/H96*C105)+(5/H96*C106)+(5/H96*C107)+(5/H96*C108))/100)</f>
        <v>0.73571428571428565</v>
      </c>
      <c r="F99" s="85"/>
      <c r="G99" s="85">
        <f ca="1">((((C99/H96)*20)+((C100/H96)*25)+(30/(H96+F96+D96)*C101)+(5/H96*C102)+(5/H96*C103)+(5/H96*C104)+(5/H96*C105)+(0/H96*C106)+(0/H96*C107)+(5/H96*C108))/100)</f>
        <v>0.8928571428571429</v>
      </c>
      <c r="H99" s="85"/>
      <c r="I99" s="14" t="s">
        <v>101</v>
      </c>
      <c r="J99" s="29">
        <f ca="1">H96*50%</f>
        <v>3.5</v>
      </c>
    </row>
    <row r="100" spans="1:10" hidden="1" x14ac:dyDescent="0.25">
      <c r="A100" s="71" t="s">
        <v>50</v>
      </c>
      <c r="B100" s="71"/>
      <c r="C100" s="53">
        <f ca="1">J108</f>
        <v>7</v>
      </c>
      <c r="D100" s="19">
        <f ca="1">((100/H96)*C100)/100</f>
        <v>1</v>
      </c>
      <c r="E100" s="85"/>
      <c r="F100" s="85"/>
      <c r="G100" s="85"/>
      <c r="H100" s="85"/>
      <c r="I100" s="14" t="s">
        <v>102</v>
      </c>
      <c r="J100" s="29">
        <f ca="1">H96</f>
        <v>7</v>
      </c>
    </row>
    <row r="101" spans="1:10" ht="15.75" hidden="1" customHeight="1" x14ac:dyDescent="0.25">
      <c r="A101" s="71" t="s">
        <v>131</v>
      </c>
      <c r="B101" s="71"/>
      <c r="C101" s="58">
        <v>8</v>
      </c>
      <c r="D101" s="19">
        <f ca="1">((100/(D96+F96+H96))*C101)/100</f>
        <v>1</v>
      </c>
      <c r="E101" s="85"/>
      <c r="F101" s="85"/>
      <c r="G101" s="85"/>
      <c r="H101" s="85"/>
      <c r="I101" s="14" t="s">
        <v>103</v>
      </c>
      <c r="J101" s="30">
        <f ca="1">(IF(B96&gt;1,(H96/(B96+2)),H96/4))</f>
        <v>1.75</v>
      </c>
    </row>
    <row r="102" spans="1:10" ht="15.75" hidden="1" customHeight="1" x14ac:dyDescent="0.25">
      <c r="A102" s="71" t="s">
        <v>138</v>
      </c>
      <c r="B102" s="71" t="s">
        <v>132</v>
      </c>
      <c r="C102" s="58">
        <v>7</v>
      </c>
      <c r="D102" s="19">
        <f ca="1">((100/H96)*C102)/100</f>
        <v>1</v>
      </c>
      <c r="E102" s="85"/>
      <c r="F102" s="85"/>
      <c r="G102" s="85"/>
      <c r="H102" s="85"/>
      <c r="I102" s="14" t="s">
        <v>104</v>
      </c>
      <c r="J102" s="30">
        <f ca="1">(IF(B96&gt;1,(H96/(B96+2)+J101),H96/4+J101))</f>
        <v>3.5</v>
      </c>
    </row>
    <row r="103" spans="1:10" ht="15.75" hidden="1" customHeight="1" x14ac:dyDescent="0.25">
      <c r="A103" s="71" t="s">
        <v>139</v>
      </c>
      <c r="B103" s="71" t="s">
        <v>132</v>
      </c>
      <c r="C103" s="58">
        <v>7</v>
      </c>
      <c r="D103" s="19">
        <f ca="1">((100/H96)*C103)/100</f>
        <v>1</v>
      </c>
      <c r="E103" s="85"/>
      <c r="F103" s="85"/>
      <c r="G103" s="85"/>
      <c r="H103" s="85"/>
      <c r="I103" s="14" t="s">
        <v>150</v>
      </c>
      <c r="J103" s="30">
        <f>(IF(B96&gt;1,(H96/(B96+2)+J102),0))</f>
        <v>0</v>
      </c>
    </row>
    <row r="104" spans="1:10" ht="15" hidden="1" customHeight="1" x14ac:dyDescent="0.25">
      <c r="A104" s="71" t="s">
        <v>137</v>
      </c>
      <c r="B104" s="71" t="s">
        <v>134</v>
      </c>
      <c r="C104" s="58">
        <v>6</v>
      </c>
      <c r="D104" s="19">
        <f ca="1">((100/(H96))*C104)/100</f>
        <v>0.85714285714285721</v>
      </c>
      <c r="E104" s="85"/>
      <c r="F104" s="85"/>
      <c r="G104" s="85"/>
      <c r="H104" s="85"/>
      <c r="I104" s="14" t="s">
        <v>145</v>
      </c>
      <c r="J104" s="30">
        <f>(IF(B96&gt;2,(H96/(B96+2)+J103),0))</f>
        <v>0</v>
      </c>
    </row>
    <row r="105" spans="1:10" ht="15.75" hidden="1" customHeight="1" x14ac:dyDescent="0.25">
      <c r="A105" s="71" t="s">
        <v>133</v>
      </c>
      <c r="B105" s="71" t="s">
        <v>133</v>
      </c>
      <c r="C105" s="58">
        <v>0</v>
      </c>
      <c r="D105" s="19">
        <f ca="1">((100/H96)*C105)/100</f>
        <v>0</v>
      </c>
      <c r="E105" s="85"/>
      <c r="F105" s="85"/>
      <c r="G105" s="85"/>
      <c r="H105" s="85"/>
      <c r="I105" s="14" t="s">
        <v>146</v>
      </c>
      <c r="J105" s="31">
        <f>(IF(B96&gt;3,(H96/(B96+2)+J104),0))</f>
        <v>0</v>
      </c>
    </row>
    <row r="106" spans="1:10" ht="15.75" hidden="1" customHeight="1" x14ac:dyDescent="0.25">
      <c r="A106" s="71" t="s">
        <v>140</v>
      </c>
      <c r="B106" s="71"/>
      <c r="C106" s="58">
        <v>0</v>
      </c>
      <c r="D106" s="19">
        <f ca="1">((100/H96)*C106)/100</f>
        <v>0</v>
      </c>
      <c r="E106" s="85"/>
      <c r="F106" s="85"/>
      <c r="G106" s="85"/>
      <c r="H106" s="85"/>
      <c r="I106" s="14" t="s">
        <v>147</v>
      </c>
      <c r="J106" s="30">
        <f>(IF(B96&gt;4,(H96/(B96+2)+J105),0))</f>
        <v>0</v>
      </c>
    </row>
    <row r="107" spans="1:10" ht="15.75" hidden="1" customHeight="1" x14ac:dyDescent="0.25">
      <c r="A107" s="71" t="s">
        <v>135</v>
      </c>
      <c r="B107" s="71" t="s">
        <v>135</v>
      </c>
      <c r="C107" s="58">
        <v>0</v>
      </c>
      <c r="D107" s="19">
        <f ca="1">((100/(H96))*C107)/100</f>
        <v>0</v>
      </c>
      <c r="E107" s="85"/>
      <c r="F107" s="85"/>
      <c r="G107" s="85"/>
      <c r="H107" s="85"/>
      <c r="I107" s="14" t="s">
        <v>151</v>
      </c>
      <c r="J107" s="30">
        <f ca="1">(IF(B96=1,(H96/(B96+3)+J102),IF(B96=0,(H96/4+J102),IF(B96&gt;1,0))))</f>
        <v>5.25</v>
      </c>
    </row>
    <row r="108" spans="1:10" ht="16.5" hidden="1" thickBot="1" x14ac:dyDescent="0.3">
      <c r="A108" s="71" t="s">
        <v>136</v>
      </c>
      <c r="B108" s="71"/>
      <c r="C108" s="58">
        <v>0</v>
      </c>
      <c r="D108" s="19">
        <f ca="1">((100/(H96))*C108)/100</f>
        <v>0</v>
      </c>
      <c r="E108" s="85"/>
      <c r="F108" s="85"/>
      <c r="G108" s="85"/>
      <c r="H108" s="85"/>
      <c r="I108" s="15" t="s">
        <v>105</v>
      </c>
      <c r="J108" s="32">
        <f ca="1">(IF(B96&gt;1.5,(H96/(B96+2)+J102+MAX(0,J103-J102)+MAX(0,J104-J103)+MAX(0,J105-J104)+MAX(0,J106-J105)+MAX(0,J107-J106)),IF(B96=1,(H96/(B96+3)+J107),IF(B96=0,H96/4+J107))))</f>
        <v>7</v>
      </c>
    </row>
    <row r="109" spans="1:10" ht="15.75" customHeight="1" x14ac:dyDescent="0.25">
      <c r="A109" s="84" t="s">
        <v>142</v>
      </c>
      <c r="B109" s="84"/>
      <c r="C109" s="68" t="s">
        <v>285</v>
      </c>
      <c r="D109" s="68"/>
      <c r="E109" s="68"/>
      <c r="F109" s="68"/>
      <c r="G109" s="68"/>
      <c r="H109" s="68"/>
      <c r="I109" s="59" t="str">
        <f ca="1">IF(D122=100%,"All work Completed. Possession granted to the Building.",IF(D121=100%,"All work Completed, Waiting for OC",I110&amp;""&amp;I111&amp;""&amp;J110&amp;""&amp;J109&amp;" "&amp;J111))</f>
        <v>Excavation, Plinth Completed, RCC upto 1 Slab Completed</v>
      </c>
      <c r="J109" s="49" t="str">
        <f ca="1">(IF(C115=(D110+F110+H110),"",IF(C115&gt;0,", RCC upto "&amp;C115&amp;" Slab","")))&amp;(IF(C116=H110,"",IF(C116&gt;0,", Brickwork upto "&amp;C116&amp;" Floor","")))&amp;(IF(C117=H110,"",IF(C117&gt;0,", Internal Plaster upto "&amp;C117&amp;" Floor","")))&amp;(IF(C118=H110,"",IF(C118&gt;0,", External Plaster upto "&amp;C118&amp;" Floor","")))&amp;(IF(C119=H110,"",IF(C119&gt;0,", Flooring upto "&amp;C119&amp;" Floor","")))&amp;(IF(C120=H110,"",IF(C120&gt;0,", Painting upto "&amp;C120&amp;" Floor","")))&amp;(IF(C121=H110,"",IF(C121&gt;0,", Finishing upto "&amp;C121&amp;" Floor","")))&amp;(IF(C122=H110,"",IF(C122&gt;0,", Possession upto "&amp;C122&amp;" Floor","")))</f>
        <v>, RCC upto 1 Slab</v>
      </c>
    </row>
    <row r="110" spans="1:10" x14ac:dyDescent="0.25">
      <c r="A110" s="52" t="s">
        <v>144</v>
      </c>
      <c r="B110" s="52">
        <f>IF(AND(ISNUMBER(SEARCH("1B",C109))),1,IF(AND(ISNUMBER(SEARCH("2B",C109))),2,IF(AND(ISNUMBER(SEARCH("3B",C109))),3,IF(AND(ISNUMBER(SEARCH("4B",C109))),4,IF(ISNUMBER(SEARCH("5B",C109)),5,0)))))</f>
        <v>0</v>
      </c>
      <c r="C110" s="52" t="s">
        <v>72</v>
      </c>
      <c r="D110" s="52">
        <v>1</v>
      </c>
      <c r="E110" s="52" t="s">
        <v>71</v>
      </c>
      <c r="F110" s="52">
        <v>0</v>
      </c>
      <c r="G110" s="52" t="s">
        <v>80</v>
      </c>
      <c r="H110" s="52">
        <f ca="1">--TRIM(RIGHT(SUBSTITUTE(LEFT(C109,_xlfn.AGGREGATE(16,6,FIND({0,1,2,3,4,5,6,7,8,9},C109,ROW(INDIRECT("1:"&amp;LEN(C109)))),1))," ",REPT(" ",LEN(C109))),LEN(C109)))</f>
        <v>7</v>
      </c>
      <c r="I110" s="60" t="str">
        <f ca="1">IF(D113=100%,"Excavation","")&amp;IF(D114=100%,", Plinth","")&amp;IF(D115=100%,", RCC Slab","")&amp;IF(D116=100%,", Brickwork","")&amp;IF(D117=100%,", Internal Plaster","")&amp;IF(D118=100%,", External Plaster","")&amp;IF(D119=100%,", Flooring","")&amp;IF(D120=100%,", Painting","")&amp;IF(D121=100%,", Building common Amenities","")</f>
        <v>Excavation, Plinth</v>
      </c>
      <c r="J110" s="51" t="str">
        <f ca="1">(IF(C113=0,"Work not yet Started.",IF(D113=25%,"Piling work in process",IF(D113=50%,"Excavation work in process",IF(D113=100%,"","0")))))&amp;(IF(C114=0%,"",IF(C114=J115,", Footing work is process",IF(C114=J116,", Footing work Completed",IF(C114=J117,", 1st Basement Completed",IF(C114=J118,", 1st &amp; 2nd Basement Completed",IF(C114=J119,", 1st to 3rd Basement Completed",IF(C114=J120,", 1st to 4th Basement Completed",IF(C114=J121,", Plinth work is process",IF(C114=J122,"","0"))))))))))</f>
        <v/>
      </c>
    </row>
    <row r="111" spans="1:10" x14ac:dyDescent="0.25">
      <c r="A111" s="67" t="s">
        <v>90</v>
      </c>
      <c r="B111" s="67"/>
      <c r="C111" s="68" t="str">
        <f ca="1">(IF($G$53="NA",I109,"All work Completed. OC Received."))</f>
        <v>Excavation, Plinth Completed, RCC upto 1 Slab Completed</v>
      </c>
      <c r="D111" s="68"/>
      <c r="E111" s="68"/>
      <c r="F111" s="68"/>
      <c r="G111" s="68"/>
      <c r="H111" s="68"/>
      <c r="I111" s="60" t="str">
        <f ca="1">IF(I110&lt;&gt;""," Completed","")</f>
        <v xml:space="preserve"> Completed</v>
      </c>
      <c r="J111" s="51" t="str">
        <f ca="1">IF(J109&lt;&gt;"","Completed","")</f>
        <v>Completed</v>
      </c>
    </row>
    <row r="112" spans="1:10" ht="15.75" customHeight="1" x14ac:dyDescent="0.25">
      <c r="A112" s="71" t="s">
        <v>49</v>
      </c>
      <c r="B112" s="71"/>
      <c r="C112" s="58" t="s">
        <v>141</v>
      </c>
      <c r="D112" s="58" t="s">
        <v>83</v>
      </c>
      <c r="E112" s="71" t="s">
        <v>85</v>
      </c>
      <c r="F112" s="71"/>
      <c r="G112" s="71" t="s">
        <v>84</v>
      </c>
      <c r="H112" s="71"/>
      <c r="I112" s="14" t="s">
        <v>143</v>
      </c>
      <c r="J112" s="28">
        <f ca="1">H110*25%</f>
        <v>1.75</v>
      </c>
    </row>
    <row r="113" spans="1:10" x14ac:dyDescent="0.25">
      <c r="A113" s="71" t="s">
        <v>130</v>
      </c>
      <c r="B113" s="71"/>
      <c r="C113" s="58">
        <f ca="1">J114</f>
        <v>7</v>
      </c>
      <c r="D113" s="19">
        <f ca="1">((100/H110)*C113)/100</f>
        <v>1</v>
      </c>
      <c r="E113" s="85">
        <f ca="1">(((C114/H110*10)+(40/(D110+F110+H110)*C115)+(7.5/(H110)*C116)+(7.5/(H110)*C117)+(10/H110*C118)+(10/H110*C119)+(5/H110*C120)+(5/H110*C121)+(5/H110*C122))/100)</f>
        <v>0.15</v>
      </c>
      <c r="F113" s="85"/>
      <c r="G113" s="85">
        <f ca="1">((((C113/H110)*20)+((C114/H110)*25)+(30/(H110+F110+D110)*C115)+(5/H110*C116)+(5/H110*C117)+(5/H110*C118)+(5/H110*C119)+(0/H110*C120)+(0/H110*C121)+(5/H110*C122))/100)</f>
        <v>0.48749999999999999</v>
      </c>
      <c r="H113" s="85"/>
      <c r="I113" s="14" t="s">
        <v>101</v>
      </c>
      <c r="J113" s="29">
        <f ca="1">H110*50%</f>
        <v>3.5</v>
      </c>
    </row>
    <row r="114" spans="1:10" x14ac:dyDescent="0.25">
      <c r="A114" s="71" t="s">
        <v>50</v>
      </c>
      <c r="B114" s="71"/>
      <c r="C114" s="53">
        <f ca="1">J122</f>
        <v>7</v>
      </c>
      <c r="D114" s="19">
        <f ca="1">((100/H110)*C114)/100</f>
        <v>1</v>
      </c>
      <c r="E114" s="85"/>
      <c r="F114" s="85"/>
      <c r="G114" s="85"/>
      <c r="H114" s="85"/>
      <c r="I114" s="14" t="s">
        <v>102</v>
      </c>
      <c r="J114" s="29">
        <f ca="1">H110</f>
        <v>7</v>
      </c>
    </row>
    <row r="115" spans="1:10" ht="15.75" customHeight="1" x14ac:dyDescent="0.25">
      <c r="A115" s="71" t="s">
        <v>131</v>
      </c>
      <c r="B115" s="71"/>
      <c r="C115" s="58">
        <v>1</v>
      </c>
      <c r="D115" s="19">
        <f ca="1">((100/(D110+F110+H110))*C115)/100</f>
        <v>0.125</v>
      </c>
      <c r="E115" s="85"/>
      <c r="F115" s="85"/>
      <c r="G115" s="85"/>
      <c r="H115" s="85"/>
      <c r="I115" s="14" t="s">
        <v>103</v>
      </c>
      <c r="J115" s="30">
        <f ca="1">(IF(B110&gt;1,(H110/(B110+2)),H110/4))</f>
        <v>1.75</v>
      </c>
    </row>
    <row r="116" spans="1:10" ht="15.75" customHeight="1" x14ac:dyDescent="0.25">
      <c r="A116" s="71" t="s">
        <v>138</v>
      </c>
      <c r="B116" s="71" t="s">
        <v>132</v>
      </c>
      <c r="C116" s="58">
        <v>0</v>
      </c>
      <c r="D116" s="19">
        <f ca="1">((100/H110)*C116)/100</f>
        <v>0</v>
      </c>
      <c r="E116" s="85"/>
      <c r="F116" s="85"/>
      <c r="G116" s="85"/>
      <c r="H116" s="85"/>
      <c r="I116" s="14" t="s">
        <v>104</v>
      </c>
      <c r="J116" s="30">
        <f ca="1">(IF(B110&gt;1,(H110/(B110+2)+J115),H110/4+J115))</f>
        <v>3.5</v>
      </c>
    </row>
    <row r="117" spans="1:10" ht="15.75" customHeight="1" x14ac:dyDescent="0.25">
      <c r="A117" s="71" t="s">
        <v>139</v>
      </c>
      <c r="B117" s="71" t="s">
        <v>132</v>
      </c>
      <c r="C117" s="58">
        <v>0</v>
      </c>
      <c r="D117" s="19">
        <f ca="1">((100/H110)*C117)/100</f>
        <v>0</v>
      </c>
      <c r="E117" s="85"/>
      <c r="F117" s="85"/>
      <c r="G117" s="85"/>
      <c r="H117" s="85"/>
      <c r="I117" s="14" t="s">
        <v>150</v>
      </c>
      <c r="J117" s="30">
        <f>(IF(B110&gt;1,(H110/(B110+2)+J116),0))</f>
        <v>0</v>
      </c>
    </row>
    <row r="118" spans="1:10" ht="15" customHeight="1" x14ac:dyDescent="0.25">
      <c r="A118" s="71" t="s">
        <v>137</v>
      </c>
      <c r="B118" s="71" t="s">
        <v>134</v>
      </c>
      <c r="C118" s="58">
        <v>0</v>
      </c>
      <c r="D118" s="19">
        <f ca="1">((100/(H110))*C118)/100</f>
        <v>0</v>
      </c>
      <c r="E118" s="85"/>
      <c r="F118" s="85"/>
      <c r="G118" s="85"/>
      <c r="H118" s="85"/>
      <c r="I118" s="14" t="s">
        <v>145</v>
      </c>
      <c r="J118" s="30">
        <f>(IF(B110&gt;2,(H110/(B110+2)+J117),0))</f>
        <v>0</v>
      </c>
    </row>
    <row r="119" spans="1:10" ht="15.75" customHeight="1" x14ac:dyDescent="0.25">
      <c r="A119" s="71" t="s">
        <v>133</v>
      </c>
      <c r="B119" s="71" t="s">
        <v>133</v>
      </c>
      <c r="C119" s="58">
        <v>0</v>
      </c>
      <c r="D119" s="19">
        <f ca="1">((100/H110)*C119)/100</f>
        <v>0</v>
      </c>
      <c r="E119" s="85"/>
      <c r="F119" s="85"/>
      <c r="G119" s="85"/>
      <c r="H119" s="85"/>
      <c r="I119" s="14" t="s">
        <v>146</v>
      </c>
      <c r="J119" s="31">
        <f>(IF(B110&gt;3,(H110/(B110+2)+J118),0))</f>
        <v>0</v>
      </c>
    </row>
    <row r="120" spans="1:10" ht="15.75" customHeight="1" x14ac:dyDescent="0.25">
      <c r="A120" s="71" t="s">
        <v>140</v>
      </c>
      <c r="B120" s="71"/>
      <c r="C120" s="58">
        <v>0</v>
      </c>
      <c r="D120" s="19">
        <f ca="1">((100/H110)*C120)/100</f>
        <v>0</v>
      </c>
      <c r="E120" s="85"/>
      <c r="F120" s="85"/>
      <c r="G120" s="85"/>
      <c r="H120" s="85"/>
      <c r="I120" s="14" t="s">
        <v>147</v>
      </c>
      <c r="J120" s="30">
        <f>(IF(B110&gt;4,(H110/(B110+2)+J119),0))</f>
        <v>0</v>
      </c>
    </row>
    <row r="121" spans="1:10" ht="15.75" customHeight="1" x14ac:dyDescent="0.25">
      <c r="A121" s="71" t="s">
        <v>135</v>
      </c>
      <c r="B121" s="71" t="s">
        <v>135</v>
      </c>
      <c r="C121" s="58">
        <v>0</v>
      </c>
      <c r="D121" s="19">
        <f ca="1">((100/(H110))*C121)/100</f>
        <v>0</v>
      </c>
      <c r="E121" s="85"/>
      <c r="F121" s="85"/>
      <c r="G121" s="85"/>
      <c r="H121" s="85"/>
      <c r="I121" s="14" t="s">
        <v>151</v>
      </c>
      <c r="J121" s="30">
        <f ca="1">(IF(B110=1,(H110/(B110+3)+J116),IF(B110=0,(H110/4+J116),IF(B110&gt;1,0))))</f>
        <v>5.25</v>
      </c>
    </row>
    <row r="122" spans="1:10" ht="16.5" thickBot="1" x14ac:dyDescent="0.3">
      <c r="A122" s="71" t="s">
        <v>136</v>
      </c>
      <c r="B122" s="71"/>
      <c r="C122" s="58">
        <v>0</v>
      </c>
      <c r="D122" s="19">
        <f ca="1">((100/(H110))*C122)/100</f>
        <v>0</v>
      </c>
      <c r="E122" s="85"/>
      <c r="F122" s="85"/>
      <c r="G122" s="85"/>
      <c r="H122" s="85"/>
      <c r="I122" s="15" t="s">
        <v>105</v>
      </c>
      <c r="J122" s="32">
        <f ca="1">(IF(B110&gt;1.5,(H110/(B110+2)+J116+MAX(0,J117-J116)+MAX(0,J118-J117)+MAX(0,J119-J118)+MAX(0,J120-J119)+MAX(0,J121-J120)),IF(B110=1,(H110/(B110+3)+J121),IF(B110=0,H110/4+J121))))</f>
        <v>7</v>
      </c>
    </row>
    <row r="123" spans="1:10" ht="15.75" customHeight="1" x14ac:dyDescent="0.25">
      <c r="A123" s="61" t="s">
        <v>142</v>
      </c>
      <c r="B123" s="62"/>
      <c r="C123" s="63" t="s">
        <v>286</v>
      </c>
      <c r="D123" s="64"/>
      <c r="E123" s="64"/>
      <c r="F123" s="64"/>
      <c r="G123" s="64"/>
      <c r="H123" s="65"/>
      <c r="I123" s="48" t="str">
        <f ca="1">IF(D136=100%,"All work Completed. Possession granted to the Building.",IF(D135=100%,"All work Completed, Waiting for OC",I124&amp;""&amp;I125&amp;""&amp;J124&amp;""&amp;J123&amp;" "&amp;J125))</f>
        <v>Excavation, Plinth Completed, RCC upto 4 Slab, Brickwork upto 2 Floor Completed</v>
      </c>
      <c r="J123" s="49" t="str">
        <f ca="1">(IF(C129=(D124+F124+H124),"",IF(C129&gt;0,", RCC upto "&amp;C129&amp;" Slab","")))&amp;(IF(C130=H124,"",IF(C130&gt;0,", Brickwork upto "&amp;C130&amp;" Floor","")))&amp;(IF(C131=H124,"",IF(C131&gt;0,", Internal Plaster upto "&amp;C131&amp;" Floor","")))&amp;(IF(C132=H124,"",IF(C132&gt;0,", External Plaster upto "&amp;C132&amp;" Floor","")))&amp;(IF(C133=H124,"",IF(C133&gt;0,", Flooring upto "&amp;C133&amp;" Floor","")))&amp;(IF(C134=H124,"",IF(C134&gt;0,", Painting upto "&amp;C134&amp;" Floor","")))&amp;(IF(C135=H124,"",IF(C135&gt;0,", Finishing upto "&amp;C135&amp;" Floor","")))&amp;(IF(C136=H124,"",IF(C136&gt;0,", Possession upto "&amp;C136&amp;" Floor","")))</f>
        <v>, RCC upto 4 Slab, Brickwork upto 2 Floor</v>
      </c>
    </row>
    <row r="124" spans="1:10" x14ac:dyDescent="0.25">
      <c r="A124" s="16" t="s">
        <v>144</v>
      </c>
      <c r="B124" s="52">
        <f>IF(AND(ISNUMBER(SEARCH("1B",C123))),1,IF(AND(ISNUMBER(SEARCH("2B",C123))),2,IF(AND(ISNUMBER(SEARCH("3B",C123))),3,IF(AND(ISNUMBER(SEARCH("4B",C123))),4,IF(ISNUMBER(SEARCH("5B",C123)),5,0)))))</f>
        <v>0</v>
      </c>
      <c r="C124" s="52" t="s">
        <v>72</v>
      </c>
      <c r="D124" s="52">
        <v>1</v>
      </c>
      <c r="E124" s="52" t="s">
        <v>71</v>
      </c>
      <c r="F124" s="52">
        <v>0</v>
      </c>
      <c r="G124" s="52" t="s">
        <v>80</v>
      </c>
      <c r="H124" s="17">
        <f ca="1">--TRIM(RIGHT(SUBSTITUTE(LEFT(C123,_xlfn.AGGREGATE(16,6,FIND({0,1,2,3,4,5,6,7,8,9},C123,ROW(INDIRECT("1:"&amp;LEN(C123)))),1))," ",REPT(" ",LEN(C123))),LEN(C123)))</f>
        <v>7</v>
      </c>
      <c r="I124" s="50" t="str">
        <f ca="1">IF(D127=100%,"Excavation","")&amp;IF(D128=100%,", Plinth","")&amp;IF(D129=100%,", RCC Slab","")&amp;IF(D130=100%,", Brickwork","")&amp;IF(D131=100%,", Internal Plaster","")&amp;IF(D132=100%,", External Plaster","")&amp;IF(D133=100%,", Flooring","")&amp;IF(D134=100%,", Painting","")&amp;IF(D135=100%,", Building common Amenities","")</f>
        <v>Excavation, Plinth</v>
      </c>
      <c r="J124" s="51" t="str">
        <f ca="1">(IF(C127=0,"Work not yet Started.",IF(D127=25%,"Piling work in process",IF(D127=50%,"Excavation work in process",IF(D127=100%,"","0")))))&amp;(IF(C128=0%,"",IF(C128=J129,", Footing work is process",IF(C128=J130,", Footing work Completed",IF(C128=J131,", 1st Basement Completed",IF(C128=J132,", 1st &amp; 2nd Basement Completed",IF(C128=J133,", 1st to 3rd Basement Completed",IF(C128=J134,", 1st to 4th Basement Completed",IF(C128=J135,", Plinth work is process",IF(C128=J136,"","0"))))))))))</f>
        <v/>
      </c>
    </row>
    <row r="125" spans="1:10" ht="30.75" customHeight="1" x14ac:dyDescent="0.25">
      <c r="A125" s="66" t="s">
        <v>90</v>
      </c>
      <c r="B125" s="67"/>
      <c r="C125" s="68" t="str">
        <f ca="1">(IF($G$53="NA",I123,"All work Completed. OC Received."))</f>
        <v>Excavation, Plinth Completed, RCC upto 4 Slab, Brickwork upto 2 Floor Completed</v>
      </c>
      <c r="D125" s="68"/>
      <c r="E125" s="68"/>
      <c r="F125" s="68"/>
      <c r="G125" s="68"/>
      <c r="H125" s="69"/>
      <c r="I125" s="50" t="str">
        <f ca="1">IF(I124&lt;&gt;""," Completed","")</f>
        <v xml:space="preserve"> Completed</v>
      </c>
      <c r="J125" s="51" t="str">
        <f ca="1">IF(J123&lt;&gt;"","Completed","")</f>
        <v>Completed</v>
      </c>
    </row>
    <row r="126" spans="1:10" ht="15.75" customHeight="1" x14ac:dyDescent="0.25">
      <c r="A126" s="70" t="s">
        <v>49</v>
      </c>
      <c r="B126" s="71"/>
      <c r="C126" s="44" t="s">
        <v>141</v>
      </c>
      <c r="D126" s="44" t="s">
        <v>83</v>
      </c>
      <c r="E126" s="71" t="s">
        <v>85</v>
      </c>
      <c r="F126" s="71"/>
      <c r="G126" s="71" t="s">
        <v>84</v>
      </c>
      <c r="H126" s="72"/>
      <c r="I126" s="14" t="s">
        <v>143</v>
      </c>
      <c r="J126" s="28">
        <f ca="1">H124*25%</f>
        <v>1.75</v>
      </c>
    </row>
    <row r="127" spans="1:10" x14ac:dyDescent="0.25">
      <c r="A127" s="70" t="s">
        <v>130</v>
      </c>
      <c r="B127" s="71"/>
      <c r="C127" s="44">
        <f ca="1">J128</f>
        <v>7</v>
      </c>
      <c r="D127" s="19">
        <f ca="1">((100/H124)*C127)/100</f>
        <v>1</v>
      </c>
      <c r="E127" s="73">
        <f ca="1">(((C128/H124*10)+(40/(D124+F124+H124)*C129)+(7.5/(H124)*C130)+(7.5/(H124)*C131)+(10/H124*C132)+(10/H124*C133)+(5/H124*C134)+(5/H124*C135)+(5/H124*C136))/100)</f>
        <v>0.32142857142857145</v>
      </c>
      <c r="F127" s="74"/>
      <c r="G127" s="73">
        <f ca="1">((((C127/H124)*20)+((C128/H124)*25)+(30/(H124+F124+D124)*C129)+(5/H124*C130)+(5/H124*C131)+(5/H124*C132)+(5/H124*C133)+(0/H124*C134)+(0/H124*C135)+(5/H124*C136))/100)</f>
        <v>0.61428571428571432</v>
      </c>
      <c r="H127" s="79"/>
      <c r="I127" s="14" t="s">
        <v>101</v>
      </c>
      <c r="J127" s="29">
        <f ca="1">H124*50%</f>
        <v>3.5</v>
      </c>
    </row>
    <row r="128" spans="1:10" x14ac:dyDescent="0.25">
      <c r="A128" s="70" t="s">
        <v>50</v>
      </c>
      <c r="B128" s="71"/>
      <c r="C128" s="53">
        <f ca="1">J136</f>
        <v>7</v>
      </c>
      <c r="D128" s="19">
        <f ca="1">((100/H124)*C128)/100</f>
        <v>1</v>
      </c>
      <c r="E128" s="75"/>
      <c r="F128" s="76"/>
      <c r="G128" s="75"/>
      <c r="H128" s="80"/>
      <c r="I128" s="14" t="s">
        <v>102</v>
      </c>
      <c r="J128" s="29">
        <f ca="1">H124</f>
        <v>7</v>
      </c>
    </row>
    <row r="129" spans="1:10" ht="15.75" customHeight="1" x14ac:dyDescent="0.25">
      <c r="A129" s="70" t="s">
        <v>131</v>
      </c>
      <c r="B129" s="71"/>
      <c r="C129" s="44">
        <v>4</v>
      </c>
      <c r="D129" s="19">
        <f ca="1">((100/(D124+F124+H124))*C129)/100</f>
        <v>0.5</v>
      </c>
      <c r="E129" s="75"/>
      <c r="F129" s="76"/>
      <c r="G129" s="75"/>
      <c r="H129" s="80"/>
      <c r="I129" s="14" t="s">
        <v>103</v>
      </c>
      <c r="J129" s="30">
        <f ca="1">(IF(B124&gt;1,(H124/(B124+2)),H124/4))</f>
        <v>1.75</v>
      </c>
    </row>
    <row r="130" spans="1:10" ht="15.75" customHeight="1" x14ac:dyDescent="0.25">
      <c r="A130" s="70" t="s">
        <v>138</v>
      </c>
      <c r="B130" s="71" t="s">
        <v>132</v>
      </c>
      <c r="C130" s="44">
        <v>2</v>
      </c>
      <c r="D130" s="19">
        <f ca="1">((100/H124)*C130)/100</f>
        <v>0.28571428571428575</v>
      </c>
      <c r="E130" s="75"/>
      <c r="F130" s="76"/>
      <c r="G130" s="75"/>
      <c r="H130" s="80"/>
      <c r="I130" s="14" t="s">
        <v>104</v>
      </c>
      <c r="J130" s="30">
        <f ca="1">(IF(B124&gt;1,(H124/(B124+2)+J129),H124/4+J129))</f>
        <v>3.5</v>
      </c>
    </row>
    <row r="131" spans="1:10" ht="15.75" customHeight="1" x14ac:dyDescent="0.25">
      <c r="A131" s="70" t="s">
        <v>139</v>
      </c>
      <c r="B131" s="71" t="s">
        <v>132</v>
      </c>
      <c r="C131" s="44">
        <v>0</v>
      </c>
      <c r="D131" s="19">
        <f ca="1">((100/H124)*C131)/100</f>
        <v>0</v>
      </c>
      <c r="E131" s="75"/>
      <c r="F131" s="76"/>
      <c r="G131" s="75"/>
      <c r="H131" s="80"/>
      <c r="I131" s="14" t="s">
        <v>150</v>
      </c>
      <c r="J131" s="30">
        <f>(IF(B124&gt;1,(H124/(B124+2)+J130),0))</f>
        <v>0</v>
      </c>
    </row>
    <row r="132" spans="1:10" ht="15" customHeight="1" x14ac:dyDescent="0.25">
      <c r="A132" s="70" t="s">
        <v>137</v>
      </c>
      <c r="B132" s="71" t="s">
        <v>134</v>
      </c>
      <c r="C132" s="44">
        <v>0</v>
      </c>
      <c r="D132" s="19">
        <f ca="1">((100/(H124))*C132)/100</f>
        <v>0</v>
      </c>
      <c r="E132" s="75"/>
      <c r="F132" s="76"/>
      <c r="G132" s="75"/>
      <c r="H132" s="80"/>
      <c r="I132" s="14" t="s">
        <v>145</v>
      </c>
      <c r="J132" s="30">
        <f>(IF(B124&gt;2,(H124/(B124+2)+J131),0))</f>
        <v>0</v>
      </c>
    </row>
    <row r="133" spans="1:10" ht="15.75" customHeight="1" x14ac:dyDescent="0.25">
      <c r="A133" s="70" t="s">
        <v>133</v>
      </c>
      <c r="B133" s="71" t="s">
        <v>133</v>
      </c>
      <c r="C133" s="44">
        <v>0</v>
      </c>
      <c r="D133" s="19">
        <f ca="1">((100/H124)*C133)/100</f>
        <v>0</v>
      </c>
      <c r="E133" s="75"/>
      <c r="F133" s="76"/>
      <c r="G133" s="75"/>
      <c r="H133" s="80"/>
      <c r="I133" s="14" t="s">
        <v>146</v>
      </c>
      <c r="J133" s="31">
        <f>(IF(B124&gt;3,(H124/(B124+2)+J132),0))</f>
        <v>0</v>
      </c>
    </row>
    <row r="134" spans="1:10" ht="15.75" customHeight="1" x14ac:dyDescent="0.25">
      <c r="A134" s="70" t="s">
        <v>140</v>
      </c>
      <c r="B134" s="71"/>
      <c r="C134" s="44">
        <v>0</v>
      </c>
      <c r="D134" s="19">
        <f ca="1">((100/H124)*C134)/100</f>
        <v>0</v>
      </c>
      <c r="E134" s="75"/>
      <c r="F134" s="76"/>
      <c r="G134" s="75"/>
      <c r="H134" s="80"/>
      <c r="I134" s="14" t="s">
        <v>147</v>
      </c>
      <c r="J134" s="30">
        <f>(IF(B124&gt;4,(H124/(B124+2)+J133),0))</f>
        <v>0</v>
      </c>
    </row>
    <row r="135" spans="1:10" ht="15.75" customHeight="1" x14ac:dyDescent="0.25">
      <c r="A135" s="70" t="s">
        <v>135</v>
      </c>
      <c r="B135" s="71" t="s">
        <v>135</v>
      </c>
      <c r="C135" s="44">
        <v>0</v>
      </c>
      <c r="D135" s="19">
        <f ca="1">((100/(H124))*C135)/100</f>
        <v>0</v>
      </c>
      <c r="E135" s="75"/>
      <c r="F135" s="76"/>
      <c r="G135" s="75"/>
      <c r="H135" s="80"/>
      <c r="I135" s="14" t="s">
        <v>151</v>
      </c>
      <c r="J135" s="30">
        <f ca="1">(IF(B124=1,(H124/(B124+3)+J130),IF(B124=0,(H124/4+J130),IF(B124&gt;1,0))))</f>
        <v>5.25</v>
      </c>
    </row>
    <row r="136" spans="1:10" ht="16.5" thickBot="1" x14ac:dyDescent="0.3">
      <c r="A136" s="82" t="s">
        <v>136</v>
      </c>
      <c r="B136" s="83"/>
      <c r="C136" s="45">
        <v>0</v>
      </c>
      <c r="D136" s="20">
        <f ca="1">((100/(H124))*C136)/100</f>
        <v>0</v>
      </c>
      <c r="E136" s="77"/>
      <c r="F136" s="78"/>
      <c r="G136" s="77"/>
      <c r="H136" s="81"/>
      <c r="I136" s="15" t="s">
        <v>105</v>
      </c>
      <c r="J136" s="32">
        <f ca="1">(IF(B124&gt;1.5,(H124/(B124+2)+J130+MAX(0,J131-J130)+MAX(0,J132-J131)+MAX(0,J133-J132)+MAX(0,J134-J133)+MAX(0,J135-J134)),IF(B124=1,(H124/(B124+3)+J135),IF(B124=0,H124/4+J135))))</f>
        <v>7</v>
      </c>
    </row>
    <row r="137" spans="1:10" x14ac:dyDescent="0.25">
      <c r="A137" s="204" t="s">
        <v>162</v>
      </c>
      <c r="B137" s="204"/>
      <c r="C137" s="204"/>
      <c r="D137" s="204"/>
      <c r="E137" s="204"/>
      <c r="F137" s="105" t="s">
        <v>166</v>
      </c>
      <c r="G137" s="105"/>
      <c r="H137" s="105"/>
    </row>
    <row r="138" spans="1:10" x14ac:dyDescent="0.25">
      <c r="A138" s="121" t="s">
        <v>164</v>
      </c>
      <c r="B138" s="121"/>
      <c r="C138" s="121"/>
      <c r="D138" s="121"/>
      <c r="E138" s="121"/>
      <c r="F138" s="118">
        <v>3250</v>
      </c>
      <c r="G138" s="118"/>
      <c r="H138" s="118"/>
      <c r="J138" s="21" t="s">
        <v>282</v>
      </c>
    </row>
    <row r="139" spans="1:10" hidden="1" x14ac:dyDescent="0.25">
      <c r="A139" s="121" t="s">
        <v>163</v>
      </c>
      <c r="B139" s="121"/>
      <c r="C139" s="121"/>
      <c r="D139" s="121"/>
      <c r="E139" s="121"/>
      <c r="F139" s="118"/>
      <c r="G139" s="118"/>
      <c r="H139" s="118"/>
    </row>
    <row r="140" spans="1:10" hidden="1" x14ac:dyDescent="0.25">
      <c r="A140" s="121" t="s">
        <v>165</v>
      </c>
      <c r="B140" s="121"/>
      <c r="C140" s="121"/>
      <c r="D140" s="121"/>
      <c r="E140" s="121"/>
      <c r="F140" s="118"/>
      <c r="G140" s="118"/>
      <c r="H140" s="118"/>
    </row>
    <row r="141" spans="1:10" s="33" customFormat="1" hidden="1" x14ac:dyDescent="0.25">
      <c r="A141" s="121" t="s">
        <v>179</v>
      </c>
      <c r="B141" s="121"/>
      <c r="C141" s="121"/>
      <c r="D141" s="121"/>
      <c r="E141" s="121"/>
      <c r="F141" s="118"/>
      <c r="G141" s="118"/>
      <c r="H141" s="118"/>
    </row>
    <row r="142" spans="1:10" s="33" customFormat="1" hidden="1" x14ac:dyDescent="0.25">
      <c r="A142" s="121" t="s">
        <v>95</v>
      </c>
      <c r="B142" s="121"/>
      <c r="C142" s="121"/>
      <c r="D142" s="121"/>
      <c r="E142" s="121"/>
      <c r="F142" s="118"/>
      <c r="G142" s="118"/>
      <c r="H142" s="118"/>
    </row>
    <row r="143" spans="1:10" s="33" customFormat="1" hidden="1" x14ac:dyDescent="0.25">
      <c r="A143" s="121" t="s">
        <v>96</v>
      </c>
      <c r="B143" s="121"/>
      <c r="C143" s="121"/>
      <c r="D143" s="121"/>
      <c r="E143" s="121"/>
      <c r="F143" s="118"/>
      <c r="G143" s="118"/>
      <c r="H143" s="118"/>
    </row>
    <row r="144" spans="1:10" s="33" customFormat="1" hidden="1" x14ac:dyDescent="0.25">
      <c r="A144" s="121" t="s">
        <v>167</v>
      </c>
      <c r="B144" s="121"/>
      <c r="C144" s="121"/>
      <c r="D144" s="121"/>
      <c r="E144" s="121"/>
      <c r="F144" s="118"/>
      <c r="G144" s="118"/>
      <c r="H144" s="118"/>
    </row>
    <row r="145" spans="1:8" s="33" customFormat="1" hidden="1" x14ac:dyDescent="0.25">
      <c r="A145" s="121" t="s">
        <v>97</v>
      </c>
      <c r="B145" s="121"/>
      <c r="C145" s="121"/>
      <c r="D145" s="121"/>
      <c r="E145" s="121"/>
      <c r="F145" s="118"/>
      <c r="G145" s="118"/>
      <c r="H145" s="118"/>
    </row>
    <row r="146" spans="1:8" s="33" customFormat="1" hidden="1" x14ac:dyDescent="0.25">
      <c r="A146" s="121" t="s">
        <v>98</v>
      </c>
      <c r="B146" s="121"/>
      <c r="C146" s="121"/>
      <c r="D146" s="121"/>
      <c r="E146" s="121"/>
      <c r="F146" s="118"/>
      <c r="G146" s="118"/>
      <c r="H146" s="118"/>
    </row>
    <row r="147" spans="1:8" s="33" customFormat="1" hidden="1" x14ac:dyDescent="0.25">
      <c r="A147" s="121" t="s">
        <v>99</v>
      </c>
      <c r="B147" s="121"/>
      <c r="C147" s="121"/>
      <c r="D147" s="121"/>
      <c r="E147" s="121"/>
      <c r="F147" s="118"/>
      <c r="G147" s="118"/>
      <c r="H147" s="118"/>
    </row>
    <row r="148" spans="1:8" s="33" customFormat="1" hidden="1" x14ac:dyDescent="0.25">
      <c r="A148" s="121" t="s">
        <v>100</v>
      </c>
      <c r="B148" s="121"/>
      <c r="C148" s="121"/>
      <c r="D148" s="121"/>
      <c r="E148" s="121"/>
      <c r="F148" s="118"/>
      <c r="G148" s="118"/>
      <c r="H148" s="118"/>
    </row>
    <row r="149" spans="1:8" x14ac:dyDescent="0.25">
      <c r="A149" s="121" t="s">
        <v>51</v>
      </c>
      <c r="B149" s="121"/>
      <c r="C149" s="121"/>
      <c r="D149" s="121"/>
      <c r="E149" s="121"/>
      <c r="F149" s="118">
        <v>100000</v>
      </c>
      <c r="G149" s="118"/>
      <c r="H149" s="118"/>
    </row>
    <row r="150" spans="1:8" s="34" customFormat="1" x14ac:dyDescent="0.25">
      <c r="A150" s="177" t="s">
        <v>52</v>
      </c>
      <c r="B150" s="177"/>
      <c r="C150" s="177"/>
      <c r="D150" s="177"/>
      <c r="E150" s="177"/>
      <c r="F150" s="118">
        <f>F138*0.8</f>
        <v>2600</v>
      </c>
      <c r="G150" s="118"/>
      <c r="H150" s="118"/>
    </row>
    <row r="151" spans="1:8" s="35" customFormat="1" ht="15.75" hidden="1" customHeight="1" x14ac:dyDescent="0.25">
      <c r="A151" s="176" t="s">
        <v>75</v>
      </c>
      <c r="B151" s="176"/>
      <c r="C151" s="176"/>
      <c r="D151" s="176"/>
      <c r="E151" s="176"/>
      <c r="F151" s="176"/>
      <c r="G151" s="176"/>
      <c r="H151" s="176"/>
    </row>
    <row r="152" spans="1:8" s="35" customFormat="1" ht="15.75" hidden="1" customHeight="1" x14ac:dyDescent="0.25">
      <c r="A152" s="120" t="s">
        <v>53</v>
      </c>
      <c r="B152" s="120"/>
      <c r="C152" s="126" t="s">
        <v>78</v>
      </c>
      <c r="D152" s="126"/>
      <c r="E152" s="125" t="s">
        <v>54</v>
      </c>
      <c r="F152" s="125"/>
      <c r="G152" s="120" t="s">
        <v>55</v>
      </c>
      <c r="H152" s="120"/>
    </row>
    <row r="153" spans="1:8" s="35" customFormat="1" hidden="1" x14ac:dyDescent="0.25">
      <c r="A153" s="101"/>
      <c r="B153" s="101"/>
      <c r="C153" s="197"/>
      <c r="D153" s="197"/>
      <c r="E153" s="198"/>
      <c r="F153" s="198"/>
      <c r="G153" s="166"/>
      <c r="H153" s="166"/>
    </row>
    <row r="154" spans="1:8" s="35" customFormat="1" hidden="1" x14ac:dyDescent="0.25">
      <c r="A154" s="101"/>
      <c r="B154" s="101"/>
      <c r="C154" s="197"/>
      <c r="D154" s="197"/>
      <c r="E154" s="198"/>
      <c r="F154" s="198"/>
      <c r="G154" s="166"/>
      <c r="H154" s="166"/>
    </row>
    <row r="155" spans="1:8" s="35" customFormat="1" hidden="1" x14ac:dyDescent="0.25">
      <c r="A155" s="176" t="s">
        <v>155</v>
      </c>
      <c r="B155" s="176"/>
      <c r="C155" s="126"/>
      <c r="D155" s="126"/>
      <c r="E155" s="125"/>
      <c r="F155" s="125"/>
      <c r="G155" s="120"/>
      <c r="H155" s="120"/>
    </row>
    <row r="156" spans="1:8" s="35" customFormat="1" x14ac:dyDescent="0.25">
      <c r="A156" s="176" t="s">
        <v>70</v>
      </c>
      <c r="B156" s="176"/>
      <c r="C156" s="176"/>
      <c r="D156" s="176"/>
      <c r="E156" s="176"/>
      <c r="F156" s="176"/>
      <c r="G156" s="176"/>
      <c r="H156" s="176"/>
    </row>
    <row r="157" spans="1:8" s="35" customFormat="1" ht="15.75" customHeight="1" x14ac:dyDescent="0.25">
      <c r="A157" s="120" t="s">
        <v>53</v>
      </c>
      <c r="B157" s="120"/>
      <c r="C157" s="126" t="s">
        <v>78</v>
      </c>
      <c r="D157" s="126"/>
      <c r="E157" s="125" t="s">
        <v>54</v>
      </c>
      <c r="F157" s="125"/>
      <c r="G157" s="120" t="s">
        <v>55</v>
      </c>
      <c r="H157" s="120"/>
    </row>
    <row r="158" spans="1:8" s="35" customFormat="1" x14ac:dyDescent="0.25">
      <c r="A158" s="101" t="s">
        <v>260</v>
      </c>
      <c r="B158" s="101"/>
      <c r="C158" s="102">
        <f>COUNT(D181:D190)*7</f>
        <v>70</v>
      </c>
      <c r="D158" s="102"/>
      <c r="E158" s="102">
        <f>SUM(D181:D190)*7</f>
        <v>30048.405660000004</v>
      </c>
      <c r="F158" s="102"/>
      <c r="G158" s="102">
        <f>SUM(F181:F190)*7</f>
        <v>43570.188206999999</v>
      </c>
      <c r="H158" s="102"/>
    </row>
    <row r="159" spans="1:8" s="35" customFormat="1" x14ac:dyDescent="0.25">
      <c r="A159" s="101" t="s">
        <v>266</v>
      </c>
      <c r="B159" s="101"/>
      <c r="C159" s="102">
        <f>COUNT(D194:D199)*7</f>
        <v>42</v>
      </c>
      <c r="D159" s="102"/>
      <c r="E159" s="102">
        <f>SUM(D194:D199)*7</f>
        <v>20822.796539999999</v>
      </c>
      <c r="F159" s="102"/>
      <c r="G159" s="102">
        <f>SUM(F194:F199)*7</f>
        <v>30193.054982999995</v>
      </c>
      <c r="H159" s="102"/>
    </row>
    <row r="160" spans="1:8" s="35" customFormat="1" x14ac:dyDescent="0.25">
      <c r="A160" s="101" t="s">
        <v>268</v>
      </c>
      <c r="B160" s="101"/>
      <c r="C160" s="102">
        <f>COUNT(D203:D210)*7</f>
        <v>56</v>
      </c>
      <c r="D160" s="102"/>
      <c r="E160" s="102">
        <f>SUM(D203:D210)*7</f>
        <v>28093.501799999998</v>
      </c>
      <c r="F160" s="102"/>
      <c r="G160" s="102">
        <f>SUM(F203:F210)*7</f>
        <v>40735.57761</v>
      </c>
      <c r="H160" s="102"/>
    </row>
    <row r="161" spans="1:14" s="35" customFormat="1" x14ac:dyDescent="0.25">
      <c r="A161" s="101" t="s">
        <v>270</v>
      </c>
      <c r="B161" s="101"/>
      <c r="C161" s="102">
        <f>COUNT(D215:D225)*7</f>
        <v>77</v>
      </c>
      <c r="D161" s="102"/>
      <c r="E161" s="102">
        <f>SUM(D215:D225)*7</f>
        <v>34957.892969999994</v>
      </c>
      <c r="F161" s="102"/>
      <c r="G161" s="102">
        <f>SUM(F215:F225)*7</f>
        <v>50688.944806499996</v>
      </c>
      <c r="H161" s="102"/>
    </row>
    <row r="162" spans="1:14" s="35" customFormat="1" ht="16.5" thickBot="1" x14ac:dyDescent="0.3">
      <c r="A162" s="103" t="s">
        <v>271</v>
      </c>
      <c r="B162" s="103"/>
      <c r="C162" s="104">
        <f>COUNT(D229:D234)*7</f>
        <v>42</v>
      </c>
      <c r="D162" s="104"/>
      <c r="E162" s="104">
        <f>SUM(D229:D234)*7</f>
        <v>22275.317610000002</v>
      </c>
      <c r="F162" s="104"/>
      <c r="G162" s="104">
        <f>SUM(F229:F234)*7</f>
        <v>32299.210534500002</v>
      </c>
      <c r="H162" s="104"/>
    </row>
    <row r="163" spans="1:14" s="35" customFormat="1" ht="16.5" thickBot="1" x14ac:dyDescent="0.3">
      <c r="A163" s="205" t="s">
        <v>155</v>
      </c>
      <c r="B163" s="206"/>
      <c r="C163" s="167">
        <f>SUM(C158:C162)</f>
        <v>287</v>
      </c>
      <c r="D163" s="168"/>
      <c r="E163" s="207">
        <f>SUM(E158:E162)</f>
        <v>136197.91457999998</v>
      </c>
      <c r="F163" s="208"/>
      <c r="G163" s="209">
        <f>SUM(G158:G162)</f>
        <v>197486.97614099999</v>
      </c>
      <c r="H163" s="210"/>
    </row>
    <row r="164" spans="1:14" s="35" customFormat="1" ht="16.5" hidden="1" thickBot="1" x14ac:dyDescent="0.3">
      <c r="A164" s="135" t="s">
        <v>172</v>
      </c>
      <c r="B164" s="136"/>
      <c r="C164" s="137">
        <f>C155+C163</f>
        <v>287</v>
      </c>
      <c r="D164" s="137"/>
      <c r="E164" s="138">
        <f>E155+E163</f>
        <v>136197.91457999998</v>
      </c>
      <c r="F164" s="138"/>
      <c r="G164" s="139">
        <f>G155+G163</f>
        <v>197486.97614099999</v>
      </c>
      <c r="H164" s="140"/>
    </row>
    <row r="165" spans="1:14" s="34" customFormat="1" x14ac:dyDescent="0.25">
      <c r="A165" s="105" t="s">
        <v>56</v>
      </c>
      <c r="B165" s="105"/>
      <c r="C165" s="105"/>
      <c r="D165" s="105"/>
      <c r="E165" s="105"/>
      <c r="F165" s="105"/>
      <c r="G165" s="105"/>
      <c r="H165" s="105"/>
    </row>
    <row r="166" spans="1:14" x14ac:dyDescent="0.25">
      <c r="A166" s="119" t="s">
        <v>258</v>
      </c>
      <c r="B166" s="119"/>
      <c r="C166" s="119"/>
      <c r="D166" s="119"/>
      <c r="E166" s="119"/>
      <c r="F166" s="119"/>
      <c r="G166" s="119"/>
      <c r="H166" s="119"/>
    </row>
    <row r="167" spans="1:14" ht="47.25" hidden="1" customHeight="1" x14ac:dyDescent="0.25">
      <c r="A167" s="158" t="s">
        <v>122</v>
      </c>
      <c r="B167" s="158" t="s">
        <v>180</v>
      </c>
      <c r="C167" s="158" t="s">
        <v>57</v>
      </c>
      <c r="D167" s="158" t="s">
        <v>58</v>
      </c>
      <c r="E167" s="160" t="s">
        <v>161</v>
      </c>
      <c r="F167" s="43" t="s">
        <v>153</v>
      </c>
      <c r="G167" s="162" t="s">
        <v>60</v>
      </c>
      <c r="H167" s="163"/>
    </row>
    <row r="168" spans="1:14" s="37" customFormat="1" hidden="1" x14ac:dyDescent="0.25">
      <c r="A168" s="159"/>
      <c r="B168" s="159"/>
      <c r="C168" s="159"/>
      <c r="D168" s="159"/>
      <c r="E168" s="161"/>
      <c r="F168" s="13">
        <v>0.45</v>
      </c>
      <c r="G168" s="164"/>
      <c r="H168" s="165"/>
    </row>
    <row r="169" spans="1:14" s="37" customFormat="1" hidden="1" x14ac:dyDescent="0.25">
      <c r="A169" s="95" t="s">
        <v>120</v>
      </c>
      <c r="B169" s="96"/>
      <c r="C169" s="96"/>
      <c r="D169" s="96"/>
      <c r="E169" s="96"/>
      <c r="F169" s="96"/>
      <c r="G169" s="96"/>
      <c r="H169" s="97"/>
      <c r="J169" s="36"/>
    </row>
    <row r="170" spans="1:14" s="37" customFormat="1" hidden="1" x14ac:dyDescent="0.25">
      <c r="A170" s="86">
        <v>1</v>
      </c>
      <c r="B170" s="87"/>
      <c r="C170" s="42"/>
      <c r="D170" s="42"/>
      <c r="E170" s="42">
        <v>0</v>
      </c>
      <c r="F170" s="42">
        <f>(D170+E170)*(($F$168)+1)</f>
        <v>0</v>
      </c>
      <c r="G170" s="86" t="str">
        <f>A169</f>
        <v>Ground Floor</v>
      </c>
      <c r="H170" s="87"/>
      <c r="I170" s="36"/>
      <c r="L170" s="88"/>
      <c r="M170" s="88"/>
      <c r="N170" s="36"/>
    </row>
    <row r="171" spans="1:14" s="37" customFormat="1" hidden="1" x14ac:dyDescent="0.25">
      <c r="A171" s="86">
        <f t="shared" ref="A171:A173" si="0">A170+1</f>
        <v>2</v>
      </c>
      <c r="B171" s="87"/>
      <c r="C171" s="42"/>
      <c r="D171" s="42"/>
      <c r="E171" s="42">
        <v>0</v>
      </c>
      <c r="F171" s="42">
        <f t="shared" ref="F171:F173" si="1">(D171+E171)*(($F$168)+1)</f>
        <v>0</v>
      </c>
      <c r="G171" s="86" t="str">
        <f t="shared" ref="G171:G173" si="2">G170</f>
        <v>Ground Floor</v>
      </c>
      <c r="H171" s="87"/>
      <c r="I171" s="36"/>
      <c r="L171" s="88"/>
      <c r="M171" s="88"/>
      <c r="N171" s="36"/>
    </row>
    <row r="172" spans="1:14" s="37" customFormat="1" hidden="1" x14ac:dyDescent="0.25">
      <c r="A172" s="86">
        <f t="shared" si="0"/>
        <v>3</v>
      </c>
      <c r="B172" s="87"/>
      <c r="C172" s="42"/>
      <c r="D172" s="42"/>
      <c r="E172" s="42">
        <v>0</v>
      </c>
      <c r="F172" s="42">
        <f t="shared" si="1"/>
        <v>0</v>
      </c>
      <c r="G172" s="86" t="str">
        <f t="shared" si="2"/>
        <v>Ground Floor</v>
      </c>
      <c r="H172" s="87"/>
      <c r="I172" s="36"/>
      <c r="L172" s="88"/>
      <c r="M172" s="88"/>
      <c r="N172" s="36"/>
    </row>
    <row r="173" spans="1:14" s="37" customFormat="1" hidden="1" x14ac:dyDescent="0.25">
      <c r="A173" s="86">
        <f t="shared" si="0"/>
        <v>4</v>
      </c>
      <c r="B173" s="87"/>
      <c r="C173" s="42"/>
      <c r="D173" s="42"/>
      <c r="E173" s="42">
        <v>0</v>
      </c>
      <c r="F173" s="42">
        <f t="shared" si="1"/>
        <v>0</v>
      </c>
      <c r="G173" s="86" t="str">
        <f t="shared" si="2"/>
        <v>Ground Floor</v>
      </c>
      <c r="H173" s="87"/>
      <c r="I173" s="36"/>
      <c r="L173" s="88"/>
      <c r="M173" s="88"/>
      <c r="N173" s="36"/>
    </row>
    <row r="174" spans="1:14" s="37" customFormat="1" hidden="1" x14ac:dyDescent="0.25">
      <c r="A174" s="86"/>
      <c r="B174" s="173"/>
      <c r="C174" s="173"/>
      <c r="D174" s="173"/>
      <c r="E174" s="173"/>
      <c r="F174" s="173"/>
      <c r="G174" s="173"/>
      <c r="H174" s="87"/>
      <c r="I174" s="36"/>
      <c r="N174" s="36"/>
    </row>
    <row r="175" spans="1:14" ht="47.25" customHeight="1" x14ac:dyDescent="0.25">
      <c r="A175" s="162" t="s">
        <v>123</v>
      </c>
      <c r="B175" s="158" t="s">
        <v>181</v>
      </c>
      <c r="C175" s="158" t="s">
        <v>57</v>
      </c>
      <c r="D175" s="158" t="s">
        <v>58</v>
      </c>
      <c r="E175" s="160" t="s">
        <v>59</v>
      </c>
      <c r="F175" s="43" t="s">
        <v>153</v>
      </c>
      <c r="G175" s="162" t="s">
        <v>60</v>
      </c>
      <c r="H175" s="163"/>
      <c r="I175" s="36"/>
    </row>
    <row r="176" spans="1:14" s="37" customFormat="1" x14ac:dyDescent="0.25">
      <c r="A176" s="164"/>
      <c r="B176" s="159"/>
      <c r="C176" s="159"/>
      <c r="D176" s="159"/>
      <c r="E176" s="161"/>
      <c r="F176" s="13">
        <v>0.45</v>
      </c>
      <c r="G176" s="164"/>
      <c r="H176" s="165"/>
      <c r="I176" s="36"/>
    </row>
    <row r="177" spans="1:14" s="37" customFormat="1" x14ac:dyDescent="0.25">
      <c r="A177" s="95" t="s">
        <v>259</v>
      </c>
      <c r="B177" s="96"/>
      <c r="C177" s="96"/>
      <c r="D177" s="96"/>
      <c r="E177" s="96"/>
      <c r="F177" s="96"/>
      <c r="G177" s="96"/>
      <c r="H177" s="97"/>
      <c r="J177" s="36"/>
    </row>
    <row r="178" spans="1:14" s="37" customFormat="1" x14ac:dyDescent="0.25">
      <c r="A178" s="95" t="s">
        <v>260</v>
      </c>
      <c r="B178" s="96"/>
      <c r="C178" s="96"/>
      <c r="D178" s="96"/>
      <c r="E178" s="96"/>
      <c r="F178" s="96"/>
      <c r="G178" s="96"/>
      <c r="H178" s="97"/>
      <c r="J178" s="36"/>
    </row>
    <row r="179" spans="1:14" s="37" customFormat="1" x14ac:dyDescent="0.25">
      <c r="A179" s="95" t="s">
        <v>261</v>
      </c>
      <c r="B179" s="96"/>
      <c r="C179" s="96"/>
      <c r="D179" s="96"/>
      <c r="E179" s="96"/>
      <c r="F179" s="96"/>
      <c r="G179" s="96"/>
      <c r="H179" s="97"/>
      <c r="J179" s="36"/>
    </row>
    <row r="180" spans="1:14" s="37" customFormat="1" x14ac:dyDescent="0.25">
      <c r="A180" s="95" t="s">
        <v>262</v>
      </c>
      <c r="B180" s="96"/>
      <c r="C180" s="96"/>
      <c r="D180" s="96"/>
      <c r="E180" s="96"/>
      <c r="F180" s="96"/>
      <c r="G180" s="96"/>
      <c r="H180" s="97"/>
      <c r="J180" s="36"/>
    </row>
    <row r="181" spans="1:14" s="37" customFormat="1" ht="15.75" customHeight="1" x14ac:dyDescent="0.25">
      <c r="A181" s="86">
        <v>1</v>
      </c>
      <c r="B181" s="87"/>
      <c r="C181" s="57" t="s">
        <v>263</v>
      </c>
      <c r="D181" s="57">
        <f>(34.28+0.75*(2.75+2.3+2.75))*10.764</f>
        <v>431.95931999999999</v>
      </c>
      <c r="E181" s="42">
        <v>0</v>
      </c>
      <c r="F181" s="42">
        <f t="shared" ref="F181:F190" si="3">D181*(($F$176)+1)+(IF(E181&lt;101,E181,IF(E181&lt;201,E181/2,IF(E181&lt;=301,E181/3,E181/4))))</f>
        <v>626.34101399999997</v>
      </c>
      <c r="G181" s="89" t="str">
        <f>A180</f>
        <v>1st to 7th Floor For Residential</v>
      </c>
      <c r="H181" s="90"/>
      <c r="I181" s="36"/>
      <c r="L181" s="88"/>
      <c r="M181" s="88"/>
      <c r="N181" s="36"/>
    </row>
    <row r="182" spans="1:14" s="37" customFormat="1" ht="15.75" customHeight="1" x14ac:dyDescent="0.25">
      <c r="A182" s="86">
        <f t="shared" ref="A182:A190" si="4">A181+1</f>
        <v>2</v>
      </c>
      <c r="B182" s="87"/>
      <c r="C182" s="57" t="s">
        <v>264</v>
      </c>
      <c r="D182" s="57">
        <f>(46.25+0.75*(2.75+2.3+3.05+3.1))*10.764</f>
        <v>588.25259999999992</v>
      </c>
      <c r="E182" s="42">
        <v>0</v>
      </c>
      <c r="F182" s="42">
        <f t="shared" si="3"/>
        <v>852.96626999999989</v>
      </c>
      <c r="G182" s="91"/>
      <c r="H182" s="92"/>
      <c r="I182" s="36"/>
      <c r="L182" s="88"/>
      <c r="M182" s="88"/>
      <c r="N182" s="36"/>
    </row>
    <row r="183" spans="1:14" s="37" customFormat="1" ht="15.75" customHeight="1" x14ac:dyDescent="0.25">
      <c r="A183" s="86">
        <f t="shared" si="4"/>
        <v>3</v>
      </c>
      <c r="B183" s="87"/>
      <c r="C183" s="57" t="s">
        <v>264</v>
      </c>
      <c r="D183" s="57">
        <f>(45.46+0.75*(2.75+2.3))*10.764</f>
        <v>530.10009000000002</v>
      </c>
      <c r="E183" s="42">
        <v>0</v>
      </c>
      <c r="F183" s="42">
        <f t="shared" si="3"/>
        <v>768.64513050000005</v>
      </c>
      <c r="G183" s="91"/>
      <c r="H183" s="92"/>
      <c r="I183" s="36"/>
      <c r="L183" s="88"/>
      <c r="M183" s="88"/>
      <c r="N183" s="36"/>
    </row>
    <row r="184" spans="1:14" s="37" customFormat="1" ht="15.75" customHeight="1" x14ac:dyDescent="0.25">
      <c r="A184" s="86">
        <f t="shared" si="4"/>
        <v>4</v>
      </c>
      <c r="B184" s="87"/>
      <c r="C184" s="57" t="s">
        <v>263</v>
      </c>
      <c r="D184" s="57">
        <f>(34.09+0.75*(2.75))*10.764</f>
        <v>389.14551</v>
      </c>
      <c r="E184" s="42">
        <v>0</v>
      </c>
      <c r="F184" s="42">
        <f t="shared" si="3"/>
        <v>564.26098949999994</v>
      </c>
      <c r="G184" s="91"/>
      <c r="H184" s="92"/>
      <c r="I184" s="36"/>
      <c r="L184" s="88"/>
      <c r="M184" s="88"/>
      <c r="N184" s="36"/>
    </row>
    <row r="185" spans="1:14" s="37" customFormat="1" ht="15.75" customHeight="1" x14ac:dyDescent="0.25">
      <c r="A185" s="86">
        <f t="shared" si="4"/>
        <v>5</v>
      </c>
      <c r="B185" s="87"/>
      <c r="C185" s="57" t="s">
        <v>263</v>
      </c>
      <c r="D185" s="57">
        <f>(34.09+0.75*(2.75))*10.764</f>
        <v>389.14551</v>
      </c>
      <c r="E185" s="42">
        <v>0</v>
      </c>
      <c r="F185" s="42">
        <f t="shared" si="3"/>
        <v>564.26098949999994</v>
      </c>
      <c r="G185" s="91"/>
      <c r="H185" s="92"/>
      <c r="I185" s="36"/>
      <c r="J185" s="37">
        <f>1700000/F185</f>
        <v>3012.7902364939232</v>
      </c>
      <c r="L185" s="88"/>
      <c r="M185" s="88"/>
      <c r="N185" s="36"/>
    </row>
    <row r="186" spans="1:14" s="37" customFormat="1" ht="15.75" customHeight="1" x14ac:dyDescent="0.25">
      <c r="A186" s="86">
        <f t="shared" si="4"/>
        <v>6</v>
      </c>
      <c r="B186" s="87"/>
      <c r="C186" s="57" t="s">
        <v>263</v>
      </c>
      <c r="D186" s="57">
        <f>(34.26+0.75*(2.75+2.75))*10.764</f>
        <v>413.17613999999998</v>
      </c>
      <c r="E186" s="42">
        <v>0</v>
      </c>
      <c r="F186" s="42">
        <f t="shared" si="3"/>
        <v>599.10540299999991</v>
      </c>
      <c r="G186" s="91"/>
      <c r="H186" s="92"/>
      <c r="I186" s="36"/>
      <c r="L186" s="88"/>
      <c r="M186" s="88"/>
      <c r="N186" s="36"/>
    </row>
    <row r="187" spans="1:14" s="37" customFormat="1" ht="15.75" customHeight="1" x14ac:dyDescent="0.25">
      <c r="A187" s="86">
        <f t="shared" si="4"/>
        <v>7</v>
      </c>
      <c r="B187" s="87"/>
      <c r="C187" s="57" t="s">
        <v>265</v>
      </c>
      <c r="D187" s="57">
        <f>(23.22+0.75*(2.75+2.3))*10.764</f>
        <v>290.70873</v>
      </c>
      <c r="E187" s="42">
        <v>0</v>
      </c>
      <c r="F187" s="42">
        <f t="shared" si="3"/>
        <v>421.52765849999997</v>
      </c>
      <c r="G187" s="91"/>
      <c r="H187" s="92"/>
      <c r="I187" s="36"/>
      <c r="L187" s="88"/>
      <c r="M187" s="88"/>
      <c r="N187" s="36"/>
    </row>
    <row r="188" spans="1:14" s="37" customFormat="1" ht="15.75" customHeight="1" x14ac:dyDescent="0.25">
      <c r="A188" s="86">
        <f t="shared" si="4"/>
        <v>8</v>
      </c>
      <c r="B188" s="87"/>
      <c r="C188" s="57" t="s">
        <v>263</v>
      </c>
      <c r="D188" s="57">
        <f>(37.34+0.75*(2.75+2.1))*10.764</f>
        <v>441.08181000000002</v>
      </c>
      <c r="E188" s="42">
        <v>0</v>
      </c>
      <c r="F188" s="42">
        <f t="shared" si="3"/>
        <v>639.56862450000006</v>
      </c>
      <c r="G188" s="91"/>
      <c r="H188" s="92"/>
      <c r="I188" s="36"/>
      <c r="J188" s="37">
        <f>1900000/F188</f>
        <v>2970.7523590379001</v>
      </c>
      <c r="L188" s="88"/>
      <c r="M188" s="88"/>
      <c r="N188" s="36"/>
    </row>
    <row r="189" spans="1:14" s="37" customFormat="1" ht="15.75" customHeight="1" x14ac:dyDescent="0.25">
      <c r="A189" s="86">
        <f t="shared" si="4"/>
        <v>9</v>
      </c>
      <c r="B189" s="87"/>
      <c r="C189" s="57" t="s">
        <v>263</v>
      </c>
      <c r="D189" s="57">
        <f>(34.09+0.75*(2.75))*10.764</f>
        <v>389.14551</v>
      </c>
      <c r="E189" s="42">
        <v>0</v>
      </c>
      <c r="F189" s="42">
        <f t="shared" si="3"/>
        <v>564.26098949999994</v>
      </c>
      <c r="G189" s="91"/>
      <c r="H189" s="92"/>
      <c r="I189" s="36"/>
      <c r="L189" s="88"/>
      <c r="M189" s="88"/>
      <c r="N189" s="36"/>
    </row>
    <row r="190" spans="1:14" s="37" customFormat="1" ht="15.75" customHeight="1" x14ac:dyDescent="0.25">
      <c r="A190" s="86">
        <f t="shared" si="4"/>
        <v>10</v>
      </c>
      <c r="B190" s="87"/>
      <c r="C190" s="57" t="s">
        <v>263</v>
      </c>
      <c r="D190" s="57">
        <f>(34.09+0.75*(2.75+2.3+2.75))*10.764</f>
        <v>429.91416000000004</v>
      </c>
      <c r="E190" s="42">
        <v>0</v>
      </c>
      <c r="F190" s="42">
        <f t="shared" si="3"/>
        <v>623.37553200000002</v>
      </c>
      <c r="G190" s="93"/>
      <c r="H190" s="94"/>
      <c r="I190" s="36"/>
      <c r="L190" s="88"/>
      <c r="M190" s="88"/>
      <c r="N190" s="36"/>
    </row>
    <row r="191" spans="1:14" s="37" customFormat="1" x14ac:dyDescent="0.25">
      <c r="A191" s="95" t="s">
        <v>266</v>
      </c>
      <c r="B191" s="96"/>
      <c r="C191" s="96"/>
      <c r="D191" s="96"/>
      <c r="E191" s="96"/>
      <c r="F191" s="96"/>
      <c r="G191" s="96"/>
      <c r="H191" s="97"/>
      <c r="J191" s="36"/>
    </row>
    <row r="192" spans="1:14" s="37" customFormat="1" x14ac:dyDescent="0.25">
      <c r="A192" s="95" t="s">
        <v>267</v>
      </c>
      <c r="B192" s="96"/>
      <c r="C192" s="96"/>
      <c r="D192" s="96"/>
      <c r="E192" s="96"/>
      <c r="F192" s="96"/>
      <c r="G192" s="96"/>
      <c r="H192" s="97"/>
      <c r="J192" s="36"/>
    </row>
    <row r="193" spans="1:14" s="37" customFormat="1" x14ac:dyDescent="0.25">
      <c r="A193" s="95" t="s">
        <v>262</v>
      </c>
      <c r="B193" s="96"/>
      <c r="C193" s="96"/>
      <c r="D193" s="96"/>
      <c r="E193" s="96"/>
      <c r="F193" s="96"/>
      <c r="G193" s="96"/>
      <c r="H193" s="97"/>
      <c r="J193" s="36"/>
    </row>
    <row r="194" spans="1:14" s="37" customFormat="1" ht="15.75" customHeight="1" x14ac:dyDescent="0.25">
      <c r="A194" s="86">
        <v>1</v>
      </c>
      <c r="B194" s="87"/>
      <c r="C194" s="57" t="s">
        <v>264</v>
      </c>
      <c r="D194" s="57">
        <f>(47.9+0.75*(2.75+2.3+2.75+1.5))*10.764</f>
        <v>590.67449999999997</v>
      </c>
      <c r="E194" s="42">
        <v>0</v>
      </c>
      <c r="F194" s="42">
        <f t="shared" ref="F194:F199" si="5">D194*(($F$176)+1)+(IF(E194&lt;101,E194,IF(E194&lt;201,E194/2,IF(E194&lt;=301,E194/3,E194/4))))</f>
        <v>856.47802499999989</v>
      </c>
      <c r="G194" s="89" t="str">
        <f>A193</f>
        <v>1st to 7th Floor For Residential</v>
      </c>
      <c r="H194" s="90"/>
      <c r="I194" s="36"/>
      <c r="L194" s="88"/>
      <c r="M194" s="88"/>
      <c r="N194" s="36"/>
    </row>
    <row r="195" spans="1:14" s="37" customFormat="1" ht="15.75" customHeight="1" x14ac:dyDescent="0.25">
      <c r="A195" s="86">
        <f t="shared" ref="A195:A199" si="6">A194+1</f>
        <v>2</v>
      </c>
      <c r="B195" s="87"/>
      <c r="C195" s="57" t="s">
        <v>264</v>
      </c>
      <c r="D195" s="57">
        <f>(47.9+0.75*(2.75+2.3+2.75+1.5))*10.764</f>
        <v>590.67449999999997</v>
      </c>
      <c r="E195" s="42">
        <v>0</v>
      </c>
      <c r="F195" s="42">
        <f t="shared" si="5"/>
        <v>856.47802499999989</v>
      </c>
      <c r="G195" s="91"/>
      <c r="H195" s="92"/>
      <c r="I195" s="36"/>
      <c r="L195" s="88"/>
      <c r="M195" s="88"/>
      <c r="N195" s="36"/>
    </row>
    <row r="196" spans="1:14" s="37" customFormat="1" ht="15.75" customHeight="1" x14ac:dyDescent="0.25">
      <c r="A196" s="86">
        <f t="shared" si="6"/>
        <v>3</v>
      </c>
      <c r="B196" s="87"/>
      <c r="C196" s="57" t="s">
        <v>263</v>
      </c>
      <c r="D196" s="57">
        <f>(42.09+0.75*(2.75+2.75))*10.764</f>
        <v>497.45826</v>
      </c>
      <c r="E196" s="42">
        <v>0</v>
      </c>
      <c r="F196" s="42">
        <f t="shared" si="5"/>
        <v>721.31447700000001</v>
      </c>
      <c r="G196" s="91"/>
      <c r="H196" s="92"/>
      <c r="I196" s="36"/>
      <c r="L196" s="88"/>
      <c r="M196" s="88"/>
      <c r="N196" s="36"/>
    </row>
    <row r="197" spans="1:14" s="37" customFormat="1" ht="15.75" customHeight="1" x14ac:dyDescent="0.25">
      <c r="A197" s="86">
        <f t="shared" si="6"/>
        <v>4</v>
      </c>
      <c r="B197" s="87"/>
      <c r="C197" s="57" t="s">
        <v>263</v>
      </c>
      <c r="D197" s="57">
        <f>(34.28+0.75*(2.75+2.3+2.75))*10.764</f>
        <v>431.95931999999999</v>
      </c>
      <c r="E197" s="42">
        <v>0</v>
      </c>
      <c r="F197" s="42">
        <f t="shared" si="5"/>
        <v>626.34101399999997</v>
      </c>
      <c r="G197" s="91"/>
      <c r="H197" s="92"/>
      <c r="I197" s="36"/>
      <c r="L197" s="88"/>
      <c r="M197" s="88"/>
      <c r="N197" s="36"/>
    </row>
    <row r="198" spans="1:14" s="37" customFormat="1" ht="15.75" customHeight="1" x14ac:dyDescent="0.25">
      <c r="A198" s="86">
        <f t="shared" si="6"/>
        <v>5</v>
      </c>
      <c r="B198" s="87"/>
      <c r="C198" s="57" t="s">
        <v>263</v>
      </c>
      <c r="D198" s="57">
        <f>(34.28+0.75*(2.75+2.3+2.75))*10.764</f>
        <v>431.95931999999999</v>
      </c>
      <c r="E198" s="42">
        <v>0</v>
      </c>
      <c r="F198" s="42">
        <f t="shared" si="5"/>
        <v>626.34101399999997</v>
      </c>
      <c r="G198" s="91"/>
      <c r="H198" s="92"/>
      <c r="I198" s="36"/>
      <c r="L198" s="88"/>
      <c r="M198" s="88"/>
      <c r="N198" s="36"/>
    </row>
    <row r="199" spans="1:14" s="37" customFormat="1" ht="15.75" customHeight="1" x14ac:dyDescent="0.25">
      <c r="A199" s="86">
        <f t="shared" si="6"/>
        <v>6</v>
      </c>
      <c r="B199" s="87"/>
      <c r="C199" s="57" t="s">
        <v>263</v>
      </c>
      <c r="D199" s="57">
        <f>(34.28+0.75*(2.75+2.3+2.75))*10.764</f>
        <v>431.95931999999999</v>
      </c>
      <c r="E199" s="42">
        <v>0</v>
      </c>
      <c r="F199" s="42">
        <f t="shared" si="5"/>
        <v>626.34101399999997</v>
      </c>
      <c r="G199" s="93"/>
      <c r="H199" s="94"/>
      <c r="I199" s="36"/>
      <c r="L199" s="88"/>
      <c r="M199" s="88"/>
      <c r="N199" s="36"/>
    </row>
    <row r="200" spans="1:14" s="37" customFormat="1" x14ac:dyDescent="0.25">
      <c r="A200" s="95" t="s">
        <v>268</v>
      </c>
      <c r="B200" s="96"/>
      <c r="C200" s="96"/>
      <c r="D200" s="96"/>
      <c r="E200" s="96"/>
      <c r="F200" s="96"/>
      <c r="G200" s="96"/>
      <c r="H200" s="97"/>
      <c r="J200" s="36"/>
    </row>
    <row r="201" spans="1:14" s="37" customFormat="1" x14ac:dyDescent="0.25">
      <c r="A201" s="95" t="s">
        <v>261</v>
      </c>
      <c r="B201" s="96"/>
      <c r="C201" s="96"/>
      <c r="D201" s="96"/>
      <c r="E201" s="96"/>
      <c r="F201" s="96"/>
      <c r="G201" s="96"/>
      <c r="H201" s="97"/>
      <c r="J201" s="36"/>
    </row>
    <row r="202" spans="1:14" s="37" customFormat="1" x14ac:dyDescent="0.25">
      <c r="A202" s="95" t="s">
        <v>262</v>
      </c>
      <c r="B202" s="96"/>
      <c r="C202" s="96"/>
      <c r="D202" s="96"/>
      <c r="E202" s="96"/>
      <c r="F202" s="96"/>
      <c r="G202" s="96"/>
      <c r="H202" s="97"/>
      <c r="J202" s="36"/>
    </row>
    <row r="203" spans="1:14" s="37" customFormat="1" ht="15.75" customHeight="1" x14ac:dyDescent="0.25">
      <c r="A203" s="86">
        <v>1</v>
      </c>
      <c r="B203" s="87"/>
      <c r="C203" s="57" t="s">
        <v>263</v>
      </c>
      <c r="D203" s="57">
        <f>(34.09+0.75*(2.75+2.3+2.75))*10.764</f>
        <v>429.91416000000004</v>
      </c>
      <c r="E203" s="42">
        <v>0</v>
      </c>
      <c r="F203" s="42">
        <f t="shared" ref="F203:F210" si="7">D203*(($F$176)+1)+(IF(E203&lt;101,E203,IF(E203&lt;201,E203/2,IF(E203&lt;=301,E203/3,E203/4))))</f>
        <v>623.37553200000002</v>
      </c>
      <c r="G203" s="89" t="str">
        <f>A202</f>
        <v>1st to 7th Floor For Residential</v>
      </c>
      <c r="H203" s="90"/>
      <c r="I203" s="36"/>
      <c r="L203" s="88"/>
      <c r="M203" s="88"/>
      <c r="N203" s="36"/>
    </row>
    <row r="204" spans="1:14" s="37" customFormat="1" ht="15.75" customHeight="1" x14ac:dyDescent="0.25">
      <c r="A204" s="86">
        <f t="shared" ref="A204:A210" si="8">A203+1</f>
        <v>2</v>
      </c>
      <c r="B204" s="87"/>
      <c r="C204" s="57" t="s">
        <v>264</v>
      </c>
      <c r="D204" s="57">
        <f>(45.74+0.75*(2.75+2.3+2.75+2.75))*10.764</f>
        <v>577.51550999999995</v>
      </c>
      <c r="E204" s="42">
        <v>0</v>
      </c>
      <c r="F204" s="42">
        <f t="shared" si="7"/>
        <v>837.39748949999989</v>
      </c>
      <c r="G204" s="91"/>
      <c r="H204" s="92"/>
      <c r="I204" s="36"/>
      <c r="L204" s="88"/>
      <c r="M204" s="88"/>
      <c r="N204" s="36"/>
    </row>
    <row r="205" spans="1:14" s="37" customFormat="1" ht="15.75" customHeight="1" x14ac:dyDescent="0.25">
      <c r="A205" s="86">
        <f t="shared" si="8"/>
        <v>3</v>
      </c>
      <c r="B205" s="87"/>
      <c r="C205" s="57" t="s">
        <v>264</v>
      </c>
      <c r="D205" s="57">
        <f>(47.49+0.75*(2.1+2.75+2.5+2))*10.764</f>
        <v>586.66490999999996</v>
      </c>
      <c r="E205" s="42">
        <v>0</v>
      </c>
      <c r="F205" s="42">
        <f t="shared" si="7"/>
        <v>850.66411949999997</v>
      </c>
      <c r="G205" s="91"/>
      <c r="H205" s="92"/>
      <c r="I205" s="36"/>
      <c r="L205" s="88"/>
      <c r="M205" s="88"/>
      <c r="N205" s="36"/>
    </row>
    <row r="206" spans="1:14" s="37" customFormat="1" ht="15.75" customHeight="1" x14ac:dyDescent="0.25">
      <c r="A206" s="86">
        <f t="shared" si="8"/>
        <v>4</v>
      </c>
      <c r="B206" s="87"/>
      <c r="C206" s="57" t="s">
        <v>263</v>
      </c>
      <c r="D206" s="57">
        <f>(32.13+0.75*(1.95+2.1+2.75))*10.764</f>
        <v>400.74372</v>
      </c>
      <c r="E206" s="42">
        <v>0</v>
      </c>
      <c r="F206" s="42">
        <f t="shared" si="7"/>
        <v>581.078394</v>
      </c>
      <c r="G206" s="91"/>
      <c r="H206" s="92"/>
      <c r="I206" s="36"/>
      <c r="L206" s="88"/>
      <c r="M206" s="88"/>
      <c r="N206" s="36"/>
    </row>
    <row r="207" spans="1:14" s="37" customFormat="1" ht="15.75" customHeight="1" x14ac:dyDescent="0.25">
      <c r="A207" s="86">
        <f t="shared" si="8"/>
        <v>5</v>
      </c>
      <c r="B207" s="87"/>
      <c r="C207" s="57" t="s">
        <v>263</v>
      </c>
      <c r="D207" s="57">
        <f>(32.13+0.75*(1.95+2.1+2.75))*10.764</f>
        <v>400.74372</v>
      </c>
      <c r="E207" s="42">
        <v>0</v>
      </c>
      <c r="F207" s="42">
        <f t="shared" si="7"/>
        <v>581.078394</v>
      </c>
      <c r="G207" s="91"/>
      <c r="H207" s="92"/>
      <c r="I207" s="36"/>
      <c r="L207" s="88"/>
      <c r="M207" s="88"/>
      <c r="N207" s="36"/>
    </row>
    <row r="208" spans="1:14" s="37" customFormat="1" ht="15.75" customHeight="1" x14ac:dyDescent="0.25">
      <c r="A208" s="86">
        <f t="shared" si="8"/>
        <v>6</v>
      </c>
      <c r="B208" s="87"/>
      <c r="C208" s="57" t="s">
        <v>264</v>
      </c>
      <c r="D208" s="57">
        <f>(47.89+0.75*(2.1+2.75+2.5+2))*10.764</f>
        <v>590.97050999999999</v>
      </c>
      <c r="E208" s="42">
        <v>0</v>
      </c>
      <c r="F208" s="42">
        <f t="shared" si="7"/>
        <v>856.90723949999995</v>
      </c>
      <c r="G208" s="91"/>
      <c r="H208" s="92"/>
      <c r="I208" s="36"/>
      <c r="L208" s="88"/>
      <c r="M208" s="88"/>
      <c r="N208" s="36"/>
    </row>
    <row r="209" spans="1:14" s="37" customFormat="1" ht="15.75" customHeight="1" x14ac:dyDescent="0.25">
      <c r="A209" s="86">
        <f t="shared" si="8"/>
        <v>7</v>
      </c>
      <c r="B209" s="87"/>
      <c r="C209" s="57" t="s">
        <v>264</v>
      </c>
      <c r="D209" s="57">
        <f>(47.9+0.75*(2.1+2.75+2.5+2))*10.764</f>
        <v>591.07814999999994</v>
      </c>
      <c r="E209" s="42">
        <v>0</v>
      </c>
      <c r="F209" s="42">
        <f t="shared" si="7"/>
        <v>857.06331749999993</v>
      </c>
      <c r="G209" s="91"/>
      <c r="H209" s="92"/>
      <c r="I209" s="36"/>
      <c r="L209" s="88"/>
      <c r="M209" s="88"/>
      <c r="N209" s="36"/>
    </row>
    <row r="210" spans="1:14" s="37" customFormat="1" ht="15.75" customHeight="1" x14ac:dyDescent="0.25">
      <c r="A210" s="86">
        <f t="shared" si="8"/>
        <v>8</v>
      </c>
      <c r="B210" s="87"/>
      <c r="C210" s="57" t="s">
        <v>263</v>
      </c>
      <c r="D210" s="57">
        <f>(34.63+0.75*(2.75+2.3+2.75))*10.764</f>
        <v>435.72672</v>
      </c>
      <c r="E210" s="42">
        <v>0</v>
      </c>
      <c r="F210" s="42">
        <f t="shared" si="7"/>
        <v>631.80374399999994</v>
      </c>
      <c r="G210" s="93"/>
      <c r="H210" s="94"/>
      <c r="I210" s="36"/>
      <c r="L210" s="88"/>
      <c r="M210" s="88"/>
      <c r="N210" s="36"/>
    </row>
    <row r="211" spans="1:14" s="37" customFormat="1" x14ac:dyDescent="0.25">
      <c r="A211" s="95" t="s">
        <v>269</v>
      </c>
      <c r="B211" s="96"/>
      <c r="C211" s="96"/>
      <c r="D211" s="96"/>
      <c r="E211" s="96"/>
      <c r="F211" s="96"/>
      <c r="G211" s="96"/>
      <c r="H211" s="97"/>
      <c r="J211" s="36"/>
    </row>
    <row r="212" spans="1:14" s="37" customFormat="1" x14ac:dyDescent="0.25">
      <c r="A212" s="95" t="s">
        <v>270</v>
      </c>
      <c r="B212" s="96"/>
      <c r="C212" s="96"/>
      <c r="D212" s="96"/>
      <c r="E212" s="96"/>
      <c r="F212" s="96"/>
      <c r="G212" s="96"/>
      <c r="H212" s="97"/>
      <c r="J212" s="36"/>
    </row>
    <row r="213" spans="1:14" s="37" customFormat="1" x14ac:dyDescent="0.25">
      <c r="A213" s="95" t="s">
        <v>261</v>
      </c>
      <c r="B213" s="96"/>
      <c r="C213" s="96"/>
      <c r="D213" s="96"/>
      <c r="E213" s="96"/>
      <c r="F213" s="96"/>
      <c r="G213" s="96"/>
      <c r="H213" s="97"/>
      <c r="J213" s="36"/>
    </row>
    <row r="214" spans="1:14" s="37" customFormat="1" x14ac:dyDescent="0.25">
      <c r="A214" s="95" t="s">
        <v>262</v>
      </c>
      <c r="B214" s="96"/>
      <c r="C214" s="96"/>
      <c r="D214" s="96"/>
      <c r="E214" s="96"/>
      <c r="F214" s="96"/>
      <c r="G214" s="96"/>
      <c r="H214" s="97"/>
      <c r="J214" s="36"/>
    </row>
    <row r="215" spans="1:14" s="37" customFormat="1" ht="15.75" customHeight="1" x14ac:dyDescent="0.25">
      <c r="A215" s="86">
        <v>1</v>
      </c>
      <c r="B215" s="87"/>
      <c r="C215" s="57" t="s">
        <v>263</v>
      </c>
      <c r="D215" s="57">
        <f>(35.26+0.75*(2.75+2.3+2.75))*10.764</f>
        <v>442.50803999999999</v>
      </c>
      <c r="E215" s="42">
        <v>0</v>
      </c>
      <c r="F215" s="42">
        <f t="shared" ref="F215:F225" si="9">D215*(($F$176)+1)+(IF(E215&lt;101,E215,IF(E215&lt;201,E215/2,IF(E215&lt;=301,E215/3,E215/4))))</f>
        <v>641.63665800000001</v>
      </c>
      <c r="G215" s="89" t="str">
        <f>A214</f>
        <v>1st to 7th Floor For Residential</v>
      </c>
      <c r="H215" s="90"/>
      <c r="I215" s="36"/>
      <c r="L215" s="88"/>
      <c r="M215" s="88"/>
      <c r="N215" s="36"/>
    </row>
    <row r="216" spans="1:14" s="37" customFormat="1" ht="15.75" customHeight="1" x14ac:dyDescent="0.25">
      <c r="A216" s="86">
        <f t="shared" ref="A216:A225" si="10">A215+1</f>
        <v>2</v>
      </c>
      <c r="B216" s="87"/>
      <c r="C216" s="57" t="s">
        <v>263</v>
      </c>
      <c r="D216" s="57">
        <f>(34.12+0.75*(2.75+2.3+2.75))*10.764</f>
        <v>430.23707999999993</v>
      </c>
      <c r="E216" s="42">
        <v>0</v>
      </c>
      <c r="F216" s="42">
        <f t="shared" si="9"/>
        <v>623.84376599999985</v>
      </c>
      <c r="G216" s="91"/>
      <c r="H216" s="92"/>
      <c r="I216" s="36"/>
      <c r="L216" s="88"/>
      <c r="M216" s="88"/>
      <c r="N216" s="36"/>
    </row>
    <row r="217" spans="1:14" s="37" customFormat="1" ht="15.75" customHeight="1" x14ac:dyDescent="0.25">
      <c r="A217" s="86">
        <f t="shared" si="10"/>
        <v>3</v>
      </c>
      <c r="B217" s="87"/>
      <c r="C217" s="57" t="s">
        <v>263</v>
      </c>
      <c r="D217" s="57">
        <f>(33.04+0.75*(2.75+2.75))*10.764</f>
        <v>400.04405999999994</v>
      </c>
      <c r="E217" s="42">
        <v>0</v>
      </c>
      <c r="F217" s="42">
        <f t="shared" si="9"/>
        <v>580.06388699999991</v>
      </c>
      <c r="G217" s="91"/>
      <c r="H217" s="92"/>
      <c r="I217" s="36"/>
      <c r="L217" s="88"/>
      <c r="M217" s="88"/>
      <c r="N217" s="36"/>
    </row>
    <row r="218" spans="1:14" s="37" customFormat="1" ht="15.75" customHeight="1" x14ac:dyDescent="0.25">
      <c r="A218" s="86">
        <f t="shared" si="10"/>
        <v>4</v>
      </c>
      <c r="B218" s="87"/>
      <c r="C218" s="57" t="s">
        <v>263</v>
      </c>
      <c r="D218" s="57">
        <f>(34.57+0.75*(2.75+2.3+2.75))*10.764</f>
        <v>435.08087999999998</v>
      </c>
      <c r="E218" s="42">
        <v>0</v>
      </c>
      <c r="F218" s="42">
        <f t="shared" si="9"/>
        <v>630.86727599999995</v>
      </c>
      <c r="G218" s="91"/>
      <c r="H218" s="92"/>
      <c r="I218" s="36"/>
      <c r="L218" s="88"/>
      <c r="M218" s="88"/>
      <c r="N218" s="36"/>
    </row>
    <row r="219" spans="1:14" s="37" customFormat="1" ht="15.75" customHeight="1" x14ac:dyDescent="0.25">
      <c r="A219" s="86">
        <f t="shared" si="10"/>
        <v>5</v>
      </c>
      <c r="B219" s="87"/>
      <c r="C219" s="57" t="s">
        <v>264</v>
      </c>
      <c r="D219" s="57">
        <f>(49.36+0.75*(2.75+2.3+2.75+2.75))*10.764</f>
        <v>616.48118999999997</v>
      </c>
      <c r="E219" s="42">
        <v>0</v>
      </c>
      <c r="F219" s="42">
        <f t="shared" si="9"/>
        <v>893.89772549999998</v>
      </c>
      <c r="G219" s="91"/>
      <c r="H219" s="92"/>
      <c r="I219" s="36"/>
      <c r="L219" s="88"/>
      <c r="M219" s="88"/>
      <c r="N219" s="36"/>
    </row>
    <row r="220" spans="1:14" s="37" customFormat="1" ht="15.75" customHeight="1" x14ac:dyDescent="0.25">
      <c r="A220" s="86">
        <f t="shared" si="10"/>
        <v>6</v>
      </c>
      <c r="B220" s="87"/>
      <c r="C220" s="57" t="s">
        <v>263</v>
      </c>
      <c r="D220" s="57">
        <f>(34.57+0.75*(2.75+2.3+2.75))*10.764</f>
        <v>435.08087999999998</v>
      </c>
      <c r="E220" s="42">
        <v>0</v>
      </c>
      <c r="F220" s="42">
        <f t="shared" si="9"/>
        <v>630.86727599999995</v>
      </c>
      <c r="G220" s="91"/>
      <c r="H220" s="92"/>
      <c r="I220" s="36"/>
      <c r="L220" s="88"/>
      <c r="M220" s="88"/>
      <c r="N220" s="36"/>
    </row>
    <row r="221" spans="1:14" s="37" customFormat="1" ht="15.75" customHeight="1" x14ac:dyDescent="0.25">
      <c r="A221" s="86">
        <f t="shared" si="10"/>
        <v>7</v>
      </c>
      <c r="B221" s="87"/>
      <c r="C221" s="57" t="s">
        <v>263</v>
      </c>
      <c r="D221" s="57">
        <f>(34.57+0.75*(2.75+2.3+2.75))*10.764</f>
        <v>435.08087999999998</v>
      </c>
      <c r="E221" s="42">
        <v>0</v>
      </c>
      <c r="F221" s="42">
        <f t="shared" si="9"/>
        <v>630.86727599999995</v>
      </c>
      <c r="G221" s="91"/>
      <c r="H221" s="92"/>
      <c r="I221" s="36"/>
      <c r="L221" s="88"/>
      <c r="M221" s="88"/>
      <c r="N221" s="36"/>
    </row>
    <row r="222" spans="1:14" s="37" customFormat="1" ht="15.75" customHeight="1" x14ac:dyDescent="0.25">
      <c r="A222" s="86">
        <f t="shared" si="10"/>
        <v>8</v>
      </c>
      <c r="B222" s="87"/>
      <c r="C222" s="57" t="s">
        <v>263</v>
      </c>
      <c r="D222" s="57">
        <f>(34.69+0.75*(1.95+2.1))*10.764</f>
        <v>406.09880999999996</v>
      </c>
      <c r="E222" s="42">
        <v>0</v>
      </c>
      <c r="F222" s="42">
        <f t="shared" si="9"/>
        <v>588.84327449999989</v>
      </c>
      <c r="G222" s="91"/>
      <c r="H222" s="92"/>
      <c r="I222" s="36"/>
      <c r="L222" s="88"/>
      <c r="M222" s="88"/>
      <c r="N222" s="36"/>
    </row>
    <row r="223" spans="1:14" s="37" customFormat="1" ht="15.75" customHeight="1" x14ac:dyDescent="0.25">
      <c r="A223" s="86">
        <f t="shared" si="10"/>
        <v>9</v>
      </c>
      <c r="B223" s="87"/>
      <c r="C223" s="57" t="s">
        <v>264</v>
      </c>
      <c r="D223" s="57">
        <f>(45.53+0.75*(2.75+2.5+2.75))*10.764</f>
        <v>554.66891999999996</v>
      </c>
      <c r="E223" s="42">
        <v>0</v>
      </c>
      <c r="F223" s="42">
        <f t="shared" si="9"/>
        <v>804.26993399999992</v>
      </c>
      <c r="G223" s="91"/>
      <c r="H223" s="92"/>
      <c r="I223" s="36"/>
      <c r="L223" s="88"/>
      <c r="M223" s="88"/>
      <c r="N223" s="36"/>
    </row>
    <row r="224" spans="1:14" s="37" customFormat="1" ht="15.75" customHeight="1" x14ac:dyDescent="0.25">
      <c r="A224" s="86">
        <f t="shared" si="10"/>
        <v>10</v>
      </c>
      <c r="B224" s="87"/>
      <c r="C224" s="57" t="s">
        <v>264</v>
      </c>
      <c r="D224" s="57">
        <f>(45.53+0.75*(2.75+3.35+2.8))*10.764</f>
        <v>561.93462</v>
      </c>
      <c r="E224" s="42">
        <v>0</v>
      </c>
      <c r="F224" s="42">
        <f t="shared" si="9"/>
        <v>814.80519900000002</v>
      </c>
      <c r="G224" s="91"/>
      <c r="H224" s="92"/>
      <c r="I224" s="36"/>
      <c r="L224" s="88"/>
      <c r="M224" s="88"/>
      <c r="N224" s="36"/>
    </row>
    <row r="225" spans="1:14" s="37" customFormat="1" ht="15.75" customHeight="1" x14ac:dyDescent="0.25">
      <c r="A225" s="86">
        <f t="shared" si="10"/>
        <v>11</v>
      </c>
      <c r="B225" s="87"/>
      <c r="C225" s="57" t="s">
        <v>265</v>
      </c>
      <c r="D225" s="57">
        <f>(23.65+0.75*(2.75))*10.764</f>
        <v>276.76934999999997</v>
      </c>
      <c r="E225" s="42">
        <v>0</v>
      </c>
      <c r="F225" s="42">
        <f t="shared" si="9"/>
        <v>401.31555749999995</v>
      </c>
      <c r="G225" s="93"/>
      <c r="H225" s="94"/>
      <c r="I225" s="36"/>
      <c r="L225" s="88"/>
      <c r="M225" s="88"/>
      <c r="N225" s="36"/>
    </row>
    <row r="226" spans="1:14" s="37" customFormat="1" x14ac:dyDescent="0.25">
      <c r="A226" s="95" t="s">
        <v>271</v>
      </c>
      <c r="B226" s="96"/>
      <c r="C226" s="96"/>
      <c r="D226" s="96"/>
      <c r="E226" s="96"/>
      <c r="F226" s="96"/>
      <c r="G226" s="96"/>
      <c r="H226" s="97"/>
      <c r="J226" s="36"/>
    </row>
    <row r="227" spans="1:14" s="37" customFormat="1" x14ac:dyDescent="0.25">
      <c r="A227" s="95" t="s">
        <v>261</v>
      </c>
      <c r="B227" s="96"/>
      <c r="C227" s="96"/>
      <c r="D227" s="96"/>
      <c r="E227" s="96"/>
      <c r="F227" s="96"/>
      <c r="G227" s="96"/>
      <c r="H227" s="97"/>
      <c r="J227" s="36"/>
    </row>
    <row r="228" spans="1:14" s="37" customFormat="1" x14ac:dyDescent="0.25">
      <c r="A228" s="95" t="s">
        <v>262</v>
      </c>
      <c r="B228" s="96"/>
      <c r="C228" s="96"/>
      <c r="D228" s="96"/>
      <c r="E228" s="96"/>
      <c r="F228" s="96"/>
      <c r="G228" s="96"/>
      <c r="H228" s="97"/>
      <c r="J228" s="36"/>
    </row>
    <row r="229" spans="1:14" s="37" customFormat="1" ht="15.75" customHeight="1" x14ac:dyDescent="0.25">
      <c r="A229" s="86">
        <v>1</v>
      </c>
      <c r="B229" s="87"/>
      <c r="C229" s="57" t="s">
        <v>264</v>
      </c>
      <c r="D229" s="57">
        <f>(48.13+0.75*(2.75+2.3+3.35+3.05))*10.764</f>
        <v>610.50716999999997</v>
      </c>
      <c r="E229" s="42">
        <v>0</v>
      </c>
      <c r="F229" s="42">
        <f t="shared" ref="F229:F234" si="11">D229*(($F$176)+1)+(IF(E229&lt;101,E229,IF(E229&lt;201,E229/2,IF(E229&lt;=301,E229/3,E229/4))))</f>
        <v>885.23539649999998</v>
      </c>
      <c r="G229" s="89" t="str">
        <f>A228</f>
        <v>1st to 7th Floor For Residential</v>
      </c>
      <c r="H229" s="90"/>
      <c r="I229" s="36"/>
      <c r="L229" s="88"/>
      <c r="M229" s="88"/>
      <c r="N229" s="36"/>
    </row>
    <row r="230" spans="1:14" s="37" customFormat="1" ht="15.75" customHeight="1" x14ac:dyDescent="0.25">
      <c r="A230" s="86">
        <f t="shared" ref="A230:A234" si="12">A229+1</f>
        <v>2</v>
      </c>
      <c r="B230" s="87"/>
      <c r="C230" s="57" t="s">
        <v>264</v>
      </c>
      <c r="D230" s="57">
        <f>(48.13+0.75*(2.75+2.3+3.35+3.05))*10.764</f>
        <v>610.50716999999997</v>
      </c>
      <c r="E230" s="42">
        <v>0</v>
      </c>
      <c r="F230" s="42">
        <f t="shared" si="11"/>
        <v>885.23539649999998</v>
      </c>
      <c r="G230" s="91"/>
      <c r="H230" s="92"/>
      <c r="I230" s="36"/>
      <c r="L230" s="88"/>
      <c r="M230" s="88"/>
      <c r="N230" s="36"/>
    </row>
    <row r="231" spans="1:14" s="37" customFormat="1" ht="15.75" customHeight="1" x14ac:dyDescent="0.25">
      <c r="A231" s="86">
        <f t="shared" si="12"/>
        <v>3</v>
      </c>
      <c r="B231" s="87"/>
      <c r="C231" s="57" t="s">
        <v>263</v>
      </c>
      <c r="D231" s="57">
        <f>(35.35+0.75*(2.75+2.3+2.75))*10.764</f>
        <v>443.47680000000003</v>
      </c>
      <c r="E231" s="42">
        <v>0</v>
      </c>
      <c r="F231" s="42">
        <f t="shared" si="11"/>
        <v>643.04136000000005</v>
      </c>
      <c r="G231" s="91"/>
      <c r="H231" s="92"/>
      <c r="I231" s="36"/>
      <c r="L231" s="88"/>
      <c r="M231" s="88"/>
      <c r="N231" s="36"/>
    </row>
    <row r="232" spans="1:14" s="37" customFormat="1" ht="15.75" customHeight="1" x14ac:dyDescent="0.25">
      <c r="A232" s="86">
        <f t="shared" si="12"/>
        <v>4</v>
      </c>
      <c r="B232" s="87"/>
      <c r="C232" s="57" t="s">
        <v>263</v>
      </c>
      <c r="D232" s="57">
        <f>(32.92+0.75*(2.75+2.5+3.05))*10.764</f>
        <v>421.35678000000001</v>
      </c>
      <c r="E232" s="42">
        <v>0</v>
      </c>
      <c r="F232" s="42">
        <f t="shared" si="11"/>
        <v>610.96733100000006</v>
      </c>
      <c r="G232" s="91"/>
      <c r="H232" s="92"/>
      <c r="I232" s="36"/>
      <c r="L232" s="88"/>
      <c r="M232" s="88"/>
      <c r="N232" s="36"/>
    </row>
    <row r="233" spans="1:14" s="37" customFormat="1" ht="15.75" customHeight="1" x14ac:dyDescent="0.25">
      <c r="A233" s="86">
        <f t="shared" si="12"/>
        <v>5</v>
      </c>
      <c r="B233" s="87"/>
      <c r="C233" s="57" t="s">
        <v>264</v>
      </c>
      <c r="D233" s="57">
        <f>(49.49+0.75*(2.75+2.3+2.75+2.75))*10.764</f>
        <v>617.88050999999996</v>
      </c>
      <c r="E233" s="42">
        <v>0</v>
      </c>
      <c r="F233" s="42">
        <f t="shared" si="11"/>
        <v>895.92673949999994</v>
      </c>
      <c r="G233" s="91"/>
      <c r="H233" s="92"/>
      <c r="I233" s="36"/>
      <c r="L233" s="88"/>
      <c r="M233" s="88"/>
      <c r="N233" s="36"/>
    </row>
    <row r="234" spans="1:14" s="37" customFormat="1" ht="15.75" customHeight="1" x14ac:dyDescent="0.25">
      <c r="A234" s="86">
        <f t="shared" si="12"/>
        <v>6</v>
      </c>
      <c r="B234" s="87"/>
      <c r="C234" s="57" t="s">
        <v>263</v>
      </c>
      <c r="D234" s="57">
        <f>(38.45+0.75*(2.75+2.5+2.75))*10.764</f>
        <v>478.45980000000003</v>
      </c>
      <c r="E234" s="42">
        <v>0</v>
      </c>
      <c r="F234" s="42">
        <f t="shared" si="11"/>
        <v>693.76670999999999</v>
      </c>
      <c r="G234" s="93"/>
      <c r="H234" s="94"/>
      <c r="I234" s="36"/>
      <c r="L234" s="88"/>
      <c r="M234" s="88"/>
      <c r="N234" s="36"/>
    </row>
    <row r="235" spans="1:14" s="37" customFormat="1" hidden="1" x14ac:dyDescent="0.25">
      <c r="A235" s="95" t="s">
        <v>120</v>
      </c>
      <c r="B235" s="96"/>
      <c r="C235" s="96"/>
      <c r="D235" s="96"/>
      <c r="E235" s="96"/>
      <c r="F235" s="96"/>
      <c r="G235" s="96"/>
      <c r="H235" s="97"/>
      <c r="J235" s="36"/>
    </row>
    <row r="236" spans="1:14" s="37" customFormat="1" hidden="1" x14ac:dyDescent="0.25">
      <c r="A236" s="86">
        <v>1</v>
      </c>
      <c r="B236" s="87"/>
      <c r="C236" s="56"/>
      <c r="D236" s="42"/>
      <c r="E236" s="42">
        <v>0</v>
      </c>
      <c r="F236" s="42">
        <f>D236*(($F$176)+1)+(IF(E236&lt;101,E236,IF(E236&lt;201,E236/2,IF(E236&lt;=301,E236/3,E236/4))))</f>
        <v>0</v>
      </c>
      <c r="G236" s="86" t="str">
        <f>A235</f>
        <v>Ground Floor</v>
      </c>
      <c r="H236" s="87"/>
      <c r="I236" s="36"/>
      <c r="L236" s="88"/>
      <c r="M236" s="88"/>
      <c r="N236" s="36"/>
    </row>
    <row r="237" spans="1:14" s="37" customFormat="1" hidden="1" x14ac:dyDescent="0.25">
      <c r="A237" s="86">
        <f t="shared" ref="A237:A239" si="13">A236+1</f>
        <v>2</v>
      </c>
      <c r="B237" s="87"/>
      <c r="C237" s="56"/>
      <c r="D237" s="42"/>
      <c r="E237" s="42">
        <v>0</v>
      </c>
      <c r="F237" s="42">
        <f>D237*(($F$176)+1)+(IF(E237&lt;101,E237,IF(E237&lt;201,E237/2,IF(E237&lt;=301,E237/3,E237/4))))</f>
        <v>0</v>
      </c>
      <c r="G237" s="86" t="str">
        <f t="shared" ref="G237:G239" si="14">G236</f>
        <v>Ground Floor</v>
      </c>
      <c r="H237" s="87"/>
      <c r="I237" s="36"/>
      <c r="L237" s="88"/>
      <c r="M237" s="88"/>
      <c r="N237" s="36"/>
    </row>
    <row r="238" spans="1:14" s="37" customFormat="1" hidden="1" x14ac:dyDescent="0.25">
      <c r="A238" s="86">
        <f t="shared" si="13"/>
        <v>3</v>
      </c>
      <c r="B238" s="87"/>
      <c r="C238" s="56"/>
      <c r="D238" s="42"/>
      <c r="E238" s="42">
        <v>0</v>
      </c>
      <c r="F238" s="42">
        <f>D238*(($F$176)+1)+(IF(E238&lt;101,E238,IF(E238&lt;201,E238/2,IF(E238&lt;=301,E238/3,E238/4))))</f>
        <v>0</v>
      </c>
      <c r="G238" s="86" t="str">
        <f t="shared" si="14"/>
        <v>Ground Floor</v>
      </c>
      <c r="H238" s="87"/>
      <c r="I238" s="36"/>
      <c r="L238" s="88"/>
      <c r="M238" s="88"/>
      <c r="N238" s="36"/>
    </row>
    <row r="239" spans="1:14" s="37" customFormat="1" hidden="1" x14ac:dyDescent="0.25">
      <c r="A239" s="86">
        <f t="shared" si="13"/>
        <v>4</v>
      </c>
      <c r="B239" s="87"/>
      <c r="C239" s="56"/>
      <c r="D239" s="42"/>
      <c r="E239" s="42">
        <v>0</v>
      </c>
      <c r="F239" s="42">
        <f>D239*(($F$176)+1)+(IF(E239&lt;101,E239,IF(E239&lt;201,E239/2,IF(E239&lt;=301,E239/3,E239/4))))</f>
        <v>0</v>
      </c>
      <c r="G239" s="86" t="str">
        <f t="shared" si="14"/>
        <v>Ground Floor</v>
      </c>
      <c r="H239" s="87"/>
      <c r="I239" s="36"/>
      <c r="L239" s="88"/>
      <c r="M239" s="88"/>
      <c r="N239" s="36"/>
    </row>
    <row r="240" spans="1:14" s="37" customFormat="1" hidden="1" x14ac:dyDescent="0.25">
      <c r="A240" s="178" t="s">
        <v>121</v>
      </c>
      <c r="B240" s="178"/>
      <c r="C240" s="178"/>
      <c r="D240" s="178"/>
      <c r="E240" s="178"/>
      <c r="F240" s="178"/>
      <c r="G240" s="178"/>
      <c r="H240" s="178"/>
      <c r="I240" s="36"/>
      <c r="L240" s="88"/>
      <c r="M240" s="88"/>
    </row>
    <row r="241" spans="1:14" s="37" customFormat="1" hidden="1" x14ac:dyDescent="0.25">
      <c r="A241" s="157">
        <f>LEFT(A240,SUM(LEN(A240)-LEN(SUBSTITUTE(A240,{"0","1","2","3","4","5","6","7","8","9"},""))))*100+1</f>
        <v>201</v>
      </c>
      <c r="B241" s="157"/>
      <c r="C241" s="56"/>
      <c r="D241" s="42"/>
      <c r="E241" s="42">
        <v>0</v>
      </c>
      <c r="F241" s="42">
        <f t="shared" ref="F241:F242" si="15">D241*(($F$176)+1)+(IF(E241&lt;101,E241,IF(E241&lt;201,E241/2,IF(E241&lt;=301,E241/3,E241/4))))</f>
        <v>0</v>
      </c>
      <c r="G241" s="157" t="str">
        <f>A240</f>
        <v>2nd Floor</v>
      </c>
      <c r="H241" s="157"/>
      <c r="I241" s="36"/>
      <c r="N241" s="36"/>
    </row>
    <row r="242" spans="1:14" s="37" customFormat="1" hidden="1" x14ac:dyDescent="0.25">
      <c r="A242" s="157">
        <f>A241+1</f>
        <v>202</v>
      </c>
      <c r="B242" s="157"/>
      <c r="C242" s="56"/>
      <c r="D242" s="42"/>
      <c r="E242" s="42">
        <v>0</v>
      </c>
      <c r="F242" s="42">
        <f t="shared" si="15"/>
        <v>0</v>
      </c>
      <c r="G242" s="157" t="str">
        <f>G241</f>
        <v>2nd Floor</v>
      </c>
      <c r="H242" s="157"/>
      <c r="I242" s="36"/>
      <c r="N242" s="36"/>
    </row>
    <row r="243" spans="1:14" s="37" customFormat="1" hidden="1" x14ac:dyDescent="0.25">
      <c r="A243" s="157">
        <f>A242+1</f>
        <v>203</v>
      </c>
      <c r="B243" s="157"/>
      <c r="C243" s="56"/>
      <c r="D243" s="42"/>
      <c r="E243" s="42">
        <v>0</v>
      </c>
      <c r="F243" s="42">
        <f>D243*(($F$176)+1)+(IF(E243&lt;101,E243,IF(E243&lt;201,E243/2,IF(E243&lt;=301,E243/3,E243/4))))</f>
        <v>0</v>
      </c>
      <c r="G243" s="157" t="str">
        <f>G242</f>
        <v>2nd Floor</v>
      </c>
      <c r="H243" s="157"/>
      <c r="I243" s="36"/>
      <c r="N243" s="36"/>
    </row>
    <row r="244" spans="1:14" s="37" customFormat="1" hidden="1" x14ac:dyDescent="0.25">
      <c r="A244" s="157">
        <f>A243+1</f>
        <v>204</v>
      </c>
      <c r="B244" s="157"/>
      <c r="C244" s="56"/>
      <c r="D244" s="42"/>
      <c r="E244" s="42">
        <v>0</v>
      </c>
      <c r="F244" s="42">
        <f>D244*(($F$176)+1)+(IF(E244&lt;101,E244,IF(E244&lt;201,E244/2,IF(E244&lt;=301,E244/3,E244/4))))</f>
        <v>0</v>
      </c>
      <c r="G244" s="157" t="str">
        <f>G243</f>
        <v>2nd Floor</v>
      </c>
      <c r="H244" s="157"/>
      <c r="I244" s="36"/>
      <c r="N244" s="36"/>
    </row>
    <row r="245" spans="1:14" s="37" customFormat="1" hidden="1" x14ac:dyDescent="0.25">
      <c r="A245" s="157">
        <f>A244+1</f>
        <v>205</v>
      </c>
      <c r="B245" s="157"/>
      <c r="C245" s="56"/>
      <c r="D245" s="42"/>
      <c r="E245" s="42">
        <v>0</v>
      </c>
      <c r="F245" s="42">
        <f>D245*(($F$176)+1)+(IF(E245&lt;101,E245,IF(E245&lt;201,E245/2,IF(E245&lt;=301,E245/3,E245/4))))</f>
        <v>0</v>
      </c>
      <c r="G245" s="157" t="str">
        <f>G244</f>
        <v>2nd Floor</v>
      </c>
      <c r="H245" s="157"/>
      <c r="I245" s="36"/>
      <c r="N245" s="36"/>
    </row>
    <row r="246" spans="1:14" s="37" customFormat="1" ht="15.75" hidden="1" customHeight="1" x14ac:dyDescent="0.25">
      <c r="A246" s="95" t="s">
        <v>154</v>
      </c>
      <c r="B246" s="96"/>
      <c r="C246" s="96"/>
      <c r="D246" s="96"/>
      <c r="E246" s="96"/>
      <c r="F246" s="96"/>
      <c r="G246" s="96"/>
      <c r="H246" s="97"/>
      <c r="I246" s="36"/>
    </row>
    <row r="247" spans="1:14" s="37" customFormat="1" hidden="1" x14ac:dyDescent="0.25">
      <c r="A247" s="86" t="str">
        <f ca="1">(SUMPRODUCT(MID(0&amp;(LEFT(A246,SUM(LEN(A246)-LEN(SUBSTITUTE(A246,{"0","1","2"},""))))), LARGE(INDEX(ISNUMBER(--MID((LEFT(A246,SUM(LEN(A246)-LEN(SUBSTITUTE(A246,{"0","1","2"},""))))), ROW(INDIRECT("1:"&amp;LEN((LEFT(A246,SUM(LEN(A246)-LEN(SUBSTITUTE(A246,{"0","1","2"},"")))))))), 1)) * ROW(INDIRECT("1:"&amp;LEN((LEFT(A246,SUM(LEN(A246)-LEN(SUBSTITUTE(A246,{"0","1","2"},"")))))))), 0), ROW(INDIRECT("1:"&amp;LEN((LEFT(A246,SUM(LEN(A246)-LEN(SUBSTITUTE(A246,{"0","1","2"},"")))))))))+1, 1) * 10^ROW(INDIRECT("1:"&amp;LEN((LEFT(A246,SUM(LEN(A246)-LEN(SUBSTITUTE(A246,{"0","1","2"},""))))))))/10))*100+1&amp;""&amp;" ,.., "&amp;""&amp;(SUMPRODUCT(MID(0&amp;(--TRIM(RIGHT(SUBSTITUTE(LEFT(A246,_xlfn.AGGREGATE(16,6,FIND({0,1,2,3,4,5,6,7,8,9},A246,ROW(INDIRECT("1:"&amp;LEN(A246)))),1))," ",REPT(" ",LEN(A246))),LEN(A246)))), LARGE(INDEX(ISNUMBER(--MID((--TRIM(RIGHT(SUBSTITUTE(LEFT(A246,_xlfn.AGGREGATE(16,6,FIND({0,1,2,3,4,5,6,7,8,9},A246,ROW(INDIRECT("1:"&amp;LEN(A246)))),1))," ",REPT(" ",LEN(A246))),LEN(A246)))), ROW(INDIRECT("1:"&amp;LEN((--TRIM(RIGHT(SUBSTITUTE(LEFT(A246,_xlfn.AGGREGATE(16,6,FIND({0,1,2,3,4,5,6,7,8,9},A246,ROW(INDIRECT("1:"&amp;LEN(A246)))),1))," ",REPT(" ",LEN(A246))),LEN(A246))))))), 1)) * ROW(INDIRECT("1:"&amp;LEN((--TRIM(RIGHT(SUBSTITUTE(LEFT(A246,_xlfn.AGGREGATE(16,6,FIND({0,1,2,3,4,5,6,7,8,9},A246,ROW(INDIRECT("1:"&amp;LEN(A246)))),1))," ",REPT(" ",LEN(A246))),LEN(A246))))))), 0), ROW(INDIRECT("1:"&amp;LEN((--TRIM(RIGHT(SUBSTITUTE(LEFT(A246,_xlfn.AGGREGATE(16,6,FIND({0,1,2,3,4,5,6,7,8,9},A246,ROW(INDIRECT("1:"&amp;LEN(A246)))),1))," ",REPT(" ",LEN(A246))),LEN(A246))))))))+1, 1) * 10^ROW(INDIRECT("1:"&amp;LEN((--TRIM(RIGHT(SUBSTITUTE(LEFT(A246,_xlfn.AGGREGATE(16,6,FIND({0,1,2,3,4,5,6,7,8,9},A246,ROW(INDIRECT("1:"&amp;LEN(A246)))),1))," ",REPT(" ",LEN(A246))),LEN(A246)))))))/10))*100+1</f>
        <v>301 ,.., 1501</v>
      </c>
      <c r="B247" s="87"/>
      <c r="C247" s="56"/>
      <c r="D247" s="42"/>
      <c r="E247" s="42">
        <v>0</v>
      </c>
      <c r="F247" s="42">
        <f>D247*(($F$176)+1)+(IF(E247&lt;101,E247,IF(E247&lt;201,E247/2,IF(E247&lt;=301,E247/3,E247/4))))</f>
        <v>0</v>
      </c>
      <c r="G247" s="86" t="str">
        <f>A246</f>
        <v>3rd, 5th, 7th, 9th, 11th, 13th, 15th Floor</v>
      </c>
      <c r="H247" s="87"/>
      <c r="I247" s="36"/>
    </row>
    <row r="248" spans="1:14" s="37" customFormat="1" hidden="1" x14ac:dyDescent="0.25">
      <c r="A248" s="86" t="str">
        <f ca="1">(SUMPRODUCT(MID(0&amp;(LEFT(A247,SUM(LEN(A247)-LEN(SUBSTITUTE(A247,{"0","1","2"},""))))), LARGE(INDEX(ISNUMBER(--MID((LEFT(A247,SUM(LEN(A247)-LEN(SUBSTITUTE(A247,{"0","1","2"},""))))), ROW(INDIRECT("1:"&amp;LEN((LEFT(A247,SUM(LEN(A247)-LEN(SUBSTITUTE(A247,{"0","1","2"},"")))))))), 1)) * ROW(INDIRECT("1:"&amp;LEN((LEFT(A247,SUM(LEN(A247)-LEN(SUBSTITUTE(A247,{"0","1","2"},"")))))))), 0), ROW(INDIRECT("1:"&amp;LEN((LEFT(A247,SUM(LEN(A247)-LEN(SUBSTITUTE(A247,{"0","1","2"},"")))))))))+1, 1) * 10^ROW(INDIRECT("1:"&amp;LEN((LEFT(A247,SUM(LEN(A247)-LEN(SUBSTITUTE(A247,{"0","1","2"},""))))))))/10))*1+1&amp;""&amp;" ,.., "&amp;""&amp;(SUMPRODUCT(MID(0&amp;(--TRIM(RIGHT(SUBSTITUTE(LEFT(A247,_xlfn.AGGREGATE(16,6,FIND({0,1,2,3,4,5,6,7,8,9},A247,ROW(INDIRECT("1:"&amp;LEN(A247)))),1))," ",REPT(" ",LEN(A247))),LEN(A247)))), LARGE(INDEX(ISNUMBER(--MID((--TRIM(RIGHT(SUBSTITUTE(LEFT(A247,_xlfn.AGGREGATE(16,6,FIND({0,1,2,3,4,5,6,7,8,9},A247,ROW(INDIRECT("1:"&amp;LEN(A247)))),1))," ",REPT(" ",LEN(A247))),LEN(A247)))), ROW(INDIRECT("1:"&amp;LEN((--TRIM(RIGHT(SUBSTITUTE(LEFT(A247,_xlfn.AGGREGATE(16,6,FIND({0,1,2,3,4,5,6,7,8,9},A247,ROW(INDIRECT("1:"&amp;LEN(A247)))),1))," ",REPT(" ",LEN(A247))),LEN(A247))))))), 1)) * ROW(INDIRECT("1:"&amp;LEN((--TRIM(RIGHT(SUBSTITUTE(LEFT(A247,_xlfn.AGGREGATE(16,6,FIND({0,1,2,3,4,5,6,7,8,9},A247,ROW(INDIRECT("1:"&amp;LEN(A247)))),1))," ",REPT(" ",LEN(A247))),LEN(A247))))))), 0), ROW(INDIRECT("1:"&amp;LEN((--TRIM(RIGHT(SUBSTITUTE(LEFT(A247,_xlfn.AGGREGATE(16,6,FIND({0,1,2,3,4,5,6,7,8,9},A247,ROW(INDIRECT("1:"&amp;LEN(A247)))),1))," ",REPT(" ",LEN(A247))),LEN(A247))))))))+1, 1) * 10^ROW(INDIRECT("1:"&amp;LEN((--TRIM(RIGHT(SUBSTITUTE(LEFT(A247,_xlfn.AGGREGATE(16,6,FIND({0,1,2,3,4,5,6,7,8,9},A247,ROW(INDIRECT("1:"&amp;LEN(A247)))),1))," ",REPT(" ",LEN(A247))),LEN(A247)))))))/10))*1+1</f>
        <v>302 ,.., 1502</v>
      </c>
      <c r="B248" s="87"/>
      <c r="C248" s="56"/>
      <c r="D248" s="42"/>
      <c r="E248" s="42">
        <v>0</v>
      </c>
      <c r="F248" s="42">
        <f>D248*(($F$176)+1)+(IF(E248&lt;101,E248,IF(E248&lt;201,E248/2,IF(E248&lt;=301,E248/3,E248/4))))</f>
        <v>0</v>
      </c>
      <c r="G248" s="86" t="str">
        <f>G247</f>
        <v>3rd, 5th, 7th, 9th, 11th, 13th, 15th Floor</v>
      </c>
      <c r="H248" s="87"/>
      <c r="I248" s="36"/>
    </row>
    <row r="249" spans="1:14" s="37" customFormat="1" ht="15.75" hidden="1" customHeight="1" x14ac:dyDescent="0.25">
      <c r="A249" s="86" t="str">
        <f ca="1">(SUMPRODUCT(MID(0&amp;(LEFT(A248,SUM(LEN(A248)-LEN(SUBSTITUTE(A248,{"0","1","2"},""))))), LARGE(INDEX(ISNUMBER(--MID((LEFT(A248,SUM(LEN(A248)-LEN(SUBSTITUTE(A248,{"0","1","2"},""))))), ROW(INDIRECT("1:"&amp;LEN((LEFT(A248,SUM(LEN(A248)-LEN(SUBSTITUTE(A248,{"0","1","2"},"")))))))), 1)) * ROW(INDIRECT("1:"&amp;LEN((LEFT(A248,SUM(LEN(A248)-LEN(SUBSTITUTE(A248,{"0","1","2"},"")))))))), 0), ROW(INDIRECT("1:"&amp;LEN((LEFT(A248,SUM(LEN(A248)-LEN(SUBSTITUTE(A248,{"0","1","2"},"")))))))))+1, 1) * 10^ROW(INDIRECT("1:"&amp;LEN((LEFT(A248,SUM(LEN(A248)-LEN(SUBSTITUTE(A248,{"0","1","2"},""))))))))/10))*1+1&amp;""&amp;" ,.., "&amp;""&amp;(SUMPRODUCT(MID(0&amp;(--TRIM(RIGHT(SUBSTITUTE(LEFT(A248,_xlfn.AGGREGATE(16,6,FIND({0,1,2,3,4,5,6,7,8,9},A248,ROW(INDIRECT("1:"&amp;LEN(A248)))),1))," ",REPT(" ",LEN(A248))),LEN(A248)))), LARGE(INDEX(ISNUMBER(--MID((--TRIM(RIGHT(SUBSTITUTE(LEFT(A248,_xlfn.AGGREGATE(16,6,FIND({0,1,2,3,4,5,6,7,8,9},A248,ROW(INDIRECT("1:"&amp;LEN(A248)))),1))," ",REPT(" ",LEN(A248))),LEN(A248)))), ROW(INDIRECT("1:"&amp;LEN((--TRIM(RIGHT(SUBSTITUTE(LEFT(A248,_xlfn.AGGREGATE(16,6,FIND({0,1,2,3,4,5,6,7,8,9},A248,ROW(INDIRECT("1:"&amp;LEN(A248)))),1))," ",REPT(" ",LEN(A248))),LEN(A248))))))), 1)) * ROW(INDIRECT("1:"&amp;LEN((--TRIM(RIGHT(SUBSTITUTE(LEFT(A248,_xlfn.AGGREGATE(16,6,FIND({0,1,2,3,4,5,6,7,8,9},A248,ROW(INDIRECT("1:"&amp;LEN(A248)))),1))," ",REPT(" ",LEN(A248))),LEN(A248))))))), 0), ROW(INDIRECT("1:"&amp;LEN((--TRIM(RIGHT(SUBSTITUTE(LEFT(A248,_xlfn.AGGREGATE(16,6,FIND({0,1,2,3,4,5,6,7,8,9},A248,ROW(INDIRECT("1:"&amp;LEN(A248)))),1))," ",REPT(" ",LEN(A248))),LEN(A248))))))))+1, 1) * 10^ROW(INDIRECT("1:"&amp;LEN((--TRIM(RIGHT(SUBSTITUTE(LEFT(A248,_xlfn.AGGREGATE(16,6,FIND({0,1,2,3,4,5,6,7,8,9},A248,ROW(INDIRECT("1:"&amp;LEN(A248)))),1))," ",REPT(" ",LEN(A248))),LEN(A248)))))))/10))*1+1</f>
        <v>303 ,.., 1503</v>
      </c>
      <c r="B249" s="87"/>
      <c r="C249" s="56"/>
      <c r="D249" s="42"/>
      <c r="E249" s="42">
        <v>0</v>
      </c>
      <c r="F249" s="42">
        <f>D249*(($F$176)+1)+(IF(E249&lt;101,E249,IF(E249&lt;201,E249/2,IF(E249&lt;=301,E249/3,E249/4))))</f>
        <v>0</v>
      </c>
      <c r="G249" s="86" t="str">
        <f>G248</f>
        <v>3rd, 5th, 7th, 9th, 11th, 13th, 15th Floor</v>
      </c>
      <c r="H249" s="87"/>
      <c r="I249" s="36"/>
    </row>
    <row r="250" spans="1:14" s="37" customFormat="1" ht="15.75" hidden="1" customHeight="1" x14ac:dyDescent="0.25">
      <c r="A250" s="86" t="str">
        <f ca="1">(SUMPRODUCT(MID(0&amp;(LEFT(A249,SUM(LEN(A249)-LEN(SUBSTITUTE(A249,{"0","1","2"},""))))), LARGE(INDEX(ISNUMBER(--MID((LEFT(A249,SUM(LEN(A249)-LEN(SUBSTITUTE(A249,{"0","1","2"},""))))), ROW(INDIRECT("1:"&amp;LEN((LEFT(A249,SUM(LEN(A249)-LEN(SUBSTITUTE(A249,{"0","1","2"},"")))))))), 1)) * ROW(INDIRECT("1:"&amp;LEN((LEFT(A249,SUM(LEN(A249)-LEN(SUBSTITUTE(A249,{"0","1","2"},"")))))))), 0), ROW(INDIRECT("1:"&amp;LEN((LEFT(A249,SUM(LEN(A249)-LEN(SUBSTITUTE(A249,{"0","1","2"},"")))))))))+1, 1) * 10^ROW(INDIRECT("1:"&amp;LEN((LEFT(A249,SUM(LEN(A249)-LEN(SUBSTITUTE(A249,{"0","1","2"},""))))))))/10))*1+1&amp;""&amp;" ,.., "&amp;""&amp;(SUMPRODUCT(MID(0&amp;(--TRIM(RIGHT(SUBSTITUTE(LEFT(A249,_xlfn.AGGREGATE(16,6,FIND({0,1,2,3,4,5,6,7,8,9},A249,ROW(INDIRECT("1:"&amp;LEN(A249)))),1))," ",REPT(" ",LEN(A249))),LEN(A249)))), LARGE(INDEX(ISNUMBER(--MID((--TRIM(RIGHT(SUBSTITUTE(LEFT(A249,_xlfn.AGGREGATE(16,6,FIND({0,1,2,3,4,5,6,7,8,9},A249,ROW(INDIRECT("1:"&amp;LEN(A249)))),1))," ",REPT(" ",LEN(A249))),LEN(A249)))), ROW(INDIRECT("1:"&amp;LEN((--TRIM(RIGHT(SUBSTITUTE(LEFT(A249,_xlfn.AGGREGATE(16,6,FIND({0,1,2,3,4,5,6,7,8,9},A249,ROW(INDIRECT("1:"&amp;LEN(A249)))),1))," ",REPT(" ",LEN(A249))),LEN(A249))))))), 1)) * ROW(INDIRECT("1:"&amp;LEN((--TRIM(RIGHT(SUBSTITUTE(LEFT(A249,_xlfn.AGGREGATE(16,6,FIND({0,1,2,3,4,5,6,7,8,9},A249,ROW(INDIRECT("1:"&amp;LEN(A249)))),1))," ",REPT(" ",LEN(A249))),LEN(A249))))))), 0), ROW(INDIRECT("1:"&amp;LEN((--TRIM(RIGHT(SUBSTITUTE(LEFT(A249,_xlfn.AGGREGATE(16,6,FIND({0,1,2,3,4,5,6,7,8,9},A249,ROW(INDIRECT("1:"&amp;LEN(A249)))),1))," ",REPT(" ",LEN(A249))),LEN(A249))))))))+1, 1) * 10^ROW(INDIRECT("1:"&amp;LEN((--TRIM(RIGHT(SUBSTITUTE(LEFT(A249,_xlfn.AGGREGATE(16,6,FIND({0,1,2,3,4,5,6,7,8,9},A249,ROW(INDIRECT("1:"&amp;LEN(A249)))),1))," ",REPT(" ",LEN(A249))),LEN(A249)))))))/10))*1+1</f>
        <v>304 ,.., 1504</v>
      </c>
      <c r="B250" s="87"/>
      <c r="C250" s="56"/>
      <c r="D250" s="42"/>
      <c r="E250" s="42">
        <v>0</v>
      </c>
      <c r="F250" s="42">
        <f>D250*(($F$176)+1)+(IF(E250&lt;101,E250,IF(E250&lt;201,E250/2,IF(E250&lt;=301,E250/3,E250/4))))</f>
        <v>0</v>
      </c>
      <c r="G250" s="86" t="str">
        <f>G249</f>
        <v>3rd, 5th, 7th, 9th, 11th, 13th, 15th Floor</v>
      </c>
      <c r="H250" s="87"/>
      <c r="I250" s="36"/>
    </row>
    <row r="251" spans="1:14" s="37" customFormat="1" ht="15.75" hidden="1" customHeight="1" x14ac:dyDescent="0.25">
      <c r="A251" s="86" t="str">
        <f ca="1">(SUMPRODUCT(MID(0&amp;(LEFT(A250,SUM(LEN(A250)-LEN(SUBSTITUTE(A250,{"0","1","2"},""))))), LARGE(INDEX(ISNUMBER(--MID((LEFT(A250,SUM(LEN(A250)-LEN(SUBSTITUTE(A250,{"0","1","2"},""))))), ROW(INDIRECT("1:"&amp;LEN((LEFT(A250,SUM(LEN(A250)-LEN(SUBSTITUTE(A250,{"0","1","2"},"")))))))), 1)) * ROW(INDIRECT("1:"&amp;LEN((LEFT(A250,SUM(LEN(A250)-LEN(SUBSTITUTE(A250,{"0","1","2"},"")))))))), 0), ROW(INDIRECT("1:"&amp;LEN((LEFT(A250,SUM(LEN(A250)-LEN(SUBSTITUTE(A250,{"0","1","2"},"")))))))))+1, 1) * 10^ROW(INDIRECT("1:"&amp;LEN((LEFT(A250,SUM(LEN(A250)-LEN(SUBSTITUTE(A250,{"0","1","2"},""))))))))/10))*1+1&amp;""&amp;" ,.., "&amp;""&amp;(SUMPRODUCT(MID(0&amp;(--TRIM(RIGHT(SUBSTITUTE(LEFT(A250,_xlfn.AGGREGATE(16,6,FIND({0,1,2,3,4,5,6,7,8,9},A250,ROW(INDIRECT("1:"&amp;LEN(A250)))),1))," ",REPT(" ",LEN(A250))),LEN(A250)))), LARGE(INDEX(ISNUMBER(--MID((--TRIM(RIGHT(SUBSTITUTE(LEFT(A250,_xlfn.AGGREGATE(16,6,FIND({0,1,2,3,4,5,6,7,8,9},A250,ROW(INDIRECT("1:"&amp;LEN(A250)))),1))," ",REPT(" ",LEN(A250))),LEN(A250)))), ROW(INDIRECT("1:"&amp;LEN((--TRIM(RIGHT(SUBSTITUTE(LEFT(A250,_xlfn.AGGREGATE(16,6,FIND({0,1,2,3,4,5,6,7,8,9},A250,ROW(INDIRECT("1:"&amp;LEN(A250)))),1))," ",REPT(" ",LEN(A250))),LEN(A250))))))), 1)) * ROW(INDIRECT("1:"&amp;LEN((--TRIM(RIGHT(SUBSTITUTE(LEFT(A250,_xlfn.AGGREGATE(16,6,FIND({0,1,2,3,4,5,6,7,8,9},A250,ROW(INDIRECT("1:"&amp;LEN(A250)))),1))," ",REPT(" ",LEN(A250))),LEN(A250))))))), 0), ROW(INDIRECT("1:"&amp;LEN((--TRIM(RIGHT(SUBSTITUTE(LEFT(A250,_xlfn.AGGREGATE(16,6,FIND({0,1,2,3,4,5,6,7,8,9},A250,ROW(INDIRECT("1:"&amp;LEN(A250)))),1))," ",REPT(" ",LEN(A250))),LEN(A250))))))))+1, 1) * 10^ROW(INDIRECT("1:"&amp;LEN((--TRIM(RIGHT(SUBSTITUTE(LEFT(A250,_xlfn.AGGREGATE(16,6,FIND({0,1,2,3,4,5,6,7,8,9},A250,ROW(INDIRECT("1:"&amp;LEN(A250)))),1))," ",REPT(" ",LEN(A250))),LEN(A250)))))))/10))*1+1</f>
        <v>305 ,.., 1505</v>
      </c>
      <c r="B251" s="87"/>
      <c r="C251" s="56"/>
      <c r="D251" s="42"/>
      <c r="E251" s="42">
        <v>0</v>
      </c>
      <c r="F251" s="42">
        <f>D251*(($F$176)+1)+(IF(E251&lt;101,E251,IF(E251&lt;201,E251/2,IF(E251&lt;=301,E251/3,E251/4))))</f>
        <v>0</v>
      </c>
      <c r="G251" s="86" t="str">
        <f>G250</f>
        <v>3rd, 5th, 7th, 9th, 11th, 13th, 15th Floor</v>
      </c>
      <c r="H251" s="87"/>
      <c r="I251" s="36"/>
    </row>
    <row r="252" spans="1:14" s="37" customFormat="1" hidden="1" x14ac:dyDescent="0.25">
      <c r="A252" s="95" t="s">
        <v>148</v>
      </c>
      <c r="B252" s="96"/>
      <c r="C252" s="96"/>
      <c r="D252" s="96"/>
      <c r="E252" s="96"/>
      <c r="F252" s="96"/>
      <c r="G252" s="96"/>
      <c r="H252" s="97"/>
      <c r="I252" s="36"/>
    </row>
    <row r="253" spans="1:14" s="37" customFormat="1" hidden="1" x14ac:dyDescent="0.25">
      <c r="A253" s="86" t="str">
        <f ca="1">(SUMPRODUCT(MID(0&amp;(LEFT(A252,SUM(LEN(A252)-LEN(SUBSTITUTE(A252,{"0","1","2"},""))))), LARGE(INDEX(ISNUMBER(--MID((LEFT(A252,SUM(LEN(A252)-LEN(SUBSTITUTE(A252,{"0","1","2"},""))))), ROW(INDIRECT("1:"&amp;LEN((LEFT(A252,SUM(LEN(A252)-LEN(SUBSTITUTE(A252,{"0","1","2"},"")))))))), 1)) * ROW(INDIRECT("1:"&amp;LEN((LEFT(A252,SUM(LEN(A252)-LEN(SUBSTITUTE(A252,{"0","1","2"},"")))))))), 0), ROW(INDIRECT("1:"&amp;LEN((LEFT(A252,SUM(LEN(A252)-LEN(SUBSTITUTE(A252,{"0","1","2"},"")))))))))+1, 1) * 10^ROW(INDIRECT("1:"&amp;LEN((LEFT(A252,SUM(LEN(A252)-LEN(SUBSTITUTE(A252,{"0","1","2"},""))))))))/10))*100+1&amp;""&amp;" to "&amp;""&amp;(SUMPRODUCT(MID(0&amp;(--TRIM(RIGHT(SUBSTITUTE(LEFT(A252,_xlfn.AGGREGATE(16,6,FIND({0,1,2,3,4,5,6,7,8,9},A252,ROW(INDIRECT("1:"&amp;LEN(A252)))),1))," ",REPT(" ",LEN(A252))),LEN(A252)))), LARGE(INDEX(ISNUMBER(--MID((--TRIM(RIGHT(SUBSTITUTE(LEFT(A252,_xlfn.AGGREGATE(16,6,FIND({0,1,2,3,4,5,6,7,8,9},A252,ROW(INDIRECT("1:"&amp;LEN(A252)))),1))," ",REPT(" ",LEN(A252))),LEN(A252)))), ROW(INDIRECT("1:"&amp;LEN((--TRIM(RIGHT(SUBSTITUTE(LEFT(A252,_xlfn.AGGREGATE(16,6,FIND({0,1,2,3,4,5,6,7,8,9},A252,ROW(INDIRECT("1:"&amp;LEN(A252)))),1))," ",REPT(" ",LEN(A252))),LEN(A252))))))), 1)) * ROW(INDIRECT("1:"&amp;LEN((--TRIM(RIGHT(SUBSTITUTE(LEFT(A252,_xlfn.AGGREGATE(16,6,FIND({0,1,2,3,4,5,6,7,8,9},A252,ROW(INDIRECT("1:"&amp;LEN(A252)))),1))," ",REPT(" ",LEN(A252))),LEN(A252))))))), 0), ROW(INDIRECT("1:"&amp;LEN((--TRIM(RIGHT(SUBSTITUTE(LEFT(A252,_xlfn.AGGREGATE(16,6,FIND({0,1,2,3,4,5,6,7,8,9},A252,ROW(INDIRECT("1:"&amp;LEN(A252)))),1))," ",REPT(" ",LEN(A252))),LEN(A252))))))))+1, 1) * 10^ROW(INDIRECT("1:"&amp;LEN((--TRIM(RIGHT(SUBSTITUTE(LEFT(A252,_xlfn.AGGREGATE(16,6,FIND({0,1,2,3,4,5,6,7,8,9},A252,ROW(INDIRECT("1:"&amp;LEN(A252)))),1))," ",REPT(" ",LEN(A252))),LEN(A252)))))))/10))*100+1</f>
        <v>201 to 501</v>
      </c>
      <c r="B253" s="87"/>
      <c r="C253" s="56"/>
      <c r="D253" s="42"/>
      <c r="E253" s="42">
        <v>0</v>
      </c>
      <c r="F253" s="42">
        <f>D253*(($F$176)+1)+(IF(E253&lt;101,E253,IF(E253&lt;201,E253/2,IF(E253&lt;=301,E253/3,E253/4))))</f>
        <v>0</v>
      </c>
      <c r="G253" s="86" t="str">
        <f>A252</f>
        <v>2nd to 5th Floor</v>
      </c>
      <c r="H253" s="87"/>
      <c r="I253" s="36"/>
    </row>
    <row r="254" spans="1:14" s="37" customFormat="1" hidden="1" x14ac:dyDescent="0.25">
      <c r="A254" s="86" t="str">
        <f ca="1">(SUMPRODUCT(MID(0&amp;(LEFT(A253,SUM(LEN(A253)-LEN(SUBSTITUTE(A253,{"0","1","2"},""))))), LARGE(INDEX(ISNUMBER(--MID((LEFT(A253,SUM(LEN(A253)-LEN(SUBSTITUTE(A253,{"0","1","2"},""))))), ROW(INDIRECT("1:"&amp;LEN((LEFT(A253,SUM(LEN(A253)-LEN(SUBSTITUTE(A253,{"0","1","2"},"")))))))), 1)) * ROW(INDIRECT("1:"&amp;LEN((LEFT(A253,SUM(LEN(A253)-LEN(SUBSTITUTE(A253,{"0","1","2"},"")))))))), 0), ROW(INDIRECT("1:"&amp;LEN((LEFT(A253,SUM(LEN(A253)-LEN(SUBSTITUTE(A253,{"0","1","2"},"")))))))))+1, 1) * 10^ROW(INDIRECT("1:"&amp;LEN((LEFT(A253,SUM(LEN(A253)-LEN(SUBSTITUTE(A253,{"0","1","2"},""))))))))/10))*1+1&amp;""&amp;" to "&amp;""&amp;(SUMPRODUCT(MID(0&amp;(--TRIM(RIGHT(SUBSTITUTE(LEFT(A253,_xlfn.AGGREGATE(16,6,FIND({0,1,2,3,4,5,6,7,8,9},A253,ROW(INDIRECT("1:"&amp;LEN(A253)))),1))," ",REPT(" ",LEN(A253))),LEN(A253)))), LARGE(INDEX(ISNUMBER(--MID((--TRIM(RIGHT(SUBSTITUTE(LEFT(A253,_xlfn.AGGREGATE(16,6,FIND({0,1,2,3,4,5,6,7,8,9},A253,ROW(INDIRECT("1:"&amp;LEN(A253)))),1))," ",REPT(" ",LEN(A253))),LEN(A253)))), ROW(INDIRECT("1:"&amp;LEN((--TRIM(RIGHT(SUBSTITUTE(LEFT(A253,_xlfn.AGGREGATE(16,6,FIND({0,1,2,3,4,5,6,7,8,9},A253,ROW(INDIRECT("1:"&amp;LEN(A253)))),1))," ",REPT(" ",LEN(A253))),LEN(A253))))))), 1)) * ROW(INDIRECT("1:"&amp;LEN((--TRIM(RIGHT(SUBSTITUTE(LEFT(A253,_xlfn.AGGREGATE(16,6,FIND({0,1,2,3,4,5,6,7,8,9},A253,ROW(INDIRECT("1:"&amp;LEN(A253)))),1))," ",REPT(" ",LEN(A253))),LEN(A253))))))), 0), ROW(INDIRECT("1:"&amp;LEN((--TRIM(RIGHT(SUBSTITUTE(LEFT(A253,_xlfn.AGGREGATE(16,6,FIND({0,1,2,3,4,5,6,7,8,9},A253,ROW(INDIRECT("1:"&amp;LEN(A253)))),1))," ",REPT(" ",LEN(A253))),LEN(A253))))))))+1, 1) * 10^ROW(INDIRECT("1:"&amp;LEN((--TRIM(RIGHT(SUBSTITUTE(LEFT(A253,_xlfn.AGGREGATE(16,6,FIND({0,1,2,3,4,5,6,7,8,9},A253,ROW(INDIRECT("1:"&amp;LEN(A253)))),1))," ",REPT(" ",LEN(A253))),LEN(A253)))))))/10))*1+1</f>
        <v>202 to 502</v>
      </c>
      <c r="B254" s="87"/>
      <c r="C254" s="56"/>
      <c r="D254" s="42"/>
      <c r="E254" s="42">
        <v>0</v>
      </c>
      <c r="F254" s="42">
        <f>D254*(($F$176)+1)+(IF(E254&lt;101,E254,IF(E254&lt;201,E254/2,IF(E254&lt;=301,E254/3,E254/4))))</f>
        <v>0</v>
      </c>
      <c r="G254" s="86" t="str">
        <f>G253</f>
        <v>2nd to 5th Floor</v>
      </c>
      <c r="H254" s="87"/>
      <c r="I254" s="36"/>
    </row>
    <row r="255" spans="1:14" s="37" customFormat="1" hidden="1" x14ac:dyDescent="0.25">
      <c r="A255" s="86" t="str">
        <f ca="1">(SUMPRODUCT(MID(0&amp;(LEFT(A254,SUM(LEN(A254)-LEN(SUBSTITUTE(A254,{"0","1","2"},""))))), LARGE(INDEX(ISNUMBER(--MID((LEFT(A254,SUM(LEN(A254)-LEN(SUBSTITUTE(A254,{"0","1","2"},""))))), ROW(INDIRECT("1:"&amp;LEN((LEFT(A254,SUM(LEN(A254)-LEN(SUBSTITUTE(A254,{"0","1","2"},"")))))))), 1)) * ROW(INDIRECT("1:"&amp;LEN((LEFT(A254,SUM(LEN(A254)-LEN(SUBSTITUTE(A254,{"0","1","2"},"")))))))), 0), ROW(INDIRECT("1:"&amp;LEN((LEFT(A254,SUM(LEN(A254)-LEN(SUBSTITUTE(A254,{"0","1","2"},"")))))))))+1, 1) * 10^ROW(INDIRECT("1:"&amp;LEN((LEFT(A254,SUM(LEN(A254)-LEN(SUBSTITUTE(A254,{"0","1","2"},""))))))))/10))*1+1&amp;""&amp;" to "&amp;""&amp;(SUMPRODUCT(MID(0&amp;(--TRIM(RIGHT(SUBSTITUTE(LEFT(A254,_xlfn.AGGREGATE(16,6,FIND({0,1,2,3,4,5,6,7,8,9},A254,ROW(INDIRECT("1:"&amp;LEN(A254)))),1))," ",REPT(" ",LEN(A254))),LEN(A254)))), LARGE(INDEX(ISNUMBER(--MID((--TRIM(RIGHT(SUBSTITUTE(LEFT(A254,_xlfn.AGGREGATE(16,6,FIND({0,1,2,3,4,5,6,7,8,9},A254,ROW(INDIRECT("1:"&amp;LEN(A254)))),1))," ",REPT(" ",LEN(A254))),LEN(A254)))), ROW(INDIRECT("1:"&amp;LEN((--TRIM(RIGHT(SUBSTITUTE(LEFT(A254,_xlfn.AGGREGATE(16,6,FIND({0,1,2,3,4,5,6,7,8,9},A254,ROW(INDIRECT("1:"&amp;LEN(A254)))),1))," ",REPT(" ",LEN(A254))),LEN(A254))))))), 1)) * ROW(INDIRECT("1:"&amp;LEN((--TRIM(RIGHT(SUBSTITUTE(LEFT(A254,_xlfn.AGGREGATE(16,6,FIND({0,1,2,3,4,5,6,7,8,9},A254,ROW(INDIRECT("1:"&amp;LEN(A254)))),1))," ",REPT(" ",LEN(A254))),LEN(A254))))))), 0), ROW(INDIRECT("1:"&amp;LEN((--TRIM(RIGHT(SUBSTITUTE(LEFT(A254,_xlfn.AGGREGATE(16,6,FIND({0,1,2,3,4,5,6,7,8,9},A254,ROW(INDIRECT("1:"&amp;LEN(A254)))),1))," ",REPT(" ",LEN(A254))),LEN(A254))))))))+1, 1) * 10^ROW(INDIRECT("1:"&amp;LEN((--TRIM(RIGHT(SUBSTITUTE(LEFT(A254,_xlfn.AGGREGATE(16,6,FIND({0,1,2,3,4,5,6,7,8,9},A254,ROW(INDIRECT("1:"&amp;LEN(A254)))),1))," ",REPT(" ",LEN(A254))),LEN(A254)))))))/10))*1+1</f>
        <v>203 to 503</v>
      </c>
      <c r="B255" s="87"/>
      <c r="C255" s="56"/>
      <c r="D255" s="42"/>
      <c r="E255" s="42">
        <v>0</v>
      </c>
      <c r="F255" s="42">
        <f>D255*(($F$176)+1)+(IF(E255&lt;101,E255,IF(E255&lt;201,E255/2,IF(E255&lt;=301,E255/3,E255/4))))</f>
        <v>0</v>
      </c>
      <c r="G255" s="86" t="str">
        <f>G254</f>
        <v>2nd to 5th Floor</v>
      </c>
      <c r="H255" s="87"/>
      <c r="I255" s="36"/>
    </row>
    <row r="256" spans="1:14" s="37" customFormat="1" hidden="1" x14ac:dyDescent="0.25">
      <c r="A256" s="86" t="str">
        <f ca="1">(SUMPRODUCT(MID(0&amp;(LEFT(A255,SUM(LEN(A255)-LEN(SUBSTITUTE(A255,{"0","1","2"},""))))), LARGE(INDEX(ISNUMBER(--MID((LEFT(A255,SUM(LEN(A255)-LEN(SUBSTITUTE(A255,{"0","1","2"},""))))), ROW(INDIRECT("1:"&amp;LEN((LEFT(A255,SUM(LEN(A255)-LEN(SUBSTITUTE(A255,{"0","1","2"},"")))))))), 1)) * ROW(INDIRECT("1:"&amp;LEN((LEFT(A255,SUM(LEN(A255)-LEN(SUBSTITUTE(A255,{"0","1","2"},"")))))))), 0), ROW(INDIRECT("1:"&amp;LEN((LEFT(A255,SUM(LEN(A255)-LEN(SUBSTITUTE(A255,{"0","1","2"},"")))))))))+1, 1) * 10^ROW(INDIRECT("1:"&amp;LEN((LEFT(A255,SUM(LEN(A255)-LEN(SUBSTITUTE(A255,{"0","1","2"},""))))))))/10))*1+1&amp;""&amp;" to "&amp;""&amp;(SUMPRODUCT(MID(0&amp;(--TRIM(RIGHT(SUBSTITUTE(LEFT(A255,_xlfn.AGGREGATE(16,6,FIND({0,1,2,3,4,5,6,7,8,9},A255,ROW(INDIRECT("1:"&amp;LEN(A255)))),1))," ",REPT(" ",LEN(A255))),LEN(A255)))), LARGE(INDEX(ISNUMBER(--MID((--TRIM(RIGHT(SUBSTITUTE(LEFT(A255,_xlfn.AGGREGATE(16,6,FIND({0,1,2,3,4,5,6,7,8,9},A255,ROW(INDIRECT("1:"&amp;LEN(A255)))),1))," ",REPT(" ",LEN(A255))),LEN(A255)))), ROW(INDIRECT("1:"&amp;LEN((--TRIM(RIGHT(SUBSTITUTE(LEFT(A255,_xlfn.AGGREGATE(16,6,FIND({0,1,2,3,4,5,6,7,8,9},A255,ROW(INDIRECT("1:"&amp;LEN(A255)))),1))," ",REPT(" ",LEN(A255))),LEN(A255))))))), 1)) * ROW(INDIRECT("1:"&amp;LEN((--TRIM(RIGHT(SUBSTITUTE(LEFT(A255,_xlfn.AGGREGATE(16,6,FIND({0,1,2,3,4,5,6,7,8,9},A255,ROW(INDIRECT("1:"&amp;LEN(A255)))),1))," ",REPT(" ",LEN(A255))),LEN(A255))))))), 0), ROW(INDIRECT("1:"&amp;LEN((--TRIM(RIGHT(SUBSTITUTE(LEFT(A255,_xlfn.AGGREGATE(16,6,FIND({0,1,2,3,4,5,6,7,8,9},A255,ROW(INDIRECT("1:"&amp;LEN(A255)))),1))," ",REPT(" ",LEN(A255))),LEN(A255))))))))+1, 1) * 10^ROW(INDIRECT("1:"&amp;LEN((--TRIM(RIGHT(SUBSTITUTE(LEFT(A255,_xlfn.AGGREGATE(16,6,FIND({0,1,2,3,4,5,6,7,8,9},A255,ROW(INDIRECT("1:"&amp;LEN(A255)))),1))," ",REPT(" ",LEN(A255))),LEN(A255)))))))/10))*1+1</f>
        <v>204 to 504</v>
      </c>
      <c r="B256" s="87"/>
      <c r="C256" s="56"/>
      <c r="D256" s="42"/>
      <c r="E256" s="42">
        <v>0</v>
      </c>
      <c r="F256" s="42">
        <f>D256*(($F$176)+1)+(IF(E256&lt;101,E256,IF(E256&lt;201,E256/2,IF(E256&lt;=301,E256/3,E256/4))))</f>
        <v>0</v>
      </c>
      <c r="G256" s="86" t="str">
        <f>G255</f>
        <v>2nd to 5th Floor</v>
      </c>
      <c r="H256" s="87"/>
      <c r="I256" s="36"/>
    </row>
    <row r="257" spans="1:9" s="37" customFormat="1" hidden="1" x14ac:dyDescent="0.25">
      <c r="A257" s="86" t="str">
        <f ca="1">(SUMPRODUCT(MID(0&amp;(LEFT(A256,SUM(LEN(A256)-LEN(SUBSTITUTE(A256,{"0","1","2"},""))))), LARGE(INDEX(ISNUMBER(--MID((LEFT(A256,SUM(LEN(A256)-LEN(SUBSTITUTE(A256,{"0","1","2"},""))))), ROW(INDIRECT("1:"&amp;LEN((LEFT(A256,SUM(LEN(A256)-LEN(SUBSTITUTE(A256,{"0","1","2"},"")))))))), 1)) * ROW(INDIRECT("1:"&amp;LEN((LEFT(A256,SUM(LEN(A256)-LEN(SUBSTITUTE(A256,{"0","1","2"},"")))))))), 0), ROW(INDIRECT("1:"&amp;LEN((LEFT(A256,SUM(LEN(A256)-LEN(SUBSTITUTE(A256,{"0","1","2"},"")))))))))+1, 1) * 10^ROW(INDIRECT("1:"&amp;LEN((LEFT(A256,SUM(LEN(A256)-LEN(SUBSTITUTE(A256,{"0","1","2"},""))))))))/10))*1+1&amp;""&amp;" to "&amp;""&amp;(SUMPRODUCT(MID(0&amp;(--TRIM(RIGHT(SUBSTITUTE(LEFT(A256,_xlfn.AGGREGATE(16,6,FIND({0,1,2,3,4,5,6,7,8,9},A256,ROW(INDIRECT("1:"&amp;LEN(A256)))),1))," ",REPT(" ",LEN(A256))),LEN(A256)))), LARGE(INDEX(ISNUMBER(--MID((--TRIM(RIGHT(SUBSTITUTE(LEFT(A256,_xlfn.AGGREGATE(16,6,FIND({0,1,2,3,4,5,6,7,8,9},A256,ROW(INDIRECT("1:"&amp;LEN(A256)))),1))," ",REPT(" ",LEN(A256))),LEN(A256)))), ROW(INDIRECT("1:"&amp;LEN((--TRIM(RIGHT(SUBSTITUTE(LEFT(A256,_xlfn.AGGREGATE(16,6,FIND({0,1,2,3,4,5,6,7,8,9},A256,ROW(INDIRECT("1:"&amp;LEN(A256)))),1))," ",REPT(" ",LEN(A256))),LEN(A256))))))), 1)) * ROW(INDIRECT("1:"&amp;LEN((--TRIM(RIGHT(SUBSTITUTE(LEFT(A256,_xlfn.AGGREGATE(16,6,FIND({0,1,2,3,4,5,6,7,8,9},A256,ROW(INDIRECT("1:"&amp;LEN(A256)))),1))," ",REPT(" ",LEN(A256))),LEN(A256))))))), 0), ROW(INDIRECT("1:"&amp;LEN((--TRIM(RIGHT(SUBSTITUTE(LEFT(A256,_xlfn.AGGREGATE(16,6,FIND({0,1,2,3,4,5,6,7,8,9},A256,ROW(INDIRECT("1:"&amp;LEN(A256)))),1))," ",REPT(" ",LEN(A256))),LEN(A256))))))))+1, 1) * 10^ROW(INDIRECT("1:"&amp;LEN((--TRIM(RIGHT(SUBSTITUTE(LEFT(A256,_xlfn.AGGREGATE(16,6,FIND({0,1,2,3,4,5,6,7,8,9},A256,ROW(INDIRECT("1:"&amp;LEN(A256)))),1))," ",REPT(" ",LEN(A256))),LEN(A256)))))))/10))*1+1</f>
        <v>205 to 505</v>
      </c>
      <c r="B257" s="87"/>
      <c r="C257" s="56"/>
      <c r="D257" s="42"/>
      <c r="E257" s="42">
        <v>0</v>
      </c>
      <c r="F257" s="42">
        <f>D257*(($F$176)+1)+(IF(E257&lt;101,E257,IF(E257&lt;201,E257/2,IF(E257&lt;=301,E257/3,E257/4))))</f>
        <v>0</v>
      </c>
      <c r="G257" s="86" t="str">
        <f>G256</f>
        <v>2nd to 5th Floor</v>
      </c>
      <c r="H257" s="87"/>
      <c r="I257" s="36"/>
    </row>
    <row r="258" spans="1:9" s="37" customFormat="1" hidden="1" x14ac:dyDescent="0.25">
      <c r="A258" s="95" t="s">
        <v>149</v>
      </c>
      <c r="B258" s="96"/>
      <c r="C258" s="96"/>
      <c r="D258" s="96"/>
      <c r="E258" s="96"/>
      <c r="F258" s="96"/>
      <c r="G258" s="96"/>
      <c r="H258" s="97"/>
      <c r="I258" s="36"/>
    </row>
    <row r="259" spans="1:9" s="37" customFormat="1" hidden="1" x14ac:dyDescent="0.25">
      <c r="A259" s="86" t="str">
        <f ca="1">(SUMPRODUCT(MID(0&amp;(LEFT(A258,SUM(LEN(A258)-LEN(SUBSTITUTE(A258,{"0","1","2"},""))))), LARGE(INDEX(ISNUMBER(--MID((LEFT(A258,SUM(LEN(A258)-LEN(SUBSTITUTE(A258,{"0","1","2"},""))))), ROW(INDIRECT("1:"&amp;LEN((LEFT(A258,SUM(LEN(A258)-LEN(SUBSTITUTE(A258,{"0","1","2"},"")))))))), 1)) * ROW(INDIRECT("1:"&amp;LEN((LEFT(A258,SUM(LEN(A258)-LEN(SUBSTITUTE(A258,{"0","1","2"},"")))))))), 0), ROW(INDIRECT("1:"&amp;LEN((LEFT(A258,SUM(LEN(A258)-LEN(SUBSTITUTE(A258,{"0","1","2"},"")))))))))+1, 1) * 10^ROW(INDIRECT("1:"&amp;LEN((LEFT(A258,SUM(LEN(A258)-LEN(SUBSTITUTE(A258,{"0","1","2"},""))))))))/10))*100+1&amp;""&amp;" &amp; "&amp;""&amp;(SUMPRODUCT(MID(0&amp;(--TRIM(RIGHT(SUBSTITUTE(LEFT(A258,_xlfn.AGGREGATE(16,6,FIND({0,1,2,3,4,5,6,7,8,9},A258,ROW(INDIRECT("1:"&amp;LEN(A258)))),1))," ",REPT(" ",LEN(A258))),LEN(A258)))), LARGE(INDEX(ISNUMBER(--MID((--TRIM(RIGHT(SUBSTITUTE(LEFT(A258,_xlfn.AGGREGATE(16,6,FIND({0,1,2,3,4,5,6,7,8,9},A258,ROW(INDIRECT("1:"&amp;LEN(A258)))),1))," ",REPT(" ",LEN(A258))),LEN(A258)))), ROW(INDIRECT("1:"&amp;LEN((--TRIM(RIGHT(SUBSTITUTE(LEFT(A258,_xlfn.AGGREGATE(16,6,FIND({0,1,2,3,4,5,6,7,8,9},A258,ROW(INDIRECT("1:"&amp;LEN(A258)))),1))," ",REPT(" ",LEN(A258))),LEN(A258))))))), 1)) * ROW(INDIRECT("1:"&amp;LEN((--TRIM(RIGHT(SUBSTITUTE(LEFT(A258,_xlfn.AGGREGATE(16,6,FIND({0,1,2,3,4,5,6,7,8,9},A258,ROW(INDIRECT("1:"&amp;LEN(A258)))),1))," ",REPT(" ",LEN(A258))),LEN(A258))))))), 0), ROW(INDIRECT("1:"&amp;LEN((--TRIM(RIGHT(SUBSTITUTE(LEFT(A258,_xlfn.AGGREGATE(16,6,FIND({0,1,2,3,4,5,6,7,8,9},A258,ROW(INDIRECT("1:"&amp;LEN(A258)))),1))," ",REPT(" ",LEN(A258))),LEN(A258))))))))+1, 1) * 10^ROW(INDIRECT("1:"&amp;LEN((--TRIM(RIGHT(SUBSTITUTE(LEFT(A258,_xlfn.AGGREGATE(16,6,FIND({0,1,2,3,4,5,6,7,8,9},A258,ROW(INDIRECT("1:"&amp;LEN(A258)))),1))," ",REPT(" ",LEN(A258))),LEN(A258)))))))/10))*100+1</f>
        <v>201 &amp; 501</v>
      </c>
      <c r="B259" s="87"/>
      <c r="C259" s="56"/>
      <c r="D259" s="42"/>
      <c r="E259" s="42">
        <v>0</v>
      </c>
      <c r="F259" s="42">
        <f>D259*(($F$176)+1)+(IF(E259&lt;101,E259,IF(E259&lt;201,E259/2,IF(E259&lt;=301,E259/3,E259/4))))</f>
        <v>0</v>
      </c>
      <c r="G259" s="86" t="str">
        <f>A258</f>
        <v>2nd &amp; 5th Floor</v>
      </c>
      <c r="H259" s="87"/>
      <c r="I259" s="36"/>
    </row>
    <row r="260" spans="1:9" s="37" customFormat="1" hidden="1" x14ac:dyDescent="0.25">
      <c r="A260" s="86" t="str">
        <f ca="1">(SUMPRODUCT(MID(0&amp;(LEFT(A259,SUM(LEN(A259)-LEN(SUBSTITUTE(A259,{"0","1","2"},""))))), LARGE(INDEX(ISNUMBER(--MID((LEFT(A259,SUM(LEN(A259)-LEN(SUBSTITUTE(A259,{"0","1","2"},""))))), ROW(INDIRECT("1:"&amp;LEN((LEFT(A259,SUM(LEN(A259)-LEN(SUBSTITUTE(A259,{"0","1","2"},"")))))))), 1)) * ROW(INDIRECT("1:"&amp;LEN((LEFT(A259,SUM(LEN(A259)-LEN(SUBSTITUTE(A259,{"0","1","2"},"")))))))), 0), ROW(INDIRECT("1:"&amp;LEN((LEFT(A259,SUM(LEN(A259)-LEN(SUBSTITUTE(A259,{"0","1","2"},"")))))))))+1, 1) * 10^ROW(INDIRECT("1:"&amp;LEN((LEFT(A259,SUM(LEN(A259)-LEN(SUBSTITUTE(A259,{"0","1","2"},""))))))))/10))*1+1&amp;""&amp;" &amp; "&amp;""&amp;(SUMPRODUCT(MID(0&amp;(--TRIM(RIGHT(SUBSTITUTE(LEFT(A259,_xlfn.AGGREGATE(16,6,FIND({0,1,2,3,4,5,6,7,8,9},A259,ROW(INDIRECT("1:"&amp;LEN(A259)))),1))," ",REPT(" ",LEN(A259))),LEN(A259)))), LARGE(INDEX(ISNUMBER(--MID((--TRIM(RIGHT(SUBSTITUTE(LEFT(A259,_xlfn.AGGREGATE(16,6,FIND({0,1,2,3,4,5,6,7,8,9},A259,ROW(INDIRECT("1:"&amp;LEN(A259)))),1))," ",REPT(" ",LEN(A259))),LEN(A259)))), ROW(INDIRECT("1:"&amp;LEN((--TRIM(RIGHT(SUBSTITUTE(LEFT(A259,_xlfn.AGGREGATE(16,6,FIND({0,1,2,3,4,5,6,7,8,9},A259,ROW(INDIRECT("1:"&amp;LEN(A259)))),1))," ",REPT(" ",LEN(A259))),LEN(A259))))))), 1)) * ROW(INDIRECT("1:"&amp;LEN((--TRIM(RIGHT(SUBSTITUTE(LEFT(A259,_xlfn.AGGREGATE(16,6,FIND({0,1,2,3,4,5,6,7,8,9},A259,ROW(INDIRECT("1:"&amp;LEN(A259)))),1))," ",REPT(" ",LEN(A259))),LEN(A259))))))), 0), ROW(INDIRECT("1:"&amp;LEN((--TRIM(RIGHT(SUBSTITUTE(LEFT(A259,_xlfn.AGGREGATE(16,6,FIND({0,1,2,3,4,5,6,7,8,9},A259,ROW(INDIRECT("1:"&amp;LEN(A259)))),1))," ",REPT(" ",LEN(A259))),LEN(A259))))))))+1, 1) * 10^ROW(INDIRECT("1:"&amp;LEN((--TRIM(RIGHT(SUBSTITUTE(LEFT(A259,_xlfn.AGGREGATE(16,6,FIND({0,1,2,3,4,5,6,7,8,9},A259,ROW(INDIRECT("1:"&amp;LEN(A259)))),1))," ",REPT(" ",LEN(A259))),LEN(A259)))))))/10))*1+1</f>
        <v>202 &amp; 502</v>
      </c>
      <c r="B260" s="87"/>
      <c r="C260" s="56"/>
      <c r="D260" s="42"/>
      <c r="E260" s="42">
        <v>0</v>
      </c>
      <c r="F260" s="42">
        <f>D260*(($F$176)+1)+(IF(E260&lt;101,E260,IF(E260&lt;201,E260/2,IF(E260&lt;=301,E260/3,E260/4))))</f>
        <v>0</v>
      </c>
      <c r="G260" s="86" t="str">
        <f t="shared" ref="G260:G263" si="16">G259</f>
        <v>2nd &amp; 5th Floor</v>
      </c>
      <c r="H260" s="87"/>
      <c r="I260" s="36"/>
    </row>
    <row r="261" spans="1:9" s="37" customFormat="1" hidden="1" x14ac:dyDescent="0.25">
      <c r="A261" s="86" t="str">
        <f ca="1">(SUMPRODUCT(MID(0&amp;(LEFT(A260,SUM(LEN(A260)-LEN(SUBSTITUTE(A260,{"0","1","2"},""))))), LARGE(INDEX(ISNUMBER(--MID((LEFT(A260,SUM(LEN(A260)-LEN(SUBSTITUTE(A260,{"0","1","2"},""))))), ROW(INDIRECT("1:"&amp;LEN((LEFT(A260,SUM(LEN(A260)-LEN(SUBSTITUTE(A260,{"0","1","2"},"")))))))), 1)) * ROW(INDIRECT("1:"&amp;LEN((LEFT(A260,SUM(LEN(A260)-LEN(SUBSTITUTE(A260,{"0","1","2"},"")))))))), 0), ROW(INDIRECT("1:"&amp;LEN((LEFT(A260,SUM(LEN(A260)-LEN(SUBSTITUTE(A260,{"0","1","2"},"")))))))))+1, 1) * 10^ROW(INDIRECT("1:"&amp;LEN((LEFT(A260,SUM(LEN(A260)-LEN(SUBSTITUTE(A260,{"0","1","2"},""))))))))/10))*1+1&amp;""&amp;" &amp; "&amp;""&amp;(SUMPRODUCT(MID(0&amp;(--TRIM(RIGHT(SUBSTITUTE(LEFT(A260,_xlfn.AGGREGATE(16,6,FIND({0,1,2,3,4,5,6,7,8,9},A260,ROW(INDIRECT("1:"&amp;LEN(A260)))),1))," ",REPT(" ",LEN(A260))),LEN(A260)))), LARGE(INDEX(ISNUMBER(--MID((--TRIM(RIGHT(SUBSTITUTE(LEFT(A260,_xlfn.AGGREGATE(16,6,FIND({0,1,2,3,4,5,6,7,8,9},A260,ROW(INDIRECT("1:"&amp;LEN(A260)))),1))," ",REPT(" ",LEN(A260))),LEN(A260)))), ROW(INDIRECT("1:"&amp;LEN((--TRIM(RIGHT(SUBSTITUTE(LEFT(A260,_xlfn.AGGREGATE(16,6,FIND({0,1,2,3,4,5,6,7,8,9},A260,ROW(INDIRECT("1:"&amp;LEN(A260)))),1))," ",REPT(" ",LEN(A260))),LEN(A260))))))), 1)) * ROW(INDIRECT("1:"&amp;LEN((--TRIM(RIGHT(SUBSTITUTE(LEFT(A260,_xlfn.AGGREGATE(16,6,FIND({0,1,2,3,4,5,6,7,8,9},A260,ROW(INDIRECT("1:"&amp;LEN(A260)))),1))," ",REPT(" ",LEN(A260))),LEN(A260))))))), 0), ROW(INDIRECT("1:"&amp;LEN((--TRIM(RIGHT(SUBSTITUTE(LEFT(A260,_xlfn.AGGREGATE(16,6,FIND({0,1,2,3,4,5,6,7,8,9},A260,ROW(INDIRECT("1:"&amp;LEN(A260)))),1))," ",REPT(" ",LEN(A260))),LEN(A260))))))))+1, 1) * 10^ROW(INDIRECT("1:"&amp;LEN((--TRIM(RIGHT(SUBSTITUTE(LEFT(A260,_xlfn.AGGREGATE(16,6,FIND({0,1,2,3,4,5,6,7,8,9},A260,ROW(INDIRECT("1:"&amp;LEN(A260)))),1))," ",REPT(" ",LEN(A260))),LEN(A260)))))))/10))*1+1</f>
        <v>203 &amp; 503</v>
      </c>
      <c r="B261" s="87"/>
      <c r="C261" s="56"/>
      <c r="D261" s="42"/>
      <c r="E261" s="42">
        <v>0</v>
      </c>
      <c r="F261" s="42">
        <f>D261*(($F$176)+1)+(IF(E261&lt;101,E261,IF(E261&lt;201,E261/2,IF(E261&lt;=301,E261/3,E261/4))))</f>
        <v>0</v>
      </c>
      <c r="G261" s="86" t="str">
        <f t="shared" si="16"/>
        <v>2nd &amp; 5th Floor</v>
      </c>
      <c r="H261" s="87"/>
      <c r="I261" s="36"/>
    </row>
    <row r="262" spans="1:9" s="37" customFormat="1" hidden="1" x14ac:dyDescent="0.25">
      <c r="A262" s="86" t="str">
        <f ca="1">(SUMPRODUCT(MID(0&amp;(LEFT(A261,SUM(LEN(A261)-LEN(SUBSTITUTE(A261,{"0","1","2"},""))))), LARGE(INDEX(ISNUMBER(--MID((LEFT(A261,SUM(LEN(A261)-LEN(SUBSTITUTE(A261,{"0","1","2"},""))))), ROW(INDIRECT("1:"&amp;LEN((LEFT(A261,SUM(LEN(A261)-LEN(SUBSTITUTE(A261,{"0","1","2"},"")))))))), 1)) * ROW(INDIRECT("1:"&amp;LEN((LEFT(A261,SUM(LEN(A261)-LEN(SUBSTITUTE(A261,{"0","1","2"},"")))))))), 0), ROW(INDIRECT("1:"&amp;LEN((LEFT(A261,SUM(LEN(A261)-LEN(SUBSTITUTE(A261,{"0","1","2"},"")))))))))+1, 1) * 10^ROW(INDIRECT("1:"&amp;LEN((LEFT(A261,SUM(LEN(A261)-LEN(SUBSTITUTE(A261,{"0","1","2"},""))))))))/10))*1+1&amp;""&amp;" &amp; "&amp;""&amp;(SUMPRODUCT(MID(0&amp;(--TRIM(RIGHT(SUBSTITUTE(LEFT(A261,_xlfn.AGGREGATE(16,6,FIND({0,1,2,3,4,5,6,7,8,9},A261,ROW(INDIRECT("1:"&amp;LEN(A261)))),1))," ",REPT(" ",LEN(A261))),LEN(A261)))), LARGE(INDEX(ISNUMBER(--MID((--TRIM(RIGHT(SUBSTITUTE(LEFT(A261,_xlfn.AGGREGATE(16,6,FIND({0,1,2,3,4,5,6,7,8,9},A261,ROW(INDIRECT("1:"&amp;LEN(A261)))),1))," ",REPT(" ",LEN(A261))),LEN(A261)))), ROW(INDIRECT("1:"&amp;LEN((--TRIM(RIGHT(SUBSTITUTE(LEFT(A261,_xlfn.AGGREGATE(16,6,FIND({0,1,2,3,4,5,6,7,8,9},A261,ROW(INDIRECT("1:"&amp;LEN(A261)))),1))," ",REPT(" ",LEN(A261))),LEN(A261))))))), 1)) * ROW(INDIRECT("1:"&amp;LEN((--TRIM(RIGHT(SUBSTITUTE(LEFT(A261,_xlfn.AGGREGATE(16,6,FIND({0,1,2,3,4,5,6,7,8,9},A261,ROW(INDIRECT("1:"&amp;LEN(A261)))),1))," ",REPT(" ",LEN(A261))),LEN(A261))))))), 0), ROW(INDIRECT("1:"&amp;LEN((--TRIM(RIGHT(SUBSTITUTE(LEFT(A261,_xlfn.AGGREGATE(16,6,FIND({0,1,2,3,4,5,6,7,8,9},A261,ROW(INDIRECT("1:"&amp;LEN(A261)))),1))," ",REPT(" ",LEN(A261))),LEN(A261))))))))+1, 1) * 10^ROW(INDIRECT("1:"&amp;LEN((--TRIM(RIGHT(SUBSTITUTE(LEFT(A261,_xlfn.AGGREGATE(16,6,FIND({0,1,2,3,4,5,6,7,8,9},A261,ROW(INDIRECT("1:"&amp;LEN(A261)))),1))," ",REPT(" ",LEN(A261))),LEN(A261)))))))/10))*1+1</f>
        <v>204 &amp; 504</v>
      </c>
      <c r="B262" s="87"/>
      <c r="C262" s="56"/>
      <c r="D262" s="42"/>
      <c r="E262" s="42">
        <v>0</v>
      </c>
      <c r="F262" s="42">
        <f>D262*(($F$176)+1)+(IF(E262&lt;101,E262,IF(E262&lt;201,E262/2,IF(E262&lt;=301,E262/3,E262/4))))</f>
        <v>0</v>
      </c>
      <c r="G262" s="86" t="str">
        <f t="shared" si="16"/>
        <v>2nd &amp; 5th Floor</v>
      </c>
      <c r="H262" s="87"/>
      <c r="I262" s="36"/>
    </row>
    <row r="263" spans="1:9" s="37" customFormat="1" hidden="1" x14ac:dyDescent="0.25">
      <c r="A263" s="86" t="str">
        <f ca="1">(SUMPRODUCT(MID(0&amp;(LEFT(A262,SUM(LEN(A262)-LEN(SUBSTITUTE(A262,{"0","1","2"},""))))), LARGE(INDEX(ISNUMBER(--MID((LEFT(A262,SUM(LEN(A262)-LEN(SUBSTITUTE(A262,{"0","1","2"},""))))), ROW(INDIRECT("1:"&amp;LEN((LEFT(A262,SUM(LEN(A262)-LEN(SUBSTITUTE(A262,{"0","1","2"},"")))))))), 1)) * ROW(INDIRECT("1:"&amp;LEN((LEFT(A262,SUM(LEN(A262)-LEN(SUBSTITUTE(A262,{"0","1","2"},"")))))))), 0), ROW(INDIRECT("1:"&amp;LEN((LEFT(A262,SUM(LEN(A262)-LEN(SUBSTITUTE(A262,{"0","1","2"},"")))))))))+1, 1) * 10^ROW(INDIRECT("1:"&amp;LEN((LEFT(A262,SUM(LEN(A262)-LEN(SUBSTITUTE(A262,{"0","1","2"},""))))))))/10))*1+1&amp;""&amp;" &amp; "&amp;""&amp;(SUMPRODUCT(MID(0&amp;(--TRIM(RIGHT(SUBSTITUTE(LEFT(A262,_xlfn.AGGREGATE(16,6,FIND({0,1,2,3,4,5,6,7,8,9},A262,ROW(INDIRECT("1:"&amp;LEN(A262)))),1))," ",REPT(" ",LEN(A262))),LEN(A262)))), LARGE(INDEX(ISNUMBER(--MID((--TRIM(RIGHT(SUBSTITUTE(LEFT(A262,_xlfn.AGGREGATE(16,6,FIND({0,1,2,3,4,5,6,7,8,9},A262,ROW(INDIRECT("1:"&amp;LEN(A262)))),1))," ",REPT(" ",LEN(A262))),LEN(A262)))), ROW(INDIRECT("1:"&amp;LEN((--TRIM(RIGHT(SUBSTITUTE(LEFT(A262,_xlfn.AGGREGATE(16,6,FIND({0,1,2,3,4,5,6,7,8,9},A262,ROW(INDIRECT("1:"&amp;LEN(A262)))),1))," ",REPT(" ",LEN(A262))),LEN(A262))))))), 1)) * ROW(INDIRECT("1:"&amp;LEN((--TRIM(RIGHT(SUBSTITUTE(LEFT(A262,_xlfn.AGGREGATE(16,6,FIND({0,1,2,3,4,5,6,7,8,9},A262,ROW(INDIRECT("1:"&amp;LEN(A262)))),1))," ",REPT(" ",LEN(A262))),LEN(A262))))))), 0), ROW(INDIRECT("1:"&amp;LEN((--TRIM(RIGHT(SUBSTITUTE(LEFT(A262,_xlfn.AGGREGATE(16,6,FIND({0,1,2,3,4,5,6,7,8,9},A262,ROW(INDIRECT("1:"&amp;LEN(A262)))),1))," ",REPT(" ",LEN(A262))),LEN(A262))))))))+1, 1) * 10^ROW(INDIRECT("1:"&amp;LEN((--TRIM(RIGHT(SUBSTITUTE(LEFT(A262,_xlfn.AGGREGATE(16,6,FIND({0,1,2,3,4,5,6,7,8,9},A262,ROW(INDIRECT("1:"&amp;LEN(A262)))),1))," ",REPT(" ",LEN(A262))),LEN(A262)))))))/10))*1+1</f>
        <v>205 &amp; 505</v>
      </c>
      <c r="B263" s="87"/>
      <c r="C263" s="56"/>
      <c r="D263" s="42"/>
      <c r="E263" s="42">
        <v>0</v>
      </c>
      <c r="F263" s="42">
        <f>D263*(($F$176)+1)+(IF(E263&lt;101,E263,IF(E263&lt;201,E263/2,IF(E263&lt;=301,E263/3,E263/4))))</f>
        <v>0</v>
      </c>
      <c r="G263" s="86" t="str">
        <f t="shared" si="16"/>
        <v>2nd &amp; 5th Floor</v>
      </c>
      <c r="H263" s="87"/>
      <c r="I263" s="36"/>
    </row>
    <row r="264" spans="1:9" s="35" customFormat="1" x14ac:dyDescent="0.25">
      <c r="A264" s="200" t="s">
        <v>68</v>
      </c>
      <c r="B264" s="200"/>
      <c r="C264" s="200"/>
      <c r="D264" s="200"/>
      <c r="E264" s="200"/>
      <c r="F264" s="200"/>
      <c r="G264" s="200"/>
      <c r="H264" s="200"/>
    </row>
    <row r="265" spans="1:9" s="35" customFormat="1" ht="33" customHeight="1" x14ac:dyDescent="0.25">
      <c r="A265" s="47" t="s">
        <v>158</v>
      </c>
      <c r="B265" s="169" t="s">
        <v>289</v>
      </c>
      <c r="C265" s="170"/>
      <c r="D265" s="170"/>
      <c r="E265" s="170"/>
      <c r="F265" s="170"/>
      <c r="G265" s="170"/>
      <c r="H265" s="171"/>
    </row>
    <row r="266" spans="1:9" s="35" customFormat="1" x14ac:dyDescent="0.25">
      <c r="A266" s="47" t="s">
        <v>158</v>
      </c>
      <c r="B266" s="169" t="str">
        <f>(IF(F175="Saleable area Loading :","We have considered Saleable area of Flats as per our Calculation.","We considered Saleable area of Flat as per Builder area Sheet."))</f>
        <v>We have considered Saleable area of Flats as per our Calculation.</v>
      </c>
      <c r="C266" s="170"/>
      <c r="D266" s="170"/>
      <c r="E266" s="170"/>
      <c r="F266" s="170"/>
      <c r="G266" s="170"/>
      <c r="H266" s="171"/>
    </row>
    <row r="267" spans="1:9" s="35" customFormat="1" hidden="1" x14ac:dyDescent="0.25">
      <c r="A267" s="47" t="s">
        <v>158</v>
      </c>
      <c r="B267" s="169" t="str">
        <f>(IF(F167="Saleable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67" s="170"/>
      <c r="D267" s="170"/>
      <c r="E267" s="170"/>
      <c r="F267" s="170"/>
      <c r="G267" s="170"/>
      <c r="H267" s="171"/>
    </row>
    <row r="268" spans="1:9" s="35" customFormat="1" x14ac:dyDescent="0.25">
      <c r="A268" s="47" t="s">
        <v>158</v>
      </c>
      <c r="B268" s="129" t="s">
        <v>125</v>
      </c>
      <c r="C268" s="130"/>
      <c r="D268" s="130"/>
      <c r="E268" s="130"/>
      <c r="F268" s="130"/>
      <c r="G268" s="130"/>
      <c r="H268" s="131"/>
    </row>
    <row r="269" spans="1:9" s="35" customFormat="1" x14ac:dyDescent="0.25">
      <c r="A269" s="47" t="s">
        <v>158</v>
      </c>
      <c r="B269" s="129" t="s">
        <v>272</v>
      </c>
      <c r="C269" s="130"/>
      <c r="D269" s="130"/>
      <c r="E269" s="130"/>
      <c r="F269" s="130"/>
      <c r="G269" s="130"/>
      <c r="H269" s="131"/>
    </row>
    <row r="270" spans="1:9" s="35" customFormat="1" x14ac:dyDescent="0.25">
      <c r="A270" s="47" t="s">
        <v>158</v>
      </c>
      <c r="B270" s="129" t="s">
        <v>157</v>
      </c>
      <c r="C270" s="130"/>
      <c r="D270" s="130"/>
      <c r="E270" s="130"/>
      <c r="F270" s="130"/>
      <c r="G270" s="130"/>
      <c r="H270" s="131"/>
    </row>
    <row r="271" spans="1:9" s="35" customFormat="1" x14ac:dyDescent="0.25">
      <c r="A271" s="47" t="s">
        <v>158</v>
      </c>
      <c r="B271" s="129" t="s">
        <v>126</v>
      </c>
      <c r="C271" s="130"/>
      <c r="D271" s="130"/>
      <c r="E271" s="130"/>
      <c r="F271" s="130"/>
      <c r="G271" s="130"/>
      <c r="H271" s="131"/>
    </row>
    <row r="272" spans="1:9" s="35" customFormat="1" ht="34.5" customHeight="1" x14ac:dyDescent="0.25">
      <c r="A272" s="47" t="s">
        <v>158</v>
      </c>
      <c r="B272" s="129" t="s">
        <v>159</v>
      </c>
      <c r="C272" s="130"/>
      <c r="D272" s="130"/>
      <c r="E272" s="130"/>
      <c r="F272" s="130"/>
      <c r="G272" s="130"/>
      <c r="H272" s="131"/>
    </row>
    <row r="273" spans="1:8" s="35" customFormat="1" x14ac:dyDescent="0.25">
      <c r="A273" s="47" t="s">
        <v>158</v>
      </c>
      <c r="B273" s="129" t="s">
        <v>127</v>
      </c>
      <c r="C273" s="130"/>
      <c r="D273" s="130"/>
      <c r="E273" s="130"/>
      <c r="F273" s="130"/>
      <c r="G273" s="130"/>
      <c r="H273" s="131"/>
    </row>
    <row r="274" spans="1:8" s="35" customFormat="1" x14ac:dyDescent="0.25">
      <c r="A274" s="47" t="s">
        <v>158</v>
      </c>
      <c r="B274" s="129" t="s">
        <v>281</v>
      </c>
      <c r="C274" s="130"/>
      <c r="D274" s="130"/>
      <c r="E274" s="130"/>
      <c r="F274" s="130"/>
      <c r="G274" s="130"/>
      <c r="H274" s="131"/>
    </row>
    <row r="275" spans="1:8" s="35" customFormat="1" x14ac:dyDescent="0.25">
      <c r="A275" s="47" t="s">
        <v>158</v>
      </c>
      <c r="B275" s="129" t="s">
        <v>283</v>
      </c>
      <c r="C275" s="130"/>
      <c r="D275" s="130"/>
      <c r="E275" s="130"/>
      <c r="F275" s="130"/>
      <c r="G275" s="130"/>
      <c r="H275" s="131"/>
    </row>
    <row r="276" spans="1:8" s="35" customFormat="1" ht="30.95" hidden="1" customHeight="1" x14ac:dyDescent="0.25">
      <c r="A276" s="47" t="s">
        <v>158</v>
      </c>
      <c r="B276" s="129" t="s">
        <v>287</v>
      </c>
      <c r="C276" s="130"/>
      <c r="D276" s="130"/>
      <c r="E276" s="130"/>
      <c r="F276" s="130"/>
      <c r="G276" s="130"/>
      <c r="H276" s="131"/>
    </row>
    <row r="277" spans="1:8" x14ac:dyDescent="0.25">
      <c r="A277" s="151" t="s">
        <v>61</v>
      </c>
      <c r="B277" s="151"/>
      <c r="C277" s="151"/>
      <c r="D277" s="151"/>
      <c r="E277" s="151"/>
      <c r="F277" s="151"/>
      <c r="G277" s="151"/>
      <c r="H277" s="151"/>
    </row>
    <row r="278" spans="1:8" x14ac:dyDescent="0.25">
      <c r="A278" s="121" t="s">
        <v>62</v>
      </c>
      <c r="B278" s="121"/>
      <c r="C278" s="121"/>
      <c r="D278" s="121"/>
      <c r="E278" s="121"/>
      <c r="F278" s="121"/>
      <c r="G278" s="121"/>
      <c r="H278" s="121"/>
    </row>
    <row r="279" spans="1:8" ht="15.75" customHeight="1" x14ac:dyDescent="0.25">
      <c r="A279" s="156" t="s">
        <v>63</v>
      </c>
      <c r="B279" s="156"/>
      <c r="C279" s="156"/>
      <c r="D279" s="156"/>
      <c r="E279" s="156"/>
      <c r="F279" s="156"/>
      <c r="G279" s="156"/>
      <c r="H279" s="156"/>
    </row>
    <row r="280" spans="1:8" x14ac:dyDescent="0.25">
      <c r="A280" s="121" t="s">
        <v>64</v>
      </c>
      <c r="B280" s="121"/>
      <c r="C280" s="121"/>
      <c r="D280" s="121"/>
      <c r="E280" s="121"/>
      <c r="F280" s="121"/>
      <c r="G280" s="121"/>
      <c r="H280" s="121"/>
    </row>
    <row r="281" spans="1:8" x14ac:dyDescent="0.25">
      <c r="A281" s="121" t="s">
        <v>65</v>
      </c>
      <c r="B281" s="121"/>
      <c r="C281" s="121"/>
      <c r="D281" s="121"/>
      <c r="E281" s="121"/>
      <c r="F281" s="121"/>
      <c r="G281" s="121"/>
      <c r="H281" s="121"/>
    </row>
    <row r="282" spans="1:8" x14ac:dyDescent="0.25">
      <c r="A282" s="121" t="s">
        <v>128</v>
      </c>
      <c r="B282" s="121"/>
      <c r="C282" s="121"/>
      <c r="D282" s="121"/>
      <c r="E282" s="121"/>
      <c r="F282" s="121"/>
      <c r="G282" s="121"/>
      <c r="H282" s="121"/>
    </row>
    <row r="283" spans="1:8" x14ac:dyDescent="0.25">
      <c r="A283" s="127" t="s">
        <v>129</v>
      </c>
      <c r="B283" s="127"/>
      <c r="C283" s="127"/>
      <c r="D283" s="127"/>
      <c r="E283" s="127"/>
      <c r="F283" s="127"/>
      <c r="G283" s="127"/>
      <c r="H283" s="127"/>
    </row>
    <row r="284" spans="1:8" x14ac:dyDescent="0.25">
      <c r="A284" s="175" t="s">
        <v>77</v>
      </c>
      <c r="B284" s="175"/>
      <c r="C284" s="175" t="s">
        <v>288</v>
      </c>
      <c r="D284" s="175"/>
      <c r="E284" s="175" t="s">
        <v>107</v>
      </c>
      <c r="F284" s="175"/>
      <c r="G284" s="175" t="s">
        <v>292</v>
      </c>
      <c r="H284" s="175"/>
    </row>
    <row r="285" spans="1:8" x14ac:dyDescent="0.25">
      <c r="A285" s="174" t="s">
        <v>79</v>
      </c>
      <c r="B285" s="174"/>
      <c r="C285" s="174"/>
      <c r="D285" s="174"/>
      <c r="E285" s="174"/>
      <c r="F285" s="174"/>
      <c r="G285" s="174"/>
      <c r="H285" s="174"/>
    </row>
    <row r="286" spans="1:8" x14ac:dyDescent="0.25">
      <c r="A286" s="174"/>
      <c r="B286" s="174"/>
      <c r="C286" s="174"/>
      <c r="D286" s="174"/>
      <c r="E286" s="174"/>
      <c r="F286" s="174"/>
      <c r="G286" s="174"/>
      <c r="H286" s="174"/>
    </row>
    <row r="287" spans="1:8" x14ac:dyDescent="0.25">
      <c r="A287" s="174"/>
      <c r="B287" s="174"/>
      <c r="C287" s="174"/>
      <c r="D287" s="174"/>
      <c r="E287" s="174"/>
      <c r="F287" s="174"/>
      <c r="G287" s="174"/>
      <c r="H287" s="174"/>
    </row>
    <row r="288" spans="1:8" x14ac:dyDescent="0.25">
      <c r="A288" s="174"/>
      <c r="B288" s="174"/>
      <c r="C288" s="174"/>
      <c r="D288" s="174"/>
      <c r="E288" s="174"/>
      <c r="F288" s="174"/>
      <c r="G288" s="174"/>
      <c r="H288" s="174"/>
    </row>
    <row r="289" spans="1:8" x14ac:dyDescent="0.25">
      <c r="A289" s="38" t="s">
        <v>66</v>
      </c>
      <c r="B289" s="39"/>
      <c r="C289" s="39"/>
      <c r="D289" s="38" t="str">
        <f>E8</f>
        <v>Tulsi Vrundavan</v>
      </c>
      <c r="F289" s="39"/>
      <c r="G289" s="39"/>
      <c r="H289" s="39"/>
    </row>
    <row r="290" spans="1:8" x14ac:dyDescent="0.25">
      <c r="A290" s="39"/>
      <c r="B290" s="39"/>
      <c r="C290" s="39"/>
      <c r="D290" s="39"/>
      <c r="E290" s="39"/>
      <c r="F290" s="39"/>
      <c r="G290" s="39"/>
      <c r="H290" s="39"/>
    </row>
    <row r="291" spans="1:8" x14ac:dyDescent="0.25">
      <c r="A291" s="39"/>
      <c r="B291" s="39"/>
      <c r="C291" s="39"/>
      <c r="D291" s="39"/>
      <c r="E291" s="39"/>
      <c r="F291" s="39"/>
      <c r="G291" s="39"/>
      <c r="H291" s="39"/>
    </row>
    <row r="292" spans="1:8" ht="15" customHeight="1" x14ac:dyDescent="0.25"/>
    <row r="332" spans="1:1" x14ac:dyDescent="0.25">
      <c r="A332" s="41" t="s">
        <v>170</v>
      </c>
    </row>
    <row r="357" spans="1:1" x14ac:dyDescent="0.25">
      <c r="A357" s="41" t="s">
        <v>67</v>
      </c>
    </row>
  </sheetData>
  <mergeCells count="529">
    <mergeCell ref="I10:L10"/>
    <mergeCell ref="B276:H276"/>
    <mergeCell ref="A81:B81"/>
    <mergeCell ref="C81:H81"/>
    <mergeCell ref="A83:B83"/>
    <mergeCell ref="C83:H83"/>
    <mergeCell ref="A84:B84"/>
    <mergeCell ref="E84:F84"/>
    <mergeCell ref="G84:H84"/>
    <mergeCell ref="A85:B85"/>
    <mergeCell ref="E85:F94"/>
    <mergeCell ref="G85:H94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B275:H275"/>
    <mergeCell ref="B272:H272"/>
    <mergeCell ref="G163:H163"/>
    <mergeCell ref="C154:D154"/>
    <mergeCell ref="A48:B48"/>
    <mergeCell ref="C48:H48"/>
    <mergeCell ref="B270:H270"/>
    <mergeCell ref="G99:H108"/>
    <mergeCell ref="A100:B100"/>
    <mergeCell ref="A101:B101"/>
    <mergeCell ref="A102:B102"/>
    <mergeCell ref="F139:H139"/>
    <mergeCell ref="A139:E139"/>
    <mergeCell ref="G248:H248"/>
    <mergeCell ref="G244:H244"/>
    <mergeCell ref="G241:H241"/>
    <mergeCell ref="D167:D168"/>
    <mergeCell ref="A141:E141"/>
    <mergeCell ref="A140:E140"/>
    <mergeCell ref="A137:E137"/>
    <mergeCell ref="F141:H141"/>
    <mergeCell ref="A142:E142"/>
    <mergeCell ref="A108:B108"/>
    <mergeCell ref="A163:B163"/>
    <mergeCell ref="E163:F163"/>
    <mergeCell ref="A242:B242"/>
    <mergeCell ref="A243:B243"/>
    <mergeCell ref="A148:E148"/>
    <mergeCell ref="A39:B39"/>
    <mergeCell ref="C39:H39"/>
    <mergeCell ref="L238:M238"/>
    <mergeCell ref="B268:H268"/>
    <mergeCell ref="B269:H269"/>
    <mergeCell ref="G259:H259"/>
    <mergeCell ref="G257:H257"/>
    <mergeCell ref="A264:H264"/>
    <mergeCell ref="A256:B256"/>
    <mergeCell ref="A257:B257"/>
    <mergeCell ref="G255:H255"/>
    <mergeCell ref="A252:H252"/>
    <mergeCell ref="A246:H246"/>
    <mergeCell ref="A239:B239"/>
    <mergeCell ref="G249:H249"/>
    <mergeCell ref="G247:H247"/>
    <mergeCell ref="A254:B254"/>
    <mergeCell ref="A255:B255"/>
    <mergeCell ref="A244:B244"/>
    <mergeCell ref="G245:H245"/>
    <mergeCell ref="G251:H251"/>
    <mergeCell ref="G250:H250"/>
    <mergeCell ref="L240:M240"/>
    <mergeCell ref="A245:B245"/>
    <mergeCell ref="C153:D153"/>
    <mergeCell ref="E153:F153"/>
    <mergeCell ref="G242:H242"/>
    <mergeCell ref="B167:B168"/>
    <mergeCell ref="A167:A168"/>
    <mergeCell ref="C175:C176"/>
    <mergeCell ref="A183:B183"/>
    <mergeCell ref="A238:B238"/>
    <mergeCell ref="A185:B185"/>
    <mergeCell ref="A198:B198"/>
    <mergeCell ref="A231:B231"/>
    <mergeCell ref="A232:B232"/>
    <mergeCell ref="E154:F154"/>
    <mergeCell ref="G154:H154"/>
    <mergeCell ref="A155:B155"/>
    <mergeCell ref="C155:D155"/>
    <mergeCell ref="E155:F155"/>
    <mergeCell ref="G155:H155"/>
    <mergeCell ref="A159:B159"/>
    <mergeCell ref="C159:D159"/>
    <mergeCell ref="E159:F159"/>
    <mergeCell ref="G159:H159"/>
    <mergeCell ref="A224:B224"/>
    <mergeCell ref="A206:B206"/>
    <mergeCell ref="L239:M239"/>
    <mergeCell ref="G236:H236"/>
    <mergeCell ref="L236:M236"/>
    <mergeCell ref="A237:B237"/>
    <mergeCell ref="G237:H237"/>
    <mergeCell ref="L237:M237"/>
    <mergeCell ref="G238:H238"/>
    <mergeCell ref="A190:B190"/>
    <mergeCell ref="L190:M190"/>
    <mergeCell ref="G181:H190"/>
    <mergeCell ref="A191:H191"/>
    <mergeCell ref="A192:H192"/>
    <mergeCell ref="A193:H193"/>
    <mergeCell ref="A194:B194"/>
    <mergeCell ref="L194:M194"/>
    <mergeCell ref="A187:B187"/>
    <mergeCell ref="L187:M187"/>
    <mergeCell ref="A188:B188"/>
    <mergeCell ref="L188:M188"/>
    <mergeCell ref="A189:B189"/>
    <mergeCell ref="L189:M189"/>
    <mergeCell ref="L183:M183"/>
    <mergeCell ref="A184:B184"/>
    <mergeCell ref="L184:M184"/>
    <mergeCell ref="A38:B38"/>
    <mergeCell ref="C38:H38"/>
    <mergeCell ref="A45:D45"/>
    <mergeCell ref="L173:M173"/>
    <mergeCell ref="L172:M172"/>
    <mergeCell ref="L171:M171"/>
    <mergeCell ref="L170:M170"/>
    <mergeCell ref="A78:B78"/>
    <mergeCell ref="C158:D158"/>
    <mergeCell ref="E158:F158"/>
    <mergeCell ref="G158:H158"/>
    <mergeCell ref="F144:H144"/>
    <mergeCell ref="A138:E138"/>
    <mergeCell ref="A169:H169"/>
    <mergeCell ref="E167:E168"/>
    <mergeCell ref="G167:H168"/>
    <mergeCell ref="A99:B99"/>
    <mergeCell ref="A79:B79"/>
    <mergeCell ref="A80:B80"/>
    <mergeCell ref="D61:H61"/>
    <mergeCell ref="A43:D43"/>
    <mergeCell ref="E43:H43"/>
    <mergeCell ref="E44:H44"/>
    <mergeCell ref="E45:H45"/>
    <mergeCell ref="A98:B98"/>
    <mergeCell ref="E46:H46"/>
    <mergeCell ref="A97:B97"/>
    <mergeCell ref="C97:H97"/>
    <mergeCell ref="A44:D44"/>
    <mergeCell ref="A37:H37"/>
    <mergeCell ref="A36:B36"/>
    <mergeCell ref="C36:E36"/>
    <mergeCell ref="A41:D41"/>
    <mergeCell ref="E41:H41"/>
    <mergeCell ref="A40:H40"/>
    <mergeCell ref="A60:C60"/>
    <mergeCell ref="A61:C61"/>
    <mergeCell ref="D60:H60"/>
    <mergeCell ref="F36:H36"/>
    <mergeCell ref="A46:D46"/>
    <mergeCell ref="A47:H47"/>
    <mergeCell ref="D57:H57"/>
    <mergeCell ref="A57:C57"/>
    <mergeCell ref="G50:H50"/>
    <mergeCell ref="A51:B52"/>
    <mergeCell ref="A77:B77"/>
    <mergeCell ref="A70:B70"/>
    <mergeCell ref="A73:B73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69:B69"/>
    <mergeCell ref="A67:B67"/>
    <mergeCell ref="C67:H67"/>
    <mergeCell ref="A75:B75"/>
    <mergeCell ref="A62:C62"/>
    <mergeCell ref="D62:H62"/>
    <mergeCell ref="C69:H69"/>
    <mergeCell ref="A72:B72"/>
    <mergeCell ref="A74:B74"/>
    <mergeCell ref="E70:F70"/>
    <mergeCell ref="A63:C63"/>
    <mergeCell ref="D63:H63"/>
    <mergeCell ref="A66:C66"/>
    <mergeCell ref="D66:H66"/>
    <mergeCell ref="A64:C64"/>
    <mergeCell ref="A285:H288"/>
    <mergeCell ref="A284:B284"/>
    <mergeCell ref="E284:F284"/>
    <mergeCell ref="C284:D284"/>
    <mergeCell ref="G284:H284"/>
    <mergeCell ref="A151:H151"/>
    <mergeCell ref="A149:E149"/>
    <mergeCell ref="F149:H149"/>
    <mergeCell ref="A150:E150"/>
    <mergeCell ref="F150:H150"/>
    <mergeCell ref="A240:H240"/>
    <mergeCell ref="A158:B158"/>
    <mergeCell ref="A249:B249"/>
    <mergeCell ref="A153:B153"/>
    <mergeCell ref="A280:H280"/>
    <mergeCell ref="A156:H156"/>
    <mergeCell ref="A283:H283"/>
    <mergeCell ref="A281:H281"/>
    <mergeCell ref="A277:H277"/>
    <mergeCell ref="G157:H157"/>
    <mergeCell ref="G253:H253"/>
    <mergeCell ref="A251:B251"/>
    <mergeCell ref="C167:C168"/>
    <mergeCell ref="B175:B176"/>
    <mergeCell ref="A253:B253"/>
    <mergeCell ref="A175:A176"/>
    <mergeCell ref="D65:H65"/>
    <mergeCell ref="A71:B71"/>
    <mergeCell ref="G70:H70"/>
    <mergeCell ref="F137:H137"/>
    <mergeCell ref="F142:H142"/>
    <mergeCell ref="A236:B236"/>
    <mergeCell ref="A173:B173"/>
    <mergeCell ref="A172:B172"/>
    <mergeCell ref="E98:F98"/>
    <mergeCell ref="G98:H98"/>
    <mergeCell ref="A143:E143"/>
    <mergeCell ref="F143:H143"/>
    <mergeCell ref="A144:E144"/>
    <mergeCell ref="A146:E146"/>
    <mergeCell ref="F140:H140"/>
    <mergeCell ref="A145:E145"/>
    <mergeCell ref="E99:F108"/>
    <mergeCell ref="A106:B106"/>
    <mergeCell ref="A107:B107"/>
    <mergeCell ref="A174:H174"/>
    <mergeCell ref="E71:F80"/>
    <mergeCell ref="G71:H80"/>
    <mergeCell ref="B271:H271"/>
    <mergeCell ref="B267:H267"/>
    <mergeCell ref="A261:B261"/>
    <mergeCell ref="G261:H261"/>
    <mergeCell ref="G260:H260"/>
    <mergeCell ref="A258:H258"/>
    <mergeCell ref="A259:B259"/>
    <mergeCell ref="A260:B260"/>
    <mergeCell ref="A263:B263"/>
    <mergeCell ref="G263:H263"/>
    <mergeCell ref="A262:B262"/>
    <mergeCell ref="G262:H262"/>
    <mergeCell ref="B265:H265"/>
    <mergeCell ref="B266:H266"/>
    <mergeCell ref="A282:H282"/>
    <mergeCell ref="A279:H279"/>
    <mergeCell ref="G256:H256"/>
    <mergeCell ref="A241:B241"/>
    <mergeCell ref="A157:B157"/>
    <mergeCell ref="D175:D176"/>
    <mergeCell ref="E175:E176"/>
    <mergeCell ref="G175:H176"/>
    <mergeCell ref="A103:B103"/>
    <mergeCell ref="A104:B104"/>
    <mergeCell ref="A105:B105"/>
    <mergeCell ref="F138:H138"/>
    <mergeCell ref="G153:H153"/>
    <mergeCell ref="F145:H145"/>
    <mergeCell ref="C152:D152"/>
    <mergeCell ref="C163:D163"/>
    <mergeCell ref="A235:H235"/>
    <mergeCell ref="A250:B250"/>
    <mergeCell ref="A247:B247"/>
    <mergeCell ref="G239:H239"/>
    <mergeCell ref="G243:H243"/>
    <mergeCell ref="A170:B170"/>
    <mergeCell ref="A278:H278"/>
    <mergeCell ref="E157:F157"/>
    <mergeCell ref="B274:H274"/>
    <mergeCell ref="F34:H34"/>
    <mergeCell ref="A164:B164"/>
    <mergeCell ref="C164:D164"/>
    <mergeCell ref="E164:F164"/>
    <mergeCell ref="G164:H164"/>
    <mergeCell ref="E42:H42"/>
    <mergeCell ref="A42:D42"/>
    <mergeCell ref="A95:B95"/>
    <mergeCell ref="C95:H95"/>
    <mergeCell ref="A76:B76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G53:H53"/>
    <mergeCell ref="B273:H273"/>
    <mergeCell ref="G172:H172"/>
    <mergeCell ref="G170:H170"/>
    <mergeCell ref="C51:E51"/>
    <mergeCell ref="A58:C59"/>
    <mergeCell ref="D58:H58"/>
    <mergeCell ref="D59:H59"/>
    <mergeCell ref="C50:E50"/>
    <mergeCell ref="I14:P14"/>
    <mergeCell ref="G254:H254"/>
    <mergeCell ref="F148:H148"/>
    <mergeCell ref="F146:H146"/>
    <mergeCell ref="A248:B248"/>
    <mergeCell ref="A166:H166"/>
    <mergeCell ref="G152:H152"/>
    <mergeCell ref="A147:E147"/>
    <mergeCell ref="A171:B171"/>
    <mergeCell ref="A53:B53"/>
    <mergeCell ref="C53:E53"/>
    <mergeCell ref="D55:H55"/>
    <mergeCell ref="F147:H147"/>
    <mergeCell ref="E152:F152"/>
    <mergeCell ref="A152:B152"/>
    <mergeCell ref="A154:B154"/>
    <mergeCell ref="C157:D157"/>
    <mergeCell ref="D64:H64"/>
    <mergeCell ref="A65:C65"/>
    <mergeCell ref="C52:H52"/>
    <mergeCell ref="A177:H177"/>
    <mergeCell ref="A178:H178"/>
    <mergeCell ref="A179:H179"/>
    <mergeCell ref="A180:H180"/>
    <mergeCell ref="A181:B181"/>
    <mergeCell ref="L181:M181"/>
    <mergeCell ref="A182:B182"/>
    <mergeCell ref="L182:M182"/>
    <mergeCell ref="A161:B161"/>
    <mergeCell ref="C161:D161"/>
    <mergeCell ref="E161:F161"/>
    <mergeCell ref="G161:H161"/>
    <mergeCell ref="A162:B162"/>
    <mergeCell ref="C162:D162"/>
    <mergeCell ref="E162:F162"/>
    <mergeCell ref="G162:H162"/>
    <mergeCell ref="A160:B160"/>
    <mergeCell ref="C160:D160"/>
    <mergeCell ref="E160:F160"/>
    <mergeCell ref="G160:H160"/>
    <mergeCell ref="G171:H171"/>
    <mergeCell ref="G173:H173"/>
    <mergeCell ref="A165:H165"/>
    <mergeCell ref="L185:M185"/>
    <mergeCell ref="A186:B186"/>
    <mergeCell ref="L186:M186"/>
    <mergeCell ref="A195:B195"/>
    <mergeCell ref="L195:M195"/>
    <mergeCell ref="A196:B196"/>
    <mergeCell ref="L196:M196"/>
    <mergeCell ref="A197:B197"/>
    <mergeCell ref="L197:M197"/>
    <mergeCell ref="L198:M198"/>
    <mergeCell ref="A199:B199"/>
    <mergeCell ref="L199:M199"/>
    <mergeCell ref="A222:B222"/>
    <mergeCell ref="L222:M222"/>
    <mergeCell ref="A223:B223"/>
    <mergeCell ref="L223:M223"/>
    <mergeCell ref="A213:H213"/>
    <mergeCell ref="A214:H214"/>
    <mergeCell ref="A215:B215"/>
    <mergeCell ref="A200:H200"/>
    <mergeCell ref="A201:H201"/>
    <mergeCell ref="A202:H202"/>
    <mergeCell ref="A203:B203"/>
    <mergeCell ref="L203:M203"/>
    <mergeCell ref="A204:B204"/>
    <mergeCell ref="L204:M204"/>
    <mergeCell ref="A205:B205"/>
    <mergeCell ref="L205:M205"/>
    <mergeCell ref="L216:M216"/>
    <mergeCell ref="A217:B217"/>
    <mergeCell ref="L217:M217"/>
    <mergeCell ref="A218:B218"/>
    <mergeCell ref="L218:M218"/>
    <mergeCell ref="L220:M220"/>
    <mergeCell ref="A221:B221"/>
    <mergeCell ref="L221:M221"/>
    <mergeCell ref="L232:M232"/>
    <mergeCell ref="A233:B233"/>
    <mergeCell ref="L233:M233"/>
    <mergeCell ref="L206:M206"/>
    <mergeCell ref="A207:B207"/>
    <mergeCell ref="L207:M207"/>
    <mergeCell ref="A208:B208"/>
    <mergeCell ref="L208:M208"/>
    <mergeCell ref="A209:B209"/>
    <mergeCell ref="L209:M209"/>
    <mergeCell ref="A210:B210"/>
    <mergeCell ref="L210:M210"/>
    <mergeCell ref="A234:B234"/>
    <mergeCell ref="L234:M234"/>
    <mergeCell ref="G194:H199"/>
    <mergeCell ref="G203:H210"/>
    <mergeCell ref="G215:H225"/>
    <mergeCell ref="G229:H234"/>
    <mergeCell ref="L224:M224"/>
    <mergeCell ref="A225:B225"/>
    <mergeCell ref="L225:M225"/>
    <mergeCell ref="A226:H226"/>
    <mergeCell ref="A227:H227"/>
    <mergeCell ref="A228:H228"/>
    <mergeCell ref="A229:B229"/>
    <mergeCell ref="L229:M229"/>
    <mergeCell ref="A230:B230"/>
    <mergeCell ref="L230:M230"/>
    <mergeCell ref="A211:H211"/>
    <mergeCell ref="A212:H212"/>
    <mergeCell ref="L215:M215"/>
    <mergeCell ref="A216:B216"/>
    <mergeCell ref="L231:M231"/>
    <mergeCell ref="A219:B219"/>
    <mergeCell ref="L219:M219"/>
    <mergeCell ref="A220:B220"/>
    <mergeCell ref="A109:B109"/>
    <mergeCell ref="C109:H109"/>
    <mergeCell ref="A111:B111"/>
    <mergeCell ref="C111:H111"/>
    <mergeCell ref="A112:B112"/>
    <mergeCell ref="E112:F112"/>
    <mergeCell ref="G112:H112"/>
    <mergeCell ref="A113:B113"/>
    <mergeCell ref="E113:F122"/>
    <mergeCell ref="G113:H122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C123:H123"/>
    <mergeCell ref="A125:B125"/>
    <mergeCell ref="C125:H125"/>
    <mergeCell ref="A126:B126"/>
    <mergeCell ref="E126:F126"/>
    <mergeCell ref="G126:H126"/>
    <mergeCell ref="A127:B127"/>
    <mergeCell ref="E127:F136"/>
    <mergeCell ref="G127:H136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</mergeCells>
  <dataValidations count="13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167:E168" xr:uid="{00000000-0002-0000-0000-000003000000}">
      <formula1>"Attached Loft area,Attached Terrace area,Attached Mezzanine area"</formula1>
    </dataValidation>
    <dataValidation type="list" allowBlank="1" showInputMessage="1" showErrorMessage="1" sqref="F168 F176" xr:uid="{00000000-0002-0000-0000-000004000000}">
      <formula1>"45%,50%,55%,60%"</formula1>
    </dataValidation>
    <dataValidation type="list" allowBlank="1" showInputMessage="1" showErrorMessage="1" sqref="G284:H284" xr:uid="{00000000-0002-0000-0000-000005000000}">
      <formula1>"Gaurav Panchal,Kunal Kadam,Pranita Mhatre,Shruti Fule,Pooja Kawale,Mansee Mohite,Anjali Kamble, Hitakshi Mhatre, Sachin Sawant"</formula1>
    </dataValidation>
    <dataValidation type="list" allowBlank="1" showInputMessage="1" showErrorMessage="1" sqref="F137:H137" xr:uid="{00000000-0002-0000-0000-000006000000}">
      <formula1>"On Saleable Area,On Builtup Area,On Carpet Area,On Plot Area"</formula1>
    </dataValidation>
    <dataValidation type="list" allowBlank="1" showInputMessage="1" showErrorMessage="1" sqref="F149:H149" xr:uid="{00000000-0002-0000-0000-000007000000}">
      <formula1>"100000,150000,200000,250000,300000,350000,400000,500000,600000,700000,800000,900000,1000000,1200000,1400000,1500000"</formula1>
    </dataValidation>
    <dataValidation type="list" allowBlank="1" showInputMessage="1" showErrorMessage="1" sqref="F167 F175" xr:uid="{00000000-0002-0000-0000-000008000000}">
      <formula1>"Saleable area Loading :,Builder Saleable area"</formula1>
    </dataValidation>
    <dataValidation type="list" allowBlank="1" showInputMessage="1" showErrorMessage="1" sqref="B167:B168" xr:uid="{00000000-0002-0000-0000-000009000000}">
      <formula1>"Shop No. (Sale Plan),Sale / Rehab,Sale / Mhada"</formula1>
    </dataValidation>
    <dataValidation type="list" allowBlank="1" showInputMessage="1" showErrorMessage="1" sqref="B175:B176" xr:uid="{00000000-0002-0000-0000-00000A000000}">
      <formula1>"Flat No. (Sale Plan),Sale / Rehab,Sale / Mhada"</formula1>
    </dataValidation>
    <dataValidation type="list" allowBlank="1" showInputMessage="1" showErrorMessage="1" sqref="C20:D20" xr:uid="{00000000-0002-0000-0000-00000B000000}">
      <formula1>OFFSET($S$12,1,MATCH($G19,$S$12:$W$12,0)-1,15,1)</formula1>
    </dataValidation>
    <dataValidation type="list" allowBlank="1" showInputMessage="1" showErrorMessage="1" sqref="Y12" xr:uid="{00000000-0002-0000-0000-00000C000000}">
      <formula1>$D$4:$H$4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9" scale="99" fitToHeight="0" orientation="portrait" horizontalDpi="4294967293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6" max="16383" man="1"/>
    <brk id="122" max="16383" man="1"/>
    <brk id="288" max="16383" man="1"/>
    <brk id="331" max="16383" man="1"/>
    <brk id="356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L8" sqref="L8"/>
    </sheetView>
  </sheetViews>
  <sheetFormatPr defaultColWidth="8.85546875" defaultRowHeight="15" x14ac:dyDescent="0.25"/>
  <cols>
    <col min="1" max="1" width="8.855468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855468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11" t="s">
        <v>108</v>
      </c>
      <c r="C3" s="211"/>
      <c r="D3" s="211"/>
      <c r="E3" s="211"/>
      <c r="F3" s="211"/>
      <c r="G3" s="211"/>
      <c r="H3" s="211"/>
    </row>
    <row r="4" spans="1:9" x14ac:dyDescent="0.25">
      <c r="A4" s="2"/>
      <c r="B4" s="3" t="s">
        <v>109</v>
      </c>
      <c r="C4" s="3" t="s">
        <v>110</v>
      </c>
      <c r="D4" s="3" t="s">
        <v>69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2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54"/>
      <c r="C4" s="54" t="s">
        <v>12</v>
      </c>
      <c r="D4" s="55" t="s">
        <v>182</v>
      </c>
      <c r="E4" s="55" t="s">
        <v>192</v>
      </c>
      <c r="F4" s="55" t="s">
        <v>177</v>
      </c>
      <c r="G4" s="55" t="s">
        <v>197</v>
      </c>
      <c r="H4" s="55" t="s">
        <v>215</v>
      </c>
      <c r="J4" t="s">
        <v>197</v>
      </c>
      <c r="K4" t="s">
        <v>213</v>
      </c>
    </row>
    <row r="5" spans="2:11" x14ac:dyDescent="0.25">
      <c r="B5" s="54"/>
      <c r="C5" s="54"/>
      <c r="D5" s="55" t="s">
        <v>183</v>
      </c>
      <c r="E5" s="55" t="s">
        <v>190</v>
      </c>
      <c r="F5" s="55" t="s">
        <v>212</v>
      </c>
      <c r="G5" s="55" t="s">
        <v>198</v>
      </c>
      <c r="H5" s="55" t="s">
        <v>216</v>
      </c>
    </row>
    <row r="6" spans="2:11" x14ac:dyDescent="0.25">
      <c r="B6" s="54"/>
      <c r="C6" s="54"/>
      <c r="D6" s="55" t="s">
        <v>184</v>
      </c>
      <c r="E6" s="55" t="s">
        <v>191</v>
      </c>
      <c r="F6" s="55" t="s">
        <v>213</v>
      </c>
      <c r="G6" s="55" t="s">
        <v>199</v>
      </c>
      <c r="H6" s="55" t="s">
        <v>229</v>
      </c>
    </row>
    <row r="7" spans="2:11" x14ac:dyDescent="0.25">
      <c r="B7" s="54"/>
      <c r="C7" s="54"/>
      <c r="D7" s="55" t="s">
        <v>185</v>
      </c>
      <c r="E7" s="55" t="s">
        <v>193</v>
      </c>
      <c r="F7" s="55" t="s">
        <v>214</v>
      </c>
      <c r="G7" s="55" t="s">
        <v>200</v>
      </c>
      <c r="H7" s="55" t="s">
        <v>217</v>
      </c>
    </row>
    <row r="8" spans="2:11" x14ac:dyDescent="0.25">
      <c r="B8" s="54"/>
      <c r="C8" s="54"/>
      <c r="D8" s="55" t="s">
        <v>186</v>
      </c>
      <c r="E8" s="55" t="s">
        <v>194</v>
      </c>
      <c r="F8" s="55"/>
      <c r="G8" s="55" t="s">
        <v>201</v>
      </c>
      <c r="H8" s="55" t="s">
        <v>218</v>
      </c>
    </row>
    <row r="9" spans="2:11" x14ac:dyDescent="0.25">
      <c r="B9" s="54"/>
      <c r="C9" s="54"/>
      <c r="D9" s="55" t="s">
        <v>187</v>
      </c>
      <c r="E9" s="55" t="s">
        <v>192</v>
      </c>
      <c r="F9" s="55"/>
      <c r="G9" s="55" t="s">
        <v>202</v>
      </c>
      <c r="H9" s="55" t="s">
        <v>219</v>
      </c>
    </row>
    <row r="10" spans="2:11" x14ac:dyDescent="0.25">
      <c r="B10" s="54"/>
      <c r="C10" s="54"/>
      <c r="D10" s="55" t="s">
        <v>188</v>
      </c>
      <c r="E10" s="55" t="s">
        <v>195</v>
      </c>
      <c r="F10" s="55"/>
      <c r="G10" s="55" t="s">
        <v>203</v>
      </c>
      <c r="H10" s="55" t="s">
        <v>220</v>
      </c>
    </row>
    <row r="11" spans="2:11" x14ac:dyDescent="0.25">
      <c r="B11" s="54"/>
      <c r="C11" s="54"/>
      <c r="D11" s="55" t="s">
        <v>189</v>
      </c>
      <c r="E11" s="55" t="s">
        <v>196</v>
      </c>
      <c r="F11" s="55"/>
      <c r="G11" s="55" t="s">
        <v>204</v>
      </c>
      <c r="H11" s="55" t="s">
        <v>221</v>
      </c>
    </row>
    <row r="12" spans="2:11" x14ac:dyDescent="0.25">
      <c r="B12" s="54"/>
      <c r="C12" s="54"/>
      <c r="D12" s="55"/>
      <c r="E12" s="55"/>
      <c r="F12" s="55"/>
      <c r="G12" s="55" t="s">
        <v>205</v>
      </c>
      <c r="H12" s="55" t="s">
        <v>222</v>
      </c>
    </row>
    <row r="13" spans="2:11" x14ac:dyDescent="0.25">
      <c r="B13" s="54"/>
      <c r="C13" s="54"/>
      <c r="D13" s="55"/>
      <c r="E13" s="55"/>
      <c r="F13" s="55"/>
      <c r="G13" s="55" t="s">
        <v>206</v>
      </c>
      <c r="H13" s="55" t="s">
        <v>223</v>
      </c>
    </row>
    <row r="14" spans="2:11" x14ac:dyDescent="0.25">
      <c r="B14" s="54"/>
      <c r="C14" s="54"/>
      <c r="D14" s="55"/>
      <c r="E14" s="55"/>
      <c r="F14" s="55"/>
      <c r="G14" s="55" t="s">
        <v>207</v>
      </c>
      <c r="H14" s="55" t="s">
        <v>224</v>
      </c>
    </row>
    <row r="15" spans="2:11" x14ac:dyDescent="0.25">
      <c r="B15" s="54"/>
      <c r="C15" s="54"/>
      <c r="D15" s="55"/>
      <c r="E15" s="55"/>
      <c r="F15" s="55"/>
      <c r="G15" s="55" t="s">
        <v>208</v>
      </c>
      <c r="H15" s="55" t="s">
        <v>225</v>
      </c>
    </row>
    <row r="16" spans="2:11" x14ac:dyDescent="0.25">
      <c r="B16" s="54"/>
      <c r="C16" s="54"/>
      <c r="D16" s="55"/>
      <c r="E16" s="55"/>
      <c r="F16" s="55"/>
      <c r="G16" s="55" t="s">
        <v>209</v>
      </c>
      <c r="H16" s="55" t="s">
        <v>226</v>
      </c>
    </row>
    <row r="17" spans="2:8" x14ac:dyDescent="0.25">
      <c r="B17" s="54"/>
      <c r="C17" s="54"/>
      <c r="D17" s="55"/>
      <c r="E17" s="55"/>
      <c r="F17" s="55"/>
      <c r="G17" s="55" t="s">
        <v>210</v>
      </c>
      <c r="H17" s="55" t="s">
        <v>227</v>
      </c>
    </row>
    <row r="18" spans="2:8" x14ac:dyDescent="0.25">
      <c r="B18" s="54"/>
      <c r="C18" s="54"/>
      <c r="D18" s="55"/>
      <c r="E18" s="55"/>
      <c r="F18" s="55"/>
      <c r="G18" s="55" t="s">
        <v>211</v>
      </c>
      <c r="H18" s="55" t="s">
        <v>228</v>
      </c>
    </row>
    <row r="24" spans="2:8" x14ac:dyDescent="0.25">
      <c r="C24" t="s">
        <v>175</v>
      </c>
    </row>
    <row r="25" spans="2:8" x14ac:dyDescent="0.25">
      <c r="C25" t="s">
        <v>230</v>
      </c>
    </row>
    <row r="26" spans="2:8" x14ac:dyDescent="0.25">
      <c r="C26" t="s">
        <v>231</v>
      </c>
    </row>
    <row r="27" spans="2:8" x14ac:dyDescent="0.25">
      <c r="C27" t="s">
        <v>232</v>
      </c>
    </row>
    <row r="28" spans="2:8" x14ac:dyDescent="0.25">
      <c r="C28" t="s">
        <v>233</v>
      </c>
    </row>
    <row r="29" spans="2:8" x14ac:dyDescent="0.25">
      <c r="C29" t="s">
        <v>234</v>
      </c>
    </row>
    <row r="30" spans="2:8" x14ac:dyDescent="0.25">
      <c r="C30" t="s">
        <v>175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2025-09-13T04:23:17Z</cp:lastPrinted>
  <dcterms:created xsi:type="dcterms:W3CDTF">2019-07-16T09:29:46Z</dcterms:created>
  <dcterms:modified xsi:type="dcterms:W3CDTF">2025-09-13T04:25:42Z</dcterms:modified>
</cp:coreProperties>
</file>