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D:\Gaurav\Sep 25\DUMP\"/>
    </mc:Choice>
  </mc:AlternateContent>
  <xr:revisionPtr revIDLastSave="0" documentId="13_ncr:1_{1F42A41B-F50E-4627-B812-3086179D95EF}" xr6:coauthVersionLast="36" xr6:coauthVersionMax="47" xr10:uidLastSave="{00000000-0000-0000-0000-000000000000}"/>
  <bookViews>
    <workbookView xWindow="0" yWindow="0" windowWidth="20490" windowHeight="6825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1" l="1"/>
  <c r="D220" i="1" l="1"/>
  <c r="F220" i="1" s="1"/>
  <c r="D219" i="1"/>
  <c r="F219" i="1" s="1"/>
  <c r="D218" i="1"/>
  <c r="F218" i="1" s="1"/>
  <c r="D217" i="1"/>
  <c r="F217" i="1" s="1"/>
  <c r="D216" i="1"/>
  <c r="F216" i="1" s="1"/>
  <c r="D215" i="1"/>
  <c r="F215" i="1" s="1"/>
  <c r="D214" i="1"/>
  <c r="F214" i="1" s="1"/>
  <c r="D213" i="1"/>
  <c r="F213" i="1" s="1"/>
  <c r="D212" i="1"/>
  <c r="F212" i="1" s="1"/>
  <c r="D211" i="1"/>
  <c r="F211" i="1" s="1"/>
  <c r="D210" i="1"/>
  <c r="F210" i="1" s="1"/>
  <c r="D209" i="1"/>
  <c r="F209" i="1" s="1"/>
  <c r="D207" i="1"/>
  <c r="F207" i="1" s="1"/>
  <c r="D206" i="1"/>
  <c r="F206" i="1" s="1"/>
  <c r="D205" i="1"/>
  <c r="F205" i="1" s="1"/>
  <c r="D204" i="1"/>
  <c r="F204" i="1" s="1"/>
  <c r="D203" i="1"/>
  <c r="F203" i="1" s="1"/>
  <c r="D202" i="1"/>
  <c r="D201" i="1"/>
  <c r="D200" i="1"/>
  <c r="D199" i="1"/>
  <c r="D198" i="1"/>
  <c r="D197" i="1"/>
  <c r="D196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34" i="1"/>
  <c r="D135" i="1"/>
  <c r="D136" i="1"/>
  <c r="D137" i="1"/>
  <c r="D138" i="1"/>
  <c r="D139" i="1"/>
  <c r="D140" i="1"/>
  <c r="D141" i="1"/>
  <c r="D143" i="1"/>
  <c r="D142" i="1"/>
  <c r="D144" i="1"/>
  <c r="D146" i="1"/>
  <c r="D145" i="1"/>
  <c r="D147" i="1"/>
  <c r="G209" i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A196" i="1"/>
  <c r="A209" i="1"/>
  <c r="E125" i="1" l="1"/>
  <c r="E124" i="1"/>
  <c r="C123" i="1"/>
  <c r="E123" i="1"/>
  <c r="C125" i="1"/>
  <c r="C124" i="1"/>
  <c r="F196" i="1"/>
  <c r="G196" i="1"/>
  <c r="A210" i="1"/>
  <c r="A197" i="1"/>
  <c r="E126" i="1" l="1"/>
  <c r="C126" i="1"/>
  <c r="F197" i="1"/>
  <c r="G197" i="1"/>
  <c r="A211" i="1"/>
  <c r="A198" i="1"/>
  <c r="F198" i="1" l="1"/>
  <c r="G198" i="1"/>
  <c r="A199" i="1"/>
  <c r="A212" i="1"/>
  <c r="F199" i="1" l="1"/>
  <c r="G199" i="1"/>
  <c r="A200" i="1"/>
  <c r="A213" i="1"/>
  <c r="F200" i="1" l="1"/>
  <c r="G200" i="1"/>
  <c r="A201" i="1"/>
  <c r="A214" i="1"/>
  <c r="F201" i="1" l="1"/>
  <c r="G201" i="1"/>
  <c r="A202" i="1"/>
  <c r="A215" i="1"/>
  <c r="F202" i="1" l="1"/>
  <c r="G125" i="1" s="1"/>
  <c r="G202" i="1"/>
  <c r="G203" i="1" s="1"/>
  <c r="G204" i="1" s="1"/>
  <c r="G205" i="1" s="1"/>
  <c r="G206" i="1" s="1"/>
  <c r="G207" i="1" s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G180" i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F180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G165" i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F165" i="1"/>
  <c r="F162" i="1"/>
  <c r="F161" i="1"/>
  <c r="F160" i="1"/>
  <c r="F159" i="1"/>
  <c r="F158" i="1"/>
  <c r="F157" i="1"/>
  <c r="F156" i="1"/>
  <c r="F155" i="1"/>
  <c r="F147" i="1"/>
  <c r="F146" i="1"/>
  <c r="F145" i="1"/>
  <c r="F144" i="1"/>
  <c r="F143" i="1"/>
  <c r="F142" i="1"/>
  <c r="F141" i="1"/>
  <c r="F140" i="1"/>
  <c r="F154" i="1"/>
  <c r="F153" i="1"/>
  <c r="F152" i="1"/>
  <c r="F151" i="1"/>
  <c r="F150" i="1"/>
  <c r="G149" i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F149" i="1"/>
  <c r="E41" i="1"/>
  <c r="A149" i="1"/>
  <c r="A180" i="1"/>
  <c r="A165" i="1"/>
  <c r="A203" i="1"/>
  <c r="A216" i="1"/>
  <c r="G124" i="1" l="1"/>
  <c r="B223" i="1"/>
  <c r="A217" i="1"/>
  <c r="A134" i="1"/>
  <c r="A181" i="1"/>
  <c r="A204" i="1"/>
  <c r="A166" i="1"/>
  <c r="A150" i="1"/>
  <c r="C14" i="1" l="1"/>
  <c r="A218" i="1"/>
  <c r="A167" i="1"/>
  <c r="A151" i="1"/>
  <c r="A205" i="1"/>
  <c r="A135" i="1"/>
  <c r="A182" i="1"/>
  <c r="E28" i="1" l="1"/>
  <c r="A206" i="1"/>
  <c r="A183" i="1"/>
  <c r="A152" i="1"/>
  <c r="A136" i="1"/>
  <c r="A168" i="1"/>
  <c r="A219" i="1"/>
  <c r="F139" i="1" l="1"/>
  <c r="F138" i="1"/>
  <c r="I138" i="1" s="1"/>
  <c r="F137" i="1"/>
  <c r="F136" i="1"/>
  <c r="F135" i="1"/>
  <c r="F134" i="1"/>
  <c r="I134" i="1" s="1"/>
  <c r="A220" i="1"/>
  <c r="A207" i="1"/>
  <c r="A137" i="1"/>
  <c r="A153" i="1"/>
  <c r="A169" i="1"/>
  <c r="A184" i="1"/>
  <c r="G123" i="1" l="1"/>
  <c r="G126" i="1" s="1"/>
  <c r="A154" i="1"/>
  <c r="A138" i="1"/>
  <c r="A185" i="1"/>
  <c r="A170" i="1"/>
  <c r="F11" i="5" l="1"/>
  <c r="G11" i="5" s="1"/>
  <c r="F10" i="5"/>
  <c r="G10" i="5" s="1"/>
  <c r="F9" i="5"/>
  <c r="G9" i="5" s="1"/>
  <c r="F8" i="5"/>
  <c r="G8" i="5" s="1"/>
  <c r="F7" i="5"/>
  <c r="G7" i="5" s="1"/>
  <c r="G6" i="5"/>
  <c r="F6" i="5"/>
  <c r="F5" i="5"/>
  <c r="G5" i="5" s="1"/>
  <c r="G12" i="5" s="1"/>
  <c r="D245" i="1"/>
  <c r="G134" i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F120" i="1"/>
  <c r="J106" i="1"/>
  <c r="J105" i="1"/>
  <c r="J104" i="1"/>
  <c r="J103" i="1"/>
  <c r="C95" i="1"/>
  <c r="J91" i="1"/>
  <c r="J90" i="1"/>
  <c r="J89" i="1"/>
  <c r="J88" i="1"/>
  <c r="C80" i="1"/>
  <c r="J77" i="1"/>
  <c r="J76" i="1"/>
  <c r="J75" i="1"/>
  <c r="J74" i="1"/>
  <c r="C66" i="1"/>
  <c r="D53" i="1"/>
  <c r="C48" i="1"/>
  <c r="E42" i="1"/>
  <c r="E25" i="1"/>
  <c r="E23" i="1"/>
  <c r="E7" i="1"/>
  <c r="E3" i="1"/>
  <c r="D60" i="1" s="1"/>
  <c r="H81" i="1"/>
  <c r="H96" i="1"/>
  <c r="H67" i="1"/>
  <c r="A171" i="1"/>
  <c r="A186" i="1"/>
  <c r="A155" i="1"/>
  <c r="A139" i="1"/>
  <c r="D72" i="1" l="1"/>
  <c r="J70" i="1"/>
  <c r="D79" i="1"/>
  <c r="D77" i="1"/>
  <c r="D75" i="1"/>
  <c r="D73" i="1"/>
  <c r="J71" i="1"/>
  <c r="J69" i="1"/>
  <c r="J72" i="1"/>
  <c r="J73" i="1" s="1"/>
  <c r="J78" i="1" s="1"/>
  <c r="J79" i="1" s="1"/>
  <c r="D78" i="1"/>
  <c r="D74" i="1"/>
  <c r="D76" i="1"/>
  <c r="D101" i="1"/>
  <c r="J99" i="1"/>
  <c r="D108" i="1"/>
  <c r="D106" i="1"/>
  <c r="D104" i="1"/>
  <c r="D102" i="1"/>
  <c r="J100" i="1"/>
  <c r="C99" i="1" s="1"/>
  <c r="J98" i="1"/>
  <c r="J101" i="1"/>
  <c r="D107" i="1"/>
  <c r="D105" i="1"/>
  <c r="D103" i="1"/>
  <c r="J86" i="1"/>
  <c r="J87" i="1" s="1"/>
  <c r="J92" i="1" s="1"/>
  <c r="J93" i="1" s="1"/>
  <c r="D92" i="1"/>
  <c r="D90" i="1"/>
  <c r="D88" i="1"/>
  <c r="D86" i="1"/>
  <c r="J84" i="1"/>
  <c r="D93" i="1"/>
  <c r="J85" i="1"/>
  <c r="C84" i="1" s="1"/>
  <c r="D84" i="1" s="1"/>
  <c r="D87" i="1"/>
  <c r="D89" i="1"/>
  <c r="D91" i="1"/>
  <c r="J83" i="1"/>
  <c r="A140" i="1"/>
  <c r="A172" i="1"/>
  <c r="A156" i="1"/>
  <c r="A187" i="1"/>
  <c r="C85" i="1" l="1"/>
  <c r="G84" i="1" s="1"/>
  <c r="G94" i="1" s="1"/>
  <c r="J94" i="1"/>
  <c r="J102" i="1"/>
  <c r="J107" i="1" s="1"/>
  <c r="J108" i="1" s="1"/>
  <c r="C100" i="1" s="1"/>
  <c r="D100" i="1" s="1"/>
  <c r="D99" i="1"/>
  <c r="D70" i="1"/>
  <c r="E70" i="1"/>
  <c r="D71" i="1"/>
  <c r="G70" i="1"/>
  <c r="D64" i="1" s="1"/>
  <c r="A141" i="1"/>
  <c r="A157" i="1"/>
  <c r="A173" i="1"/>
  <c r="A188" i="1"/>
  <c r="E84" i="1" l="1"/>
  <c r="D85" i="1"/>
  <c r="G99" i="1"/>
  <c r="E99" i="1"/>
  <c r="I95" i="1" s="1"/>
  <c r="C97" i="1" s="1"/>
  <c r="I66" i="1"/>
  <c r="C68" i="1" s="1"/>
  <c r="D65" i="1"/>
  <c r="A158" i="1"/>
  <c r="A142" i="1"/>
  <c r="A174" i="1"/>
  <c r="A189" i="1"/>
  <c r="I80" i="1" l="1"/>
  <c r="C82" i="1" s="1"/>
  <c r="C94" i="1"/>
  <c r="A159" i="1"/>
  <c r="A175" i="1"/>
  <c r="A190" i="1"/>
  <c r="A143" i="1"/>
  <c r="A176" i="1" l="1"/>
  <c r="A144" i="1"/>
  <c r="A160" i="1"/>
  <c r="A191" i="1"/>
  <c r="A192" i="1"/>
  <c r="A161" i="1"/>
  <c r="A145" i="1"/>
  <c r="A177" i="1"/>
  <c r="A178" i="1"/>
  <c r="A146" i="1"/>
  <c r="A162" i="1"/>
  <c r="A193" i="1"/>
  <c r="A147" i="1"/>
</calcChain>
</file>

<file path=xl/sharedStrings.xml><?xml version="1.0" encoding="utf-8"?>
<sst xmlns="http://schemas.openxmlformats.org/spreadsheetml/2006/main" count="414" uniqueCount="216">
  <si>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</si>
  <si>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</si>
  <si>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</si>
  <si>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</si>
  <si>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</si>
  <si>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</si>
  <si>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</si>
  <si>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</si>
  <si>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</si>
  <si>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</si>
  <si>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</si>
  <si>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</si>
  <si>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</si>
  <si>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</si>
  <si>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</si>
  <si>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</si>
  <si>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</si>
  <si>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</si>
  <si>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</si>
  <si>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</si>
  <si>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</si>
  <si>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</si>
  <si>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</si>
  <si>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</si>
  <si>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</si>
  <si>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</si>
  <si>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</si>
  <si>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</si>
  <si>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</si>
  <si>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</si>
  <si>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</si>
  <si>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</si>
  <si>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</si>
  <si>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</si>
  <si>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</si>
  <si>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</si>
  <si>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</si>
  <si>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</si>
  <si>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</si>
  <si>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</si>
  <si>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</si>
  <si>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</si>
  <si>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</si>
  <si>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</si>
  <si>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</si>
  <si>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</si>
  <si>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</si>
  <si>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</si>
  <si>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</si>
  <si>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</si>
  <si>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</si>
  <si>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</si>
  <si>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</si>
  <si>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</si>
  <si>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</si>
  <si>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</si>
  <si>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</si>
  <si>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</si>
  <si>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</si>
  <si>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</si>
  <si>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</si>
  <si>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</si>
  <si>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</si>
  <si>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</si>
  <si>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</si>
  <si>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</si>
  <si>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</si>
  <si>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</si>
  <si>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</si>
  <si>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</si>
  <si>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</si>
  <si>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</si>
  <si>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</si>
  <si>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</si>
  <si>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</si>
  <si>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</si>
  <si>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</si>
  <si>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</si>
  <si>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</si>
  <si>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</si>
  <si>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</si>
  <si>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</si>
  <si>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</si>
  <si>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</si>
  <si>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</si>
  <si>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</si>
  <si>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</si>
  <si>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</si>
  <si>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</si>
  <si>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</si>
  <si>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</si>
  <si>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</si>
  <si>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</si>
  <si>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</si>
  <si>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</si>
  <si>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</si>
  <si>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</si>
  <si>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</si>
  <si>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</si>
  <si>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</si>
  <si>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</si>
  <si>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</si>
  <si>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</si>
  <si>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</si>
  <si>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</si>
  <si>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</si>
  <si>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</si>
  <si>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</si>
  <si>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</si>
  <si>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</si>
  <si>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</si>
  <si>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</si>
  <si>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</si>
  <si>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</si>
  <si>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</si>
  <si>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</si>
  <si>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</si>
  <si>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</si>
  <si>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</si>
  <si>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</si>
  <si>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</si>
  <si>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</si>
  <si>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</si>
  <si>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</si>
  <si>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</si>
  <si>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</si>
  <si>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</si>
  <si>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</si>
  <si>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</si>
  <si>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</si>
  <si>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</si>
  <si>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</si>
  <si>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</si>
  <si>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</si>
  <si>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</si>
  <si>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</si>
  <si>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</si>
  <si>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</si>
  <si>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</si>
  <si>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</si>
  <si>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</si>
  <si>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</si>
  <si>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</si>
  <si>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</si>
  <si>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</si>
  <si>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</si>
  <si>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</si>
  <si>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</si>
  <si>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</si>
  <si>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</si>
  <si>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</si>
  <si>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</si>
  <si>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</si>
  <si>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</si>
  <si>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</si>
  <si>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</si>
  <si>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</si>
  <si>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</si>
  <si>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</si>
  <si>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</si>
  <si>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</si>
  <si>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</si>
  <si>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</si>
  <si>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</si>
  <si>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of the flat Per Sq. Ft. (on Saleable area)</t>
  </si>
  <si>
    <t>Recommended rate should be considered as all inclusive rate if other charges are not mentioned. (Excluding GST &amp; other government Taxes)</t>
  </si>
  <si>
    <t>Axis Sanpada</t>
  </si>
  <si>
    <t>M/s. Shree Sharada Infrastructures</t>
  </si>
  <si>
    <t>Renaissance Royal Phase 1</t>
  </si>
  <si>
    <t>A, B &amp; D Wings</t>
  </si>
  <si>
    <t>P52000019557</t>
  </si>
  <si>
    <t>Approved Plans, CC</t>
  </si>
  <si>
    <t>Survey No</t>
  </si>
  <si>
    <t>Neral</t>
  </si>
  <si>
    <t>Karjat</t>
  </si>
  <si>
    <t>Raigad</t>
  </si>
  <si>
    <t>Dwarika Valley</t>
  </si>
  <si>
    <t>Internal Road</t>
  </si>
  <si>
    <t>Open Plot</t>
  </si>
  <si>
    <t>0.95 KM from Neral Railway Station</t>
  </si>
  <si>
    <t>3 Buildings</t>
  </si>
  <si>
    <t>RJP.BP/NSVP/313/2018</t>
  </si>
  <si>
    <t>RJP/BP./NSVP/313/2018</t>
  </si>
  <si>
    <t>A Wing = Gr/St + 1st to 6th Floor</t>
  </si>
  <si>
    <t>B Wing = Gr/St + 1st to 6th Floor</t>
  </si>
  <si>
    <t>Valid Up to:  Wings A, B &amp; D = Gr/St + 1st to 7th Floor</t>
  </si>
  <si>
    <t>A Wing = Gr/St + 1st to 6th Floor
B Wing = Gr/St + 1st to 6th Floor
D Wing = Gr/St + 1st to 4th Floor</t>
  </si>
  <si>
    <t>D Wing = Gr/St + 1st to 5th Floor</t>
  </si>
  <si>
    <t>Raigad Zilha Parishad</t>
  </si>
  <si>
    <t>1st, 3rd, 5th Floor for Residential</t>
  </si>
  <si>
    <t>2nd, 4th, 6th Floor</t>
  </si>
  <si>
    <t>A Wing</t>
  </si>
  <si>
    <t>B Wing</t>
  </si>
  <si>
    <t>D Wing</t>
  </si>
  <si>
    <t>2nd &amp; 4th Floor</t>
  </si>
  <si>
    <t>Ground Floor for Parking</t>
  </si>
  <si>
    <t>1BHK</t>
  </si>
  <si>
    <t>1st &amp; 3rd Floor for Residential</t>
  </si>
  <si>
    <t>We considered Gross carpet area = Net carpet + balcony + C.B Area</t>
  </si>
  <si>
    <t>Flats - 216</t>
  </si>
  <si>
    <t>30/3B, 30/3C, 58/1-B, 59/1,...61/1, 61/2</t>
  </si>
  <si>
    <t>Project consist of G to H Wings but on RERA A, B, D Wings are registered only.</t>
  </si>
  <si>
    <t>Office No. 1031, Wing J, Akshar Business Park, Plot No. 03 Sector 25, Near APMC Market, Vashi, Navi Mumbai, Maharashtra 400703 TEL: 022-46090378/79/80                                                                                                     Email : vsjcapf@gmail.com. Web site : www.vsjadon.com</t>
  </si>
  <si>
    <t>Location Link</t>
  </si>
  <si>
    <t>https://goo.gl/maps/RWe53WMnpdzCFVFC6</t>
  </si>
  <si>
    <t>On Site, we meet Mr.Omkar - 825177777.</t>
  </si>
  <si>
    <t>Site Person - Contact Details ( Name &amp; Contact No.)</t>
  </si>
  <si>
    <t>Latitude,Longitude</t>
  </si>
  <si>
    <t>19.022853,73.3232048</t>
  </si>
  <si>
    <t>Naynesh Sunil Lovanshi</t>
  </si>
  <si>
    <t>Ms. Diksha Ghadge 8275177777</t>
  </si>
  <si>
    <t xml:space="preserve">Since the project has received first CC on 09/10/2018., But construction work of Wing A &amp; D is under construction.
</t>
  </si>
  <si>
    <t>As per RERA - 29/12/2025</t>
  </si>
  <si>
    <t>Construction work is the same as last visit (dtd.14/12/2024)</t>
  </si>
  <si>
    <t>Gaurav Panchal</t>
  </si>
  <si>
    <t xml:space="preserve">Wing A = Construction work is in process at the time of Visit. (Very Slow Speed)
Wing B = All work completed. Please provide OC.
Wing D = Construction work is in process at the time of the visit.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</si>
</sst>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  <numFmt numFmtId="168" formatCode="_ * #,##0_ ;_ * \-#,##0_ ;_ * &quot;-&quot;??_ ;_ @_ 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41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Protection="1">
      <protection hidden="1"/>
    </xf>
    <xf numFmtId="0" fontId="7" fillId="0" borderId="13" xfId="1" applyFont="1" applyBorder="1" applyProtection="1">
      <protection hidden="1"/>
    </xf>
    <xf numFmtId="0" fontId="7" fillId="0" borderId="13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9" xfId="8" applyFont="1" applyFill="1" applyBorder="1" applyAlignment="1" applyProtection="1">
      <alignment horizontal="center" vertical="top" wrapText="1"/>
      <protection locked="0"/>
    </xf>
    <xf numFmtId="1" fontId="7" fillId="0" borderId="0" xfId="1" applyNumberFormat="1" applyFont="1" applyAlignment="1">
      <alignment horizontal="center" vertical="center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17" fillId="0" borderId="13" xfId="0" applyFont="1" applyBorder="1" applyProtection="1">
      <protection hidden="1"/>
    </xf>
    <xf numFmtId="0" fontId="7" fillId="0" borderId="11" xfId="1" applyFont="1" applyBorder="1" applyProtection="1">
      <protection hidden="1"/>
    </xf>
    <xf numFmtId="0" fontId="17" fillId="0" borderId="14" xfId="0" applyFont="1" applyBorder="1" applyProtection="1">
      <protection hidden="1"/>
    </xf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1" fontId="0" fillId="0" borderId="15" xfId="0" applyNumberFormat="1" applyBorder="1"/>
    <xf numFmtId="0" fontId="23" fillId="0" borderId="0" xfId="1" applyFont="1"/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9" fontId="7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7" fillId="2" borderId="1" xfId="1" applyFont="1" applyFill="1" applyBorder="1" applyAlignment="1" applyProtection="1">
      <alignment horizontal="left" vertical="top"/>
      <protection locked="0"/>
    </xf>
    <xf numFmtId="0" fontId="7" fillId="2" borderId="1" xfId="1" applyFont="1" applyFill="1" applyBorder="1" applyAlignment="1" applyProtection="1">
      <alignment vertical="top"/>
      <protection locked="0"/>
    </xf>
    <xf numFmtId="0" fontId="10" fillId="2" borderId="1" xfId="1" applyFont="1" applyFill="1" applyBorder="1" applyAlignment="1" applyProtection="1">
      <alignment horizontal="left" vertical="top"/>
      <protection locked="0"/>
    </xf>
    <xf numFmtId="0" fontId="7" fillId="2" borderId="4" xfId="1" applyFont="1" applyFill="1" applyBorder="1" applyAlignment="1" applyProtection="1">
      <alignment horizontal="center" vertical="top"/>
      <protection locked="0"/>
    </xf>
    <xf numFmtId="0" fontId="7" fillId="2" borderId="1" xfId="1" applyFont="1" applyFill="1" applyBorder="1" applyAlignment="1" applyProtection="1">
      <alignment horizontal="center" vertical="top"/>
      <protection locked="0"/>
    </xf>
    <xf numFmtId="0" fontId="7" fillId="2" borderId="5" xfId="1" applyFont="1" applyFill="1" applyBorder="1" applyAlignment="1" applyProtection="1">
      <alignment horizontal="center" vertical="top"/>
      <protection locked="0"/>
    </xf>
    <xf numFmtId="0" fontId="7" fillId="2" borderId="1" xfId="1" applyFont="1" applyFill="1" applyBorder="1" applyAlignment="1" applyProtection="1">
      <alignment horizontal="center" vertical="top" wrapText="1"/>
      <protection locked="0"/>
    </xf>
    <xf numFmtId="0" fontId="7" fillId="2" borderId="1" xfId="1" applyFont="1" applyFill="1" applyBorder="1" applyAlignment="1" applyProtection="1">
      <alignment horizontal="center" wrapText="1"/>
      <protection locked="0"/>
    </xf>
    <xf numFmtId="1" fontId="7" fillId="2" borderId="1" xfId="1" applyNumberFormat="1" applyFont="1" applyFill="1" applyBorder="1" applyAlignment="1" applyProtection="1">
      <alignment horizontal="center" wrapText="1"/>
      <protection locked="0"/>
    </xf>
    <xf numFmtId="0" fontId="7" fillId="2" borderId="7" xfId="1" applyFont="1" applyFill="1" applyBorder="1" applyAlignment="1" applyProtection="1">
      <alignment horizontal="center" wrapText="1"/>
      <protection locked="0"/>
    </xf>
    <xf numFmtId="0" fontId="7" fillId="0" borderId="0" xfId="0" applyFont="1" applyAlignment="1">
      <alignment horizontal="left" vertical="center"/>
    </xf>
    <xf numFmtId="0" fontId="10" fillId="2" borderId="36" xfId="1" applyFont="1" applyFill="1" applyBorder="1" applyAlignment="1" applyProtection="1">
      <alignment horizontal="center" vertical="center" wrapText="1"/>
      <protection locked="0"/>
    </xf>
    <xf numFmtId="0" fontId="10" fillId="2" borderId="38" xfId="1" applyFont="1" applyFill="1" applyBorder="1" applyAlignment="1" applyProtection="1">
      <alignment horizontal="center" vertical="center" wrapText="1"/>
      <protection locked="0"/>
    </xf>
    <xf numFmtId="9" fontId="10" fillId="2" borderId="37" xfId="1" applyNumberFormat="1" applyFont="1" applyFill="1" applyBorder="1" applyAlignment="1" applyProtection="1">
      <alignment horizontal="center" vertical="center" wrapText="1"/>
      <protection hidden="1"/>
    </xf>
    <xf numFmtId="9" fontId="10" fillId="2" borderId="38" xfId="1" applyNumberFormat="1" applyFont="1" applyFill="1" applyBorder="1" applyAlignment="1" applyProtection="1">
      <alignment horizontal="center" vertical="center" wrapText="1"/>
      <protection hidden="1"/>
    </xf>
    <xf numFmtId="9" fontId="10" fillId="2" borderId="36" xfId="1" applyNumberFormat="1" applyFont="1" applyFill="1" applyBorder="1" applyAlignment="1" applyProtection="1">
      <alignment horizontal="center" vertical="center" wrapText="1"/>
      <protection hidden="1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13" fillId="0" borderId="24" xfId="0" applyNumberFormat="1" applyFont="1" applyBorder="1" applyAlignment="1" applyProtection="1">
      <alignment vertical="top" wrapText="1"/>
      <protection locked="0"/>
    </xf>
    <xf numFmtId="1" fontId="13" fillId="0" borderId="10" xfId="0" applyNumberFormat="1" applyFont="1" applyBorder="1" applyAlignment="1" applyProtection="1">
      <alignment vertical="top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24" xfId="1" applyNumberFormat="1" applyFont="1" applyBorder="1" applyAlignment="1" applyProtection="1">
      <alignment horizontal="center" vertical="center" wrapText="1"/>
      <protection locked="0"/>
    </xf>
    <xf numFmtId="1" fontId="8" fillId="0" borderId="10" xfId="1" applyNumberFormat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top"/>
      <protection locked="0"/>
    </xf>
    <xf numFmtId="0" fontId="8" fillId="0" borderId="24" xfId="1" applyFont="1" applyBorder="1" applyAlignment="1" applyProtection="1">
      <alignment horizontal="center" vertical="top"/>
      <protection locked="0"/>
    </xf>
    <xf numFmtId="0" fontId="8" fillId="0" borderId="10" xfId="1" applyFont="1" applyBorder="1" applyAlignment="1" applyProtection="1">
      <alignment horizontal="center" vertical="top"/>
      <protection locked="0"/>
    </xf>
    <xf numFmtId="1" fontId="10" fillId="0" borderId="9" xfId="0" applyNumberFormat="1" applyFont="1" applyBorder="1" applyAlignment="1" applyProtection="1">
      <alignment horizontal="center" vertical="top" wrapText="1"/>
      <protection locked="0"/>
    </xf>
    <xf numFmtId="0" fontId="10" fillId="0" borderId="10" xfId="0" applyFont="1" applyBorder="1" applyAlignment="1" applyProtection="1">
      <alignment horizontal="center" vertical="top" wrapText="1"/>
      <protection locked="0"/>
    </xf>
    <xf numFmtId="0" fontId="6" fillId="0" borderId="9" xfId="1" applyFont="1" applyBorder="1" applyAlignment="1" applyProtection="1">
      <alignment horizontal="left" vertical="top"/>
      <protection locked="0"/>
    </xf>
    <xf numFmtId="0" fontId="6" fillId="0" borderId="24" xfId="1" applyFont="1" applyBorder="1" applyAlignment="1" applyProtection="1">
      <alignment horizontal="left" vertical="top"/>
      <protection locked="0"/>
    </xf>
    <xf numFmtId="0" fontId="6" fillId="0" borderId="10" xfId="1" applyFont="1" applyBorder="1" applyAlignment="1" applyProtection="1">
      <alignment horizontal="left" vertical="top"/>
      <protection locked="0"/>
    </xf>
    <xf numFmtId="0" fontId="6" fillId="0" borderId="9" xfId="1" applyFont="1" applyBorder="1" applyAlignment="1" applyProtection="1">
      <alignment vertical="top"/>
      <protection locked="0"/>
    </xf>
    <xf numFmtId="0" fontId="6" fillId="0" borderId="24" xfId="1" applyFont="1" applyBorder="1" applyAlignment="1" applyProtection="1">
      <alignment vertical="top"/>
      <protection locked="0"/>
    </xf>
    <xf numFmtId="0" fontId="6" fillId="0" borderId="10" xfId="1" applyFont="1" applyBorder="1" applyAlignment="1" applyProtection="1">
      <alignment vertical="top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8" fillId="0" borderId="24" xfId="0" applyNumberFormat="1" applyFont="1" applyBorder="1" applyAlignment="1" applyProtection="1">
      <alignment vertical="top" wrapText="1"/>
      <protection locked="0"/>
    </xf>
    <xf numFmtId="1" fontId="8" fillId="0" borderId="10" xfId="0" applyNumberFormat="1" applyFont="1" applyBorder="1" applyAlignment="1" applyProtection="1">
      <alignment vertical="top" wrapText="1"/>
      <protection locked="0"/>
    </xf>
    <xf numFmtId="1" fontId="10" fillId="0" borderId="9" xfId="0" applyNumberFormat="1" applyFont="1" applyBorder="1" applyAlignment="1" applyProtection="1">
      <alignment vertical="top" wrapText="1"/>
      <protection locked="0"/>
    </xf>
    <xf numFmtId="1" fontId="10" fillId="0" borderId="24" xfId="0" applyNumberFormat="1" applyFont="1" applyBorder="1" applyAlignment="1" applyProtection="1">
      <alignment vertical="top" wrapText="1"/>
      <protection locked="0"/>
    </xf>
    <xf numFmtId="1" fontId="10" fillId="0" borderId="10" xfId="0" applyNumberFormat="1" applyFont="1" applyBorder="1" applyAlignment="1" applyProtection="1">
      <alignment vertical="top" wrapText="1"/>
      <protection locked="0"/>
    </xf>
    <xf numFmtId="1" fontId="7" fillId="0" borderId="9" xfId="0" applyNumberFormat="1" applyFont="1" applyBorder="1" applyAlignment="1" applyProtection="1">
      <alignment horizontal="center" vertical="top" wrapText="1"/>
      <protection locked="0"/>
    </xf>
    <xf numFmtId="1" fontId="7" fillId="0" borderId="10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64" fontId="7" fillId="2" borderId="1" xfId="1" applyNumberFormat="1" applyFont="1" applyFill="1" applyBorder="1" applyAlignment="1" applyProtection="1">
      <alignment horizontal="left" vertical="top"/>
      <protection locked="0"/>
    </xf>
    <xf numFmtId="0" fontId="6" fillId="2" borderId="1" xfId="1" applyFont="1" applyFill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1" fontId="8" fillId="0" borderId="23" xfId="1" applyNumberFormat="1" applyFont="1" applyBorder="1" applyAlignment="1" applyProtection="1">
      <alignment horizontal="center" vertical="top" wrapText="1"/>
      <protection locked="0"/>
    </xf>
    <xf numFmtId="0" fontId="7" fillId="2" borderId="4" xfId="1" applyFont="1" applyFill="1" applyBorder="1" applyAlignment="1" applyProtection="1">
      <alignment horizontal="center" vertical="top" wrapText="1"/>
      <protection locked="0"/>
    </xf>
    <xf numFmtId="0" fontId="7" fillId="2" borderId="1" xfId="1" applyFont="1" applyFill="1" applyBorder="1" applyAlignment="1" applyProtection="1">
      <alignment horizontal="center" vertical="top" wrapText="1"/>
      <protection locked="0"/>
    </xf>
    <xf numFmtId="0" fontId="10" fillId="2" borderId="25" xfId="1" applyFont="1" applyFill="1" applyBorder="1" applyAlignment="1" applyProtection="1">
      <alignment horizontal="left" vertical="top" wrapText="1"/>
      <protection locked="0"/>
    </xf>
    <xf numFmtId="0" fontId="10" fillId="2" borderId="18" xfId="1" applyFont="1" applyFill="1" applyBorder="1" applyAlignment="1" applyProtection="1">
      <alignment horizontal="left" vertical="top" wrapText="1"/>
      <protection locked="0"/>
    </xf>
    <xf numFmtId="0" fontId="10" fillId="2" borderId="16" xfId="1" applyFont="1" applyFill="1" applyBorder="1" applyAlignment="1" applyProtection="1">
      <alignment horizontal="left" vertical="top" wrapText="1"/>
      <protection locked="0"/>
    </xf>
    <xf numFmtId="0" fontId="10" fillId="2" borderId="17" xfId="1" applyFont="1" applyFill="1" applyBorder="1" applyAlignment="1" applyProtection="1">
      <alignment horizontal="left" vertical="top" wrapText="1"/>
      <protection locked="0"/>
    </xf>
    <xf numFmtId="0" fontId="10" fillId="2" borderId="26" xfId="1" applyFont="1" applyFill="1" applyBorder="1" applyAlignment="1" applyProtection="1">
      <alignment horizontal="left" vertical="top" wrapText="1"/>
      <protection locked="0"/>
    </xf>
    <xf numFmtId="168" fontId="12" fillId="2" borderId="1" xfId="9" applyNumberFormat="1" applyFont="1" applyFill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8" fillId="0" borderId="17" xfId="1" applyFont="1" applyBorder="1" applyAlignment="1" applyProtection="1">
      <alignment horizontal="left" vertical="top"/>
      <protection locked="0"/>
    </xf>
    <xf numFmtId="0" fontId="8" fillId="0" borderId="18" xfId="1" applyFont="1" applyBorder="1" applyAlignment="1" applyProtection="1">
      <alignment horizontal="left" vertical="top"/>
      <protection locked="0"/>
    </xf>
    <xf numFmtId="0" fontId="7" fillId="2" borderId="6" xfId="1" applyFont="1" applyFill="1" applyBorder="1" applyAlignment="1" applyProtection="1">
      <alignment horizontal="center" vertical="top" wrapText="1"/>
      <protection locked="0"/>
    </xf>
    <xf numFmtId="0" fontId="7" fillId="2" borderId="7" xfId="1" applyFont="1" applyFill="1" applyBorder="1" applyAlignment="1" applyProtection="1">
      <alignment horizontal="center" vertical="top" wrapText="1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167" fontId="7" fillId="2" borderId="1" xfId="1" applyNumberFormat="1" applyFont="1" applyFill="1" applyBorder="1" applyAlignment="1" applyProtection="1">
      <alignment horizontal="left" vertical="top" wrapText="1"/>
      <protection locked="0"/>
    </xf>
    <xf numFmtId="0" fontId="6" fillId="2" borderId="9" xfId="1" applyFont="1" applyFill="1" applyBorder="1" applyAlignment="1" applyProtection="1">
      <alignment horizontal="left" vertical="top"/>
      <protection locked="0"/>
    </xf>
    <xf numFmtId="0" fontId="6" fillId="2" borderId="24" xfId="1" applyFont="1" applyFill="1" applyBorder="1" applyAlignment="1" applyProtection="1">
      <alignment horizontal="left" vertical="top"/>
      <protection locked="0"/>
    </xf>
    <xf numFmtId="0" fontId="6" fillId="2" borderId="10" xfId="1" applyFont="1" applyFill="1" applyBorder="1" applyAlignment="1" applyProtection="1">
      <alignment horizontal="left" vertical="top"/>
      <protection locked="0"/>
    </xf>
    <xf numFmtId="0" fontId="7" fillId="2" borderId="1" xfId="1" applyFont="1" applyFill="1" applyBorder="1" applyAlignment="1" applyProtection="1">
      <alignment horizontal="left" vertical="top"/>
      <protection locked="0"/>
    </xf>
    <xf numFmtId="0" fontId="12" fillId="2" borderId="20" xfId="1" applyFont="1" applyFill="1" applyBorder="1" applyAlignment="1" applyProtection="1">
      <alignment horizontal="left" vertical="top" wrapText="1"/>
      <protection locked="0"/>
    </xf>
    <xf numFmtId="0" fontId="12" fillId="2" borderId="27" xfId="1" applyFont="1" applyFill="1" applyBorder="1" applyAlignment="1" applyProtection="1">
      <alignment horizontal="left" vertical="top" wrapText="1"/>
      <protection locked="0"/>
    </xf>
    <xf numFmtId="0" fontId="12" fillId="2" borderId="28" xfId="1" applyFont="1" applyFill="1" applyBorder="1" applyAlignment="1" applyProtection="1">
      <alignment horizontal="left" vertical="top" wrapText="1"/>
      <protection locked="0"/>
    </xf>
    <xf numFmtId="0" fontId="12" fillId="2" borderId="0" xfId="1" applyFont="1" applyFill="1" applyAlignment="1" applyProtection="1">
      <alignment horizontal="left" vertical="top" wrapText="1"/>
      <protection locked="0"/>
    </xf>
    <xf numFmtId="0" fontId="12" fillId="2" borderId="22" xfId="1" applyFont="1" applyFill="1" applyBorder="1" applyAlignment="1" applyProtection="1">
      <alignment horizontal="left" vertical="top" wrapText="1"/>
      <protection locked="0"/>
    </xf>
    <xf numFmtId="0" fontId="12" fillId="2" borderId="2" xfId="1" applyFont="1" applyFill="1" applyBorder="1" applyAlignment="1" applyProtection="1">
      <alignment horizontal="left" vertical="top" wrapText="1"/>
      <protection locked="0"/>
    </xf>
    <xf numFmtId="0" fontId="7" fillId="2" borderId="20" xfId="1" applyFont="1" applyFill="1" applyBorder="1" applyAlignment="1" applyProtection="1">
      <alignment horizontal="left" vertical="top"/>
      <protection locked="0"/>
    </xf>
    <xf numFmtId="0" fontId="7" fillId="2" borderId="27" xfId="1" applyFont="1" applyFill="1" applyBorder="1" applyAlignment="1" applyProtection="1">
      <alignment horizontal="left" vertical="top"/>
      <protection locked="0"/>
    </xf>
    <xf numFmtId="0" fontId="7" fillId="2" borderId="21" xfId="1" applyFont="1" applyFill="1" applyBorder="1" applyAlignment="1" applyProtection="1">
      <alignment horizontal="left" vertical="top"/>
      <protection locked="0"/>
    </xf>
    <xf numFmtId="0" fontId="7" fillId="2" borderId="28" xfId="1" applyFont="1" applyFill="1" applyBorder="1" applyAlignment="1" applyProtection="1">
      <alignment horizontal="left" vertical="top"/>
      <protection locked="0"/>
    </xf>
    <xf numFmtId="0" fontId="7" fillId="2" borderId="0" xfId="1" applyFont="1" applyFill="1" applyAlignment="1" applyProtection="1">
      <alignment horizontal="left" vertical="top"/>
      <protection locked="0"/>
    </xf>
    <xf numFmtId="0" fontId="7" fillId="2" borderId="29" xfId="1" applyFont="1" applyFill="1" applyBorder="1" applyAlignment="1" applyProtection="1">
      <alignment horizontal="left" vertical="top"/>
      <protection locked="0"/>
    </xf>
    <xf numFmtId="0" fontId="8" fillId="2" borderId="1" xfId="1" applyFont="1" applyFill="1" applyBorder="1" applyAlignment="1" applyProtection="1">
      <alignment horizontal="left" vertical="top" wrapText="1"/>
      <protection locked="0"/>
    </xf>
    <xf numFmtId="0" fontId="10" fillId="2" borderId="1" xfId="1" applyFont="1" applyFill="1" applyBorder="1" applyAlignment="1" applyProtection="1">
      <alignment horizontal="left" vertical="top" wrapText="1"/>
      <protection locked="0"/>
    </xf>
    <xf numFmtId="0" fontId="10" fillId="2" borderId="1" xfId="1" applyFont="1" applyFill="1" applyBorder="1" applyAlignment="1" applyProtection="1">
      <alignment horizontal="left" vertical="top"/>
      <protection locked="0"/>
    </xf>
    <xf numFmtId="0" fontId="8" fillId="2" borderId="9" xfId="1" applyFont="1" applyFill="1" applyBorder="1" applyAlignment="1" applyProtection="1">
      <alignment vertical="top"/>
      <protection locked="0"/>
    </xf>
    <xf numFmtId="0" fontId="8" fillId="2" borderId="24" xfId="1" applyFont="1" applyFill="1" applyBorder="1" applyAlignment="1" applyProtection="1">
      <alignment vertical="top"/>
      <protection locked="0"/>
    </xf>
    <xf numFmtId="0" fontId="8" fillId="2" borderId="10" xfId="1" applyFont="1" applyFill="1" applyBorder="1" applyAlignment="1" applyProtection="1">
      <alignment vertical="top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7" fillId="2" borderId="9" xfId="1" applyFont="1" applyFill="1" applyBorder="1" applyAlignment="1" applyProtection="1">
      <alignment horizontal="left" vertical="top"/>
      <protection locked="0"/>
    </xf>
    <xf numFmtId="0" fontId="7" fillId="2" borderId="24" xfId="1" applyFont="1" applyFill="1" applyBorder="1" applyAlignment="1" applyProtection="1">
      <alignment horizontal="left" vertical="top"/>
      <protection locked="0"/>
    </xf>
    <xf numFmtId="0" fontId="7" fillId="2" borderId="10" xfId="1" applyFont="1" applyFill="1" applyBorder="1" applyAlignment="1" applyProtection="1">
      <alignment horizontal="left" vertical="top"/>
      <protection locked="0"/>
    </xf>
    <xf numFmtId="167" fontId="10" fillId="2" borderId="1" xfId="1" applyNumberFormat="1" applyFont="1" applyFill="1" applyBorder="1" applyAlignment="1" applyProtection="1">
      <alignment horizontal="left" vertical="top" wrapText="1"/>
      <protection locked="0"/>
    </xf>
    <xf numFmtId="0" fontId="7" fillId="2" borderId="22" xfId="1" applyFont="1" applyFill="1" applyBorder="1" applyAlignment="1" applyProtection="1">
      <alignment horizontal="left" vertical="top"/>
      <protection locked="0"/>
    </xf>
    <xf numFmtId="0" fontId="7" fillId="2" borderId="2" xfId="1" applyFont="1" applyFill="1" applyBorder="1" applyAlignment="1" applyProtection="1">
      <alignment horizontal="left" vertical="top"/>
      <protection locked="0"/>
    </xf>
    <xf numFmtId="0" fontId="7" fillId="2" borderId="23" xfId="1" applyFont="1" applyFill="1" applyBorder="1" applyAlignment="1" applyProtection="1">
      <alignment horizontal="left" vertical="top"/>
      <protection locked="0"/>
    </xf>
    <xf numFmtId="0" fontId="7" fillId="2" borderId="9" xfId="1" applyFont="1" applyFill="1" applyBorder="1" applyAlignment="1" applyProtection="1">
      <alignment horizontal="left" vertical="top" wrapText="1"/>
      <protection locked="0"/>
    </xf>
    <xf numFmtId="0" fontId="7" fillId="2" borderId="24" xfId="1" applyFont="1" applyFill="1" applyBorder="1" applyAlignment="1" applyProtection="1">
      <alignment horizontal="left" vertical="top" wrapText="1"/>
      <protection locked="0"/>
    </xf>
    <xf numFmtId="0" fontId="7" fillId="2" borderId="10" xfId="1" applyFont="1" applyFill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vertical="top"/>
      <protection locked="0"/>
    </xf>
    <xf numFmtId="0" fontId="8" fillId="0" borderId="24" xfId="1" applyFont="1" applyBorder="1" applyAlignment="1" applyProtection="1">
      <alignment vertical="top"/>
      <protection locked="0"/>
    </xf>
    <xf numFmtId="0" fontId="8" fillId="0" borderId="10" xfId="1" applyFont="1" applyBorder="1" applyAlignment="1" applyProtection="1">
      <alignment vertical="top"/>
      <protection locked="0"/>
    </xf>
    <xf numFmtId="0" fontId="10" fillId="0" borderId="9" xfId="0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center" vertical="top" wrapText="1"/>
      <protection locked="0"/>
    </xf>
    <xf numFmtId="0" fontId="13" fillId="0" borderId="27" xfId="1" applyFont="1" applyBorder="1" applyAlignment="1" applyProtection="1">
      <alignment horizontal="center" vertical="top" wrapText="1"/>
      <protection locked="0"/>
    </xf>
    <xf numFmtId="0" fontId="13" fillId="0" borderId="21" xfId="1" applyFont="1" applyBorder="1" applyAlignment="1" applyProtection="1">
      <alignment horizontal="center" vertical="top" wrapText="1"/>
      <protection locked="0"/>
    </xf>
    <xf numFmtId="0" fontId="13" fillId="0" borderId="28" xfId="1" applyFont="1" applyBorder="1" applyAlignment="1" applyProtection="1">
      <alignment horizontal="center" vertical="top" wrapText="1"/>
      <protection locked="0"/>
    </xf>
    <xf numFmtId="0" fontId="13" fillId="0" borderId="0" xfId="1" applyFont="1" applyAlignment="1" applyProtection="1">
      <alignment horizontal="center" vertical="top" wrapText="1"/>
      <protection locked="0"/>
    </xf>
    <xf numFmtId="0" fontId="13" fillId="0" borderId="29" xfId="1" applyFont="1" applyBorder="1" applyAlignment="1" applyProtection="1">
      <alignment horizontal="center" vertical="top" wrapText="1"/>
      <protection locked="0"/>
    </xf>
    <xf numFmtId="0" fontId="13" fillId="0" borderId="22" xfId="1" applyFont="1" applyBorder="1" applyAlignment="1" applyProtection="1">
      <alignment horizontal="center" vertical="top" wrapText="1"/>
      <protection locked="0"/>
    </xf>
    <xf numFmtId="0" fontId="13" fillId="0" borderId="2" xfId="1" applyFont="1" applyBorder="1" applyAlignment="1" applyProtection="1">
      <alignment horizontal="center" vertical="top" wrapText="1"/>
      <protection locked="0"/>
    </xf>
    <xf numFmtId="0" fontId="13" fillId="0" borderId="23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4" fillId="0" borderId="9" xfId="1" applyFont="1" applyBorder="1" applyAlignment="1" applyProtection="1">
      <alignment horizontal="center" vertical="top" wrapText="1"/>
      <protection locked="0"/>
    </xf>
    <xf numFmtId="0" fontId="14" fillId="0" borderId="10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9" xfId="0" applyNumberFormat="1" applyFont="1" applyBorder="1" applyAlignment="1" applyProtection="1">
      <alignment horizontal="center" vertical="center" wrapText="1"/>
      <protection locked="0"/>
    </xf>
    <xf numFmtId="1" fontId="8" fillId="0" borderId="24" xfId="0" applyNumberFormat="1" applyFont="1" applyBorder="1" applyAlignment="1" applyProtection="1">
      <alignment horizontal="center" vertical="center" wrapText="1"/>
      <protection locked="0"/>
    </xf>
    <xf numFmtId="1" fontId="8" fillId="0" borderId="10" xfId="0" applyNumberFormat="1" applyFont="1" applyBorder="1" applyAlignment="1" applyProtection="1">
      <alignment horizontal="center" vertical="center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24" xfId="1" applyFont="1" applyBorder="1" applyAlignment="1" applyProtection="1">
      <alignment horizontal="left" vertical="top" wrapText="1"/>
      <protection locked="0"/>
    </xf>
    <xf numFmtId="0" fontId="6" fillId="0" borderId="10" xfId="1" applyFont="1" applyBorder="1" applyAlignment="1" applyProtection="1">
      <alignment horizontal="left" vertical="top" wrapText="1"/>
      <protection locked="0"/>
    </xf>
    <xf numFmtId="1" fontId="8" fillId="0" borderId="9" xfId="0" applyNumberFormat="1" applyFont="1" applyBorder="1" applyAlignment="1" applyProtection="1">
      <alignment horizontal="left" vertical="top" wrapText="1"/>
      <protection locked="0"/>
    </xf>
    <xf numFmtId="1" fontId="8" fillId="0" borderId="24" xfId="0" applyNumberFormat="1" applyFont="1" applyBorder="1" applyAlignment="1" applyProtection="1">
      <alignment horizontal="left" vertical="top" wrapText="1"/>
      <protection locked="0"/>
    </xf>
    <xf numFmtId="1" fontId="8" fillId="0" borderId="10" xfId="0" applyNumberFormat="1" applyFont="1" applyBorder="1" applyAlignment="1" applyProtection="1">
      <alignment horizontal="left" vertical="top" wrapText="1"/>
      <protection locked="0"/>
    </xf>
    <xf numFmtId="0" fontId="6" fillId="2" borderId="3" xfId="1" applyFont="1" applyFill="1" applyBorder="1" applyAlignment="1" applyProtection="1">
      <alignment horizontal="left" vertical="top"/>
      <protection locked="0"/>
    </xf>
    <xf numFmtId="0" fontId="12" fillId="2" borderId="9" xfId="1" applyFont="1" applyFill="1" applyBorder="1" applyAlignment="1" applyProtection="1">
      <alignment horizontal="left" vertical="top" wrapText="1"/>
      <protection locked="0"/>
    </xf>
    <xf numFmtId="0" fontId="12" fillId="2" borderId="24" xfId="1" applyFont="1" applyFill="1" applyBorder="1" applyAlignment="1" applyProtection="1">
      <alignment horizontal="left" vertical="top" wrapText="1"/>
      <protection locked="0"/>
    </xf>
    <xf numFmtId="0" fontId="12" fillId="2" borderId="10" xfId="1" applyFont="1" applyFill="1" applyBorder="1" applyAlignment="1" applyProtection="1">
      <alignment horizontal="left" vertical="top" wrapText="1"/>
      <protection locked="0"/>
    </xf>
    <xf numFmtId="0" fontId="7" fillId="2" borderId="5" xfId="1" applyFont="1" applyFill="1" applyBorder="1" applyAlignment="1" applyProtection="1">
      <alignment horizontal="center" vertical="top" wrapText="1"/>
      <protection locked="0"/>
    </xf>
    <xf numFmtId="0" fontId="10" fillId="2" borderId="4" xfId="1" applyFont="1" applyFill="1" applyBorder="1" applyAlignment="1" applyProtection="1">
      <alignment horizontal="left" vertical="top"/>
      <protection locked="0"/>
    </xf>
    <xf numFmtId="0" fontId="6" fillId="2" borderId="9" xfId="1" applyFont="1" applyFill="1" applyBorder="1" applyAlignment="1" applyProtection="1">
      <alignment horizontal="left" vertical="top" wrapText="1"/>
      <protection locked="0"/>
    </xf>
    <xf numFmtId="0" fontId="6" fillId="2" borderId="24" xfId="1" applyFont="1" applyFill="1" applyBorder="1" applyAlignment="1" applyProtection="1">
      <alignment horizontal="left" vertical="top" wrapText="1"/>
      <protection locked="0"/>
    </xf>
    <xf numFmtId="0" fontId="6" fillId="2" borderId="10" xfId="1" applyFont="1" applyFill="1" applyBorder="1" applyAlignment="1" applyProtection="1">
      <alignment horizontal="left" vertical="top" wrapText="1"/>
      <protection locked="0"/>
    </xf>
    <xf numFmtId="0" fontId="10" fillId="2" borderId="9" xfId="1" applyFont="1" applyFill="1" applyBorder="1" applyAlignment="1" applyProtection="1">
      <alignment horizontal="left" vertical="top" wrapText="1"/>
      <protection locked="0"/>
    </xf>
    <xf numFmtId="0" fontId="10" fillId="2" borderId="24" xfId="1" applyFont="1" applyFill="1" applyBorder="1" applyAlignment="1" applyProtection="1">
      <alignment horizontal="left" vertical="top" wrapText="1"/>
      <protection locked="0"/>
    </xf>
    <xf numFmtId="0" fontId="10" fillId="2" borderId="30" xfId="1" applyFont="1" applyFill="1" applyBorder="1" applyAlignment="1" applyProtection="1">
      <alignment horizontal="left" vertical="top" wrapText="1"/>
      <protection locked="0"/>
    </xf>
    <xf numFmtId="0" fontId="7" fillId="2" borderId="9" xfId="1" applyFont="1" applyFill="1" applyBorder="1" applyAlignment="1" applyProtection="1">
      <alignment horizontal="center" vertical="top" wrapText="1"/>
      <protection locked="0"/>
    </xf>
    <xf numFmtId="0" fontId="7" fillId="2" borderId="10" xfId="1" applyFont="1" applyFill="1" applyBorder="1" applyAlignment="1" applyProtection="1">
      <alignment horizontal="center" vertical="top" wrapText="1"/>
      <protection locked="0"/>
    </xf>
    <xf numFmtId="0" fontId="6" fillId="2" borderId="3" xfId="1" applyFont="1" applyFill="1" applyBorder="1" applyAlignment="1" applyProtection="1">
      <alignment horizontal="left" vertical="top" wrapText="1"/>
      <protection locked="0"/>
    </xf>
    <xf numFmtId="0" fontId="12" fillId="2" borderId="32" xfId="1" applyFont="1" applyFill="1" applyBorder="1" applyAlignment="1" applyProtection="1">
      <alignment horizontal="left" vertical="top" wrapText="1"/>
      <protection locked="0"/>
    </xf>
    <xf numFmtId="0" fontId="12" fillId="2" borderId="34" xfId="1" applyFont="1" applyFill="1" applyBorder="1" applyAlignment="1" applyProtection="1">
      <alignment horizontal="left" vertical="top" wrapText="1"/>
      <protection locked="0"/>
    </xf>
    <xf numFmtId="0" fontId="12" fillId="2" borderId="35" xfId="1" applyFont="1" applyFill="1" applyBorder="1" applyAlignment="1" applyProtection="1">
      <alignment horizontal="left" vertical="top" wrapText="1"/>
      <protection locked="0"/>
    </xf>
    <xf numFmtId="9" fontId="7" fillId="2" borderId="20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21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28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29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31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33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8" xfId="1" applyNumberFormat="1" applyFont="1" applyFill="1" applyBorder="1" applyAlignment="1" applyProtection="1">
      <alignment horizontal="center" vertical="center" wrapText="1"/>
      <protection hidden="1"/>
    </xf>
    <xf numFmtId="1" fontId="6" fillId="2" borderId="9" xfId="1" applyNumberFormat="1" applyFont="1" applyFill="1" applyBorder="1" applyAlignment="1" applyProtection="1">
      <alignment horizontal="left" vertical="top" wrapText="1"/>
      <protection locked="0"/>
    </xf>
    <xf numFmtId="1" fontId="6" fillId="2" borderId="24" xfId="1" applyNumberFormat="1" applyFont="1" applyFill="1" applyBorder="1" applyAlignment="1" applyProtection="1">
      <alignment horizontal="left" vertical="top" wrapText="1"/>
      <protection locked="0"/>
    </xf>
    <xf numFmtId="1" fontId="6" fillId="2" borderId="10" xfId="1" applyNumberFormat="1" applyFont="1" applyFill="1" applyBorder="1" applyAlignment="1" applyProtection="1">
      <alignment horizontal="left" vertical="top" wrapText="1"/>
      <protection locked="0"/>
    </xf>
    <xf numFmtId="2" fontId="7" fillId="2" borderId="1" xfId="1" applyNumberFormat="1" applyFont="1" applyFill="1" applyBorder="1" applyAlignment="1" applyProtection="1">
      <alignment horizontal="left" vertical="top"/>
      <protection locked="0"/>
    </xf>
    <xf numFmtId="0" fontId="8" fillId="2" borderId="1" xfId="1" applyFont="1" applyFill="1" applyBorder="1" applyAlignment="1" applyProtection="1">
      <alignment horizontal="left" vertical="top"/>
      <protection locked="0"/>
    </xf>
    <xf numFmtId="0" fontId="12" fillId="2" borderId="21" xfId="1" applyFont="1" applyFill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67" fontId="7" fillId="2" borderId="1" xfId="1" applyNumberFormat="1" applyFont="1" applyFill="1" applyBorder="1" applyAlignment="1" applyProtection="1">
      <alignment horizontal="left" vertical="top"/>
      <protection locked="0"/>
    </xf>
    <xf numFmtId="0" fontId="7" fillId="2" borderId="1" xfId="1" applyFont="1" applyFill="1" applyBorder="1" applyAlignment="1" applyProtection="1">
      <alignment horizontal="left" vertical="center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7" fillId="2" borderId="1" xfId="1" applyFont="1" applyFill="1" applyBorder="1" applyAlignment="1" applyProtection="1">
      <alignment horizontal="left"/>
      <protection locked="0"/>
    </xf>
    <xf numFmtId="0" fontId="12" fillId="2" borderId="1" xfId="1" applyFont="1" applyFill="1" applyBorder="1" applyAlignment="1" applyProtection="1">
      <alignment horizontal="center"/>
      <protection locked="0"/>
    </xf>
    <xf numFmtId="0" fontId="12" fillId="2" borderId="1" xfId="1" applyFont="1" applyFill="1" applyBorder="1" applyAlignment="1" applyProtection="1">
      <alignment horizontal="center" vertical="top"/>
      <protection locked="0"/>
    </xf>
    <xf numFmtId="0" fontId="12" fillId="2" borderId="1" xfId="1" applyFont="1" applyFill="1" applyBorder="1" applyAlignment="1" applyProtection="1">
      <alignment horizontal="left" vertical="center" wrapText="1"/>
      <protection locked="0"/>
    </xf>
    <xf numFmtId="2" fontId="7" fillId="2" borderId="1" xfId="1" applyNumberFormat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center" vertical="top"/>
      <protection locked="0"/>
    </xf>
    <xf numFmtId="0" fontId="12" fillId="2" borderId="9" xfId="1" applyFont="1" applyFill="1" applyBorder="1" applyAlignment="1" applyProtection="1">
      <alignment horizontal="center" vertical="top"/>
      <protection locked="0"/>
    </xf>
    <xf numFmtId="0" fontId="12" fillId="2" borderId="24" xfId="1" applyFont="1" applyFill="1" applyBorder="1" applyAlignment="1" applyProtection="1">
      <alignment horizontal="center" vertical="top"/>
      <protection locked="0"/>
    </xf>
    <xf numFmtId="0" fontId="12" fillId="2" borderId="10" xfId="1" applyFont="1" applyFill="1" applyBorder="1" applyAlignment="1" applyProtection="1">
      <alignment horizontal="center" vertical="top"/>
      <protection locked="0"/>
    </xf>
    <xf numFmtId="0" fontId="13" fillId="2" borderId="1" xfId="1" applyFont="1" applyFill="1" applyBorder="1" applyAlignment="1" applyProtection="1">
      <alignment horizontal="center"/>
      <protection locked="0"/>
    </xf>
    <xf numFmtId="0" fontId="24" fillId="2" borderId="9" xfId="10" applyFill="1" applyBorder="1" applyAlignment="1" applyProtection="1">
      <alignment horizontal="left"/>
      <protection locked="0"/>
    </xf>
    <xf numFmtId="0" fontId="7" fillId="2" borderId="24" xfId="1" applyFont="1" applyFill="1" applyBorder="1" applyAlignment="1" applyProtection="1">
      <alignment horizontal="left"/>
      <protection locked="0"/>
    </xf>
    <xf numFmtId="0" fontId="7" fillId="2" borderId="10" xfId="1" applyFont="1" applyFill="1" applyBorder="1" applyAlignment="1" applyProtection="1">
      <alignment horizontal="left"/>
      <protection locked="0"/>
    </xf>
    <xf numFmtId="0" fontId="10" fillId="2" borderId="9" xfId="1" applyFont="1" applyFill="1" applyBorder="1" applyAlignment="1" applyProtection="1">
      <alignment horizontal="left"/>
      <protection locked="0"/>
    </xf>
    <xf numFmtId="0" fontId="10" fillId="2" borderId="24" xfId="1" applyFont="1" applyFill="1" applyBorder="1" applyAlignment="1" applyProtection="1">
      <alignment horizontal="left"/>
      <protection locked="0"/>
    </xf>
    <xf numFmtId="0" fontId="10" fillId="2" borderId="10" xfId="1" applyFont="1" applyFill="1" applyBorder="1" applyAlignment="1" applyProtection="1">
      <alignment horizontal="left"/>
      <protection locked="0"/>
    </xf>
    <xf numFmtId="0" fontId="10" fillId="2" borderId="9" xfId="1" applyFont="1" applyFill="1" applyBorder="1" applyAlignment="1" applyProtection="1">
      <alignment horizontal="left" vertical="top"/>
      <protection locked="0"/>
    </xf>
    <xf numFmtId="0" fontId="10" fillId="2" borderId="24" xfId="1" applyFont="1" applyFill="1" applyBorder="1" applyAlignment="1" applyProtection="1">
      <alignment horizontal="left" vertical="top"/>
      <protection locked="0"/>
    </xf>
    <xf numFmtId="0" fontId="10" fillId="2" borderId="10" xfId="1" applyFont="1" applyFill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  <xf numFmtId="20" fontId="7" fillId="0" borderId="0" xfId="1" applyNumberFormat="1" applyFont="1"/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307</xdr:row>
      <xdr:rowOff>83209</xdr:rowOff>
    </xdr:from>
    <xdr:to>
      <xdr:col>7</xdr:col>
      <xdr:colOff>560184</xdr:colOff>
      <xdr:row>325</xdr:row>
      <xdr:rowOff>82759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33375" y="56261659"/>
          <a:ext cx="6341859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333375</xdr:colOff>
      <xdr:row>288</xdr:row>
      <xdr:rowOff>19050</xdr:rowOff>
    </xdr:from>
    <xdr:to>
      <xdr:col>7</xdr:col>
      <xdr:colOff>544338</xdr:colOff>
      <xdr:row>306</xdr:row>
      <xdr:rowOff>18600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33375" y="52397025"/>
          <a:ext cx="6326013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901065</xdr:colOff>
      <xdr:row>244</xdr:row>
      <xdr:rowOff>173354</xdr:rowOff>
    </xdr:from>
    <xdr:to>
      <xdr:col>17</xdr:col>
      <xdr:colOff>137160</xdr:colOff>
      <xdr:row>285</xdr:row>
      <xdr:rowOff>1634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425690" y="48941354"/>
          <a:ext cx="6246495" cy="8019780"/>
          <a:chOff x="123825" y="47996474"/>
          <a:chExt cx="6296025" cy="8017875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GrpSpPr/>
        </xdr:nvGrpSpPr>
        <xdr:grpSpPr>
          <a:xfrm>
            <a:off x="123825" y="47996474"/>
            <a:ext cx="6296025" cy="8017875"/>
            <a:chOff x="123825" y="48044099"/>
            <a:chExt cx="6296025" cy="8017875"/>
          </a:xfrm>
        </xdr:grpSpPr>
        <xdr:pic>
          <xdr:nvPicPr>
            <xdr:cNvPr id="19" name="Picture 18" descr="https://vsjcllp.vsjadon.com/upload/insp-220699-1525.jpg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14901" y="54053283"/>
              <a:ext cx="1504949" cy="2008691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8" name="Picture 27" descr="https://vsjcllp.vsjadon.com/upload/insp-220699-862.jpg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3825" y="51820762"/>
              <a:ext cx="287733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9" name="Picture 28" descr="https://vsjcllp.vsjadon.com/upload/insp-220699-940.jpg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800600" y="51816000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0" name="Picture 29" descr="https://vsjcllp.vsjadon.com/upload/insp-220699-931.jpg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095625" y="51816000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" name="Picture 30" descr="https://vsjcllp.vsjadon.com/upload/insp-220699-916.jpg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2876" y="54053283"/>
              <a:ext cx="1504949" cy="2008691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2" name="Picture 31" descr="https://vsjcllp.vsjadon.com/upload/insp-220699-925.jpg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733551" y="54053283"/>
              <a:ext cx="1504949" cy="2008691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3" name="Picture 32" descr="https://vsjcllp.vsjadon.com/upload/insp-220699-1512.jpg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324226" y="54053283"/>
              <a:ext cx="1504949" cy="2008691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grpSp>
          <xdr:nvGrpSpPr>
            <xdr:cNvPr id="6" name="Group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409574" y="48044099"/>
              <a:ext cx="2754617" cy="3676651"/>
              <a:chOff x="409574" y="48044099"/>
              <a:chExt cx="2754617" cy="3676651"/>
            </a:xfrm>
          </xdr:grpSpPr>
          <xdr:pic>
            <xdr:nvPicPr>
              <xdr:cNvPr id="20" name="Picture 19" descr="https://vsjcllp.vsjadon.com/upload/insp-220699-844.jpg">
                <a:extLst>
                  <a:ext uri="{FF2B5EF4-FFF2-40B4-BE49-F238E27FC236}">
                    <a16:creationId xmlns:a16="http://schemas.microsoft.com/office/drawing/2014/main" id="{00000000-0008-0000-0000-000014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0" cstate="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09575" y="48044100"/>
                <a:ext cx="2754616" cy="367665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sp macro="" textlink="">
            <xdr:nvSpPr>
              <xdr:cNvPr id="34" name="TextBox 33">
                <a:extLst>
                  <a:ext uri="{FF2B5EF4-FFF2-40B4-BE49-F238E27FC236}">
                    <a16:creationId xmlns:a16="http://schemas.microsoft.com/office/drawing/2014/main" id="{00000000-0008-0000-0000-000022000000}"/>
                  </a:ext>
                </a:extLst>
              </xdr:cNvPr>
              <xdr:cNvSpPr txBox="1"/>
            </xdr:nvSpPr>
            <xdr:spPr>
              <a:xfrm>
                <a:off x="409574" y="48044099"/>
                <a:ext cx="695325" cy="33337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lang="en-IN" sz="1400" b="1"/>
                  <a:t>A Wing</a:t>
                </a:r>
              </a:p>
            </xdr:txBody>
          </xdr:sp>
        </xdr:grpSp>
        <xdr:grpSp>
          <xdr:nvGrpSpPr>
            <xdr:cNvPr id="7" name="Group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3276600" y="48044100"/>
              <a:ext cx="2754616" cy="3676650"/>
              <a:chOff x="3276600" y="48044100"/>
              <a:chExt cx="2754616" cy="3676650"/>
            </a:xfrm>
          </xdr:grpSpPr>
          <xdr:pic>
            <xdr:nvPicPr>
              <xdr:cNvPr id="27" name="Picture 26" descr="https://vsjcllp.vsjadon.com/upload/insp-220699-861.jpg">
                <a:extLst>
                  <a:ext uri="{FF2B5EF4-FFF2-40B4-BE49-F238E27FC236}">
                    <a16:creationId xmlns:a16="http://schemas.microsoft.com/office/drawing/2014/main" id="{00000000-0008-0000-0000-00001B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1" cstate="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276600" y="48044100"/>
                <a:ext cx="2754616" cy="367665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sp macro="" textlink="">
            <xdr:nvSpPr>
              <xdr:cNvPr id="35" name="TextBox 34">
                <a:extLst>
                  <a:ext uri="{FF2B5EF4-FFF2-40B4-BE49-F238E27FC236}">
                    <a16:creationId xmlns:a16="http://schemas.microsoft.com/office/drawing/2014/main" id="{00000000-0008-0000-0000-000023000000}"/>
                  </a:ext>
                </a:extLst>
              </xdr:cNvPr>
              <xdr:cNvSpPr txBox="1"/>
            </xdr:nvSpPr>
            <xdr:spPr>
              <a:xfrm>
                <a:off x="3276600" y="48044100"/>
                <a:ext cx="704850" cy="32385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lang="en-IN" sz="1400" b="1"/>
                  <a:t>B Wing</a:t>
                </a:r>
              </a:p>
            </xdr:txBody>
          </xdr:sp>
        </xdr:grpSp>
      </xdr:grpSp>
      <xdr:sp macro="" textlink="">
        <xdr:nvSpPr>
          <xdr:cNvPr id="36" name="TextBox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 txBox="1"/>
        </xdr:nvSpPr>
        <xdr:spPr>
          <a:xfrm>
            <a:off x="133350" y="51768374"/>
            <a:ext cx="704850" cy="3238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400" b="1"/>
              <a:t>D Wing</a:t>
            </a:r>
          </a:p>
        </xdr:txBody>
      </xdr:sp>
    </xdr:grpSp>
    <xdr:clientData/>
  </xdr:twoCellAnchor>
  <xdr:twoCellAnchor>
    <xdr:from>
      <xdr:col>8</xdr:col>
      <xdr:colOff>268606</xdr:colOff>
      <xdr:row>245</xdr:row>
      <xdr:rowOff>129540</xdr:rowOff>
    </xdr:from>
    <xdr:to>
      <xdr:col>16</xdr:col>
      <xdr:colOff>219076</xdr:colOff>
      <xdr:row>280</xdr:row>
      <xdr:rowOff>50600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53BEF58D-BD95-2671-1C32-BA0D5452C207}"/>
            </a:ext>
          </a:extLst>
        </xdr:cNvPr>
        <xdr:cNvGrpSpPr/>
      </xdr:nvGrpSpPr>
      <xdr:grpSpPr>
        <a:xfrm>
          <a:off x="6793231" y="49097565"/>
          <a:ext cx="6351270" cy="6912410"/>
          <a:chOff x="250708" y="232018"/>
          <a:chExt cx="7394995" cy="7588685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42EBA936-2256-203B-FAFD-E026628A46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23243" y="2960703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211C1201-41B6-0A2C-EFC0-3FD0A95656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004190" y="2961480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4BEB9A49-D480-C5B9-F4AA-8B956D05B7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85136" y="2961480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47798907-D1B9-D654-E9D5-04A4C68C88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13717" y="5660703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B32816B9-1475-682B-FA99-A5BF47C580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64382" y="5660703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1FB03A28-85B3-2346-C144-590C1FD586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69761" y="232018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B3535214-BA07-B864-5112-4EB2B928CB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0708" y="232018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FCDF247A-0E64-2AA3-1B3A-DFE64ECB2B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88814" y="232018"/>
            <a:ext cx="3356889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7" name="TextBox 26">
            <a:extLst>
              <a:ext uri="{FF2B5EF4-FFF2-40B4-BE49-F238E27FC236}">
                <a16:creationId xmlns:a16="http://schemas.microsoft.com/office/drawing/2014/main" id="{F9659FAA-CD78-E153-84F9-D6C811309313}"/>
              </a:ext>
            </a:extLst>
          </xdr:cNvPr>
          <xdr:cNvSpPr txBox="1"/>
        </xdr:nvSpPr>
        <xdr:spPr>
          <a:xfrm>
            <a:off x="1332572" y="3061716"/>
            <a:ext cx="931810" cy="37977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600" b="1"/>
              <a:t>Wing A</a:t>
            </a:r>
            <a:endParaRPr lang="en-IN" sz="1600" b="1"/>
          </a:p>
        </xdr:txBody>
      </xdr:sp>
      <xdr:sp macro="" textlink="">
        <xdr:nvSpPr>
          <xdr:cNvPr id="18" name="TextBox 27">
            <a:extLst>
              <a:ext uri="{FF2B5EF4-FFF2-40B4-BE49-F238E27FC236}">
                <a16:creationId xmlns:a16="http://schemas.microsoft.com/office/drawing/2014/main" id="{64EACE10-AFCA-9C5A-ACE9-58F8E9ECB8F6}"/>
              </a:ext>
            </a:extLst>
          </xdr:cNvPr>
          <xdr:cNvSpPr txBox="1"/>
        </xdr:nvSpPr>
        <xdr:spPr>
          <a:xfrm>
            <a:off x="262913" y="316993"/>
            <a:ext cx="931810" cy="37977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600" b="1"/>
              <a:t>Wing A</a:t>
            </a:r>
            <a:endParaRPr lang="en-IN" sz="1600" b="1"/>
          </a:p>
        </xdr:txBody>
      </xdr:sp>
      <xdr:sp macro="" textlink="">
        <xdr:nvSpPr>
          <xdr:cNvPr id="21" name="TextBox 28">
            <a:extLst>
              <a:ext uri="{FF2B5EF4-FFF2-40B4-BE49-F238E27FC236}">
                <a16:creationId xmlns:a16="http://schemas.microsoft.com/office/drawing/2014/main" id="{757C3B2D-860B-E94C-AF5C-0D16790D9594}"/>
              </a:ext>
            </a:extLst>
          </xdr:cNvPr>
          <xdr:cNvSpPr txBox="1"/>
        </xdr:nvSpPr>
        <xdr:spPr>
          <a:xfrm>
            <a:off x="2824969" y="598818"/>
            <a:ext cx="931810" cy="37977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600" b="1"/>
              <a:t>Wing B</a:t>
            </a:r>
            <a:endParaRPr lang="en-IN" sz="1600" b="1"/>
          </a:p>
        </xdr:txBody>
      </xdr:sp>
      <xdr:sp macro="" textlink="">
        <xdr:nvSpPr>
          <xdr:cNvPr id="22" name="TextBox 29">
            <a:extLst>
              <a:ext uri="{FF2B5EF4-FFF2-40B4-BE49-F238E27FC236}">
                <a16:creationId xmlns:a16="http://schemas.microsoft.com/office/drawing/2014/main" id="{E43868CD-F7AF-3F1F-7811-F93F41F4F935}"/>
              </a:ext>
            </a:extLst>
          </xdr:cNvPr>
          <xdr:cNvSpPr txBox="1"/>
        </xdr:nvSpPr>
        <xdr:spPr>
          <a:xfrm>
            <a:off x="5531687" y="598818"/>
            <a:ext cx="931810" cy="37977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600" b="1"/>
              <a:t>Wing D</a:t>
            </a:r>
            <a:endParaRPr lang="en-IN" sz="1600" b="1"/>
          </a:p>
        </xdr:txBody>
      </xdr:sp>
      <xdr:sp macro="" textlink="">
        <xdr:nvSpPr>
          <xdr:cNvPr id="23" name="TextBox 30">
            <a:extLst>
              <a:ext uri="{FF2B5EF4-FFF2-40B4-BE49-F238E27FC236}">
                <a16:creationId xmlns:a16="http://schemas.microsoft.com/office/drawing/2014/main" id="{E17ABAC8-AB00-03BD-4806-AE83D3D88F70}"/>
              </a:ext>
            </a:extLst>
          </xdr:cNvPr>
          <xdr:cNvSpPr txBox="1"/>
        </xdr:nvSpPr>
        <xdr:spPr>
          <a:xfrm>
            <a:off x="3416505" y="4997196"/>
            <a:ext cx="931810" cy="37977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600" b="1"/>
              <a:t>Wing A</a:t>
            </a:r>
            <a:endParaRPr lang="en-IN" sz="1600" b="1"/>
          </a:p>
        </xdr:txBody>
      </xdr:sp>
      <xdr:sp macro="" textlink="">
        <xdr:nvSpPr>
          <xdr:cNvPr id="24" name="TextBox 31">
            <a:extLst>
              <a:ext uri="{FF2B5EF4-FFF2-40B4-BE49-F238E27FC236}">
                <a16:creationId xmlns:a16="http://schemas.microsoft.com/office/drawing/2014/main" id="{FB386A09-1E06-EA24-8F30-6FECB25C8221}"/>
              </a:ext>
            </a:extLst>
          </xdr:cNvPr>
          <xdr:cNvSpPr txBox="1"/>
        </xdr:nvSpPr>
        <xdr:spPr>
          <a:xfrm>
            <a:off x="5131577" y="4913376"/>
            <a:ext cx="931810" cy="37977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600" b="1"/>
              <a:t>Wing A</a:t>
            </a:r>
            <a:endParaRPr lang="en-IN" sz="1600" b="1"/>
          </a:p>
        </xdr:txBody>
      </xdr:sp>
    </xdr:grpSp>
    <xdr:clientData/>
  </xdr:twoCellAnchor>
  <xdr:twoCellAnchor>
    <xdr:from>
      <xdr:col>0</xdr:col>
      <xdr:colOff>104775</xdr:colOff>
      <xdr:row>245</xdr:row>
      <xdr:rowOff>142875</xdr:rowOff>
    </xdr:from>
    <xdr:to>
      <xdr:col>7</xdr:col>
      <xdr:colOff>722097</xdr:colOff>
      <xdr:row>281</xdr:row>
      <xdr:rowOff>125510</xdr:rowOff>
    </xdr:to>
    <xdr:grpSp>
      <xdr:nvGrpSpPr>
        <xdr:cNvPr id="52" name="Group 51">
          <a:extLst>
            <a:ext uri="{FF2B5EF4-FFF2-40B4-BE49-F238E27FC236}">
              <a16:creationId xmlns:a16="http://schemas.microsoft.com/office/drawing/2014/main" id="{B59423A9-19C0-4C58-87AF-C589277EF6AA}"/>
            </a:ext>
          </a:extLst>
        </xdr:cNvPr>
        <xdr:cNvGrpSpPr/>
      </xdr:nvGrpSpPr>
      <xdr:grpSpPr>
        <a:xfrm>
          <a:off x="104775" y="49110900"/>
          <a:ext cx="6313272" cy="7174010"/>
          <a:chOff x="272363" y="984995"/>
          <a:chExt cx="6313272" cy="7174010"/>
        </a:xfrm>
      </xdr:grpSpPr>
      <xdr:pic>
        <xdr:nvPicPr>
          <xdr:cNvPr id="53" name="Picture 52">
            <a:extLst>
              <a:ext uri="{FF2B5EF4-FFF2-40B4-BE49-F238E27FC236}">
                <a16:creationId xmlns:a16="http://schemas.microsoft.com/office/drawing/2014/main" id="{DC03A811-96EA-48B1-8B5B-73C091DD6A6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2365" y="984995"/>
            <a:ext cx="3932573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4" name="Picture 53">
            <a:extLst>
              <a:ext uri="{FF2B5EF4-FFF2-40B4-BE49-F238E27FC236}">
                <a16:creationId xmlns:a16="http://schemas.microsoft.com/office/drawing/2014/main" id="{2A7F83EF-EF13-44C8-B6E2-3C36A3D34B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83451" y="984995"/>
            <a:ext cx="2202184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5" name="Picture 54">
            <a:extLst>
              <a:ext uri="{FF2B5EF4-FFF2-40B4-BE49-F238E27FC236}">
                <a16:creationId xmlns:a16="http://schemas.microsoft.com/office/drawing/2014/main" id="{0EE82E5B-C067-4D16-80D9-44E3CC20DA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67323" y="3852000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6" name="Picture 55">
            <a:extLst>
              <a:ext uri="{FF2B5EF4-FFF2-40B4-BE49-F238E27FC236}">
                <a16:creationId xmlns:a16="http://schemas.microsoft.com/office/drawing/2014/main" id="{EEB2B3FE-BADE-45F2-BCD2-D46E122BF5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49354" y="3852000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7" name="Picture 56">
            <a:extLst>
              <a:ext uri="{FF2B5EF4-FFF2-40B4-BE49-F238E27FC236}">
                <a16:creationId xmlns:a16="http://schemas.microsoft.com/office/drawing/2014/main" id="{6E61D5DF-CFAC-4817-AFF2-C66BC7CA44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21485" y="6179005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8" name="Picture 57">
            <a:extLst>
              <a:ext uri="{FF2B5EF4-FFF2-40B4-BE49-F238E27FC236}">
                <a16:creationId xmlns:a16="http://schemas.microsoft.com/office/drawing/2014/main" id="{FB9CC5C9-9F44-4FB7-9FE8-EE8A334998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58623" y="6179005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9" name="Picture 58">
            <a:extLst>
              <a:ext uri="{FF2B5EF4-FFF2-40B4-BE49-F238E27FC236}">
                <a16:creationId xmlns:a16="http://schemas.microsoft.com/office/drawing/2014/main" id="{ED62C306-FC65-452D-B024-0EA8AFF236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84348" y="6179005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60" name="TextBox 27">
            <a:extLst>
              <a:ext uri="{FF2B5EF4-FFF2-40B4-BE49-F238E27FC236}">
                <a16:creationId xmlns:a16="http://schemas.microsoft.com/office/drawing/2014/main" id="{FD4D659F-83AE-45BD-9CF9-17A1418320EA}"/>
              </a:ext>
            </a:extLst>
          </xdr:cNvPr>
          <xdr:cNvSpPr txBox="1"/>
        </xdr:nvSpPr>
        <xdr:spPr>
          <a:xfrm>
            <a:off x="1436321" y="1162160"/>
            <a:ext cx="800295" cy="34593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600" b="1"/>
              <a:t>Wing A</a:t>
            </a:r>
            <a:endParaRPr lang="en-IN" sz="1600" b="1"/>
          </a:p>
        </xdr:txBody>
      </xdr:sp>
      <xdr:sp macro="" textlink="">
        <xdr:nvSpPr>
          <xdr:cNvPr id="61" name="TextBox 28">
            <a:extLst>
              <a:ext uri="{FF2B5EF4-FFF2-40B4-BE49-F238E27FC236}">
                <a16:creationId xmlns:a16="http://schemas.microsoft.com/office/drawing/2014/main" id="{F920060F-C56E-4ED6-8DE7-A825548E553E}"/>
              </a:ext>
            </a:extLst>
          </xdr:cNvPr>
          <xdr:cNvSpPr txBox="1"/>
        </xdr:nvSpPr>
        <xdr:spPr>
          <a:xfrm>
            <a:off x="5170295" y="1409345"/>
            <a:ext cx="800295" cy="34593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600" b="1"/>
              <a:t>Wing B</a:t>
            </a:r>
            <a:endParaRPr lang="en-IN" sz="1600" b="1"/>
          </a:p>
        </xdr:txBody>
      </xdr:sp>
      <xdr:sp macro="" textlink="">
        <xdr:nvSpPr>
          <xdr:cNvPr id="62" name="TextBox 26">
            <a:extLst>
              <a:ext uri="{FF2B5EF4-FFF2-40B4-BE49-F238E27FC236}">
                <a16:creationId xmlns:a16="http://schemas.microsoft.com/office/drawing/2014/main" id="{46854017-8F20-41FF-91E1-CB8B8D80C83A}"/>
              </a:ext>
            </a:extLst>
          </xdr:cNvPr>
          <xdr:cNvSpPr txBox="1"/>
        </xdr:nvSpPr>
        <xdr:spPr>
          <a:xfrm>
            <a:off x="3631959" y="4169549"/>
            <a:ext cx="800295" cy="34593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600" b="1"/>
              <a:t>Wing A</a:t>
            </a:r>
            <a:endParaRPr lang="en-IN" sz="1600" b="1"/>
          </a:p>
        </xdr:txBody>
      </xdr:sp>
      <xdr:sp macro="" textlink="">
        <xdr:nvSpPr>
          <xdr:cNvPr id="63" name="TextBox 26">
            <a:extLst>
              <a:ext uri="{FF2B5EF4-FFF2-40B4-BE49-F238E27FC236}">
                <a16:creationId xmlns:a16="http://schemas.microsoft.com/office/drawing/2014/main" id="{0423921D-5796-4524-BB28-DA8CB6340E31}"/>
              </a:ext>
            </a:extLst>
          </xdr:cNvPr>
          <xdr:cNvSpPr txBox="1"/>
        </xdr:nvSpPr>
        <xdr:spPr>
          <a:xfrm>
            <a:off x="5776479" y="4109345"/>
            <a:ext cx="800295" cy="34593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600" b="1"/>
              <a:t>Wing A</a:t>
            </a:r>
            <a:endParaRPr lang="en-IN" sz="1600" b="1"/>
          </a:p>
        </xdr:txBody>
      </xdr:sp>
      <xdr:sp macro="" textlink="">
        <xdr:nvSpPr>
          <xdr:cNvPr id="64" name="TextBox 26">
            <a:extLst>
              <a:ext uri="{FF2B5EF4-FFF2-40B4-BE49-F238E27FC236}">
                <a16:creationId xmlns:a16="http://schemas.microsoft.com/office/drawing/2014/main" id="{E3C1A8CC-3812-40AB-9C92-9063D91868BB}"/>
              </a:ext>
            </a:extLst>
          </xdr:cNvPr>
          <xdr:cNvSpPr txBox="1"/>
        </xdr:nvSpPr>
        <xdr:spPr>
          <a:xfrm>
            <a:off x="1455371" y="7515335"/>
            <a:ext cx="800295" cy="34593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600" b="1"/>
              <a:t>Wing A</a:t>
            </a:r>
            <a:endParaRPr lang="en-IN" sz="1600" b="1"/>
          </a:p>
        </xdr:txBody>
      </xdr:sp>
      <xdr:pic>
        <xdr:nvPicPr>
          <xdr:cNvPr id="65" name="Picture 64">
            <a:extLst>
              <a:ext uri="{FF2B5EF4-FFF2-40B4-BE49-F238E27FC236}">
                <a16:creationId xmlns:a16="http://schemas.microsoft.com/office/drawing/2014/main" id="{4119C5D9-063F-4DF4-83E9-B468E09889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2363" y="3853412"/>
            <a:ext cx="287733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66" name="TextBox 26">
            <a:extLst>
              <a:ext uri="{FF2B5EF4-FFF2-40B4-BE49-F238E27FC236}">
                <a16:creationId xmlns:a16="http://schemas.microsoft.com/office/drawing/2014/main" id="{8E88DA5E-2076-4715-9051-6FE7E50C43AE}"/>
              </a:ext>
            </a:extLst>
          </xdr:cNvPr>
          <xdr:cNvSpPr txBox="1"/>
        </xdr:nvSpPr>
        <xdr:spPr>
          <a:xfrm>
            <a:off x="1484988" y="4013101"/>
            <a:ext cx="800295" cy="34593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600" b="1"/>
              <a:t>Wing D</a:t>
            </a:r>
            <a:endParaRPr lang="en-IN" sz="16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RWe53WMnpdzCFVFC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288"/>
  <sheetViews>
    <sheetView tabSelected="1" view="pageBreakPreview" topLeftCell="A234" zoomScaleNormal="100" zoomScaleSheetLayoutView="100" workbookViewId="0">
      <selection activeCell="J241" sqref="J241"/>
    </sheetView>
  </sheetViews>
  <sheetFormatPr defaultColWidth="9.140625" defaultRowHeight="15.75" x14ac:dyDescent="0.25"/>
  <cols>
    <col min="1" max="1" width="11.42578125" style="10" customWidth="1"/>
    <col min="2" max="2" width="12" style="10" customWidth="1"/>
    <col min="3" max="3" width="12.7109375" style="10" customWidth="1"/>
    <col min="4" max="4" width="14.140625" style="10" customWidth="1"/>
    <col min="5" max="7" width="11.7109375" style="10" customWidth="1"/>
    <col min="8" max="8" width="12.42578125" style="10" customWidth="1"/>
    <col min="9" max="9" width="17.42578125" style="3" customWidth="1"/>
    <col min="10" max="10" width="11.42578125" style="3" customWidth="1"/>
    <col min="11" max="11" width="10.5703125" style="3" bestFit="1" customWidth="1"/>
    <col min="12" max="12" width="10.5703125" style="3" customWidth="1"/>
    <col min="13" max="13" width="11.85546875" style="3" customWidth="1"/>
    <col min="14" max="14" width="12.5703125" style="3" customWidth="1"/>
    <col min="15" max="15" width="9.85546875" style="3" customWidth="1"/>
    <col min="16" max="16" width="11.7109375" style="3" customWidth="1"/>
    <col min="17" max="247" width="9.140625" style="3"/>
    <col min="248" max="248" width="8.7109375" style="3" customWidth="1"/>
    <col min="249" max="249" width="9.85546875" style="3" customWidth="1"/>
    <col min="250" max="250" width="14.42578125" style="3" customWidth="1"/>
    <col min="251" max="251" width="7.28515625" style="3" customWidth="1"/>
    <col min="252" max="252" width="5.5703125" style="3" customWidth="1"/>
    <col min="253" max="253" width="9" style="3" customWidth="1"/>
    <col min="254" max="255" width="9.85546875" style="3" customWidth="1"/>
    <col min="256" max="256" width="11.140625" style="3" customWidth="1"/>
    <col min="257" max="257" width="2.85546875" style="3" customWidth="1"/>
    <col min="258" max="258" width="3.5703125" style="3" customWidth="1"/>
    <col min="259" max="503" width="9.140625" style="3"/>
    <col min="504" max="504" width="8.7109375" style="3" customWidth="1"/>
    <col min="505" max="505" width="9.85546875" style="3" customWidth="1"/>
    <col min="506" max="506" width="14.42578125" style="3" customWidth="1"/>
    <col min="507" max="507" width="7.28515625" style="3" customWidth="1"/>
    <col min="508" max="508" width="5.5703125" style="3" customWidth="1"/>
    <col min="509" max="509" width="9" style="3" customWidth="1"/>
    <col min="510" max="511" width="9.85546875" style="3" customWidth="1"/>
    <col min="512" max="512" width="11.140625" style="3" customWidth="1"/>
    <col min="513" max="513" width="2.85546875" style="3" customWidth="1"/>
    <col min="514" max="514" width="3.5703125" style="3" customWidth="1"/>
    <col min="515" max="759" width="9.140625" style="3"/>
    <col min="760" max="760" width="8.7109375" style="3" customWidth="1"/>
    <col min="761" max="761" width="9.85546875" style="3" customWidth="1"/>
    <col min="762" max="762" width="14.42578125" style="3" customWidth="1"/>
    <col min="763" max="763" width="7.28515625" style="3" customWidth="1"/>
    <col min="764" max="764" width="5.5703125" style="3" customWidth="1"/>
    <col min="765" max="765" width="9" style="3" customWidth="1"/>
    <col min="766" max="767" width="9.85546875" style="3" customWidth="1"/>
    <col min="768" max="768" width="11.140625" style="3" customWidth="1"/>
    <col min="769" max="769" width="2.85546875" style="3" customWidth="1"/>
    <col min="770" max="770" width="3.5703125" style="3" customWidth="1"/>
    <col min="771" max="1015" width="9.140625" style="3"/>
    <col min="1016" max="1016" width="8.7109375" style="3" customWidth="1"/>
    <col min="1017" max="1017" width="9.85546875" style="3" customWidth="1"/>
    <col min="1018" max="1018" width="14.42578125" style="3" customWidth="1"/>
    <col min="1019" max="1019" width="7.28515625" style="3" customWidth="1"/>
    <col min="1020" max="1020" width="5.5703125" style="3" customWidth="1"/>
    <col min="1021" max="1021" width="9" style="3" customWidth="1"/>
    <col min="1022" max="1023" width="9.85546875" style="3" customWidth="1"/>
    <col min="1024" max="1024" width="11.140625" style="3" customWidth="1"/>
    <col min="1025" max="1025" width="2.85546875" style="3" customWidth="1"/>
    <col min="1026" max="1026" width="3.5703125" style="3" customWidth="1"/>
    <col min="1027" max="1271" width="9.140625" style="3"/>
    <col min="1272" max="1272" width="8.7109375" style="3" customWidth="1"/>
    <col min="1273" max="1273" width="9.85546875" style="3" customWidth="1"/>
    <col min="1274" max="1274" width="14.42578125" style="3" customWidth="1"/>
    <col min="1275" max="1275" width="7.28515625" style="3" customWidth="1"/>
    <col min="1276" max="1276" width="5.5703125" style="3" customWidth="1"/>
    <col min="1277" max="1277" width="9" style="3" customWidth="1"/>
    <col min="1278" max="1279" width="9.85546875" style="3" customWidth="1"/>
    <col min="1280" max="1280" width="11.140625" style="3" customWidth="1"/>
    <col min="1281" max="1281" width="2.85546875" style="3" customWidth="1"/>
    <col min="1282" max="1282" width="3.5703125" style="3" customWidth="1"/>
    <col min="1283" max="1527" width="9.140625" style="3"/>
    <col min="1528" max="1528" width="8.7109375" style="3" customWidth="1"/>
    <col min="1529" max="1529" width="9.85546875" style="3" customWidth="1"/>
    <col min="1530" max="1530" width="14.42578125" style="3" customWidth="1"/>
    <col min="1531" max="1531" width="7.28515625" style="3" customWidth="1"/>
    <col min="1532" max="1532" width="5.5703125" style="3" customWidth="1"/>
    <col min="1533" max="1533" width="9" style="3" customWidth="1"/>
    <col min="1534" max="1535" width="9.85546875" style="3" customWidth="1"/>
    <col min="1536" max="1536" width="11.140625" style="3" customWidth="1"/>
    <col min="1537" max="1537" width="2.85546875" style="3" customWidth="1"/>
    <col min="1538" max="1538" width="3.5703125" style="3" customWidth="1"/>
    <col min="1539" max="1783" width="9.140625" style="3"/>
    <col min="1784" max="1784" width="8.7109375" style="3" customWidth="1"/>
    <col min="1785" max="1785" width="9.85546875" style="3" customWidth="1"/>
    <col min="1786" max="1786" width="14.42578125" style="3" customWidth="1"/>
    <col min="1787" max="1787" width="7.28515625" style="3" customWidth="1"/>
    <col min="1788" max="1788" width="5.5703125" style="3" customWidth="1"/>
    <col min="1789" max="1789" width="9" style="3" customWidth="1"/>
    <col min="1790" max="1791" width="9.85546875" style="3" customWidth="1"/>
    <col min="1792" max="1792" width="11.140625" style="3" customWidth="1"/>
    <col min="1793" max="1793" width="2.85546875" style="3" customWidth="1"/>
    <col min="1794" max="1794" width="3.5703125" style="3" customWidth="1"/>
    <col min="1795" max="2039" width="9.140625" style="3"/>
    <col min="2040" max="2040" width="8.7109375" style="3" customWidth="1"/>
    <col min="2041" max="2041" width="9.85546875" style="3" customWidth="1"/>
    <col min="2042" max="2042" width="14.42578125" style="3" customWidth="1"/>
    <col min="2043" max="2043" width="7.28515625" style="3" customWidth="1"/>
    <col min="2044" max="2044" width="5.5703125" style="3" customWidth="1"/>
    <col min="2045" max="2045" width="9" style="3" customWidth="1"/>
    <col min="2046" max="2047" width="9.85546875" style="3" customWidth="1"/>
    <col min="2048" max="2048" width="11.140625" style="3" customWidth="1"/>
    <col min="2049" max="2049" width="2.85546875" style="3" customWidth="1"/>
    <col min="2050" max="2050" width="3.5703125" style="3" customWidth="1"/>
    <col min="2051" max="2295" width="9.140625" style="3"/>
    <col min="2296" max="2296" width="8.7109375" style="3" customWidth="1"/>
    <col min="2297" max="2297" width="9.85546875" style="3" customWidth="1"/>
    <col min="2298" max="2298" width="14.42578125" style="3" customWidth="1"/>
    <col min="2299" max="2299" width="7.28515625" style="3" customWidth="1"/>
    <col min="2300" max="2300" width="5.5703125" style="3" customWidth="1"/>
    <col min="2301" max="2301" width="9" style="3" customWidth="1"/>
    <col min="2302" max="2303" width="9.85546875" style="3" customWidth="1"/>
    <col min="2304" max="2304" width="11.140625" style="3" customWidth="1"/>
    <col min="2305" max="2305" width="2.85546875" style="3" customWidth="1"/>
    <col min="2306" max="2306" width="3.5703125" style="3" customWidth="1"/>
    <col min="2307" max="2551" width="9.140625" style="3"/>
    <col min="2552" max="2552" width="8.7109375" style="3" customWidth="1"/>
    <col min="2553" max="2553" width="9.85546875" style="3" customWidth="1"/>
    <col min="2554" max="2554" width="14.42578125" style="3" customWidth="1"/>
    <col min="2555" max="2555" width="7.28515625" style="3" customWidth="1"/>
    <col min="2556" max="2556" width="5.5703125" style="3" customWidth="1"/>
    <col min="2557" max="2557" width="9" style="3" customWidth="1"/>
    <col min="2558" max="2559" width="9.85546875" style="3" customWidth="1"/>
    <col min="2560" max="2560" width="11.140625" style="3" customWidth="1"/>
    <col min="2561" max="2561" width="2.85546875" style="3" customWidth="1"/>
    <col min="2562" max="2562" width="3.5703125" style="3" customWidth="1"/>
    <col min="2563" max="2807" width="9.140625" style="3"/>
    <col min="2808" max="2808" width="8.7109375" style="3" customWidth="1"/>
    <col min="2809" max="2809" width="9.85546875" style="3" customWidth="1"/>
    <col min="2810" max="2810" width="14.42578125" style="3" customWidth="1"/>
    <col min="2811" max="2811" width="7.28515625" style="3" customWidth="1"/>
    <col min="2812" max="2812" width="5.5703125" style="3" customWidth="1"/>
    <col min="2813" max="2813" width="9" style="3" customWidth="1"/>
    <col min="2814" max="2815" width="9.85546875" style="3" customWidth="1"/>
    <col min="2816" max="2816" width="11.140625" style="3" customWidth="1"/>
    <col min="2817" max="2817" width="2.85546875" style="3" customWidth="1"/>
    <col min="2818" max="2818" width="3.5703125" style="3" customWidth="1"/>
    <col min="2819" max="3063" width="9.140625" style="3"/>
    <col min="3064" max="3064" width="8.7109375" style="3" customWidth="1"/>
    <col min="3065" max="3065" width="9.85546875" style="3" customWidth="1"/>
    <col min="3066" max="3066" width="14.42578125" style="3" customWidth="1"/>
    <col min="3067" max="3067" width="7.28515625" style="3" customWidth="1"/>
    <col min="3068" max="3068" width="5.5703125" style="3" customWidth="1"/>
    <col min="3069" max="3069" width="9" style="3" customWidth="1"/>
    <col min="3070" max="3071" width="9.85546875" style="3" customWidth="1"/>
    <col min="3072" max="3072" width="11.140625" style="3" customWidth="1"/>
    <col min="3073" max="3073" width="2.85546875" style="3" customWidth="1"/>
    <col min="3074" max="3074" width="3.5703125" style="3" customWidth="1"/>
    <col min="3075" max="3319" width="9.140625" style="3"/>
    <col min="3320" max="3320" width="8.7109375" style="3" customWidth="1"/>
    <col min="3321" max="3321" width="9.85546875" style="3" customWidth="1"/>
    <col min="3322" max="3322" width="14.42578125" style="3" customWidth="1"/>
    <col min="3323" max="3323" width="7.28515625" style="3" customWidth="1"/>
    <col min="3324" max="3324" width="5.5703125" style="3" customWidth="1"/>
    <col min="3325" max="3325" width="9" style="3" customWidth="1"/>
    <col min="3326" max="3327" width="9.85546875" style="3" customWidth="1"/>
    <col min="3328" max="3328" width="11.140625" style="3" customWidth="1"/>
    <col min="3329" max="3329" width="2.85546875" style="3" customWidth="1"/>
    <col min="3330" max="3330" width="3.5703125" style="3" customWidth="1"/>
    <col min="3331" max="3575" width="9.140625" style="3"/>
    <col min="3576" max="3576" width="8.7109375" style="3" customWidth="1"/>
    <col min="3577" max="3577" width="9.85546875" style="3" customWidth="1"/>
    <col min="3578" max="3578" width="14.42578125" style="3" customWidth="1"/>
    <col min="3579" max="3579" width="7.28515625" style="3" customWidth="1"/>
    <col min="3580" max="3580" width="5.5703125" style="3" customWidth="1"/>
    <col min="3581" max="3581" width="9" style="3" customWidth="1"/>
    <col min="3582" max="3583" width="9.85546875" style="3" customWidth="1"/>
    <col min="3584" max="3584" width="11.140625" style="3" customWidth="1"/>
    <col min="3585" max="3585" width="2.85546875" style="3" customWidth="1"/>
    <col min="3586" max="3586" width="3.5703125" style="3" customWidth="1"/>
    <col min="3587" max="3831" width="9.140625" style="3"/>
    <col min="3832" max="3832" width="8.7109375" style="3" customWidth="1"/>
    <col min="3833" max="3833" width="9.85546875" style="3" customWidth="1"/>
    <col min="3834" max="3834" width="14.42578125" style="3" customWidth="1"/>
    <col min="3835" max="3835" width="7.28515625" style="3" customWidth="1"/>
    <col min="3836" max="3836" width="5.5703125" style="3" customWidth="1"/>
    <col min="3837" max="3837" width="9" style="3" customWidth="1"/>
    <col min="3838" max="3839" width="9.85546875" style="3" customWidth="1"/>
    <col min="3840" max="3840" width="11.140625" style="3" customWidth="1"/>
    <col min="3841" max="3841" width="2.85546875" style="3" customWidth="1"/>
    <col min="3842" max="3842" width="3.5703125" style="3" customWidth="1"/>
    <col min="3843" max="4087" width="9.140625" style="3"/>
    <col min="4088" max="4088" width="8.7109375" style="3" customWidth="1"/>
    <col min="4089" max="4089" width="9.85546875" style="3" customWidth="1"/>
    <col min="4090" max="4090" width="14.42578125" style="3" customWidth="1"/>
    <col min="4091" max="4091" width="7.28515625" style="3" customWidth="1"/>
    <col min="4092" max="4092" width="5.5703125" style="3" customWidth="1"/>
    <col min="4093" max="4093" width="9" style="3" customWidth="1"/>
    <col min="4094" max="4095" width="9.85546875" style="3" customWidth="1"/>
    <col min="4096" max="4096" width="11.140625" style="3" customWidth="1"/>
    <col min="4097" max="4097" width="2.85546875" style="3" customWidth="1"/>
    <col min="4098" max="4098" width="3.5703125" style="3" customWidth="1"/>
    <col min="4099" max="4343" width="9.140625" style="3"/>
    <col min="4344" max="4344" width="8.7109375" style="3" customWidth="1"/>
    <col min="4345" max="4345" width="9.85546875" style="3" customWidth="1"/>
    <col min="4346" max="4346" width="14.42578125" style="3" customWidth="1"/>
    <col min="4347" max="4347" width="7.28515625" style="3" customWidth="1"/>
    <col min="4348" max="4348" width="5.5703125" style="3" customWidth="1"/>
    <col min="4349" max="4349" width="9" style="3" customWidth="1"/>
    <col min="4350" max="4351" width="9.85546875" style="3" customWidth="1"/>
    <col min="4352" max="4352" width="11.140625" style="3" customWidth="1"/>
    <col min="4353" max="4353" width="2.85546875" style="3" customWidth="1"/>
    <col min="4354" max="4354" width="3.5703125" style="3" customWidth="1"/>
    <col min="4355" max="4599" width="9.140625" style="3"/>
    <col min="4600" max="4600" width="8.7109375" style="3" customWidth="1"/>
    <col min="4601" max="4601" width="9.85546875" style="3" customWidth="1"/>
    <col min="4602" max="4602" width="14.42578125" style="3" customWidth="1"/>
    <col min="4603" max="4603" width="7.28515625" style="3" customWidth="1"/>
    <col min="4604" max="4604" width="5.5703125" style="3" customWidth="1"/>
    <col min="4605" max="4605" width="9" style="3" customWidth="1"/>
    <col min="4606" max="4607" width="9.85546875" style="3" customWidth="1"/>
    <col min="4608" max="4608" width="11.140625" style="3" customWidth="1"/>
    <col min="4609" max="4609" width="2.85546875" style="3" customWidth="1"/>
    <col min="4610" max="4610" width="3.5703125" style="3" customWidth="1"/>
    <col min="4611" max="4855" width="9.140625" style="3"/>
    <col min="4856" max="4856" width="8.7109375" style="3" customWidth="1"/>
    <col min="4857" max="4857" width="9.85546875" style="3" customWidth="1"/>
    <col min="4858" max="4858" width="14.42578125" style="3" customWidth="1"/>
    <col min="4859" max="4859" width="7.28515625" style="3" customWidth="1"/>
    <col min="4860" max="4860" width="5.5703125" style="3" customWidth="1"/>
    <col min="4861" max="4861" width="9" style="3" customWidth="1"/>
    <col min="4862" max="4863" width="9.85546875" style="3" customWidth="1"/>
    <col min="4864" max="4864" width="11.140625" style="3" customWidth="1"/>
    <col min="4865" max="4865" width="2.85546875" style="3" customWidth="1"/>
    <col min="4866" max="4866" width="3.5703125" style="3" customWidth="1"/>
    <col min="4867" max="5111" width="9.140625" style="3"/>
    <col min="5112" max="5112" width="8.7109375" style="3" customWidth="1"/>
    <col min="5113" max="5113" width="9.85546875" style="3" customWidth="1"/>
    <col min="5114" max="5114" width="14.42578125" style="3" customWidth="1"/>
    <col min="5115" max="5115" width="7.28515625" style="3" customWidth="1"/>
    <col min="5116" max="5116" width="5.5703125" style="3" customWidth="1"/>
    <col min="5117" max="5117" width="9" style="3" customWidth="1"/>
    <col min="5118" max="5119" width="9.85546875" style="3" customWidth="1"/>
    <col min="5120" max="5120" width="11.140625" style="3" customWidth="1"/>
    <col min="5121" max="5121" width="2.85546875" style="3" customWidth="1"/>
    <col min="5122" max="5122" width="3.5703125" style="3" customWidth="1"/>
    <col min="5123" max="5367" width="9.140625" style="3"/>
    <col min="5368" max="5368" width="8.7109375" style="3" customWidth="1"/>
    <col min="5369" max="5369" width="9.85546875" style="3" customWidth="1"/>
    <col min="5370" max="5370" width="14.42578125" style="3" customWidth="1"/>
    <col min="5371" max="5371" width="7.28515625" style="3" customWidth="1"/>
    <col min="5372" max="5372" width="5.5703125" style="3" customWidth="1"/>
    <col min="5373" max="5373" width="9" style="3" customWidth="1"/>
    <col min="5374" max="5375" width="9.85546875" style="3" customWidth="1"/>
    <col min="5376" max="5376" width="11.140625" style="3" customWidth="1"/>
    <col min="5377" max="5377" width="2.85546875" style="3" customWidth="1"/>
    <col min="5378" max="5378" width="3.5703125" style="3" customWidth="1"/>
    <col min="5379" max="5623" width="9.140625" style="3"/>
    <col min="5624" max="5624" width="8.7109375" style="3" customWidth="1"/>
    <col min="5625" max="5625" width="9.85546875" style="3" customWidth="1"/>
    <col min="5626" max="5626" width="14.42578125" style="3" customWidth="1"/>
    <col min="5627" max="5627" width="7.28515625" style="3" customWidth="1"/>
    <col min="5628" max="5628" width="5.5703125" style="3" customWidth="1"/>
    <col min="5629" max="5629" width="9" style="3" customWidth="1"/>
    <col min="5630" max="5631" width="9.85546875" style="3" customWidth="1"/>
    <col min="5632" max="5632" width="11.140625" style="3" customWidth="1"/>
    <col min="5633" max="5633" width="2.85546875" style="3" customWidth="1"/>
    <col min="5634" max="5634" width="3.5703125" style="3" customWidth="1"/>
    <col min="5635" max="5879" width="9.140625" style="3"/>
    <col min="5880" max="5880" width="8.7109375" style="3" customWidth="1"/>
    <col min="5881" max="5881" width="9.85546875" style="3" customWidth="1"/>
    <col min="5882" max="5882" width="14.42578125" style="3" customWidth="1"/>
    <col min="5883" max="5883" width="7.28515625" style="3" customWidth="1"/>
    <col min="5884" max="5884" width="5.5703125" style="3" customWidth="1"/>
    <col min="5885" max="5885" width="9" style="3" customWidth="1"/>
    <col min="5886" max="5887" width="9.85546875" style="3" customWidth="1"/>
    <col min="5888" max="5888" width="11.140625" style="3" customWidth="1"/>
    <col min="5889" max="5889" width="2.85546875" style="3" customWidth="1"/>
    <col min="5890" max="5890" width="3.5703125" style="3" customWidth="1"/>
    <col min="5891" max="6135" width="9.140625" style="3"/>
    <col min="6136" max="6136" width="8.7109375" style="3" customWidth="1"/>
    <col min="6137" max="6137" width="9.85546875" style="3" customWidth="1"/>
    <col min="6138" max="6138" width="14.42578125" style="3" customWidth="1"/>
    <col min="6139" max="6139" width="7.28515625" style="3" customWidth="1"/>
    <col min="6140" max="6140" width="5.5703125" style="3" customWidth="1"/>
    <col min="6141" max="6141" width="9" style="3" customWidth="1"/>
    <col min="6142" max="6143" width="9.85546875" style="3" customWidth="1"/>
    <col min="6144" max="6144" width="11.140625" style="3" customWidth="1"/>
    <col min="6145" max="6145" width="2.85546875" style="3" customWidth="1"/>
    <col min="6146" max="6146" width="3.5703125" style="3" customWidth="1"/>
    <col min="6147" max="6391" width="9.140625" style="3"/>
    <col min="6392" max="6392" width="8.7109375" style="3" customWidth="1"/>
    <col min="6393" max="6393" width="9.85546875" style="3" customWidth="1"/>
    <col min="6394" max="6394" width="14.42578125" style="3" customWidth="1"/>
    <col min="6395" max="6395" width="7.28515625" style="3" customWidth="1"/>
    <col min="6396" max="6396" width="5.5703125" style="3" customWidth="1"/>
    <col min="6397" max="6397" width="9" style="3" customWidth="1"/>
    <col min="6398" max="6399" width="9.85546875" style="3" customWidth="1"/>
    <col min="6400" max="6400" width="11.140625" style="3" customWidth="1"/>
    <col min="6401" max="6401" width="2.85546875" style="3" customWidth="1"/>
    <col min="6402" max="6402" width="3.5703125" style="3" customWidth="1"/>
    <col min="6403" max="6647" width="9.140625" style="3"/>
    <col min="6648" max="6648" width="8.7109375" style="3" customWidth="1"/>
    <col min="6649" max="6649" width="9.85546875" style="3" customWidth="1"/>
    <col min="6650" max="6650" width="14.42578125" style="3" customWidth="1"/>
    <col min="6651" max="6651" width="7.28515625" style="3" customWidth="1"/>
    <col min="6652" max="6652" width="5.5703125" style="3" customWidth="1"/>
    <col min="6653" max="6653" width="9" style="3" customWidth="1"/>
    <col min="6654" max="6655" width="9.85546875" style="3" customWidth="1"/>
    <col min="6656" max="6656" width="11.140625" style="3" customWidth="1"/>
    <col min="6657" max="6657" width="2.85546875" style="3" customWidth="1"/>
    <col min="6658" max="6658" width="3.5703125" style="3" customWidth="1"/>
    <col min="6659" max="6903" width="9.140625" style="3"/>
    <col min="6904" max="6904" width="8.7109375" style="3" customWidth="1"/>
    <col min="6905" max="6905" width="9.85546875" style="3" customWidth="1"/>
    <col min="6906" max="6906" width="14.42578125" style="3" customWidth="1"/>
    <col min="6907" max="6907" width="7.28515625" style="3" customWidth="1"/>
    <col min="6908" max="6908" width="5.5703125" style="3" customWidth="1"/>
    <col min="6909" max="6909" width="9" style="3" customWidth="1"/>
    <col min="6910" max="6911" width="9.85546875" style="3" customWidth="1"/>
    <col min="6912" max="6912" width="11.140625" style="3" customWidth="1"/>
    <col min="6913" max="6913" width="2.85546875" style="3" customWidth="1"/>
    <col min="6914" max="6914" width="3.5703125" style="3" customWidth="1"/>
    <col min="6915" max="7159" width="9.140625" style="3"/>
    <col min="7160" max="7160" width="8.7109375" style="3" customWidth="1"/>
    <col min="7161" max="7161" width="9.85546875" style="3" customWidth="1"/>
    <col min="7162" max="7162" width="14.42578125" style="3" customWidth="1"/>
    <col min="7163" max="7163" width="7.28515625" style="3" customWidth="1"/>
    <col min="7164" max="7164" width="5.5703125" style="3" customWidth="1"/>
    <col min="7165" max="7165" width="9" style="3" customWidth="1"/>
    <col min="7166" max="7167" width="9.85546875" style="3" customWidth="1"/>
    <col min="7168" max="7168" width="11.140625" style="3" customWidth="1"/>
    <col min="7169" max="7169" width="2.85546875" style="3" customWidth="1"/>
    <col min="7170" max="7170" width="3.5703125" style="3" customWidth="1"/>
    <col min="7171" max="7415" width="9.140625" style="3"/>
    <col min="7416" max="7416" width="8.7109375" style="3" customWidth="1"/>
    <col min="7417" max="7417" width="9.85546875" style="3" customWidth="1"/>
    <col min="7418" max="7418" width="14.42578125" style="3" customWidth="1"/>
    <col min="7419" max="7419" width="7.28515625" style="3" customWidth="1"/>
    <col min="7420" max="7420" width="5.5703125" style="3" customWidth="1"/>
    <col min="7421" max="7421" width="9" style="3" customWidth="1"/>
    <col min="7422" max="7423" width="9.85546875" style="3" customWidth="1"/>
    <col min="7424" max="7424" width="11.140625" style="3" customWidth="1"/>
    <col min="7425" max="7425" width="2.85546875" style="3" customWidth="1"/>
    <col min="7426" max="7426" width="3.5703125" style="3" customWidth="1"/>
    <col min="7427" max="7671" width="9.140625" style="3"/>
    <col min="7672" max="7672" width="8.7109375" style="3" customWidth="1"/>
    <col min="7673" max="7673" width="9.85546875" style="3" customWidth="1"/>
    <col min="7674" max="7674" width="14.42578125" style="3" customWidth="1"/>
    <col min="7675" max="7675" width="7.28515625" style="3" customWidth="1"/>
    <col min="7676" max="7676" width="5.5703125" style="3" customWidth="1"/>
    <col min="7677" max="7677" width="9" style="3" customWidth="1"/>
    <col min="7678" max="7679" width="9.85546875" style="3" customWidth="1"/>
    <col min="7680" max="7680" width="11.140625" style="3" customWidth="1"/>
    <col min="7681" max="7681" width="2.85546875" style="3" customWidth="1"/>
    <col min="7682" max="7682" width="3.5703125" style="3" customWidth="1"/>
    <col min="7683" max="7927" width="9.140625" style="3"/>
    <col min="7928" max="7928" width="8.7109375" style="3" customWidth="1"/>
    <col min="7929" max="7929" width="9.85546875" style="3" customWidth="1"/>
    <col min="7930" max="7930" width="14.42578125" style="3" customWidth="1"/>
    <col min="7931" max="7931" width="7.28515625" style="3" customWidth="1"/>
    <col min="7932" max="7932" width="5.5703125" style="3" customWidth="1"/>
    <col min="7933" max="7933" width="9" style="3" customWidth="1"/>
    <col min="7934" max="7935" width="9.85546875" style="3" customWidth="1"/>
    <col min="7936" max="7936" width="11.140625" style="3" customWidth="1"/>
    <col min="7937" max="7937" width="2.85546875" style="3" customWidth="1"/>
    <col min="7938" max="7938" width="3.5703125" style="3" customWidth="1"/>
    <col min="7939" max="8183" width="9.140625" style="3"/>
    <col min="8184" max="8184" width="8.7109375" style="3" customWidth="1"/>
    <col min="8185" max="8185" width="9.85546875" style="3" customWidth="1"/>
    <col min="8186" max="8186" width="14.42578125" style="3" customWidth="1"/>
    <col min="8187" max="8187" width="7.28515625" style="3" customWidth="1"/>
    <col min="8188" max="8188" width="5.5703125" style="3" customWidth="1"/>
    <col min="8189" max="8189" width="9" style="3" customWidth="1"/>
    <col min="8190" max="8191" width="9.85546875" style="3" customWidth="1"/>
    <col min="8192" max="8192" width="11.140625" style="3" customWidth="1"/>
    <col min="8193" max="8193" width="2.85546875" style="3" customWidth="1"/>
    <col min="8194" max="8194" width="3.5703125" style="3" customWidth="1"/>
    <col min="8195" max="8439" width="9.140625" style="3"/>
    <col min="8440" max="8440" width="8.7109375" style="3" customWidth="1"/>
    <col min="8441" max="8441" width="9.85546875" style="3" customWidth="1"/>
    <col min="8442" max="8442" width="14.42578125" style="3" customWidth="1"/>
    <col min="8443" max="8443" width="7.28515625" style="3" customWidth="1"/>
    <col min="8444" max="8444" width="5.5703125" style="3" customWidth="1"/>
    <col min="8445" max="8445" width="9" style="3" customWidth="1"/>
    <col min="8446" max="8447" width="9.85546875" style="3" customWidth="1"/>
    <col min="8448" max="8448" width="11.140625" style="3" customWidth="1"/>
    <col min="8449" max="8449" width="2.85546875" style="3" customWidth="1"/>
    <col min="8450" max="8450" width="3.5703125" style="3" customWidth="1"/>
    <col min="8451" max="8695" width="9.140625" style="3"/>
    <col min="8696" max="8696" width="8.7109375" style="3" customWidth="1"/>
    <col min="8697" max="8697" width="9.85546875" style="3" customWidth="1"/>
    <col min="8698" max="8698" width="14.42578125" style="3" customWidth="1"/>
    <col min="8699" max="8699" width="7.28515625" style="3" customWidth="1"/>
    <col min="8700" max="8700" width="5.5703125" style="3" customWidth="1"/>
    <col min="8701" max="8701" width="9" style="3" customWidth="1"/>
    <col min="8702" max="8703" width="9.85546875" style="3" customWidth="1"/>
    <col min="8704" max="8704" width="11.140625" style="3" customWidth="1"/>
    <col min="8705" max="8705" width="2.85546875" style="3" customWidth="1"/>
    <col min="8706" max="8706" width="3.5703125" style="3" customWidth="1"/>
    <col min="8707" max="8951" width="9.140625" style="3"/>
    <col min="8952" max="8952" width="8.7109375" style="3" customWidth="1"/>
    <col min="8953" max="8953" width="9.85546875" style="3" customWidth="1"/>
    <col min="8954" max="8954" width="14.42578125" style="3" customWidth="1"/>
    <col min="8955" max="8955" width="7.28515625" style="3" customWidth="1"/>
    <col min="8956" max="8956" width="5.5703125" style="3" customWidth="1"/>
    <col min="8957" max="8957" width="9" style="3" customWidth="1"/>
    <col min="8958" max="8959" width="9.85546875" style="3" customWidth="1"/>
    <col min="8960" max="8960" width="11.140625" style="3" customWidth="1"/>
    <col min="8961" max="8961" width="2.85546875" style="3" customWidth="1"/>
    <col min="8962" max="8962" width="3.5703125" style="3" customWidth="1"/>
    <col min="8963" max="9207" width="9.140625" style="3"/>
    <col min="9208" max="9208" width="8.7109375" style="3" customWidth="1"/>
    <col min="9209" max="9209" width="9.85546875" style="3" customWidth="1"/>
    <col min="9210" max="9210" width="14.42578125" style="3" customWidth="1"/>
    <col min="9211" max="9211" width="7.28515625" style="3" customWidth="1"/>
    <col min="9212" max="9212" width="5.5703125" style="3" customWidth="1"/>
    <col min="9213" max="9213" width="9" style="3" customWidth="1"/>
    <col min="9214" max="9215" width="9.85546875" style="3" customWidth="1"/>
    <col min="9216" max="9216" width="11.140625" style="3" customWidth="1"/>
    <col min="9217" max="9217" width="2.85546875" style="3" customWidth="1"/>
    <col min="9218" max="9218" width="3.5703125" style="3" customWidth="1"/>
    <col min="9219" max="9463" width="9.140625" style="3"/>
    <col min="9464" max="9464" width="8.7109375" style="3" customWidth="1"/>
    <col min="9465" max="9465" width="9.85546875" style="3" customWidth="1"/>
    <col min="9466" max="9466" width="14.42578125" style="3" customWidth="1"/>
    <col min="9467" max="9467" width="7.28515625" style="3" customWidth="1"/>
    <col min="9468" max="9468" width="5.5703125" style="3" customWidth="1"/>
    <col min="9469" max="9469" width="9" style="3" customWidth="1"/>
    <col min="9470" max="9471" width="9.85546875" style="3" customWidth="1"/>
    <col min="9472" max="9472" width="11.140625" style="3" customWidth="1"/>
    <col min="9473" max="9473" width="2.85546875" style="3" customWidth="1"/>
    <col min="9474" max="9474" width="3.5703125" style="3" customWidth="1"/>
    <col min="9475" max="9719" width="9.140625" style="3"/>
    <col min="9720" max="9720" width="8.7109375" style="3" customWidth="1"/>
    <col min="9721" max="9721" width="9.85546875" style="3" customWidth="1"/>
    <col min="9722" max="9722" width="14.42578125" style="3" customWidth="1"/>
    <col min="9723" max="9723" width="7.28515625" style="3" customWidth="1"/>
    <col min="9724" max="9724" width="5.5703125" style="3" customWidth="1"/>
    <col min="9725" max="9725" width="9" style="3" customWidth="1"/>
    <col min="9726" max="9727" width="9.85546875" style="3" customWidth="1"/>
    <col min="9728" max="9728" width="11.140625" style="3" customWidth="1"/>
    <col min="9729" max="9729" width="2.85546875" style="3" customWidth="1"/>
    <col min="9730" max="9730" width="3.5703125" style="3" customWidth="1"/>
    <col min="9731" max="9975" width="9.140625" style="3"/>
    <col min="9976" max="9976" width="8.7109375" style="3" customWidth="1"/>
    <col min="9977" max="9977" width="9.85546875" style="3" customWidth="1"/>
    <col min="9978" max="9978" width="14.42578125" style="3" customWidth="1"/>
    <col min="9979" max="9979" width="7.28515625" style="3" customWidth="1"/>
    <col min="9980" max="9980" width="5.5703125" style="3" customWidth="1"/>
    <col min="9981" max="9981" width="9" style="3" customWidth="1"/>
    <col min="9982" max="9983" width="9.85546875" style="3" customWidth="1"/>
    <col min="9984" max="9984" width="11.140625" style="3" customWidth="1"/>
    <col min="9985" max="9985" width="2.85546875" style="3" customWidth="1"/>
    <col min="9986" max="9986" width="3.5703125" style="3" customWidth="1"/>
    <col min="9987" max="10231" width="9.140625" style="3"/>
    <col min="10232" max="10232" width="8.7109375" style="3" customWidth="1"/>
    <col min="10233" max="10233" width="9.85546875" style="3" customWidth="1"/>
    <col min="10234" max="10234" width="14.42578125" style="3" customWidth="1"/>
    <col min="10235" max="10235" width="7.28515625" style="3" customWidth="1"/>
    <col min="10236" max="10236" width="5.5703125" style="3" customWidth="1"/>
    <col min="10237" max="10237" width="9" style="3" customWidth="1"/>
    <col min="10238" max="10239" width="9.85546875" style="3" customWidth="1"/>
    <col min="10240" max="10240" width="11.140625" style="3" customWidth="1"/>
    <col min="10241" max="10241" width="2.85546875" style="3" customWidth="1"/>
    <col min="10242" max="10242" width="3.5703125" style="3" customWidth="1"/>
    <col min="10243" max="10487" width="9.140625" style="3"/>
    <col min="10488" max="10488" width="8.7109375" style="3" customWidth="1"/>
    <col min="10489" max="10489" width="9.85546875" style="3" customWidth="1"/>
    <col min="10490" max="10490" width="14.42578125" style="3" customWidth="1"/>
    <col min="10491" max="10491" width="7.28515625" style="3" customWidth="1"/>
    <col min="10492" max="10492" width="5.5703125" style="3" customWidth="1"/>
    <col min="10493" max="10493" width="9" style="3" customWidth="1"/>
    <col min="10494" max="10495" width="9.85546875" style="3" customWidth="1"/>
    <col min="10496" max="10496" width="11.140625" style="3" customWidth="1"/>
    <col min="10497" max="10497" width="2.85546875" style="3" customWidth="1"/>
    <col min="10498" max="10498" width="3.5703125" style="3" customWidth="1"/>
    <col min="10499" max="10743" width="9.140625" style="3"/>
    <col min="10744" max="10744" width="8.7109375" style="3" customWidth="1"/>
    <col min="10745" max="10745" width="9.85546875" style="3" customWidth="1"/>
    <col min="10746" max="10746" width="14.42578125" style="3" customWidth="1"/>
    <col min="10747" max="10747" width="7.28515625" style="3" customWidth="1"/>
    <col min="10748" max="10748" width="5.5703125" style="3" customWidth="1"/>
    <col min="10749" max="10749" width="9" style="3" customWidth="1"/>
    <col min="10750" max="10751" width="9.85546875" style="3" customWidth="1"/>
    <col min="10752" max="10752" width="11.140625" style="3" customWidth="1"/>
    <col min="10753" max="10753" width="2.85546875" style="3" customWidth="1"/>
    <col min="10754" max="10754" width="3.5703125" style="3" customWidth="1"/>
    <col min="10755" max="10999" width="9.140625" style="3"/>
    <col min="11000" max="11000" width="8.7109375" style="3" customWidth="1"/>
    <col min="11001" max="11001" width="9.85546875" style="3" customWidth="1"/>
    <col min="11002" max="11002" width="14.42578125" style="3" customWidth="1"/>
    <col min="11003" max="11003" width="7.28515625" style="3" customWidth="1"/>
    <col min="11004" max="11004" width="5.5703125" style="3" customWidth="1"/>
    <col min="11005" max="11005" width="9" style="3" customWidth="1"/>
    <col min="11006" max="11007" width="9.85546875" style="3" customWidth="1"/>
    <col min="11008" max="11008" width="11.140625" style="3" customWidth="1"/>
    <col min="11009" max="11009" width="2.85546875" style="3" customWidth="1"/>
    <col min="11010" max="11010" width="3.5703125" style="3" customWidth="1"/>
    <col min="11011" max="11255" width="9.140625" style="3"/>
    <col min="11256" max="11256" width="8.7109375" style="3" customWidth="1"/>
    <col min="11257" max="11257" width="9.85546875" style="3" customWidth="1"/>
    <col min="11258" max="11258" width="14.42578125" style="3" customWidth="1"/>
    <col min="11259" max="11259" width="7.28515625" style="3" customWidth="1"/>
    <col min="11260" max="11260" width="5.5703125" style="3" customWidth="1"/>
    <col min="11261" max="11261" width="9" style="3" customWidth="1"/>
    <col min="11262" max="11263" width="9.85546875" style="3" customWidth="1"/>
    <col min="11264" max="11264" width="11.140625" style="3" customWidth="1"/>
    <col min="11265" max="11265" width="2.85546875" style="3" customWidth="1"/>
    <col min="11266" max="11266" width="3.5703125" style="3" customWidth="1"/>
    <col min="11267" max="11511" width="9.140625" style="3"/>
    <col min="11512" max="11512" width="8.7109375" style="3" customWidth="1"/>
    <col min="11513" max="11513" width="9.85546875" style="3" customWidth="1"/>
    <col min="11514" max="11514" width="14.42578125" style="3" customWidth="1"/>
    <col min="11515" max="11515" width="7.28515625" style="3" customWidth="1"/>
    <col min="11516" max="11516" width="5.5703125" style="3" customWidth="1"/>
    <col min="11517" max="11517" width="9" style="3" customWidth="1"/>
    <col min="11518" max="11519" width="9.85546875" style="3" customWidth="1"/>
    <col min="11520" max="11520" width="11.140625" style="3" customWidth="1"/>
    <col min="11521" max="11521" width="2.85546875" style="3" customWidth="1"/>
    <col min="11522" max="11522" width="3.5703125" style="3" customWidth="1"/>
    <col min="11523" max="11767" width="9.140625" style="3"/>
    <col min="11768" max="11768" width="8.7109375" style="3" customWidth="1"/>
    <col min="11769" max="11769" width="9.85546875" style="3" customWidth="1"/>
    <col min="11770" max="11770" width="14.42578125" style="3" customWidth="1"/>
    <col min="11771" max="11771" width="7.28515625" style="3" customWidth="1"/>
    <col min="11772" max="11772" width="5.5703125" style="3" customWidth="1"/>
    <col min="11773" max="11773" width="9" style="3" customWidth="1"/>
    <col min="11774" max="11775" width="9.85546875" style="3" customWidth="1"/>
    <col min="11776" max="11776" width="11.140625" style="3" customWidth="1"/>
    <col min="11777" max="11777" width="2.85546875" style="3" customWidth="1"/>
    <col min="11778" max="11778" width="3.5703125" style="3" customWidth="1"/>
    <col min="11779" max="12023" width="9.140625" style="3"/>
    <col min="12024" max="12024" width="8.7109375" style="3" customWidth="1"/>
    <col min="12025" max="12025" width="9.85546875" style="3" customWidth="1"/>
    <col min="12026" max="12026" width="14.42578125" style="3" customWidth="1"/>
    <col min="12027" max="12027" width="7.28515625" style="3" customWidth="1"/>
    <col min="12028" max="12028" width="5.5703125" style="3" customWidth="1"/>
    <col min="12029" max="12029" width="9" style="3" customWidth="1"/>
    <col min="12030" max="12031" width="9.85546875" style="3" customWidth="1"/>
    <col min="12032" max="12032" width="11.140625" style="3" customWidth="1"/>
    <col min="12033" max="12033" width="2.85546875" style="3" customWidth="1"/>
    <col min="12034" max="12034" width="3.5703125" style="3" customWidth="1"/>
    <col min="12035" max="12279" width="9.140625" style="3"/>
    <col min="12280" max="12280" width="8.7109375" style="3" customWidth="1"/>
    <col min="12281" max="12281" width="9.85546875" style="3" customWidth="1"/>
    <col min="12282" max="12282" width="14.42578125" style="3" customWidth="1"/>
    <col min="12283" max="12283" width="7.28515625" style="3" customWidth="1"/>
    <col min="12284" max="12284" width="5.5703125" style="3" customWidth="1"/>
    <col min="12285" max="12285" width="9" style="3" customWidth="1"/>
    <col min="12286" max="12287" width="9.85546875" style="3" customWidth="1"/>
    <col min="12288" max="12288" width="11.140625" style="3" customWidth="1"/>
    <col min="12289" max="12289" width="2.85546875" style="3" customWidth="1"/>
    <col min="12290" max="12290" width="3.5703125" style="3" customWidth="1"/>
    <col min="12291" max="12535" width="9.140625" style="3"/>
    <col min="12536" max="12536" width="8.7109375" style="3" customWidth="1"/>
    <col min="12537" max="12537" width="9.85546875" style="3" customWidth="1"/>
    <col min="12538" max="12538" width="14.42578125" style="3" customWidth="1"/>
    <col min="12539" max="12539" width="7.28515625" style="3" customWidth="1"/>
    <col min="12540" max="12540" width="5.5703125" style="3" customWidth="1"/>
    <col min="12541" max="12541" width="9" style="3" customWidth="1"/>
    <col min="12542" max="12543" width="9.85546875" style="3" customWidth="1"/>
    <col min="12544" max="12544" width="11.140625" style="3" customWidth="1"/>
    <col min="12545" max="12545" width="2.85546875" style="3" customWidth="1"/>
    <col min="12546" max="12546" width="3.5703125" style="3" customWidth="1"/>
    <col min="12547" max="12791" width="9.140625" style="3"/>
    <col min="12792" max="12792" width="8.7109375" style="3" customWidth="1"/>
    <col min="12793" max="12793" width="9.85546875" style="3" customWidth="1"/>
    <col min="12794" max="12794" width="14.42578125" style="3" customWidth="1"/>
    <col min="12795" max="12795" width="7.28515625" style="3" customWidth="1"/>
    <col min="12796" max="12796" width="5.5703125" style="3" customWidth="1"/>
    <col min="12797" max="12797" width="9" style="3" customWidth="1"/>
    <col min="12798" max="12799" width="9.85546875" style="3" customWidth="1"/>
    <col min="12800" max="12800" width="11.140625" style="3" customWidth="1"/>
    <col min="12801" max="12801" width="2.85546875" style="3" customWidth="1"/>
    <col min="12802" max="12802" width="3.5703125" style="3" customWidth="1"/>
    <col min="12803" max="13047" width="9.140625" style="3"/>
    <col min="13048" max="13048" width="8.7109375" style="3" customWidth="1"/>
    <col min="13049" max="13049" width="9.85546875" style="3" customWidth="1"/>
    <col min="13050" max="13050" width="14.42578125" style="3" customWidth="1"/>
    <col min="13051" max="13051" width="7.28515625" style="3" customWidth="1"/>
    <col min="13052" max="13052" width="5.5703125" style="3" customWidth="1"/>
    <col min="13053" max="13053" width="9" style="3" customWidth="1"/>
    <col min="13054" max="13055" width="9.85546875" style="3" customWidth="1"/>
    <col min="13056" max="13056" width="11.140625" style="3" customWidth="1"/>
    <col min="13057" max="13057" width="2.85546875" style="3" customWidth="1"/>
    <col min="13058" max="13058" width="3.5703125" style="3" customWidth="1"/>
    <col min="13059" max="13303" width="9.140625" style="3"/>
    <col min="13304" max="13304" width="8.7109375" style="3" customWidth="1"/>
    <col min="13305" max="13305" width="9.85546875" style="3" customWidth="1"/>
    <col min="13306" max="13306" width="14.42578125" style="3" customWidth="1"/>
    <col min="13307" max="13307" width="7.28515625" style="3" customWidth="1"/>
    <col min="13308" max="13308" width="5.5703125" style="3" customWidth="1"/>
    <col min="13309" max="13309" width="9" style="3" customWidth="1"/>
    <col min="13310" max="13311" width="9.85546875" style="3" customWidth="1"/>
    <col min="13312" max="13312" width="11.140625" style="3" customWidth="1"/>
    <col min="13313" max="13313" width="2.85546875" style="3" customWidth="1"/>
    <col min="13314" max="13314" width="3.5703125" style="3" customWidth="1"/>
    <col min="13315" max="13559" width="9.140625" style="3"/>
    <col min="13560" max="13560" width="8.7109375" style="3" customWidth="1"/>
    <col min="13561" max="13561" width="9.85546875" style="3" customWidth="1"/>
    <col min="13562" max="13562" width="14.42578125" style="3" customWidth="1"/>
    <col min="13563" max="13563" width="7.28515625" style="3" customWidth="1"/>
    <col min="13564" max="13564" width="5.5703125" style="3" customWidth="1"/>
    <col min="13565" max="13565" width="9" style="3" customWidth="1"/>
    <col min="13566" max="13567" width="9.85546875" style="3" customWidth="1"/>
    <col min="13568" max="13568" width="11.140625" style="3" customWidth="1"/>
    <col min="13569" max="13569" width="2.85546875" style="3" customWidth="1"/>
    <col min="13570" max="13570" width="3.5703125" style="3" customWidth="1"/>
    <col min="13571" max="13815" width="9.140625" style="3"/>
    <col min="13816" max="13816" width="8.7109375" style="3" customWidth="1"/>
    <col min="13817" max="13817" width="9.85546875" style="3" customWidth="1"/>
    <col min="13818" max="13818" width="14.42578125" style="3" customWidth="1"/>
    <col min="13819" max="13819" width="7.28515625" style="3" customWidth="1"/>
    <col min="13820" max="13820" width="5.5703125" style="3" customWidth="1"/>
    <col min="13821" max="13821" width="9" style="3" customWidth="1"/>
    <col min="13822" max="13823" width="9.85546875" style="3" customWidth="1"/>
    <col min="13824" max="13824" width="11.140625" style="3" customWidth="1"/>
    <col min="13825" max="13825" width="2.85546875" style="3" customWidth="1"/>
    <col min="13826" max="13826" width="3.5703125" style="3" customWidth="1"/>
    <col min="13827" max="14071" width="9.140625" style="3"/>
    <col min="14072" max="14072" width="8.7109375" style="3" customWidth="1"/>
    <col min="14073" max="14073" width="9.85546875" style="3" customWidth="1"/>
    <col min="14074" max="14074" width="14.42578125" style="3" customWidth="1"/>
    <col min="14075" max="14075" width="7.28515625" style="3" customWidth="1"/>
    <col min="14076" max="14076" width="5.5703125" style="3" customWidth="1"/>
    <col min="14077" max="14077" width="9" style="3" customWidth="1"/>
    <col min="14078" max="14079" width="9.85546875" style="3" customWidth="1"/>
    <col min="14080" max="14080" width="11.140625" style="3" customWidth="1"/>
    <col min="14081" max="14081" width="2.85546875" style="3" customWidth="1"/>
    <col min="14082" max="14082" width="3.5703125" style="3" customWidth="1"/>
    <col min="14083" max="14327" width="9.140625" style="3"/>
    <col min="14328" max="14328" width="8.7109375" style="3" customWidth="1"/>
    <col min="14329" max="14329" width="9.85546875" style="3" customWidth="1"/>
    <col min="14330" max="14330" width="14.42578125" style="3" customWidth="1"/>
    <col min="14331" max="14331" width="7.28515625" style="3" customWidth="1"/>
    <col min="14332" max="14332" width="5.5703125" style="3" customWidth="1"/>
    <col min="14333" max="14333" width="9" style="3" customWidth="1"/>
    <col min="14334" max="14335" width="9.85546875" style="3" customWidth="1"/>
    <col min="14336" max="14336" width="11.140625" style="3" customWidth="1"/>
    <col min="14337" max="14337" width="2.85546875" style="3" customWidth="1"/>
    <col min="14338" max="14338" width="3.5703125" style="3" customWidth="1"/>
    <col min="14339" max="14583" width="9.140625" style="3"/>
    <col min="14584" max="14584" width="8.7109375" style="3" customWidth="1"/>
    <col min="14585" max="14585" width="9.85546875" style="3" customWidth="1"/>
    <col min="14586" max="14586" width="14.42578125" style="3" customWidth="1"/>
    <col min="14587" max="14587" width="7.28515625" style="3" customWidth="1"/>
    <col min="14588" max="14588" width="5.5703125" style="3" customWidth="1"/>
    <col min="14589" max="14589" width="9" style="3" customWidth="1"/>
    <col min="14590" max="14591" width="9.85546875" style="3" customWidth="1"/>
    <col min="14592" max="14592" width="11.140625" style="3" customWidth="1"/>
    <col min="14593" max="14593" width="2.85546875" style="3" customWidth="1"/>
    <col min="14594" max="14594" width="3.5703125" style="3" customWidth="1"/>
    <col min="14595" max="14839" width="9.140625" style="3"/>
    <col min="14840" max="14840" width="8.7109375" style="3" customWidth="1"/>
    <col min="14841" max="14841" width="9.85546875" style="3" customWidth="1"/>
    <col min="14842" max="14842" width="14.42578125" style="3" customWidth="1"/>
    <col min="14843" max="14843" width="7.28515625" style="3" customWidth="1"/>
    <col min="14844" max="14844" width="5.5703125" style="3" customWidth="1"/>
    <col min="14845" max="14845" width="9" style="3" customWidth="1"/>
    <col min="14846" max="14847" width="9.85546875" style="3" customWidth="1"/>
    <col min="14848" max="14848" width="11.140625" style="3" customWidth="1"/>
    <col min="14849" max="14849" width="2.85546875" style="3" customWidth="1"/>
    <col min="14850" max="14850" width="3.5703125" style="3" customWidth="1"/>
    <col min="14851" max="15095" width="9.140625" style="3"/>
    <col min="15096" max="15096" width="8.7109375" style="3" customWidth="1"/>
    <col min="15097" max="15097" width="9.85546875" style="3" customWidth="1"/>
    <col min="15098" max="15098" width="14.42578125" style="3" customWidth="1"/>
    <col min="15099" max="15099" width="7.28515625" style="3" customWidth="1"/>
    <col min="15100" max="15100" width="5.5703125" style="3" customWidth="1"/>
    <col min="15101" max="15101" width="9" style="3" customWidth="1"/>
    <col min="15102" max="15103" width="9.85546875" style="3" customWidth="1"/>
    <col min="15104" max="15104" width="11.140625" style="3" customWidth="1"/>
    <col min="15105" max="15105" width="2.85546875" style="3" customWidth="1"/>
    <col min="15106" max="15106" width="3.5703125" style="3" customWidth="1"/>
    <col min="15107" max="15351" width="9.140625" style="3"/>
    <col min="15352" max="15352" width="8.7109375" style="3" customWidth="1"/>
    <col min="15353" max="15353" width="9.85546875" style="3" customWidth="1"/>
    <col min="15354" max="15354" width="14.42578125" style="3" customWidth="1"/>
    <col min="15355" max="15355" width="7.28515625" style="3" customWidth="1"/>
    <col min="15356" max="15356" width="5.5703125" style="3" customWidth="1"/>
    <col min="15357" max="15357" width="9" style="3" customWidth="1"/>
    <col min="15358" max="15359" width="9.85546875" style="3" customWidth="1"/>
    <col min="15360" max="15360" width="11.140625" style="3" customWidth="1"/>
    <col min="15361" max="15361" width="2.85546875" style="3" customWidth="1"/>
    <col min="15362" max="15362" width="3.5703125" style="3" customWidth="1"/>
    <col min="15363" max="15607" width="9.140625" style="3"/>
    <col min="15608" max="15608" width="8.7109375" style="3" customWidth="1"/>
    <col min="15609" max="15609" width="9.85546875" style="3" customWidth="1"/>
    <col min="15610" max="15610" width="14.42578125" style="3" customWidth="1"/>
    <col min="15611" max="15611" width="7.28515625" style="3" customWidth="1"/>
    <col min="15612" max="15612" width="5.5703125" style="3" customWidth="1"/>
    <col min="15613" max="15613" width="9" style="3" customWidth="1"/>
    <col min="15614" max="15615" width="9.85546875" style="3" customWidth="1"/>
    <col min="15616" max="15616" width="11.140625" style="3" customWidth="1"/>
    <col min="15617" max="15617" width="2.85546875" style="3" customWidth="1"/>
    <col min="15618" max="15618" width="3.5703125" style="3" customWidth="1"/>
    <col min="15619" max="15863" width="9.140625" style="3"/>
    <col min="15864" max="15864" width="8.7109375" style="3" customWidth="1"/>
    <col min="15865" max="15865" width="9.85546875" style="3" customWidth="1"/>
    <col min="15866" max="15866" width="14.42578125" style="3" customWidth="1"/>
    <col min="15867" max="15867" width="7.28515625" style="3" customWidth="1"/>
    <col min="15868" max="15868" width="5.5703125" style="3" customWidth="1"/>
    <col min="15869" max="15869" width="9" style="3" customWidth="1"/>
    <col min="15870" max="15871" width="9.85546875" style="3" customWidth="1"/>
    <col min="15872" max="15872" width="11.140625" style="3" customWidth="1"/>
    <col min="15873" max="15873" width="2.85546875" style="3" customWidth="1"/>
    <col min="15874" max="15874" width="3.5703125" style="3" customWidth="1"/>
    <col min="15875" max="16119" width="9.140625" style="3"/>
    <col min="16120" max="16120" width="8.7109375" style="3" customWidth="1"/>
    <col min="16121" max="16121" width="9.85546875" style="3" customWidth="1"/>
    <col min="16122" max="16122" width="14.42578125" style="3" customWidth="1"/>
    <col min="16123" max="16123" width="7.28515625" style="3" customWidth="1"/>
    <col min="16124" max="16124" width="5.5703125" style="3" customWidth="1"/>
    <col min="16125" max="16125" width="9" style="3" customWidth="1"/>
    <col min="16126" max="16127" width="9.85546875" style="3" customWidth="1"/>
    <col min="16128" max="16128" width="11.140625" style="3" customWidth="1"/>
    <col min="16129" max="16129" width="2.85546875" style="3" customWidth="1"/>
    <col min="16130" max="16130" width="3.5703125" style="3" customWidth="1"/>
    <col min="16131" max="16384" width="9.140625" style="3"/>
  </cols>
  <sheetData>
    <row r="1" spans="1:8" ht="46.5" customHeight="1" x14ac:dyDescent="0.25">
      <c r="A1" s="214" t="s">
        <v>202</v>
      </c>
      <c r="B1" s="214"/>
      <c r="C1" s="214"/>
      <c r="D1" s="214"/>
      <c r="E1" s="214"/>
      <c r="F1" s="214"/>
      <c r="G1" s="214"/>
      <c r="H1" s="214"/>
    </row>
    <row r="2" spans="1:8" ht="16.5" customHeight="1" x14ac:dyDescent="0.25">
      <c r="A2" s="215" t="s">
        <v>0</v>
      </c>
      <c r="B2" s="215"/>
      <c r="C2" s="215"/>
      <c r="D2" s="215"/>
      <c r="E2" s="215"/>
      <c r="F2" s="215"/>
      <c r="G2" s="215"/>
      <c r="H2" s="215"/>
    </row>
    <row r="3" spans="1:8" x14ac:dyDescent="0.25">
      <c r="A3" s="94" t="s">
        <v>1</v>
      </c>
      <c r="B3" s="94"/>
      <c r="C3" s="94"/>
      <c r="D3" s="94"/>
      <c r="E3" s="216" t="str">
        <f ca="1">TEXT(TODAY(),"DD/MM/YYYY")</f>
        <v>11/09/2025</v>
      </c>
      <c r="F3" s="216"/>
      <c r="G3" s="216"/>
      <c r="H3" s="216"/>
    </row>
    <row r="4" spans="1:8" ht="15" customHeight="1" x14ac:dyDescent="0.25">
      <c r="A4" s="94" t="s">
        <v>2</v>
      </c>
      <c r="B4" s="94"/>
      <c r="C4" s="94"/>
      <c r="D4" s="94"/>
      <c r="E4" s="217" t="s">
        <v>166</v>
      </c>
      <c r="F4" s="217"/>
      <c r="G4" s="217"/>
      <c r="H4" s="217"/>
    </row>
    <row r="5" spans="1:8" x14ac:dyDescent="0.25">
      <c r="A5" s="94" t="s">
        <v>3</v>
      </c>
      <c r="B5" s="94"/>
      <c r="C5" s="94"/>
      <c r="D5" s="94"/>
      <c r="E5" s="216">
        <v>45909</v>
      </c>
      <c r="F5" s="216"/>
      <c r="G5" s="216"/>
      <c r="H5" s="216"/>
    </row>
    <row r="6" spans="1:8" ht="16.5" customHeight="1" x14ac:dyDescent="0.25">
      <c r="A6" s="94" t="s">
        <v>4</v>
      </c>
      <c r="B6" s="94"/>
      <c r="C6" s="94"/>
      <c r="D6" s="94"/>
      <c r="E6" s="117" t="s">
        <v>167</v>
      </c>
      <c r="F6" s="117"/>
      <c r="G6" s="117"/>
      <c r="H6" s="117"/>
    </row>
    <row r="7" spans="1:8" ht="15" customHeight="1" x14ac:dyDescent="0.25">
      <c r="A7" s="94" t="s">
        <v>5</v>
      </c>
      <c r="B7" s="94"/>
      <c r="C7" s="94"/>
      <c r="D7" s="94"/>
      <c r="E7" s="117" t="str">
        <f>E6</f>
        <v>M/s. Shree Sharada Infrastructures</v>
      </c>
      <c r="F7" s="117"/>
      <c r="G7" s="117"/>
      <c r="H7" s="117"/>
    </row>
    <row r="8" spans="1:8" x14ac:dyDescent="0.25">
      <c r="A8" s="94" t="s">
        <v>6</v>
      </c>
      <c r="B8" s="94"/>
      <c r="C8" s="94"/>
      <c r="D8" s="94"/>
      <c r="E8" s="137" t="s">
        <v>168</v>
      </c>
      <c r="F8" s="137"/>
      <c r="G8" s="137"/>
      <c r="H8" s="137"/>
    </row>
    <row r="9" spans="1:8" x14ac:dyDescent="0.25">
      <c r="A9" s="94" t="s">
        <v>130</v>
      </c>
      <c r="B9" s="94"/>
      <c r="C9" s="94"/>
      <c r="D9" s="94"/>
      <c r="E9" s="122">
        <v>8275177777</v>
      </c>
      <c r="F9" s="122"/>
      <c r="G9" s="122"/>
      <c r="H9" s="122"/>
    </row>
    <row r="10" spans="1:8" x14ac:dyDescent="0.25">
      <c r="A10" s="94" t="s">
        <v>206</v>
      </c>
      <c r="B10" s="94"/>
      <c r="C10" s="94"/>
      <c r="D10" s="94"/>
      <c r="E10" s="122" t="s">
        <v>210</v>
      </c>
      <c r="F10" s="122"/>
      <c r="G10" s="122"/>
      <c r="H10" s="122"/>
    </row>
    <row r="11" spans="1:8" x14ac:dyDescent="0.25">
      <c r="A11" s="142" t="s">
        <v>7</v>
      </c>
      <c r="B11" s="142"/>
      <c r="C11" s="142"/>
      <c r="D11" s="142"/>
      <c r="E11" s="122" t="s">
        <v>169</v>
      </c>
      <c r="F11" s="122"/>
      <c r="G11" s="122"/>
      <c r="H11" s="122"/>
    </row>
    <row r="12" spans="1:8" ht="18" customHeight="1" x14ac:dyDescent="0.25">
      <c r="A12" s="94" t="s">
        <v>8</v>
      </c>
      <c r="B12" s="94"/>
      <c r="C12" s="94"/>
      <c r="D12" s="94"/>
      <c r="E12" s="117" t="s">
        <v>171</v>
      </c>
      <c r="F12" s="117"/>
      <c r="G12" s="117"/>
      <c r="H12" s="117"/>
    </row>
    <row r="13" spans="1:8" x14ac:dyDescent="0.25">
      <c r="A13" s="94" t="s">
        <v>9</v>
      </c>
      <c r="B13" s="94"/>
      <c r="C13" s="94"/>
      <c r="D13" s="94"/>
      <c r="E13" s="117" t="s">
        <v>170</v>
      </c>
      <c r="F13" s="122"/>
      <c r="G13" s="122"/>
      <c r="H13" s="122"/>
    </row>
    <row r="14" spans="1:8" ht="33.75" customHeight="1" x14ac:dyDescent="0.25">
      <c r="A14" s="117" t="s">
        <v>10</v>
      </c>
      <c r="B14" s="117"/>
      <c r="C14" s="117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- ",(IF(OR(G18="",G18="NA"),"",G18)),".")</f>
        <v>Renaissance Royal Phase 1, Survey No.30/3B, 30/3C, 58/1-B, 59/1,...61/1, 61/2, near Dwarika Valley, Internal Road, Neral, Neral, Karjat, Raigad - 410101.</v>
      </c>
      <c r="D14" s="117"/>
      <c r="E14" s="117"/>
      <c r="F14" s="117"/>
      <c r="G14" s="117"/>
      <c r="H14" s="117"/>
    </row>
    <row r="15" spans="1:8" x14ac:dyDescent="0.25">
      <c r="A15" s="117" t="s">
        <v>172</v>
      </c>
      <c r="B15" s="117"/>
      <c r="C15" s="117" t="s">
        <v>200</v>
      </c>
      <c r="D15" s="117"/>
      <c r="E15" s="117"/>
      <c r="F15" s="117"/>
      <c r="G15" s="117"/>
      <c r="H15" s="117"/>
    </row>
    <row r="16" spans="1:8" ht="15.75" customHeight="1" x14ac:dyDescent="0.25">
      <c r="A16" s="117" t="s">
        <v>11</v>
      </c>
      <c r="B16" s="117"/>
      <c r="C16" s="122" t="s">
        <v>177</v>
      </c>
      <c r="D16" s="122"/>
      <c r="E16" s="117" t="s">
        <v>78</v>
      </c>
      <c r="F16" s="117"/>
      <c r="G16" s="117" t="s">
        <v>173</v>
      </c>
      <c r="H16" s="117"/>
    </row>
    <row r="17" spans="1:8" x14ac:dyDescent="0.25">
      <c r="A17" s="122" t="s">
        <v>13</v>
      </c>
      <c r="B17" s="122"/>
      <c r="C17" s="117" t="s">
        <v>173</v>
      </c>
      <c r="D17" s="117"/>
      <c r="E17" s="117" t="s">
        <v>12</v>
      </c>
      <c r="F17" s="117"/>
      <c r="G17" s="220" t="s">
        <v>175</v>
      </c>
      <c r="H17" s="220"/>
    </row>
    <row r="18" spans="1:8" x14ac:dyDescent="0.25">
      <c r="A18" s="122" t="s">
        <v>79</v>
      </c>
      <c r="B18" s="122"/>
      <c r="C18" s="117" t="s">
        <v>174</v>
      </c>
      <c r="D18" s="117"/>
      <c r="E18" s="117" t="s">
        <v>14</v>
      </c>
      <c r="F18" s="117"/>
      <c r="G18" s="117">
        <v>410101</v>
      </c>
      <c r="H18" s="117"/>
    </row>
    <row r="19" spans="1:8" ht="32.25" customHeight="1" x14ac:dyDescent="0.25">
      <c r="A19" s="122" t="s">
        <v>131</v>
      </c>
      <c r="B19" s="122"/>
      <c r="C19" s="117" t="s">
        <v>176</v>
      </c>
      <c r="D19" s="117"/>
      <c r="E19" s="117" t="s">
        <v>15</v>
      </c>
      <c r="F19" s="117"/>
      <c r="G19" s="117" t="s">
        <v>179</v>
      </c>
      <c r="H19" s="117"/>
    </row>
    <row r="20" spans="1:8" ht="15" customHeight="1" x14ac:dyDescent="0.25">
      <c r="A20" s="116" t="s">
        <v>81</v>
      </c>
      <c r="B20" s="116"/>
      <c r="C20" s="116"/>
      <c r="D20" s="116"/>
      <c r="E20" s="142" t="s">
        <v>16</v>
      </c>
      <c r="F20" s="142"/>
      <c r="G20" s="142"/>
      <c r="H20" s="142"/>
    </row>
    <row r="21" spans="1:8" ht="18.75" customHeight="1" x14ac:dyDescent="0.25">
      <c r="A21" s="116"/>
      <c r="B21" s="116"/>
      <c r="C21" s="116"/>
      <c r="D21" s="116"/>
      <c r="E21" s="142"/>
      <c r="F21" s="142"/>
      <c r="G21" s="142"/>
      <c r="H21" s="142"/>
    </row>
    <row r="22" spans="1:8" ht="15" customHeight="1" x14ac:dyDescent="0.25">
      <c r="A22" s="218" t="s">
        <v>17</v>
      </c>
      <c r="B22" s="218"/>
      <c r="C22" s="218"/>
      <c r="D22" s="218"/>
      <c r="E22" s="219" t="s">
        <v>18</v>
      </c>
      <c r="F22" s="219"/>
      <c r="G22" s="219"/>
      <c r="H22" s="219"/>
    </row>
    <row r="23" spans="1:8" ht="15" customHeight="1" x14ac:dyDescent="0.25">
      <c r="A23" s="157" t="s">
        <v>19</v>
      </c>
      <c r="B23" s="157"/>
      <c r="C23" s="157"/>
      <c r="D23" s="157"/>
      <c r="E23" s="219" t="str">
        <f>IF(AND(G17="Mumbai"),"Upper Class","Middle Class")</f>
        <v>Middle Class</v>
      </c>
      <c r="F23" s="219"/>
      <c r="G23" s="219"/>
      <c r="H23" s="219"/>
    </row>
    <row r="24" spans="1:8" x14ac:dyDescent="0.25">
      <c r="A24" s="157" t="s">
        <v>20</v>
      </c>
      <c r="B24" s="157"/>
      <c r="C24" s="157"/>
      <c r="D24" s="157"/>
      <c r="E24" s="219" t="s">
        <v>21</v>
      </c>
      <c r="F24" s="219"/>
      <c r="G24" s="219"/>
      <c r="H24" s="219"/>
    </row>
    <row r="25" spans="1:8" ht="15.75" customHeight="1" x14ac:dyDescent="0.25">
      <c r="A25" s="157" t="s">
        <v>22</v>
      </c>
      <c r="B25" s="157"/>
      <c r="C25" s="157"/>
      <c r="D25" s="157"/>
      <c r="E25" s="219" t="str">
        <f>IF(AND(G17="Mumbai"),"Developed","Developing")</f>
        <v>Developing</v>
      </c>
      <c r="F25" s="219"/>
      <c r="G25" s="219"/>
      <c r="H25" s="219"/>
    </row>
    <row r="26" spans="1:8" x14ac:dyDescent="0.25">
      <c r="A26" s="157" t="s">
        <v>23</v>
      </c>
      <c r="B26" s="157"/>
      <c r="C26" s="157"/>
      <c r="D26" s="157"/>
      <c r="E26" s="219" t="s">
        <v>24</v>
      </c>
      <c r="F26" s="219"/>
      <c r="G26" s="219"/>
      <c r="H26" s="219"/>
    </row>
    <row r="27" spans="1:8" x14ac:dyDescent="0.25">
      <c r="A27" s="157" t="s">
        <v>86</v>
      </c>
      <c r="B27" s="157"/>
      <c r="C27" s="157"/>
      <c r="D27" s="157"/>
      <c r="E27" s="219" t="s">
        <v>87</v>
      </c>
      <c r="F27" s="219"/>
      <c r="G27" s="219"/>
      <c r="H27" s="219"/>
    </row>
    <row r="28" spans="1:8" ht="15" customHeight="1" x14ac:dyDescent="0.25">
      <c r="A28" s="116" t="s">
        <v>33</v>
      </c>
      <c r="B28" s="116"/>
      <c r="C28" s="116"/>
      <c r="D28" s="116"/>
      <c r="E28" s="223" t="str">
        <f>IF(ISNUMBER(SEARCH("Shop",D54)),"Residential + Commercial",IF(ISNUMBER(SEARCH("Office",D54)),"Residential + Commercial",IF(SEARCH("Flats",D54),"Residential","")))</f>
        <v>Residential</v>
      </c>
      <c r="F28" s="223"/>
      <c r="G28" s="223"/>
      <c r="H28" s="223"/>
    </row>
    <row r="29" spans="1:8" x14ac:dyDescent="0.25">
      <c r="A29" s="116" t="s">
        <v>98</v>
      </c>
      <c r="B29" s="116"/>
      <c r="C29" s="116"/>
      <c r="D29" s="116"/>
      <c r="E29" s="116" t="s">
        <v>34</v>
      </c>
      <c r="F29" s="116"/>
      <c r="G29" s="116"/>
      <c r="H29" s="116"/>
    </row>
    <row r="30" spans="1:8" s="6" customFormat="1" x14ac:dyDescent="0.25">
      <c r="A30" s="229" t="s">
        <v>99</v>
      </c>
      <c r="B30" s="229"/>
      <c r="C30" s="225" t="s">
        <v>29</v>
      </c>
      <c r="D30" s="225"/>
      <c r="E30" s="225"/>
      <c r="F30" s="225" t="s">
        <v>31</v>
      </c>
      <c r="G30" s="225"/>
      <c r="H30" s="225"/>
    </row>
    <row r="31" spans="1:8" s="6" customFormat="1" x14ac:dyDescent="0.25">
      <c r="A31" s="221" t="s">
        <v>25</v>
      </c>
      <c r="B31" s="221" t="s">
        <v>30</v>
      </c>
      <c r="C31" s="222" t="s">
        <v>30</v>
      </c>
      <c r="D31" s="222"/>
      <c r="E31" s="222"/>
      <c r="F31" s="222" t="s">
        <v>178</v>
      </c>
      <c r="G31" s="222"/>
      <c r="H31" s="222"/>
    </row>
    <row r="32" spans="1:8" x14ac:dyDescent="0.25">
      <c r="A32" s="221" t="s">
        <v>26</v>
      </c>
      <c r="B32" s="221" t="s">
        <v>30</v>
      </c>
      <c r="C32" s="222" t="s">
        <v>30</v>
      </c>
      <c r="D32" s="222"/>
      <c r="E32" s="222"/>
      <c r="F32" s="222" t="s">
        <v>178</v>
      </c>
      <c r="G32" s="222"/>
      <c r="H32" s="222"/>
    </row>
    <row r="33" spans="1:12" s="6" customFormat="1" x14ac:dyDescent="0.25">
      <c r="A33" s="221" t="s">
        <v>28</v>
      </c>
      <c r="B33" s="221" t="s">
        <v>30</v>
      </c>
      <c r="C33" s="222" t="s">
        <v>30</v>
      </c>
      <c r="D33" s="222"/>
      <c r="E33" s="222"/>
      <c r="F33" s="226" t="s">
        <v>177</v>
      </c>
      <c r="G33" s="227"/>
      <c r="H33" s="228"/>
    </row>
    <row r="34" spans="1:12" x14ac:dyDescent="0.25">
      <c r="A34" s="221" t="s">
        <v>27</v>
      </c>
      <c r="B34" s="221" t="s">
        <v>30</v>
      </c>
      <c r="C34" s="222" t="s">
        <v>30</v>
      </c>
      <c r="D34" s="222"/>
      <c r="E34" s="222"/>
      <c r="F34" s="222" t="s">
        <v>177</v>
      </c>
      <c r="G34" s="222"/>
      <c r="H34" s="222"/>
    </row>
    <row r="35" spans="1:12" x14ac:dyDescent="0.25">
      <c r="A35" s="94" t="s">
        <v>32</v>
      </c>
      <c r="B35" s="94"/>
      <c r="C35" s="94"/>
      <c r="D35" s="94"/>
      <c r="E35" s="94"/>
      <c r="F35" s="94"/>
      <c r="G35" s="94"/>
      <c r="H35" s="94"/>
    </row>
    <row r="36" spans="1:12" ht="15.75" customHeight="1" x14ac:dyDescent="0.25">
      <c r="A36" s="94" t="s">
        <v>207</v>
      </c>
      <c r="B36" s="94"/>
      <c r="C36" s="233" t="s">
        <v>208</v>
      </c>
      <c r="D36" s="234"/>
      <c r="E36" s="234"/>
      <c r="F36" s="234"/>
      <c r="G36" s="234"/>
      <c r="H36" s="235"/>
    </row>
    <row r="37" spans="1:12" ht="15.75" customHeight="1" x14ac:dyDescent="0.25">
      <c r="A37" s="94" t="s">
        <v>203</v>
      </c>
      <c r="B37" s="94"/>
      <c r="C37" s="230" t="s">
        <v>204</v>
      </c>
      <c r="D37" s="231"/>
      <c r="E37" s="231"/>
      <c r="F37" s="231"/>
      <c r="G37" s="231"/>
      <c r="H37" s="232"/>
    </row>
    <row r="38" spans="1:12" x14ac:dyDescent="0.25">
      <c r="A38" s="212" t="s">
        <v>35</v>
      </c>
      <c r="B38" s="212"/>
      <c r="C38" s="212"/>
      <c r="D38" s="212"/>
      <c r="E38" s="212"/>
      <c r="F38" s="212"/>
      <c r="G38" s="212"/>
      <c r="H38" s="212"/>
      <c r="K38" s="240">
        <v>0.43958333333333338</v>
      </c>
      <c r="L38" s="240">
        <v>0.78125</v>
      </c>
    </row>
    <row r="39" spans="1:12" x14ac:dyDescent="0.25">
      <c r="A39" s="94" t="s">
        <v>36</v>
      </c>
      <c r="B39" s="94"/>
      <c r="C39" s="94"/>
      <c r="D39" s="94"/>
      <c r="E39" s="224">
        <v>20038.34</v>
      </c>
      <c r="F39" s="224"/>
      <c r="G39" s="224"/>
      <c r="H39" s="224"/>
      <c r="K39" s="240">
        <f>L38-K38</f>
        <v>0.34166666666666662</v>
      </c>
    </row>
    <row r="40" spans="1:12" x14ac:dyDescent="0.25">
      <c r="A40" s="94" t="s">
        <v>37</v>
      </c>
      <c r="B40" s="94"/>
      <c r="C40" s="94"/>
      <c r="D40" s="94"/>
      <c r="E40" s="93">
        <v>1.2</v>
      </c>
      <c r="F40" s="93"/>
      <c r="G40" s="93"/>
      <c r="H40" s="93"/>
    </row>
    <row r="41" spans="1:12" x14ac:dyDescent="0.25">
      <c r="A41" s="94" t="s">
        <v>38</v>
      </c>
      <c r="B41" s="94"/>
      <c r="C41" s="94"/>
      <c r="D41" s="94"/>
      <c r="E41" s="93">
        <f>E43/E39-E40</f>
        <v>9.9808666664813472E-8</v>
      </c>
      <c r="F41" s="93"/>
      <c r="G41" s="93"/>
      <c r="H41" s="93"/>
    </row>
    <row r="42" spans="1:12" x14ac:dyDescent="0.25">
      <c r="A42" s="94" t="s">
        <v>39</v>
      </c>
      <c r="B42" s="94"/>
      <c r="C42" s="94"/>
      <c r="D42" s="94"/>
      <c r="E42" s="93">
        <f>E40+E41</f>
        <v>1.2000000998086666</v>
      </c>
      <c r="F42" s="93"/>
      <c r="G42" s="93"/>
      <c r="H42" s="93"/>
    </row>
    <row r="43" spans="1:12" x14ac:dyDescent="0.25">
      <c r="A43" s="94" t="s">
        <v>97</v>
      </c>
      <c r="B43" s="94"/>
      <c r="C43" s="94"/>
      <c r="D43" s="94"/>
      <c r="E43" s="211">
        <v>24046.01</v>
      </c>
      <c r="F43" s="211"/>
      <c r="G43" s="211"/>
      <c r="H43" s="211"/>
    </row>
    <row r="44" spans="1:12" x14ac:dyDescent="0.25">
      <c r="A44" s="142" t="s">
        <v>40</v>
      </c>
      <c r="B44" s="142"/>
      <c r="C44" s="142"/>
      <c r="D44" s="142"/>
      <c r="E44" s="122" t="s">
        <v>180</v>
      </c>
      <c r="F44" s="122"/>
      <c r="G44" s="122"/>
      <c r="H44" s="122"/>
    </row>
    <row r="45" spans="1:12" x14ac:dyDescent="0.25">
      <c r="A45" s="212" t="s">
        <v>41</v>
      </c>
      <c r="B45" s="212"/>
      <c r="C45" s="212"/>
      <c r="D45" s="212"/>
      <c r="E45" s="212"/>
      <c r="F45" s="212"/>
      <c r="G45" s="212"/>
      <c r="H45" s="212"/>
    </row>
    <row r="46" spans="1:12" ht="33.75" customHeight="1" x14ac:dyDescent="0.25">
      <c r="A46" s="186" t="s">
        <v>161</v>
      </c>
      <c r="B46" s="188"/>
      <c r="C46" s="236" t="s">
        <v>188</v>
      </c>
      <c r="D46" s="237"/>
      <c r="E46" s="237"/>
      <c r="F46" s="237"/>
      <c r="G46" s="237"/>
      <c r="H46" s="238"/>
    </row>
    <row r="47" spans="1:12" x14ac:dyDescent="0.25">
      <c r="A47" s="116" t="s">
        <v>42</v>
      </c>
      <c r="B47" s="116"/>
      <c r="C47" s="117" t="s">
        <v>181</v>
      </c>
      <c r="D47" s="117"/>
      <c r="E47" s="117"/>
      <c r="F47" s="45" t="s">
        <v>43</v>
      </c>
      <c r="G47" s="118">
        <v>43382</v>
      </c>
      <c r="H47" s="118"/>
    </row>
    <row r="48" spans="1:12" x14ac:dyDescent="0.25">
      <c r="A48" s="94" t="s">
        <v>44</v>
      </c>
      <c r="B48" s="94"/>
      <c r="C48" s="117" t="str">
        <f>C47</f>
        <v>RJP.BP/NSVP/313/2018</v>
      </c>
      <c r="D48" s="117"/>
      <c r="E48" s="117"/>
      <c r="F48" s="45" t="s">
        <v>43</v>
      </c>
      <c r="G48" s="118">
        <v>43382</v>
      </c>
      <c r="H48" s="118"/>
    </row>
    <row r="49" spans="1:14" s="5" customFormat="1" x14ac:dyDescent="0.25">
      <c r="A49" s="141" t="s">
        <v>45</v>
      </c>
      <c r="B49" s="141"/>
      <c r="C49" s="117" t="s">
        <v>182</v>
      </c>
      <c r="D49" s="122"/>
      <c r="E49" s="122"/>
      <c r="F49" s="46" t="s">
        <v>43</v>
      </c>
      <c r="G49" s="118">
        <v>43382</v>
      </c>
      <c r="H49" s="118"/>
    </row>
    <row r="50" spans="1:14" s="5" customFormat="1" ht="17.25" customHeight="1" x14ac:dyDescent="0.25">
      <c r="A50" s="141"/>
      <c r="B50" s="141"/>
      <c r="C50" s="150" t="s">
        <v>185</v>
      </c>
      <c r="D50" s="151"/>
      <c r="E50" s="151"/>
      <c r="F50" s="151"/>
      <c r="G50" s="151"/>
      <c r="H50" s="152"/>
    </row>
    <row r="51" spans="1:14" x14ac:dyDescent="0.25">
      <c r="A51" s="135" t="s">
        <v>46</v>
      </c>
      <c r="B51" s="135"/>
      <c r="C51" s="136" t="s">
        <v>114</v>
      </c>
      <c r="D51" s="137"/>
      <c r="E51" s="137" t="s">
        <v>47</v>
      </c>
      <c r="F51" s="47" t="s">
        <v>43</v>
      </c>
      <c r="G51" s="146" t="s">
        <v>30</v>
      </c>
      <c r="H51" s="146"/>
    </row>
    <row r="52" spans="1:14" x14ac:dyDescent="0.25">
      <c r="A52" s="138" t="s">
        <v>49</v>
      </c>
      <c r="B52" s="139"/>
      <c r="C52" s="139"/>
      <c r="D52" s="139"/>
      <c r="E52" s="139"/>
      <c r="F52" s="139"/>
      <c r="G52" s="139"/>
      <c r="H52" s="140"/>
    </row>
    <row r="53" spans="1:14" x14ac:dyDescent="0.25">
      <c r="A53" s="116" t="s">
        <v>96</v>
      </c>
      <c r="B53" s="116"/>
      <c r="C53" s="116"/>
      <c r="D53" s="119">
        <f>E43</f>
        <v>24046.01</v>
      </c>
      <c r="E53" s="120"/>
      <c r="F53" s="120"/>
      <c r="G53" s="120"/>
      <c r="H53" s="121"/>
    </row>
    <row r="54" spans="1:14" x14ac:dyDescent="0.25">
      <c r="A54" s="141" t="s">
        <v>50</v>
      </c>
      <c r="B54" s="142"/>
      <c r="C54" s="142"/>
      <c r="D54" s="143" t="s">
        <v>199</v>
      </c>
      <c r="E54" s="144"/>
      <c r="F54" s="144"/>
      <c r="G54" s="144"/>
      <c r="H54" s="145"/>
      <c r="I54" s="34"/>
    </row>
    <row r="55" spans="1:14" ht="46.5" customHeight="1" x14ac:dyDescent="0.25">
      <c r="A55" s="123" t="s">
        <v>51</v>
      </c>
      <c r="B55" s="124"/>
      <c r="C55" s="213"/>
      <c r="D55" s="150" t="s">
        <v>186</v>
      </c>
      <c r="E55" s="144"/>
      <c r="F55" s="144"/>
      <c r="G55" s="144"/>
      <c r="H55" s="145"/>
    </row>
    <row r="56" spans="1:14" ht="15.75" customHeight="1" x14ac:dyDescent="0.25">
      <c r="A56" s="123" t="s">
        <v>94</v>
      </c>
      <c r="B56" s="124"/>
      <c r="C56" s="124"/>
      <c r="D56" s="129" t="s">
        <v>183</v>
      </c>
      <c r="E56" s="130"/>
      <c r="F56" s="130"/>
      <c r="G56" s="130"/>
      <c r="H56" s="131"/>
    </row>
    <row r="57" spans="1:14" ht="15.75" customHeight="1" x14ac:dyDescent="0.25">
      <c r="A57" s="125"/>
      <c r="B57" s="126"/>
      <c r="C57" s="126"/>
      <c r="D57" s="132" t="s">
        <v>184</v>
      </c>
      <c r="E57" s="133"/>
      <c r="F57" s="133"/>
      <c r="G57" s="133"/>
      <c r="H57" s="134"/>
    </row>
    <row r="58" spans="1:14" ht="15.75" customHeight="1" x14ac:dyDescent="0.25">
      <c r="A58" s="127"/>
      <c r="B58" s="128"/>
      <c r="C58" s="128"/>
      <c r="D58" s="147" t="s">
        <v>187</v>
      </c>
      <c r="E58" s="148"/>
      <c r="F58" s="148"/>
      <c r="G58" s="148"/>
      <c r="H58" s="149"/>
    </row>
    <row r="59" spans="1:14" ht="15.75" customHeight="1" x14ac:dyDescent="0.25">
      <c r="A59" s="94" t="s">
        <v>48</v>
      </c>
      <c r="B59" s="94"/>
      <c r="C59" s="94"/>
      <c r="D59" s="150" t="s">
        <v>212</v>
      </c>
      <c r="E59" s="151"/>
      <c r="F59" s="151"/>
      <c r="G59" s="151"/>
      <c r="H59" s="152"/>
      <c r="J59" s="33"/>
      <c r="K59" s="34"/>
      <c r="N59" s="34"/>
    </row>
    <row r="60" spans="1:14" ht="15.75" customHeight="1" x14ac:dyDescent="0.25">
      <c r="A60" s="94" t="s">
        <v>92</v>
      </c>
      <c r="B60" s="94"/>
      <c r="C60" s="94"/>
      <c r="D60" s="208" t="str">
        <f>(IF(G51="NA","60 Years After Completion",IF(G51&lt;&gt;"NA",""&amp;60-ROUNDDOWN((E3-G51)/360,0)&amp;" Years"," ")))</f>
        <v>60 Years After Completion</v>
      </c>
      <c r="E60" s="209"/>
      <c r="F60" s="209"/>
      <c r="G60" s="209"/>
      <c r="H60" s="210"/>
      <c r="N60" s="34"/>
    </row>
    <row r="61" spans="1:14" ht="15.75" customHeight="1" x14ac:dyDescent="0.25">
      <c r="A61" s="94" t="s">
        <v>93</v>
      </c>
      <c r="B61" s="94"/>
      <c r="C61" s="94"/>
      <c r="D61" s="186" t="s">
        <v>24</v>
      </c>
      <c r="E61" s="187"/>
      <c r="F61" s="187"/>
      <c r="G61" s="187"/>
      <c r="H61" s="188"/>
      <c r="J61" s="12"/>
      <c r="K61" s="12"/>
    </row>
    <row r="62" spans="1:14" ht="15" hidden="1" customHeight="1" x14ac:dyDescent="0.25">
      <c r="A62" s="94" t="s">
        <v>80</v>
      </c>
      <c r="B62" s="94"/>
      <c r="C62" s="94"/>
      <c r="D62" s="181" t="s">
        <v>157</v>
      </c>
      <c r="E62" s="182"/>
      <c r="F62" s="182"/>
      <c r="G62" s="182"/>
      <c r="H62" s="183"/>
    </row>
    <row r="63" spans="1:14" x14ac:dyDescent="0.25">
      <c r="A63" s="116" t="s">
        <v>158</v>
      </c>
      <c r="B63" s="116"/>
      <c r="C63" s="116"/>
      <c r="D63" s="186" t="s">
        <v>30</v>
      </c>
      <c r="E63" s="187"/>
      <c r="F63" s="187"/>
      <c r="G63" s="187"/>
      <c r="H63" s="188"/>
      <c r="I63" s="41"/>
      <c r="J63" s="41"/>
      <c r="K63" s="41"/>
      <c r="L63" s="41"/>
      <c r="M63" s="41"/>
      <c r="N63" s="41"/>
    </row>
    <row r="64" spans="1:14" ht="15.75" customHeight="1" x14ac:dyDescent="0.25">
      <c r="A64" s="180" t="s">
        <v>91</v>
      </c>
      <c r="B64" s="180"/>
      <c r="C64" s="180"/>
      <c r="D64" s="181" t="str">
        <f ca="1">(IF(G70&gt;95%,"Nothing",IF(G70&gt;0%,"Cement, Aggregate, Steel, etc",IF(G70=0%,"Work not yet Started"))))</f>
        <v>Cement, Aggregate, Steel, etc</v>
      </c>
      <c r="E64" s="182"/>
      <c r="F64" s="182"/>
      <c r="G64" s="182"/>
      <c r="H64" s="183"/>
      <c r="J64" s="12"/>
    </row>
    <row r="65" spans="1:10" ht="33.75" customHeight="1" thickBot="1" x14ac:dyDescent="0.3">
      <c r="A65" s="194" t="s">
        <v>127</v>
      </c>
      <c r="B65" s="194"/>
      <c r="C65" s="194"/>
      <c r="D65" s="195" t="str">
        <f ca="1">(IF(D64="Nothing","Yes",IF(D64="Cement, Aggregate, Steel, etc","Under Construction",IF(D64="Work not yet Started","Work not yet Started"))))</f>
        <v>Under Construction</v>
      </c>
      <c r="E65" s="196"/>
      <c r="F65" s="196"/>
      <c r="G65" s="196"/>
      <c r="H65" s="197"/>
    </row>
    <row r="66" spans="1:10" ht="15.75" customHeight="1" x14ac:dyDescent="0.25">
      <c r="A66" s="105" t="s">
        <v>149</v>
      </c>
      <c r="B66" s="106"/>
      <c r="C66" s="107" t="str">
        <f>D56</f>
        <v>A Wing = Gr/St + 1st to 6th Floor</v>
      </c>
      <c r="D66" s="108"/>
      <c r="E66" s="108"/>
      <c r="F66" s="108"/>
      <c r="G66" s="108"/>
      <c r="H66" s="109"/>
      <c r="I66" s="36" t="str">
        <f ca="1">(IF(E70&gt;99%,"All work completed. Please provide OC.",IF(E70&gt;89.8%,"Plinth, RCC, Brick, Plaster, Flooring, Painting work Completed. Finishing work is in process.",IF(E70&lt;94%,(IF(C70=0,"Work not yet Started.",IF(D70=25%,"Piling work in process",IF(D70=50%,"Excavation work in process",IF(D70=100%,"Excavation work Completed. ","0")))&amp;(IF(C71=0%,"",IF(C71=J72,"Footing work is process",IF(C71=J73,"Footing work Completed",IF(C71=J74,"1st Basement Completed",IF(C71=J75,"1st &amp; 2nd Basement Completed",IF(C71=J76,"1st to 3rd Basement Completed",IF(C71=J77,"1st to 4th Basement Completed",IF(C71=J78,"Plinth work is process",IF(C71=J79,"Plinth work completed","0")))))))))))&amp;(IF(C72=(D67+F67+H67),", RCC Slab Completed",IF(C72&gt;0,", RCC upto "&amp;C72&amp;" Slab Completed",""))&amp;(IF(C73=H67,", Brickwork Completed",IF(C73&gt;0,", Brickwork upto "&amp;C73&amp;" Floor Completed",""))&amp;(IF(C74=H67,", Internal Plaster Completed",IF(C74&gt;0,", Internal Plaster upto "&amp;C74&amp;" Floor Completed",""))&amp;(IF(C75=H67,", External Plaster Completed",IF(C75&gt;0,", External Plaster upto "&amp;C75&amp;" Floor Completed",""))&amp;(IF(C76=H67,", Flooring Completed",IF(C76&gt;0,", Flooring upto "&amp;C76&amp;" Floor Completed",""))&amp;(IF(C77=H67,", Painting Completed",IF(C77&gt;0,", Painting upto "&amp;C77&amp;" Floor Completed",""))&amp;(IF(C78&gt;0,", Finishing upto "&amp;C78&amp;" Floor Completed","")&amp;(IF(C72&gt;0.5,".",""))))))))))))))</f>
        <v>Excavation work Completed. Plinth work completed, RCC Slab Completed, Brickwork Completed, Internal Plaster Completed, External Plaster Completed, Flooring upto 2 Floor Completed.</v>
      </c>
      <c r="J66" s="14"/>
    </row>
    <row r="67" spans="1:10" x14ac:dyDescent="0.25">
      <c r="A67" s="48" t="s">
        <v>151</v>
      </c>
      <c r="B67" s="49">
        <v>0</v>
      </c>
      <c r="C67" s="49" t="s">
        <v>77</v>
      </c>
      <c r="D67" s="49">
        <v>1</v>
      </c>
      <c r="E67" s="49" t="s">
        <v>76</v>
      </c>
      <c r="F67" s="49">
        <v>0</v>
      </c>
      <c r="G67" s="49" t="s">
        <v>85</v>
      </c>
      <c r="H67" s="50">
        <f ca="1">--TRIM(RIGHT(SUBSTITUTE(LEFT(C66,_xlfn.AGGREGATE(16,6,FIND({0,1,2,3,4,5,6,7,8,9},C66,ROW(INDIRECT("1:"&amp;LEN(C66)))),1))," ",REPT(" ",LEN(C66))),LEN(C66)))</f>
        <v>6</v>
      </c>
      <c r="I67" s="12"/>
      <c r="J67" s="15"/>
    </row>
    <row r="68" spans="1:10" ht="49.5" customHeight="1" x14ac:dyDescent="0.25">
      <c r="A68" s="185" t="s">
        <v>95</v>
      </c>
      <c r="B68" s="137"/>
      <c r="C68" s="189" t="str">
        <f ca="1">(IF($G$51="NA",I66,"All work Completed. OC Received."))</f>
        <v>Excavation work Completed. Plinth work completed, RCC Slab Completed, Brickwork Completed, Internal Plaster Completed, External Plaster Completed, Flooring upto 2 Floor Completed.</v>
      </c>
      <c r="D68" s="190"/>
      <c r="E68" s="190"/>
      <c r="F68" s="190"/>
      <c r="G68" s="190"/>
      <c r="H68" s="191"/>
      <c r="I68" s="12" t="s">
        <v>113</v>
      </c>
      <c r="J68" s="15"/>
    </row>
    <row r="69" spans="1:10" ht="15.75" customHeight="1" x14ac:dyDescent="0.25">
      <c r="A69" s="103" t="s">
        <v>52</v>
      </c>
      <c r="B69" s="104"/>
      <c r="C69" s="51" t="s">
        <v>148</v>
      </c>
      <c r="D69" s="51" t="s">
        <v>88</v>
      </c>
      <c r="E69" s="192" t="s">
        <v>90</v>
      </c>
      <c r="F69" s="193"/>
      <c r="G69" s="104" t="s">
        <v>89</v>
      </c>
      <c r="H69" s="184"/>
      <c r="I69" s="32" t="s">
        <v>150</v>
      </c>
      <c r="J69" s="16">
        <f ca="1">H67*25%</f>
        <v>1.5</v>
      </c>
    </row>
    <row r="70" spans="1:10" x14ac:dyDescent="0.25">
      <c r="A70" s="103" t="s">
        <v>137</v>
      </c>
      <c r="B70" s="104"/>
      <c r="C70" s="52">
        <v>6</v>
      </c>
      <c r="D70" s="43">
        <f ca="1">((100/H67)*C70)/100</f>
        <v>1</v>
      </c>
      <c r="E70" s="198">
        <f ca="1">(((C71/H67*10)+(40/(D67+F67+H67)*C72)+(7.5/(H67)*C73)+(7.5/(H67)*C74)+(10/H67*C75)+(10/H67*C76)+(5/H67*C77)+(5/H67*C78)+(5/H67*C79))/100)</f>
        <v>0.78333333333333333</v>
      </c>
      <c r="F70" s="199"/>
      <c r="G70" s="204">
        <f ca="1">((((C70/H67)*20)+((C71/H67)*25)+(30/(H67+F67+D67)*C72)+(5/H67*C73)+(5/H67*C74)+(5/H67*C75)+(5/H67*C76)+(0/H67*C77)+(0/H67*C78)+(5/H67*C79))/100)</f>
        <v>0.91666666666666674</v>
      </c>
      <c r="H70" s="205"/>
      <c r="I70" s="32" t="s">
        <v>108</v>
      </c>
      <c r="J70" s="35">
        <f ca="1">H67*50%</f>
        <v>3</v>
      </c>
    </row>
    <row r="71" spans="1:10" x14ac:dyDescent="0.25">
      <c r="A71" s="103" t="s">
        <v>53</v>
      </c>
      <c r="B71" s="104"/>
      <c r="C71" s="53">
        <v>6</v>
      </c>
      <c r="D71" s="43">
        <f ca="1">((100/H67)*C71)/100</f>
        <v>1</v>
      </c>
      <c r="E71" s="200"/>
      <c r="F71" s="201"/>
      <c r="G71" s="204"/>
      <c r="H71" s="205"/>
      <c r="I71" s="32" t="s">
        <v>109</v>
      </c>
      <c r="J71" s="35">
        <f ca="1">H67</f>
        <v>6</v>
      </c>
    </row>
    <row r="72" spans="1:10" ht="15.75" customHeight="1" x14ac:dyDescent="0.25">
      <c r="A72" s="103" t="s">
        <v>138</v>
      </c>
      <c r="B72" s="104"/>
      <c r="C72" s="53">
        <v>7</v>
      </c>
      <c r="D72" s="43">
        <f ca="1">((100/(D67+F67+H67))*C72)/100</f>
        <v>1</v>
      </c>
      <c r="E72" s="200"/>
      <c r="F72" s="201"/>
      <c r="G72" s="204"/>
      <c r="H72" s="205"/>
      <c r="I72" s="32" t="s">
        <v>110</v>
      </c>
      <c r="J72" s="38">
        <f ca="1">(IF(B67&gt;1,(H67/(B67+2)),H67/4))</f>
        <v>1.5</v>
      </c>
    </row>
    <row r="73" spans="1:10" ht="15.75" customHeight="1" x14ac:dyDescent="0.25">
      <c r="A73" s="103" t="s">
        <v>145</v>
      </c>
      <c r="B73" s="104" t="s">
        <v>139</v>
      </c>
      <c r="C73" s="52">
        <v>6</v>
      </c>
      <c r="D73" s="43">
        <f ca="1">((100/H67)*C73)/100</f>
        <v>1</v>
      </c>
      <c r="E73" s="200"/>
      <c r="F73" s="201"/>
      <c r="G73" s="204"/>
      <c r="H73" s="205"/>
      <c r="I73" s="32" t="s">
        <v>111</v>
      </c>
      <c r="J73" s="38">
        <f ca="1">(IF(B67&gt;1,(H67/(B67+2)+J72),H67/4+J72))</f>
        <v>3</v>
      </c>
    </row>
    <row r="74" spans="1:10" ht="15.75" customHeight="1" x14ac:dyDescent="0.25">
      <c r="A74" s="103" t="s">
        <v>146</v>
      </c>
      <c r="B74" s="104" t="s">
        <v>139</v>
      </c>
      <c r="C74" s="52">
        <v>6</v>
      </c>
      <c r="D74" s="43">
        <f ca="1">((100/H67)*C74)/100</f>
        <v>1</v>
      </c>
      <c r="E74" s="200"/>
      <c r="F74" s="201"/>
      <c r="G74" s="204"/>
      <c r="H74" s="205"/>
      <c r="I74" s="32" t="s">
        <v>155</v>
      </c>
      <c r="J74" s="38">
        <f>(IF(B67&gt;1,(H67/(B67+2)+J73),0))</f>
        <v>0</v>
      </c>
    </row>
    <row r="75" spans="1:10" ht="15" customHeight="1" x14ac:dyDescent="0.25">
      <c r="A75" s="103" t="s">
        <v>144</v>
      </c>
      <c r="B75" s="104" t="s">
        <v>141</v>
      </c>
      <c r="C75" s="52">
        <v>6</v>
      </c>
      <c r="D75" s="43">
        <f ca="1">((100/(H67))*C75)/100</f>
        <v>1</v>
      </c>
      <c r="E75" s="200"/>
      <c r="F75" s="201"/>
      <c r="G75" s="204"/>
      <c r="H75" s="205"/>
      <c r="I75" s="32" t="s">
        <v>152</v>
      </c>
      <c r="J75" s="38">
        <f>(IF(B67&gt;2,(H67/(B67+2)+J74),0))</f>
        <v>0</v>
      </c>
    </row>
    <row r="76" spans="1:10" ht="15.75" customHeight="1" x14ac:dyDescent="0.25">
      <c r="A76" s="103" t="s">
        <v>140</v>
      </c>
      <c r="B76" s="104" t="s">
        <v>140</v>
      </c>
      <c r="C76" s="52">
        <v>2</v>
      </c>
      <c r="D76" s="43">
        <f ca="1">((100/H67)*C76)/100</f>
        <v>0.33333333333333337</v>
      </c>
      <c r="E76" s="200"/>
      <c r="F76" s="201"/>
      <c r="G76" s="204"/>
      <c r="H76" s="205"/>
      <c r="I76" s="32" t="s">
        <v>153</v>
      </c>
      <c r="J76" s="39">
        <f>(IF(B67&gt;3,(H67/(B67+2)+J75),0))</f>
        <v>0</v>
      </c>
    </row>
    <row r="77" spans="1:10" ht="15.75" customHeight="1" x14ac:dyDescent="0.25">
      <c r="A77" s="103" t="s">
        <v>147</v>
      </c>
      <c r="B77" s="104"/>
      <c r="C77" s="52">
        <v>0</v>
      </c>
      <c r="D77" s="43">
        <f ca="1">((100/H67)*C77)/100</f>
        <v>0</v>
      </c>
      <c r="E77" s="200"/>
      <c r="F77" s="201"/>
      <c r="G77" s="204"/>
      <c r="H77" s="205"/>
      <c r="I77" s="32" t="s">
        <v>154</v>
      </c>
      <c r="J77" s="38">
        <f>(IF(B67&gt;4,(H67/(B67+2)+J76),0))</f>
        <v>0</v>
      </c>
    </row>
    <row r="78" spans="1:10" ht="15.75" customHeight="1" x14ac:dyDescent="0.25">
      <c r="A78" s="103" t="s">
        <v>142</v>
      </c>
      <c r="B78" s="104" t="s">
        <v>142</v>
      </c>
      <c r="C78" s="52">
        <v>0</v>
      </c>
      <c r="D78" s="43">
        <f ca="1">((100/(H67))*C78)/100</f>
        <v>0</v>
      </c>
      <c r="E78" s="200"/>
      <c r="F78" s="201"/>
      <c r="G78" s="204"/>
      <c r="H78" s="205"/>
      <c r="I78" s="32" t="s">
        <v>156</v>
      </c>
      <c r="J78" s="38">
        <f ca="1">(IF(B67=1,(H67/(B67+3)+J73),IF(B67=0,(H67/4+J73),IF(B67&gt;1,0))))</f>
        <v>4.5</v>
      </c>
    </row>
    <row r="79" spans="1:10" ht="16.5" thickBot="1" x14ac:dyDescent="0.3">
      <c r="A79" s="114" t="s">
        <v>143</v>
      </c>
      <c r="B79" s="115"/>
      <c r="C79" s="54">
        <v>0</v>
      </c>
      <c r="D79" s="44">
        <f ca="1">((100/(H67))*C79)/100</f>
        <v>0</v>
      </c>
      <c r="E79" s="202"/>
      <c r="F79" s="203"/>
      <c r="G79" s="206"/>
      <c r="H79" s="207"/>
      <c r="I79" s="37" t="s">
        <v>112</v>
      </c>
      <c r="J79" s="40">
        <f ca="1">(IF(B67&gt;1.5,(H67/(B67+2)+J73+MAX(0,J74-J73)+MAX(0,J75-J74)+MAX(0,J76-J75)+MAX(0,J77-J76)+MAX(0,J78-J77)),IF(B67=1,(H67/(B67+3)+J78),IF(B67=0,H67/4+J78))))</f>
        <v>6</v>
      </c>
    </row>
    <row r="80" spans="1:10" ht="15.75" customHeight="1" x14ac:dyDescent="0.25">
      <c r="A80" s="105" t="s">
        <v>149</v>
      </c>
      <c r="B80" s="106"/>
      <c r="C80" s="107" t="str">
        <f>D57</f>
        <v>B Wing = Gr/St + 1st to 6th Floor</v>
      </c>
      <c r="D80" s="108"/>
      <c r="E80" s="108"/>
      <c r="F80" s="108"/>
      <c r="G80" s="108"/>
      <c r="H80" s="109"/>
      <c r="I80" s="36" t="str">
        <f ca="1">(IF(E84&gt;99%,"All work completed. Please provide OC.",IF(E84&gt;89.8%,"Plinth, RCC, Brick, Plaster, Flooring, Painting work Completed. Finishing work is in process.",IF(E84&lt;94%,(IF(C84=0,"Work not yet Started.",IF(D84=25%,"Piling work in process",IF(D84=50%,"Excavation work in process",IF(D84=100%,"Excavation work Completed. ","0")))&amp;(IF(C85=0%,"",IF(C85=J86,"Footing work is process",IF(C85=J87,"Footing work Completed",IF(C85=J88,"1st Basement Completed",IF(C85=J89,"1st &amp; 2nd Basement Completed",IF(C85=J90,"1st to 3rd Basement Completed",IF(C85=J91,"1st to 4th Basement Completed",IF(C85=J92,"Plinth work is process",IF(C85=J93,"Plinth work completed","0")))))))))))&amp;(IF(C86=(D81+F81+H81),", RCC Slab Completed",IF(C86&gt;0,", RCC upto "&amp;C86&amp;" Slab Completed",""))&amp;(IF(C87=H81,", Brickwork Completed",IF(C87&gt;0,", Brickwork upto "&amp;C87&amp;" Floor Completed",""))&amp;(IF(C88=H81,", Internal Plaster Completed",IF(C88&gt;0,", Internal Plaster upto "&amp;C88&amp;" Floor Completed",""))&amp;(IF(C89=H81,", External Plaster Completed",IF(C89&gt;0,", External Plaster upto "&amp;C89&amp;" Floor Completed",""))&amp;(IF(C90=H81,", Flooring Completed",IF(C90&gt;0,", Flooring upto "&amp;C90&amp;" Floor Completed",""))&amp;(IF(C91=H81,", Painting Completed",IF(C91&gt;0,", Painting upto "&amp;C91&amp;" Floor Completed",""))&amp;(IF(C92&gt;0,", Finishing upto "&amp;C92&amp;" Floor Completed","")&amp;(IF(C86&gt;0.5,".",""))))))))))))))</f>
        <v>All work completed. Please provide OC.</v>
      </c>
      <c r="J80" s="14"/>
    </row>
    <row r="81" spans="1:10" x14ac:dyDescent="0.25">
      <c r="A81" s="48" t="s">
        <v>151</v>
      </c>
      <c r="B81" s="49">
        <v>0</v>
      </c>
      <c r="C81" s="49" t="s">
        <v>77</v>
      </c>
      <c r="D81" s="49">
        <v>1</v>
      </c>
      <c r="E81" s="49" t="s">
        <v>76</v>
      </c>
      <c r="F81" s="49">
        <v>0</v>
      </c>
      <c r="G81" s="49" t="s">
        <v>85</v>
      </c>
      <c r="H81" s="50">
        <f ca="1">--TRIM(RIGHT(SUBSTITUTE(LEFT(C80,_xlfn.AGGREGATE(16,6,FIND({0,1,2,3,4,5,6,7,8,9},C80,ROW(INDIRECT("1:"&amp;LEN(C80)))),1))," ",REPT(" ",LEN(C80))),LEN(C80)))</f>
        <v>6</v>
      </c>
      <c r="I81" s="12"/>
      <c r="J81" s="15"/>
    </row>
    <row r="82" spans="1:10" ht="16.5" customHeight="1" thickBot="1" x14ac:dyDescent="0.3">
      <c r="A82" s="185" t="s">
        <v>95</v>
      </c>
      <c r="B82" s="137"/>
      <c r="C82" s="189" t="str">
        <f ca="1">(IF($G$51="NA",I80,"All work Completed. OC Received."))</f>
        <v>All work completed. Please provide OC.</v>
      </c>
      <c r="D82" s="190"/>
      <c r="E82" s="190"/>
      <c r="F82" s="190"/>
      <c r="G82" s="190"/>
      <c r="H82" s="191"/>
      <c r="I82" s="12" t="s">
        <v>113</v>
      </c>
      <c r="J82" s="15"/>
    </row>
    <row r="83" spans="1:10" ht="15.75" hidden="1" customHeight="1" x14ac:dyDescent="0.25">
      <c r="A83" s="103" t="s">
        <v>52</v>
      </c>
      <c r="B83" s="104"/>
      <c r="C83" s="51" t="s">
        <v>148</v>
      </c>
      <c r="D83" s="51" t="s">
        <v>88</v>
      </c>
      <c r="E83" s="192" t="s">
        <v>90</v>
      </c>
      <c r="F83" s="193"/>
      <c r="G83" s="104" t="s">
        <v>89</v>
      </c>
      <c r="H83" s="184"/>
      <c r="I83" s="32" t="s">
        <v>150</v>
      </c>
      <c r="J83" s="16">
        <f ca="1">H81*25%</f>
        <v>1.5</v>
      </c>
    </row>
    <row r="84" spans="1:10" hidden="1" x14ac:dyDescent="0.25">
      <c r="A84" s="103" t="s">
        <v>137</v>
      </c>
      <c r="B84" s="104"/>
      <c r="C84" s="52">
        <f ca="1">J85</f>
        <v>6</v>
      </c>
      <c r="D84" s="43">
        <f ca="1">((100/H81)*C84)/100</f>
        <v>1</v>
      </c>
      <c r="E84" s="198">
        <f ca="1">(((C85/H81*10)+(40/(D81+F81+H81)*C86)+(7.5/(H81)*C87)+(7.5/(H81)*C88)+(10/H81*C89)+(10/H81*C90)+(5/H81*C91)+(5/H81*C92)+(5/H81*C93))/100)</f>
        <v>1</v>
      </c>
      <c r="F84" s="199"/>
      <c r="G84" s="204">
        <f ca="1">((((C84/H81)*20)+((C85/H81)*25)+(30/(H81+F81+D81)*C86)+(5/H81*C87)+(5/H81*C88)+(5/H81*C89)+(5/H81*C90)+(0/H81*C91)+(0/H81*C92)+(5/H81*C93))/100)</f>
        <v>1</v>
      </c>
      <c r="H84" s="205"/>
      <c r="I84" s="32" t="s">
        <v>108</v>
      </c>
      <c r="J84" s="35">
        <f ca="1">H81*50%</f>
        <v>3</v>
      </c>
    </row>
    <row r="85" spans="1:10" hidden="1" x14ac:dyDescent="0.25">
      <c r="A85" s="103" t="s">
        <v>53</v>
      </c>
      <c r="B85" s="104"/>
      <c r="C85" s="53">
        <f ca="1">J93</f>
        <v>6</v>
      </c>
      <c r="D85" s="43">
        <f ca="1">((100/H81)*C85)/100</f>
        <v>1</v>
      </c>
      <c r="E85" s="200"/>
      <c r="F85" s="201"/>
      <c r="G85" s="204"/>
      <c r="H85" s="205"/>
      <c r="I85" s="32" t="s">
        <v>109</v>
      </c>
      <c r="J85" s="35">
        <f ca="1">H81</f>
        <v>6</v>
      </c>
    </row>
    <row r="86" spans="1:10" ht="15.75" hidden="1" customHeight="1" x14ac:dyDescent="0.25">
      <c r="A86" s="103" t="s">
        <v>138</v>
      </c>
      <c r="B86" s="104"/>
      <c r="C86" s="53">
        <v>7</v>
      </c>
      <c r="D86" s="43">
        <f ca="1">((100/(D81+F81+H81))*C86)/100</f>
        <v>1</v>
      </c>
      <c r="E86" s="200"/>
      <c r="F86" s="201"/>
      <c r="G86" s="204"/>
      <c r="H86" s="205"/>
      <c r="I86" s="32" t="s">
        <v>110</v>
      </c>
      <c r="J86" s="38">
        <f ca="1">(IF(B81&gt;1,(H81/(B81+2)),H81/4))</f>
        <v>1.5</v>
      </c>
    </row>
    <row r="87" spans="1:10" ht="15.75" hidden="1" customHeight="1" x14ac:dyDescent="0.25">
      <c r="A87" s="103" t="s">
        <v>145</v>
      </c>
      <c r="B87" s="104" t="s">
        <v>139</v>
      </c>
      <c r="C87" s="52">
        <v>6</v>
      </c>
      <c r="D87" s="43">
        <f ca="1">((100/H81)*C87)/100</f>
        <v>1</v>
      </c>
      <c r="E87" s="200"/>
      <c r="F87" s="201"/>
      <c r="G87" s="204"/>
      <c r="H87" s="205"/>
      <c r="I87" s="32" t="s">
        <v>111</v>
      </c>
      <c r="J87" s="38">
        <f ca="1">(IF(B81&gt;1,(H81/(B81+2)+J86),H81/4+J86))</f>
        <v>3</v>
      </c>
    </row>
    <row r="88" spans="1:10" ht="15.75" hidden="1" customHeight="1" x14ac:dyDescent="0.25">
      <c r="A88" s="103" t="s">
        <v>146</v>
      </c>
      <c r="B88" s="104" t="s">
        <v>139</v>
      </c>
      <c r="C88" s="52">
        <v>6</v>
      </c>
      <c r="D88" s="43">
        <f ca="1">((100/H81)*C88)/100</f>
        <v>1</v>
      </c>
      <c r="E88" s="200"/>
      <c r="F88" s="201"/>
      <c r="G88" s="204"/>
      <c r="H88" s="205"/>
      <c r="I88" s="32" t="s">
        <v>155</v>
      </c>
      <c r="J88" s="38">
        <f>(IF(B81&gt;1,(H81/(B81+2)+J87),0))</f>
        <v>0</v>
      </c>
    </row>
    <row r="89" spans="1:10" ht="15" hidden="1" customHeight="1" x14ac:dyDescent="0.25">
      <c r="A89" s="103" t="s">
        <v>144</v>
      </c>
      <c r="B89" s="104" t="s">
        <v>141</v>
      </c>
      <c r="C89" s="52">
        <v>6</v>
      </c>
      <c r="D89" s="43">
        <f ca="1">((100/(H81))*C89)/100</f>
        <v>1</v>
      </c>
      <c r="E89" s="200"/>
      <c r="F89" s="201"/>
      <c r="G89" s="204"/>
      <c r="H89" s="205"/>
      <c r="I89" s="32" t="s">
        <v>152</v>
      </c>
      <c r="J89" s="38">
        <f>(IF(B81&gt;2,(H81/(B81+2)+J88),0))</f>
        <v>0</v>
      </c>
    </row>
    <row r="90" spans="1:10" ht="15.75" hidden="1" customHeight="1" x14ac:dyDescent="0.25">
      <c r="A90" s="103" t="s">
        <v>140</v>
      </c>
      <c r="B90" s="104" t="s">
        <v>140</v>
      </c>
      <c r="C90" s="52">
        <v>6</v>
      </c>
      <c r="D90" s="43">
        <f ca="1">((100/H81)*C90)/100</f>
        <v>1</v>
      </c>
      <c r="E90" s="200"/>
      <c r="F90" s="201"/>
      <c r="G90" s="204"/>
      <c r="H90" s="205"/>
      <c r="I90" s="32" t="s">
        <v>153</v>
      </c>
      <c r="J90" s="39">
        <f>(IF(B81&gt;3,(H81/(B81+2)+J89),0))</f>
        <v>0</v>
      </c>
    </row>
    <row r="91" spans="1:10" ht="15.75" hidden="1" customHeight="1" x14ac:dyDescent="0.25">
      <c r="A91" s="103" t="s">
        <v>147</v>
      </c>
      <c r="B91" s="104"/>
      <c r="C91" s="52">
        <v>6</v>
      </c>
      <c r="D91" s="43">
        <f ca="1">((100/H81)*C91)/100</f>
        <v>1</v>
      </c>
      <c r="E91" s="200"/>
      <c r="F91" s="201"/>
      <c r="G91" s="204"/>
      <c r="H91" s="205"/>
      <c r="I91" s="32" t="s">
        <v>154</v>
      </c>
      <c r="J91" s="38">
        <f>(IF(B81&gt;4,(H81/(B81+2)+J90),0))</f>
        <v>0</v>
      </c>
    </row>
    <row r="92" spans="1:10" ht="15.75" hidden="1" customHeight="1" x14ac:dyDescent="0.25">
      <c r="A92" s="103" t="s">
        <v>142</v>
      </c>
      <c r="B92" s="104" t="s">
        <v>142</v>
      </c>
      <c r="C92" s="52">
        <v>6</v>
      </c>
      <c r="D92" s="43">
        <f ca="1">((100/(H81))*C92)/100</f>
        <v>1</v>
      </c>
      <c r="E92" s="200"/>
      <c r="F92" s="201"/>
      <c r="G92" s="204"/>
      <c r="H92" s="205"/>
      <c r="I92" s="32" t="s">
        <v>156</v>
      </c>
      <c r="J92" s="38">
        <f ca="1">(IF(B81=1,(H81/(B81+3)+J87),IF(B81=0,(H81/4+J87),IF(B81&gt;1,0))))</f>
        <v>4.5</v>
      </c>
    </row>
    <row r="93" spans="1:10" ht="16.5" hidden="1" thickBot="1" x14ac:dyDescent="0.3">
      <c r="A93" s="114" t="s">
        <v>143</v>
      </c>
      <c r="B93" s="115"/>
      <c r="C93" s="54">
        <v>6</v>
      </c>
      <c r="D93" s="44">
        <f ca="1">((100/(H81))*C93)/100</f>
        <v>1</v>
      </c>
      <c r="E93" s="202"/>
      <c r="F93" s="203"/>
      <c r="G93" s="206"/>
      <c r="H93" s="207"/>
      <c r="I93" s="37" t="s">
        <v>112</v>
      </c>
      <c r="J93" s="40">
        <f ca="1">(IF(B81&gt;1.5,(H81/(B81+2)+J87+MAX(0,J88-J87)+MAX(0,J89-J88)+MAX(0,J90-J89)+MAX(0,J91-J90)+MAX(0,J92-J91)),IF(B81=1,(H81/(B81+3)+J92),IF(B81=0,H81/4+J92))))</f>
        <v>6</v>
      </c>
    </row>
    <row r="94" spans="1:10" ht="31.5" customHeight="1" thickBot="1" x14ac:dyDescent="0.3">
      <c r="A94" s="56" t="s">
        <v>90</v>
      </c>
      <c r="B94" s="57"/>
      <c r="C94" s="58">
        <f ca="1">E84</f>
        <v>1</v>
      </c>
      <c r="D94" s="59"/>
      <c r="E94" s="60" t="s">
        <v>89</v>
      </c>
      <c r="F94" s="59"/>
      <c r="G94" s="58">
        <f ca="1">G84</f>
        <v>1</v>
      </c>
      <c r="H94" s="59"/>
      <c r="I94" s="37" t="s">
        <v>112</v>
      </c>
      <c r="J94" s="40">
        <f ca="1">(IF(B82&gt;1.5,(H82/(B82+2)+J88+MAX(0,J89-J88)+MAX(0,J90-J89)+MAX(0,J91-J90)+MAX(0,J92-J91)+MAX(0,J93-J92)),IF(B82=1,(H82/(B82+3)+J93),IF(B82=0,H82/4+J93))))</f>
        <v>6</v>
      </c>
    </row>
    <row r="95" spans="1:10" ht="15.75" customHeight="1" x14ac:dyDescent="0.25">
      <c r="A95" s="105" t="s">
        <v>149</v>
      </c>
      <c r="B95" s="106"/>
      <c r="C95" s="107" t="str">
        <f>D58</f>
        <v>D Wing = Gr/St + 1st to 5th Floor</v>
      </c>
      <c r="D95" s="108"/>
      <c r="E95" s="108"/>
      <c r="F95" s="108"/>
      <c r="G95" s="108"/>
      <c r="H95" s="109"/>
      <c r="I95" s="36" t="str">
        <f ca="1">(IF(E99&gt;99%,"All work completed. Please provide OC.",IF(E99&gt;89.8%,"Plinth, RCC, Brick, Plaster, Flooring, Painting work Completed. Finishing work is in process.",IF(E99&lt;94%,(IF(C99=0,"Work not yet Started.",IF(D99=25%,"Piling work in process",IF(D99=50%,"Excavation work in process",IF(D99=100%,"Excavation work Completed. ","0")))&amp;(IF(C100=0%,"",IF(C100=J101,"Footing work is process",IF(C100=J102,"Footing work Completed",IF(C100=J103,"1st Basement Completed",IF(C100=J104,"1st &amp; 2nd Basement Completed",IF(C100=J105,"1st to 3rd Basement Completed",IF(C100=J106,"1st to 4th Basement Completed",IF(C100=J107,"Plinth work is process",IF(C100=J108,"Plinth work completed","0")))))))))))&amp;(IF(C101=(D96+F96+H96),", RCC Slab Completed",IF(C101&gt;0,", RCC upto "&amp;C101&amp;" Slab Completed",""))&amp;(IF(C102=H96,", Brickwork Completed",IF(C102&gt;0,", Brickwork upto "&amp;C102&amp;" Floor Completed",""))&amp;(IF(C103=H96,", Internal Plaster Completed",IF(C103&gt;0,", Internal Plaster upto "&amp;C103&amp;" Floor Completed",""))&amp;(IF(C104=H96,", External Plaster Completed",IF(C104&gt;0,", External Plaster upto "&amp;C104&amp;" Floor Completed",""))&amp;(IF(C105=H96,", Flooring Completed",IF(C105&gt;0,", Flooring upto "&amp;C105&amp;" Floor Completed",""))&amp;(IF(C106=H96,", Painting Completed",IF(C106&gt;0,", Painting upto "&amp;C106&amp;" Floor Completed",""))&amp;(IF(C107&gt;0,", Finishing upto "&amp;C107&amp;" Floor Completed","")&amp;(IF(C101&gt;0.5,".",""))))))))))))))</f>
        <v>Excavation work Completed. Plinth work completed, RCC upto 3 Slab Completed, Brickwork upto 1 Floor Completed.</v>
      </c>
      <c r="J95" s="14"/>
    </row>
    <row r="96" spans="1:10" x14ac:dyDescent="0.25">
      <c r="A96" s="48" t="s">
        <v>151</v>
      </c>
      <c r="B96" s="49">
        <v>0</v>
      </c>
      <c r="C96" s="49" t="s">
        <v>77</v>
      </c>
      <c r="D96" s="49">
        <v>1</v>
      </c>
      <c r="E96" s="49" t="s">
        <v>76</v>
      </c>
      <c r="F96" s="49">
        <v>0</v>
      </c>
      <c r="G96" s="49" t="s">
        <v>85</v>
      </c>
      <c r="H96" s="50">
        <f ca="1">--TRIM(RIGHT(SUBSTITUTE(LEFT(C95,_xlfn.AGGREGATE(16,6,FIND({0,1,2,3,4,5,6,7,8,9},C95,ROW(INDIRECT("1:"&amp;LEN(C95)))),1))," ",REPT(" ",LEN(C95))),LEN(C95)))</f>
        <v>5</v>
      </c>
      <c r="I96" s="12"/>
      <c r="J96" s="15"/>
    </row>
    <row r="97" spans="1:10" ht="32.25" customHeight="1" x14ac:dyDescent="0.25">
      <c r="A97" s="185" t="s">
        <v>95</v>
      </c>
      <c r="B97" s="137"/>
      <c r="C97" s="189" t="str">
        <f ca="1">(IF($G$51="NA",I95,"All work Completed. OC Received."))</f>
        <v>Excavation work Completed. Plinth work completed, RCC upto 3 Slab Completed, Brickwork upto 1 Floor Completed.</v>
      </c>
      <c r="D97" s="190"/>
      <c r="E97" s="190"/>
      <c r="F97" s="190"/>
      <c r="G97" s="190"/>
      <c r="H97" s="191"/>
      <c r="I97" s="12" t="s">
        <v>113</v>
      </c>
      <c r="J97" s="15"/>
    </row>
    <row r="98" spans="1:10" ht="15.75" customHeight="1" x14ac:dyDescent="0.25">
      <c r="A98" s="103" t="s">
        <v>52</v>
      </c>
      <c r="B98" s="104"/>
      <c r="C98" s="51" t="s">
        <v>148</v>
      </c>
      <c r="D98" s="51" t="s">
        <v>88</v>
      </c>
      <c r="E98" s="192" t="s">
        <v>90</v>
      </c>
      <c r="F98" s="193"/>
      <c r="G98" s="104" t="s">
        <v>89</v>
      </c>
      <c r="H98" s="184"/>
      <c r="I98" s="32" t="s">
        <v>150</v>
      </c>
      <c r="J98" s="16">
        <f ca="1">H96*25%</f>
        <v>1.25</v>
      </c>
    </row>
    <row r="99" spans="1:10" x14ac:dyDescent="0.25">
      <c r="A99" s="103" t="s">
        <v>137</v>
      </c>
      <c r="B99" s="104"/>
      <c r="C99" s="52">
        <f ca="1">J100</f>
        <v>5</v>
      </c>
      <c r="D99" s="43">
        <f ca="1">((100/H96)*C99)/100</f>
        <v>1</v>
      </c>
      <c r="E99" s="198">
        <f ca="1">(((C100/H96*10)+(40/(D96+F96+H96)*C101)+(7.5/(H96)*C102)+(7.5/(H96)*C103)+(10/H96*C104)+(10/H96*C105)+(5/H96*C106)+(5/H96*C107)+(5/H96*C108))/100)</f>
        <v>0.315</v>
      </c>
      <c r="F99" s="199"/>
      <c r="G99" s="204">
        <f ca="1">((((C99/H96)*20)+((C100/H96)*25)+(30/(H96+F96+D96)*C101)+(5/H96*C102)+(5/H96*C103)+(5/H96*C104)+(5/H96*C105)+(0/H96*C106)+(0/H96*C107)+(5/H96*C108))/100)</f>
        <v>0.61</v>
      </c>
      <c r="H99" s="205"/>
      <c r="I99" s="32" t="s">
        <v>108</v>
      </c>
      <c r="J99" s="35">
        <f ca="1">H96*50%</f>
        <v>2.5</v>
      </c>
    </row>
    <row r="100" spans="1:10" x14ac:dyDescent="0.25">
      <c r="A100" s="103" t="s">
        <v>53</v>
      </c>
      <c r="B100" s="104"/>
      <c r="C100" s="53">
        <f ca="1">J108</f>
        <v>5</v>
      </c>
      <c r="D100" s="43">
        <f ca="1">((100/H96)*C100)/100</f>
        <v>1</v>
      </c>
      <c r="E100" s="200"/>
      <c r="F100" s="201"/>
      <c r="G100" s="204"/>
      <c r="H100" s="205"/>
      <c r="I100" s="32" t="s">
        <v>109</v>
      </c>
      <c r="J100" s="35">
        <f ca="1">H96</f>
        <v>5</v>
      </c>
    </row>
    <row r="101" spans="1:10" ht="15.75" customHeight="1" x14ac:dyDescent="0.25">
      <c r="A101" s="103" t="s">
        <v>138</v>
      </c>
      <c r="B101" s="104"/>
      <c r="C101" s="53">
        <v>3</v>
      </c>
      <c r="D101" s="43">
        <f ca="1">((100/(D96+F96+H96))*C101)/100</f>
        <v>0.5</v>
      </c>
      <c r="E101" s="200"/>
      <c r="F101" s="201"/>
      <c r="G101" s="204"/>
      <c r="H101" s="205"/>
      <c r="I101" s="32" t="s">
        <v>110</v>
      </c>
      <c r="J101" s="38">
        <f ca="1">(IF(B96&gt;1,(H96/(B96+2)),H96/4))</f>
        <v>1.25</v>
      </c>
    </row>
    <row r="102" spans="1:10" ht="15.75" customHeight="1" x14ac:dyDescent="0.25">
      <c r="A102" s="103" t="s">
        <v>145</v>
      </c>
      <c r="B102" s="104" t="s">
        <v>139</v>
      </c>
      <c r="C102" s="52">
        <v>1</v>
      </c>
      <c r="D102" s="43">
        <f ca="1">((100/H96)*C102)/100</f>
        <v>0.2</v>
      </c>
      <c r="E102" s="200"/>
      <c r="F102" s="201"/>
      <c r="G102" s="204"/>
      <c r="H102" s="205"/>
      <c r="I102" s="32" t="s">
        <v>111</v>
      </c>
      <c r="J102" s="38">
        <f ca="1">(IF(B96&gt;1,(H96/(B96+2)+J101),H96/4+J101))</f>
        <v>2.5</v>
      </c>
    </row>
    <row r="103" spans="1:10" ht="15.75" customHeight="1" x14ac:dyDescent="0.25">
      <c r="A103" s="103" t="s">
        <v>146</v>
      </c>
      <c r="B103" s="104" t="s">
        <v>139</v>
      </c>
      <c r="C103" s="52">
        <v>0</v>
      </c>
      <c r="D103" s="43">
        <f ca="1">((100/H96)*C103)/100</f>
        <v>0</v>
      </c>
      <c r="E103" s="200"/>
      <c r="F103" s="201"/>
      <c r="G103" s="204"/>
      <c r="H103" s="205"/>
      <c r="I103" s="32" t="s">
        <v>155</v>
      </c>
      <c r="J103" s="38">
        <f>(IF(B96&gt;1,(H96/(B96+2)+J102),0))</f>
        <v>0</v>
      </c>
    </row>
    <row r="104" spans="1:10" ht="15" customHeight="1" x14ac:dyDescent="0.25">
      <c r="A104" s="103" t="s">
        <v>144</v>
      </c>
      <c r="B104" s="104" t="s">
        <v>141</v>
      </c>
      <c r="C104" s="52">
        <v>0</v>
      </c>
      <c r="D104" s="43">
        <f ca="1">((100/(H96))*C104)/100</f>
        <v>0</v>
      </c>
      <c r="E104" s="200"/>
      <c r="F104" s="201"/>
      <c r="G104" s="204"/>
      <c r="H104" s="205"/>
      <c r="I104" s="32" t="s">
        <v>152</v>
      </c>
      <c r="J104" s="38">
        <f>(IF(B96&gt;2,(H96/(B96+2)+J103),0))</f>
        <v>0</v>
      </c>
    </row>
    <row r="105" spans="1:10" ht="15.75" customHeight="1" x14ac:dyDescent="0.25">
      <c r="A105" s="103" t="s">
        <v>140</v>
      </c>
      <c r="B105" s="104" t="s">
        <v>140</v>
      </c>
      <c r="C105" s="52">
        <v>0</v>
      </c>
      <c r="D105" s="43">
        <f ca="1">((100/H96)*C105)/100</f>
        <v>0</v>
      </c>
      <c r="E105" s="200"/>
      <c r="F105" s="201"/>
      <c r="G105" s="204"/>
      <c r="H105" s="205"/>
      <c r="I105" s="32" t="s">
        <v>153</v>
      </c>
      <c r="J105" s="39">
        <f>(IF(B96&gt;3,(H96/(B96+2)+J104),0))</f>
        <v>0</v>
      </c>
    </row>
    <row r="106" spans="1:10" ht="15.75" customHeight="1" x14ac:dyDescent="0.25">
      <c r="A106" s="103" t="s">
        <v>147</v>
      </c>
      <c r="B106" s="104"/>
      <c r="C106" s="52">
        <v>0</v>
      </c>
      <c r="D106" s="43">
        <f ca="1">((100/H96)*C106)/100</f>
        <v>0</v>
      </c>
      <c r="E106" s="200"/>
      <c r="F106" s="201"/>
      <c r="G106" s="204"/>
      <c r="H106" s="205"/>
      <c r="I106" s="32" t="s">
        <v>154</v>
      </c>
      <c r="J106" s="38">
        <f>(IF(B96&gt;4,(H96/(B96+2)+J105),0))</f>
        <v>0</v>
      </c>
    </row>
    <row r="107" spans="1:10" ht="15.75" customHeight="1" x14ac:dyDescent="0.25">
      <c r="A107" s="103" t="s">
        <v>142</v>
      </c>
      <c r="B107" s="104" t="s">
        <v>142</v>
      </c>
      <c r="C107" s="52">
        <v>0</v>
      </c>
      <c r="D107" s="43">
        <f ca="1">((100/(H96))*C107)/100</f>
        <v>0</v>
      </c>
      <c r="E107" s="200"/>
      <c r="F107" s="201"/>
      <c r="G107" s="204"/>
      <c r="H107" s="205"/>
      <c r="I107" s="32" t="s">
        <v>156</v>
      </c>
      <c r="J107" s="38">
        <f ca="1">(IF(B96=1,(H96/(B96+3)+J102),IF(B96=0,(H96/4+J102),IF(B96&gt;1,0))))</f>
        <v>3.75</v>
      </c>
    </row>
    <row r="108" spans="1:10" ht="16.5" thickBot="1" x14ac:dyDescent="0.3">
      <c r="A108" s="114" t="s">
        <v>143</v>
      </c>
      <c r="B108" s="115"/>
      <c r="C108" s="54">
        <v>0</v>
      </c>
      <c r="D108" s="44">
        <f ca="1">((100/(H96))*C108)/100</f>
        <v>0</v>
      </c>
      <c r="E108" s="202"/>
      <c r="F108" s="203"/>
      <c r="G108" s="206"/>
      <c r="H108" s="207"/>
      <c r="I108" s="37" t="s">
        <v>112</v>
      </c>
      <c r="J108" s="40">
        <f ca="1">(IF(B96&gt;1.5,(H96/(B96+2)+J102+MAX(0,J103-J102)+MAX(0,J104-J103)+MAX(0,J105-J104)+MAX(0,J106-J105)+MAX(0,J107-J106)),IF(B96=1,(H96/(B96+3)+J107),IF(B96=0,H96/4+J107))))</f>
        <v>5</v>
      </c>
    </row>
    <row r="109" spans="1:10" x14ac:dyDescent="0.25">
      <c r="A109" s="111" t="s">
        <v>54</v>
      </c>
      <c r="B109" s="112"/>
      <c r="C109" s="112"/>
      <c r="D109" s="112"/>
      <c r="E109" s="112"/>
      <c r="F109" s="112"/>
      <c r="G109" s="112"/>
      <c r="H109" s="113"/>
    </row>
    <row r="110" spans="1:10" x14ac:dyDescent="0.25">
      <c r="A110" s="157" t="s">
        <v>164</v>
      </c>
      <c r="B110" s="157"/>
      <c r="C110" s="157"/>
      <c r="D110" s="157"/>
      <c r="E110" s="157"/>
      <c r="F110" s="110">
        <v>3850</v>
      </c>
      <c r="G110" s="110"/>
      <c r="H110" s="110"/>
    </row>
    <row r="111" spans="1:10" s="7" customFormat="1" hidden="1" x14ac:dyDescent="0.25">
      <c r="A111" s="157" t="s">
        <v>100</v>
      </c>
      <c r="B111" s="157"/>
      <c r="C111" s="157"/>
      <c r="D111" s="157"/>
      <c r="E111" s="157"/>
      <c r="F111" s="110"/>
      <c r="G111" s="110"/>
      <c r="H111" s="110"/>
    </row>
    <row r="112" spans="1:10" s="7" customFormat="1" hidden="1" x14ac:dyDescent="0.25">
      <c r="A112" s="157" t="s">
        <v>101</v>
      </c>
      <c r="B112" s="157"/>
      <c r="C112" s="157"/>
      <c r="D112" s="157"/>
      <c r="E112" s="157"/>
      <c r="F112" s="110"/>
      <c r="G112" s="110"/>
      <c r="H112" s="110"/>
    </row>
    <row r="113" spans="1:8" s="7" customFormat="1" hidden="1" x14ac:dyDescent="0.25">
      <c r="A113" s="157" t="s">
        <v>102</v>
      </c>
      <c r="B113" s="157"/>
      <c r="C113" s="157"/>
      <c r="D113" s="157"/>
      <c r="E113" s="157"/>
      <c r="F113" s="110"/>
      <c r="G113" s="110"/>
      <c r="H113" s="110"/>
    </row>
    <row r="114" spans="1:8" s="7" customFormat="1" hidden="1" x14ac:dyDescent="0.25">
      <c r="A114" s="157" t="s">
        <v>103</v>
      </c>
      <c r="B114" s="157"/>
      <c r="C114" s="157"/>
      <c r="D114" s="157"/>
      <c r="E114" s="157"/>
      <c r="F114" s="110"/>
      <c r="G114" s="110"/>
      <c r="H114" s="110"/>
    </row>
    <row r="115" spans="1:8" s="7" customFormat="1" hidden="1" x14ac:dyDescent="0.25">
      <c r="A115" s="157" t="s">
        <v>104</v>
      </c>
      <c r="B115" s="157"/>
      <c r="C115" s="157"/>
      <c r="D115" s="157"/>
      <c r="E115" s="157"/>
      <c r="F115" s="110"/>
      <c r="G115" s="110"/>
      <c r="H115" s="110"/>
    </row>
    <row r="116" spans="1:8" s="7" customFormat="1" hidden="1" x14ac:dyDescent="0.25">
      <c r="A116" s="157" t="s">
        <v>105</v>
      </c>
      <c r="B116" s="157"/>
      <c r="C116" s="157"/>
      <c r="D116" s="157"/>
      <c r="E116" s="157"/>
      <c r="F116" s="110"/>
      <c r="G116" s="110"/>
      <c r="H116" s="110"/>
    </row>
    <row r="117" spans="1:8" s="7" customFormat="1" hidden="1" x14ac:dyDescent="0.25">
      <c r="A117" s="157" t="s">
        <v>106</v>
      </c>
      <c r="B117" s="157"/>
      <c r="C117" s="157"/>
      <c r="D117" s="157"/>
      <c r="E117" s="157"/>
      <c r="F117" s="110"/>
      <c r="G117" s="110"/>
      <c r="H117" s="110"/>
    </row>
    <row r="118" spans="1:8" s="7" customFormat="1" hidden="1" x14ac:dyDescent="0.25">
      <c r="A118" s="157" t="s">
        <v>107</v>
      </c>
      <c r="B118" s="157"/>
      <c r="C118" s="157"/>
      <c r="D118" s="157"/>
      <c r="E118" s="157"/>
      <c r="F118" s="110"/>
      <c r="G118" s="110"/>
      <c r="H118" s="110"/>
    </row>
    <row r="119" spans="1:8" x14ac:dyDescent="0.25">
      <c r="A119" s="157" t="s">
        <v>55</v>
      </c>
      <c r="B119" s="157"/>
      <c r="C119" s="157"/>
      <c r="D119" s="157"/>
      <c r="E119" s="157"/>
      <c r="F119" s="110">
        <v>100000</v>
      </c>
      <c r="G119" s="110"/>
      <c r="H119" s="110"/>
    </row>
    <row r="120" spans="1:8" s="4" customFormat="1" x14ac:dyDescent="0.25">
      <c r="A120" s="170" t="s">
        <v>56</v>
      </c>
      <c r="B120" s="170"/>
      <c r="C120" s="170"/>
      <c r="D120" s="170"/>
      <c r="E120" s="170"/>
      <c r="F120" s="110">
        <f>F110*0.8</f>
        <v>3080</v>
      </c>
      <c r="G120" s="110"/>
      <c r="H120" s="110"/>
    </row>
    <row r="121" spans="1:8" s="1" customFormat="1" ht="15.75" customHeight="1" x14ac:dyDescent="0.25">
      <c r="A121" s="171" t="s">
        <v>75</v>
      </c>
      <c r="B121" s="172"/>
      <c r="C121" s="172"/>
      <c r="D121" s="172"/>
      <c r="E121" s="172"/>
      <c r="F121" s="172"/>
      <c r="G121" s="172"/>
      <c r="H121" s="173"/>
    </row>
    <row r="122" spans="1:8" s="1" customFormat="1" ht="15.75" customHeight="1" x14ac:dyDescent="0.25">
      <c r="A122" s="91" t="s">
        <v>57</v>
      </c>
      <c r="B122" s="91"/>
      <c r="C122" s="90" t="s">
        <v>83</v>
      </c>
      <c r="D122" s="90"/>
      <c r="E122" s="156" t="s">
        <v>58</v>
      </c>
      <c r="F122" s="73"/>
      <c r="G122" s="91" t="s">
        <v>59</v>
      </c>
      <c r="H122" s="91"/>
    </row>
    <row r="123" spans="1:8" s="1" customFormat="1" x14ac:dyDescent="0.25">
      <c r="A123" s="88" t="s">
        <v>191</v>
      </c>
      <c r="B123" s="88"/>
      <c r="C123" s="89">
        <f>COUNT(D134:D147)*3+COUNT(D149:D162)*3</f>
        <v>84</v>
      </c>
      <c r="D123" s="89"/>
      <c r="E123" s="86">
        <f>SUM(D134:D147)*3+SUM(D149:D162)*3</f>
        <v>31027.44528</v>
      </c>
      <c r="F123" s="87"/>
      <c r="G123" s="86">
        <f>SUM(F134:F147)*3+SUM(F149:F162)*3</f>
        <v>46541.167919999993</v>
      </c>
      <c r="H123" s="87"/>
    </row>
    <row r="124" spans="1:8" s="1" customFormat="1" x14ac:dyDescent="0.25">
      <c r="A124" s="88" t="s">
        <v>192</v>
      </c>
      <c r="B124" s="88"/>
      <c r="C124" s="89">
        <f>COUNT(D165:D178)*3+COUNT(D180:D193)*3</f>
        <v>84</v>
      </c>
      <c r="D124" s="89"/>
      <c r="E124" s="86">
        <f>SUM(D165:D178)*3+SUM(D180:D193)*3</f>
        <v>31027.44528</v>
      </c>
      <c r="F124" s="87"/>
      <c r="G124" s="86">
        <f>SUM(F165:F178)*3+SUM(F180:F193)*3</f>
        <v>46541.167919999993</v>
      </c>
      <c r="H124" s="87"/>
    </row>
    <row r="125" spans="1:8" s="1" customFormat="1" x14ac:dyDescent="0.25">
      <c r="A125" s="88" t="s">
        <v>193</v>
      </c>
      <c r="B125" s="88"/>
      <c r="C125" s="89">
        <f>COUNT(D196:D207)*2+COUNT(D209:D220)*2</f>
        <v>48</v>
      </c>
      <c r="D125" s="89"/>
      <c r="E125" s="86">
        <f>SUM(D196:D207)*2+SUM(D209:D220)*2</f>
        <v>16977.626640000002</v>
      </c>
      <c r="F125" s="87"/>
      <c r="G125" s="86">
        <f>SUM(F196:F207)*2+SUM(F209:F220)*2</f>
        <v>25466.43996</v>
      </c>
      <c r="H125" s="87"/>
    </row>
    <row r="126" spans="1:8" s="1" customFormat="1" x14ac:dyDescent="0.25">
      <c r="A126" s="92" t="s">
        <v>160</v>
      </c>
      <c r="B126" s="92"/>
      <c r="C126" s="90">
        <f>SUM(C123:D125)</f>
        <v>216</v>
      </c>
      <c r="D126" s="90"/>
      <c r="E126" s="72">
        <f>SUM(E123:F125)</f>
        <v>79032.517200000002</v>
      </c>
      <c r="F126" s="73"/>
      <c r="G126" s="72">
        <f>SUM(G123:H125)</f>
        <v>118548.77579999999</v>
      </c>
      <c r="H126" s="73"/>
    </row>
    <row r="127" spans="1:8" s="4" customFormat="1" x14ac:dyDescent="0.25">
      <c r="A127" s="69" t="s">
        <v>60</v>
      </c>
      <c r="B127" s="70"/>
      <c r="C127" s="70"/>
      <c r="D127" s="70"/>
      <c r="E127" s="70"/>
      <c r="F127" s="70"/>
      <c r="G127" s="70"/>
      <c r="H127" s="71"/>
    </row>
    <row r="128" spans="1:8" x14ac:dyDescent="0.25">
      <c r="A128" s="69" t="s">
        <v>61</v>
      </c>
      <c r="B128" s="70"/>
      <c r="C128" s="70"/>
      <c r="D128" s="70"/>
      <c r="E128" s="70"/>
      <c r="F128" s="70"/>
      <c r="G128" s="70"/>
      <c r="H128" s="71"/>
    </row>
    <row r="129" spans="1:9" ht="47.25" customHeight="1" x14ac:dyDescent="0.25">
      <c r="A129" s="99" t="s">
        <v>128</v>
      </c>
      <c r="B129" s="99" t="s">
        <v>129</v>
      </c>
      <c r="C129" s="95" t="s">
        <v>62</v>
      </c>
      <c r="D129" s="95" t="s">
        <v>63</v>
      </c>
      <c r="E129" s="97" t="s">
        <v>64</v>
      </c>
      <c r="F129" s="31" t="s">
        <v>159</v>
      </c>
      <c r="G129" s="99" t="s">
        <v>65</v>
      </c>
      <c r="H129" s="100"/>
      <c r="I129" s="30"/>
    </row>
    <row r="130" spans="1:9" s="2" customFormat="1" x14ac:dyDescent="0.25">
      <c r="A130" s="101"/>
      <c r="B130" s="101"/>
      <c r="C130" s="96"/>
      <c r="D130" s="96"/>
      <c r="E130" s="98"/>
      <c r="F130" s="29">
        <v>0.5</v>
      </c>
      <c r="G130" s="101"/>
      <c r="H130" s="102"/>
      <c r="I130" s="30"/>
    </row>
    <row r="131" spans="1:9" s="4" customFormat="1" x14ac:dyDescent="0.25">
      <c r="A131" s="69" t="s">
        <v>191</v>
      </c>
      <c r="B131" s="70"/>
      <c r="C131" s="70"/>
      <c r="D131" s="70"/>
      <c r="E131" s="70"/>
      <c r="F131" s="70"/>
      <c r="G131" s="70"/>
      <c r="H131" s="71"/>
    </row>
    <row r="132" spans="1:9" s="4" customFormat="1" x14ac:dyDescent="0.25">
      <c r="A132" s="69" t="s">
        <v>195</v>
      </c>
      <c r="B132" s="70"/>
      <c r="C132" s="70"/>
      <c r="D132" s="70"/>
      <c r="E132" s="70"/>
      <c r="F132" s="70"/>
      <c r="G132" s="70"/>
      <c r="H132" s="71"/>
    </row>
    <row r="133" spans="1:9" s="2" customFormat="1" ht="15.75" customHeight="1" x14ac:dyDescent="0.25">
      <c r="A133" s="66" t="s">
        <v>189</v>
      </c>
      <c r="B133" s="67"/>
      <c r="C133" s="67"/>
      <c r="D133" s="67"/>
      <c r="E133" s="67"/>
      <c r="F133" s="67"/>
      <c r="G133" s="67"/>
      <c r="H133" s="68"/>
      <c r="I133" s="30"/>
    </row>
    <row r="134" spans="1:9" s="2" customFormat="1" x14ac:dyDescent="0.25">
      <c r="A134" s="64" t="str">
        <f ca="1">(SUMPRODUCT(MID(0&amp;(LEFT(A133,SUM(LEN(A133)-LEN(SUBSTITUTE(A133,{"0","1","2"},""))))), LARGE(INDEX(ISNUMBER(--MID((LEFT(A133,SUM(LEN(A133)-LEN(SUBSTITUTE(A133,{"0","1","2"},""))))), ROW(INDIRECT("1:"&amp;LEN((LEFT(A133,SUM(LEN(A133)-LEN(SUBSTITUTE(A133,{"0","1","2"},"")))))))), 1)) * ROW(INDIRECT("1:"&amp;LEN((LEFT(A133,SUM(LEN(A133)-LEN(SUBSTITUTE(A133,{"0","1","2"},"")))))))), 0), ROW(INDIRECT("1:"&amp;LEN((LEFT(A133,SUM(LEN(A133)-LEN(SUBSTITUTE(A133,{"0","1","2"},"")))))))))+1, 1) * 10^ROW(INDIRECT("1:"&amp;LEN((LEFT(A133,SUM(LEN(A133)-LEN(SUBSTITUTE(A133,{"0","1","2"},""))))))))/10))*100+1&amp;""&amp;" ,.., "&amp;""&amp;(SUMPRODUCT(MID(0&amp;(--TRIM(RIGHT(SUBSTITUTE(LEFT(A133,_xlfn.AGGREGATE(16,6,FIND({0,1,2,3,4,5,6,7,8,9},A133,ROW(INDIRECT("1:"&amp;LEN(A133)))),1))," ",REPT(" ",LEN(A133))),LEN(A133)))), LARGE(INDEX(ISNUMBER(--MID((--TRIM(RIGHT(SUBSTITUTE(LEFT(A133,_xlfn.AGGREGATE(16,6,FIND({0,1,2,3,4,5,6,7,8,9},A133,ROW(INDIRECT("1:"&amp;LEN(A133)))),1))," ",REPT(" ",LEN(A133))),LEN(A133)))), ROW(INDIRECT("1:"&amp;LEN((--TRIM(RIGHT(SUBSTITUTE(LEFT(A133,_xlfn.AGGREGATE(16,6,FIND({0,1,2,3,4,5,6,7,8,9},A133,ROW(INDIRECT("1:"&amp;LEN(A133)))),1))," ",REPT(" ",LEN(A133))),LEN(A133))))))), 1)) * ROW(INDIRECT("1:"&amp;LEN((--TRIM(RIGHT(SUBSTITUTE(LEFT(A133,_xlfn.AGGREGATE(16,6,FIND({0,1,2,3,4,5,6,7,8,9},A133,ROW(INDIRECT("1:"&amp;LEN(A133)))),1))," ",REPT(" ",LEN(A133))),LEN(A133))))))), 0), ROW(INDIRECT("1:"&amp;LEN((--TRIM(RIGHT(SUBSTITUTE(LEFT(A133,_xlfn.AGGREGATE(16,6,FIND({0,1,2,3,4,5,6,7,8,9},A133,ROW(INDIRECT("1:"&amp;LEN(A133)))),1))," ",REPT(" ",LEN(A133))),LEN(A133))))))))+1, 1) * 10^ROW(INDIRECT("1:"&amp;LEN((--TRIM(RIGHT(SUBSTITUTE(LEFT(A133,_xlfn.AGGREGATE(16,6,FIND({0,1,2,3,4,5,6,7,8,9},A133,ROW(INDIRECT("1:"&amp;LEN(A133)))),1))," ",REPT(" ",LEN(A133))),LEN(A133)))))))/10))*100+1</f>
        <v>101 ,.., 501</v>
      </c>
      <c r="B134" s="65"/>
      <c r="C134" s="13" t="s">
        <v>196</v>
      </c>
      <c r="D134" s="13">
        <f>(2.75*3.2+2.1*1.93+2.7*3.5+1.09*1.8+0.9*1.8+1*1.8+1.5*2.75)*10.764</f>
        <v>342.40284000000003</v>
      </c>
      <c r="E134" s="13">
        <v>0</v>
      </c>
      <c r="F134" s="13">
        <f t="shared" ref="F134:F147" si="0">D134*(($F$130)+1)+(IF(E134&lt;101,E134,IF(E134&lt;201,E134/2,IF(E134&lt;=301,E134/3,E134/4))))</f>
        <v>513.60426000000007</v>
      </c>
      <c r="G134" s="64" t="str">
        <f>A133</f>
        <v>1st, 3rd, 5th Floor for Residential</v>
      </c>
      <c r="H134" s="65"/>
      <c r="I134" s="30">
        <f>2000000/F134</f>
        <v>3894.0486981163276</v>
      </c>
    </row>
    <row r="135" spans="1:9" s="2" customFormat="1" ht="15.75" customHeight="1" x14ac:dyDescent="0.25">
      <c r="A135" s="64" t="str">
        <f ca="1">(SUMPRODUCT(MID(0&amp;(LEFT(A134,SUM(LEN(A134)-LEN(SUBSTITUTE(A134,{"0","1","2"},""))))), LARGE(INDEX(ISNUMBER(--MID((LEFT(A134,SUM(LEN(A134)-LEN(SUBSTITUTE(A134,{"0","1","2"},""))))), ROW(INDIRECT("1:"&amp;LEN((LEFT(A134,SUM(LEN(A134)-LEN(SUBSTITUTE(A134,{"0","1","2"},"")))))))), 1)) * ROW(INDIRECT("1:"&amp;LEN((LEFT(A134,SUM(LEN(A134)-LEN(SUBSTITUTE(A134,{"0","1","2"},"")))))))), 0), ROW(INDIRECT("1:"&amp;LEN((LEFT(A134,SUM(LEN(A134)-LEN(SUBSTITUTE(A134,{"0","1","2"},"")))))))))+1, 1) * 10^ROW(INDIRECT("1:"&amp;LEN((LEFT(A134,SUM(LEN(A134)-LEN(SUBSTITUTE(A134,{"0","1","2"},""))))))))/10))*1+1&amp;""&amp;" ,.., "&amp;""&amp;(SUMPRODUCT(MID(0&amp;(--TRIM(RIGHT(SUBSTITUTE(LEFT(A134,_xlfn.AGGREGATE(16,6,FIND({0,1,2,3,4,5,6,7,8,9},A134,ROW(INDIRECT("1:"&amp;LEN(A134)))),1))," ",REPT(" ",LEN(A134))),LEN(A134)))), LARGE(INDEX(ISNUMBER(--MID((--TRIM(RIGHT(SUBSTITUTE(LEFT(A134,_xlfn.AGGREGATE(16,6,FIND({0,1,2,3,4,5,6,7,8,9},A134,ROW(INDIRECT("1:"&amp;LEN(A134)))),1))," ",REPT(" ",LEN(A134))),LEN(A134)))), ROW(INDIRECT("1:"&amp;LEN((--TRIM(RIGHT(SUBSTITUTE(LEFT(A134,_xlfn.AGGREGATE(16,6,FIND({0,1,2,3,4,5,6,7,8,9},A134,ROW(INDIRECT("1:"&amp;LEN(A134)))),1))," ",REPT(" ",LEN(A134))),LEN(A134))))))), 1)) * ROW(INDIRECT("1:"&amp;LEN((--TRIM(RIGHT(SUBSTITUTE(LEFT(A134,_xlfn.AGGREGATE(16,6,FIND({0,1,2,3,4,5,6,7,8,9},A134,ROW(INDIRECT("1:"&amp;LEN(A134)))),1))," ",REPT(" ",LEN(A134))),LEN(A134))))))), 0), ROW(INDIRECT("1:"&amp;LEN((--TRIM(RIGHT(SUBSTITUTE(LEFT(A134,_xlfn.AGGREGATE(16,6,FIND({0,1,2,3,4,5,6,7,8,9},A134,ROW(INDIRECT("1:"&amp;LEN(A134)))),1))," ",REPT(" ",LEN(A134))),LEN(A134))))))))+1, 1) * 10^ROW(INDIRECT("1:"&amp;LEN((--TRIM(RIGHT(SUBSTITUTE(LEFT(A134,_xlfn.AGGREGATE(16,6,FIND({0,1,2,3,4,5,6,7,8,9},A134,ROW(INDIRECT("1:"&amp;LEN(A134)))),1))," ",REPT(" ",LEN(A134))),LEN(A134)))))))/10))*1+1</f>
        <v>102 ,.., 502</v>
      </c>
      <c r="B135" s="65"/>
      <c r="C135" s="13" t="s">
        <v>196</v>
      </c>
      <c r="D135" s="13">
        <f>(2.75*3.45+2.1*1.93+2.7*3.5+1.09*1.8+0.9*1.8+1.5*2.75)*10.764</f>
        <v>330.42789000000005</v>
      </c>
      <c r="E135" s="13">
        <v>0</v>
      </c>
      <c r="F135" s="13">
        <f t="shared" si="0"/>
        <v>495.64183500000007</v>
      </c>
      <c r="G135" s="64" t="str">
        <f t="shared" ref="G135:G147" si="1">G134</f>
        <v>1st, 3rd, 5th Floor for Residential</v>
      </c>
      <c r="H135" s="65"/>
      <c r="I135" s="30"/>
    </row>
    <row r="136" spans="1:9" s="2" customFormat="1" ht="15.75" customHeight="1" x14ac:dyDescent="0.25">
      <c r="A136" s="64" t="str">
        <f ca="1">(SUMPRODUCT(MID(0&amp;(LEFT(A135,SUM(LEN(A135)-LEN(SUBSTITUTE(A135,{"0","1","2"},""))))), LARGE(INDEX(ISNUMBER(--MID((LEFT(A135,SUM(LEN(A135)-LEN(SUBSTITUTE(A135,{"0","1","2"},""))))), ROW(INDIRECT("1:"&amp;LEN((LEFT(A135,SUM(LEN(A135)-LEN(SUBSTITUTE(A135,{"0","1","2"},"")))))))), 1)) * ROW(INDIRECT("1:"&amp;LEN((LEFT(A135,SUM(LEN(A135)-LEN(SUBSTITUTE(A135,{"0","1","2"},"")))))))), 0), ROW(INDIRECT("1:"&amp;LEN((LEFT(A135,SUM(LEN(A135)-LEN(SUBSTITUTE(A135,{"0","1","2"},"")))))))))+1, 1) * 10^ROW(INDIRECT("1:"&amp;LEN((LEFT(A135,SUM(LEN(A135)-LEN(SUBSTITUTE(A135,{"0","1","2"},""))))))))/10))*1+1&amp;""&amp;" ,.., "&amp;""&amp;(SUMPRODUCT(MID(0&amp;(--TRIM(RIGHT(SUBSTITUTE(LEFT(A135,_xlfn.AGGREGATE(16,6,FIND({0,1,2,3,4,5,6,7,8,9},A135,ROW(INDIRECT("1:"&amp;LEN(A135)))),1))," ",REPT(" ",LEN(A135))),LEN(A135)))), LARGE(INDEX(ISNUMBER(--MID((--TRIM(RIGHT(SUBSTITUTE(LEFT(A135,_xlfn.AGGREGATE(16,6,FIND({0,1,2,3,4,5,6,7,8,9},A135,ROW(INDIRECT("1:"&amp;LEN(A135)))),1))," ",REPT(" ",LEN(A135))),LEN(A135)))), ROW(INDIRECT("1:"&amp;LEN((--TRIM(RIGHT(SUBSTITUTE(LEFT(A135,_xlfn.AGGREGATE(16,6,FIND({0,1,2,3,4,5,6,7,8,9},A135,ROW(INDIRECT("1:"&amp;LEN(A135)))),1))," ",REPT(" ",LEN(A135))),LEN(A135))))))), 1)) * ROW(INDIRECT("1:"&amp;LEN((--TRIM(RIGHT(SUBSTITUTE(LEFT(A135,_xlfn.AGGREGATE(16,6,FIND({0,1,2,3,4,5,6,7,8,9},A135,ROW(INDIRECT("1:"&amp;LEN(A135)))),1))," ",REPT(" ",LEN(A135))),LEN(A135))))))), 0), ROW(INDIRECT("1:"&amp;LEN((--TRIM(RIGHT(SUBSTITUTE(LEFT(A135,_xlfn.AGGREGATE(16,6,FIND({0,1,2,3,4,5,6,7,8,9},A135,ROW(INDIRECT("1:"&amp;LEN(A135)))),1))," ",REPT(" ",LEN(A135))),LEN(A135))))))))+1, 1) * 10^ROW(INDIRECT("1:"&amp;LEN((--TRIM(RIGHT(SUBSTITUTE(LEFT(A135,_xlfn.AGGREGATE(16,6,FIND({0,1,2,3,4,5,6,7,8,9},A135,ROW(INDIRECT("1:"&amp;LEN(A135)))),1))," ",REPT(" ",LEN(A135))),LEN(A135)))))))/10))*1+1</f>
        <v>103 ,.., 503</v>
      </c>
      <c r="B136" s="65"/>
      <c r="C136" s="13" t="s">
        <v>196</v>
      </c>
      <c r="D136" s="13">
        <f>(2.75*3.45+2.07*2.05+2.7*3.5+1.8*1.1+0.9*1.2+0.9*2.5+0.9*1.2+1.5*2.75)*10.764</f>
        <v>362.70374399999997</v>
      </c>
      <c r="E136" s="13">
        <v>0</v>
      </c>
      <c r="F136" s="13">
        <f t="shared" si="0"/>
        <v>544.05561599999999</v>
      </c>
      <c r="G136" s="64" t="str">
        <f t="shared" si="1"/>
        <v>1st, 3rd, 5th Floor for Residential</v>
      </c>
      <c r="H136" s="65"/>
      <c r="I136" s="30"/>
    </row>
    <row r="137" spans="1:9" s="2" customFormat="1" ht="15.75" customHeight="1" x14ac:dyDescent="0.25">
      <c r="A137" s="64" t="str">
        <f ca="1">(SUMPRODUCT(MID(0&amp;(LEFT(A136,SUM(LEN(A136)-LEN(SUBSTITUTE(A136,{"0","1","2"},""))))), LARGE(INDEX(ISNUMBER(--MID((LEFT(A136,SUM(LEN(A136)-LEN(SUBSTITUTE(A136,{"0","1","2"},""))))), ROW(INDIRECT("1:"&amp;LEN((LEFT(A136,SUM(LEN(A136)-LEN(SUBSTITUTE(A136,{"0","1","2"},"")))))))), 1)) * ROW(INDIRECT("1:"&amp;LEN((LEFT(A136,SUM(LEN(A136)-LEN(SUBSTITUTE(A136,{"0","1","2"},"")))))))), 0), ROW(INDIRECT("1:"&amp;LEN((LEFT(A136,SUM(LEN(A136)-LEN(SUBSTITUTE(A136,{"0","1","2"},"")))))))))+1, 1) * 10^ROW(INDIRECT("1:"&amp;LEN((LEFT(A136,SUM(LEN(A136)-LEN(SUBSTITUTE(A136,{"0","1","2"},""))))))))/10))*1+1&amp;""&amp;" ,.., "&amp;""&amp;(SUMPRODUCT(MID(0&amp;(--TRIM(RIGHT(SUBSTITUTE(LEFT(A136,_xlfn.AGGREGATE(16,6,FIND({0,1,2,3,4,5,6,7,8,9},A136,ROW(INDIRECT("1:"&amp;LEN(A136)))),1))," ",REPT(" ",LEN(A136))),LEN(A136)))), LARGE(INDEX(ISNUMBER(--MID((--TRIM(RIGHT(SUBSTITUTE(LEFT(A136,_xlfn.AGGREGATE(16,6,FIND({0,1,2,3,4,5,6,7,8,9},A136,ROW(INDIRECT("1:"&amp;LEN(A136)))),1))," ",REPT(" ",LEN(A136))),LEN(A136)))), ROW(INDIRECT("1:"&amp;LEN((--TRIM(RIGHT(SUBSTITUTE(LEFT(A136,_xlfn.AGGREGATE(16,6,FIND({0,1,2,3,4,5,6,7,8,9},A136,ROW(INDIRECT("1:"&amp;LEN(A136)))),1))," ",REPT(" ",LEN(A136))),LEN(A136))))))), 1)) * ROW(INDIRECT("1:"&amp;LEN((--TRIM(RIGHT(SUBSTITUTE(LEFT(A136,_xlfn.AGGREGATE(16,6,FIND({0,1,2,3,4,5,6,7,8,9},A136,ROW(INDIRECT("1:"&amp;LEN(A136)))),1))," ",REPT(" ",LEN(A136))),LEN(A136))))))), 0), ROW(INDIRECT("1:"&amp;LEN((--TRIM(RIGHT(SUBSTITUTE(LEFT(A136,_xlfn.AGGREGATE(16,6,FIND({0,1,2,3,4,5,6,7,8,9},A136,ROW(INDIRECT("1:"&amp;LEN(A136)))),1))," ",REPT(" ",LEN(A136))),LEN(A136))))))))+1, 1) * 10^ROW(INDIRECT("1:"&amp;LEN((--TRIM(RIGHT(SUBSTITUTE(LEFT(A136,_xlfn.AGGREGATE(16,6,FIND({0,1,2,3,4,5,6,7,8,9},A136,ROW(INDIRECT("1:"&amp;LEN(A136)))),1))," ",REPT(" ",LEN(A136))),LEN(A136)))))))/10))*1+1</f>
        <v>104 ,.., 504</v>
      </c>
      <c r="B137" s="65"/>
      <c r="C137" s="13" t="s">
        <v>196</v>
      </c>
      <c r="D137" s="13">
        <f>(2.75*3.45+2.07*2.05+2.7*3.5+1.8*1.1+0.9*1.2+0.9*2.5+0.9*1.2+1.5*2.75)*10.764</f>
        <v>362.70374399999997</v>
      </c>
      <c r="E137" s="13">
        <v>0</v>
      </c>
      <c r="F137" s="13">
        <f t="shared" si="0"/>
        <v>544.05561599999999</v>
      </c>
      <c r="G137" s="64" t="str">
        <f t="shared" si="1"/>
        <v>1st, 3rd, 5th Floor for Residential</v>
      </c>
      <c r="H137" s="65"/>
      <c r="I137" s="30"/>
    </row>
    <row r="138" spans="1:9" s="2" customFormat="1" ht="15.75" customHeight="1" x14ac:dyDescent="0.25">
      <c r="A138" s="64" t="str">
        <f ca="1">(SUMPRODUCT(MID(0&amp;(LEFT(A137,SUM(LEN(A137)-LEN(SUBSTITUTE(A137,{"0","1","2"},""))))), LARGE(INDEX(ISNUMBER(--MID((LEFT(A137,SUM(LEN(A137)-LEN(SUBSTITUTE(A137,{"0","1","2"},""))))), ROW(INDIRECT("1:"&amp;LEN((LEFT(A137,SUM(LEN(A137)-LEN(SUBSTITUTE(A137,{"0","1","2"},"")))))))), 1)) * ROW(INDIRECT("1:"&amp;LEN((LEFT(A137,SUM(LEN(A137)-LEN(SUBSTITUTE(A137,{"0","1","2"},"")))))))), 0), ROW(INDIRECT("1:"&amp;LEN((LEFT(A137,SUM(LEN(A137)-LEN(SUBSTITUTE(A137,{"0","1","2"},"")))))))))+1, 1) * 10^ROW(INDIRECT("1:"&amp;LEN((LEFT(A137,SUM(LEN(A137)-LEN(SUBSTITUTE(A137,{"0","1","2"},""))))))))/10))*1+1&amp;""&amp;" ,.., "&amp;""&amp;(SUMPRODUCT(MID(0&amp;(--TRIM(RIGHT(SUBSTITUTE(LEFT(A137,_xlfn.AGGREGATE(16,6,FIND({0,1,2,3,4,5,6,7,8,9},A137,ROW(INDIRECT("1:"&amp;LEN(A137)))),1))," ",REPT(" ",LEN(A137))),LEN(A137)))), LARGE(INDEX(ISNUMBER(--MID((--TRIM(RIGHT(SUBSTITUTE(LEFT(A137,_xlfn.AGGREGATE(16,6,FIND({0,1,2,3,4,5,6,7,8,9},A137,ROW(INDIRECT("1:"&amp;LEN(A137)))),1))," ",REPT(" ",LEN(A137))),LEN(A137)))), ROW(INDIRECT("1:"&amp;LEN((--TRIM(RIGHT(SUBSTITUTE(LEFT(A137,_xlfn.AGGREGATE(16,6,FIND({0,1,2,3,4,5,6,7,8,9},A137,ROW(INDIRECT("1:"&amp;LEN(A137)))),1))," ",REPT(" ",LEN(A137))),LEN(A137))))))), 1)) * ROW(INDIRECT("1:"&amp;LEN((--TRIM(RIGHT(SUBSTITUTE(LEFT(A137,_xlfn.AGGREGATE(16,6,FIND({0,1,2,3,4,5,6,7,8,9},A137,ROW(INDIRECT("1:"&amp;LEN(A137)))),1))," ",REPT(" ",LEN(A137))),LEN(A137))))))), 0), ROW(INDIRECT("1:"&amp;LEN((--TRIM(RIGHT(SUBSTITUTE(LEFT(A137,_xlfn.AGGREGATE(16,6,FIND({0,1,2,3,4,5,6,7,8,9},A137,ROW(INDIRECT("1:"&amp;LEN(A137)))),1))," ",REPT(" ",LEN(A137))),LEN(A137))))))))+1, 1) * 10^ROW(INDIRECT("1:"&amp;LEN((--TRIM(RIGHT(SUBSTITUTE(LEFT(A137,_xlfn.AGGREGATE(16,6,FIND({0,1,2,3,4,5,6,7,8,9},A137,ROW(INDIRECT("1:"&amp;LEN(A137)))),1))," ",REPT(" ",LEN(A137))),LEN(A137)))))))/10))*1+1</f>
        <v>105 ,.., 505</v>
      </c>
      <c r="B138" s="65"/>
      <c r="C138" s="13" t="s">
        <v>196</v>
      </c>
      <c r="D138" s="13">
        <f>(4.2*2.75+2.1*2.15+3.5*2.7+1.2*2.14+0.9*1.12+0.9*1.8+0.9*3+1.5*2.75+0.45*2.35)*10.764</f>
        <v>415.42043399999994</v>
      </c>
      <c r="E138" s="13">
        <v>0</v>
      </c>
      <c r="F138" s="13">
        <f t="shared" si="0"/>
        <v>623.13065099999994</v>
      </c>
      <c r="G138" s="64" t="str">
        <f t="shared" si="1"/>
        <v>1st, 3rd, 5th Floor for Residential</v>
      </c>
      <c r="H138" s="65"/>
      <c r="I138" s="30">
        <f>2400000/F138</f>
        <v>3851.5197353050767</v>
      </c>
    </row>
    <row r="139" spans="1:9" s="2" customFormat="1" ht="15.75" customHeight="1" x14ac:dyDescent="0.25">
      <c r="A139" s="64" t="str">
        <f ca="1">(SUMPRODUCT(MID(0&amp;(LEFT(A138,SUM(LEN(A138)-LEN(SUBSTITUTE(A138,{"0","1","2"},""))))), LARGE(INDEX(ISNUMBER(--MID((LEFT(A138,SUM(LEN(A138)-LEN(SUBSTITUTE(A138,{"0","1","2"},""))))), ROW(INDIRECT("1:"&amp;LEN((LEFT(A138,SUM(LEN(A138)-LEN(SUBSTITUTE(A138,{"0","1","2"},"")))))))), 1)) * ROW(INDIRECT("1:"&amp;LEN((LEFT(A138,SUM(LEN(A138)-LEN(SUBSTITUTE(A138,{"0","1","2"},"")))))))), 0), ROW(INDIRECT("1:"&amp;LEN((LEFT(A138,SUM(LEN(A138)-LEN(SUBSTITUTE(A138,{"0","1","2"},"")))))))))+1, 1) * 10^ROW(INDIRECT("1:"&amp;LEN((LEFT(A138,SUM(LEN(A138)-LEN(SUBSTITUTE(A138,{"0","1","2"},""))))))))/10))*1+1&amp;""&amp;" ,.., "&amp;""&amp;(SUMPRODUCT(MID(0&amp;(--TRIM(RIGHT(SUBSTITUTE(LEFT(A138,_xlfn.AGGREGATE(16,6,FIND({0,1,2,3,4,5,6,7,8,9},A138,ROW(INDIRECT("1:"&amp;LEN(A138)))),1))," ",REPT(" ",LEN(A138))),LEN(A138)))), LARGE(INDEX(ISNUMBER(--MID((--TRIM(RIGHT(SUBSTITUTE(LEFT(A138,_xlfn.AGGREGATE(16,6,FIND({0,1,2,3,4,5,6,7,8,9},A138,ROW(INDIRECT("1:"&amp;LEN(A138)))),1))," ",REPT(" ",LEN(A138))),LEN(A138)))), ROW(INDIRECT("1:"&amp;LEN((--TRIM(RIGHT(SUBSTITUTE(LEFT(A138,_xlfn.AGGREGATE(16,6,FIND({0,1,2,3,4,5,6,7,8,9},A138,ROW(INDIRECT("1:"&amp;LEN(A138)))),1))," ",REPT(" ",LEN(A138))),LEN(A138))))))), 1)) * ROW(INDIRECT("1:"&amp;LEN((--TRIM(RIGHT(SUBSTITUTE(LEFT(A138,_xlfn.AGGREGATE(16,6,FIND({0,1,2,3,4,5,6,7,8,9},A138,ROW(INDIRECT("1:"&amp;LEN(A138)))),1))," ",REPT(" ",LEN(A138))),LEN(A138))))))), 0), ROW(INDIRECT("1:"&amp;LEN((--TRIM(RIGHT(SUBSTITUTE(LEFT(A138,_xlfn.AGGREGATE(16,6,FIND({0,1,2,3,4,5,6,7,8,9},A138,ROW(INDIRECT("1:"&amp;LEN(A138)))),1))," ",REPT(" ",LEN(A138))),LEN(A138))))))))+1, 1) * 10^ROW(INDIRECT("1:"&amp;LEN((--TRIM(RIGHT(SUBSTITUTE(LEFT(A138,_xlfn.AGGREGATE(16,6,FIND({0,1,2,3,4,5,6,7,8,9},A138,ROW(INDIRECT("1:"&amp;LEN(A138)))),1))," ",REPT(" ",LEN(A138))),LEN(A138)))))))/10))*1+1</f>
        <v>106 ,.., 506</v>
      </c>
      <c r="B139" s="65"/>
      <c r="C139" s="13" t="s">
        <v>196</v>
      </c>
      <c r="D139" s="13">
        <f>(3.85*2.75+2.1*2.15+3.5*2.7+1.23*2.05+0.9*1.12+0.9*3+0.9*1.8+1.5*2.75+0.45*2.35)*10.764</f>
        <v>404.55955799999998</v>
      </c>
      <c r="E139" s="13">
        <v>0</v>
      </c>
      <c r="F139" s="13">
        <f t="shared" si="0"/>
        <v>606.839337</v>
      </c>
      <c r="G139" s="64" t="str">
        <f t="shared" si="1"/>
        <v>1st, 3rd, 5th Floor for Residential</v>
      </c>
      <c r="H139" s="65"/>
      <c r="I139" s="30"/>
    </row>
    <row r="140" spans="1:9" s="2" customFormat="1" ht="15.75" customHeight="1" x14ac:dyDescent="0.25">
      <c r="A140" s="64" t="str">
        <f ca="1">(SUMPRODUCT(MID(0&amp;(LEFT(A139,SUM(LEN(A139)-LEN(SUBSTITUTE(A139,{"0","1","2"},""))))), LARGE(INDEX(ISNUMBER(--MID((LEFT(A139,SUM(LEN(A139)-LEN(SUBSTITUTE(A139,{"0","1","2"},""))))), ROW(INDIRECT("1:"&amp;LEN((LEFT(A139,SUM(LEN(A139)-LEN(SUBSTITUTE(A139,{"0","1","2"},"")))))))), 1)) * ROW(INDIRECT("1:"&amp;LEN((LEFT(A139,SUM(LEN(A139)-LEN(SUBSTITUTE(A139,{"0","1","2"},"")))))))), 0), ROW(INDIRECT("1:"&amp;LEN((LEFT(A139,SUM(LEN(A139)-LEN(SUBSTITUTE(A139,{"0","1","2"},"")))))))))+1, 1) * 10^ROW(INDIRECT("1:"&amp;LEN((LEFT(A139,SUM(LEN(A139)-LEN(SUBSTITUTE(A139,{"0","1","2"},""))))))))/10))*1+1&amp;""&amp;" ,.., "&amp;""&amp;(SUMPRODUCT(MID(0&amp;(--TRIM(RIGHT(SUBSTITUTE(LEFT(A139,_xlfn.AGGREGATE(16,6,FIND({0,1,2,3,4,5,6,7,8,9},A139,ROW(INDIRECT("1:"&amp;LEN(A139)))),1))," ",REPT(" ",LEN(A139))),LEN(A139)))), LARGE(INDEX(ISNUMBER(--MID((--TRIM(RIGHT(SUBSTITUTE(LEFT(A139,_xlfn.AGGREGATE(16,6,FIND({0,1,2,3,4,5,6,7,8,9},A139,ROW(INDIRECT("1:"&amp;LEN(A139)))),1))," ",REPT(" ",LEN(A139))),LEN(A139)))), ROW(INDIRECT("1:"&amp;LEN((--TRIM(RIGHT(SUBSTITUTE(LEFT(A139,_xlfn.AGGREGATE(16,6,FIND({0,1,2,3,4,5,6,7,8,9},A139,ROW(INDIRECT("1:"&amp;LEN(A139)))),1))," ",REPT(" ",LEN(A139))),LEN(A139))))))), 1)) * ROW(INDIRECT("1:"&amp;LEN((--TRIM(RIGHT(SUBSTITUTE(LEFT(A139,_xlfn.AGGREGATE(16,6,FIND({0,1,2,3,4,5,6,7,8,9},A139,ROW(INDIRECT("1:"&amp;LEN(A139)))),1))," ",REPT(" ",LEN(A139))),LEN(A139))))))), 0), ROW(INDIRECT("1:"&amp;LEN((--TRIM(RIGHT(SUBSTITUTE(LEFT(A139,_xlfn.AGGREGATE(16,6,FIND({0,1,2,3,4,5,6,7,8,9},A139,ROW(INDIRECT("1:"&amp;LEN(A139)))),1))," ",REPT(" ",LEN(A139))),LEN(A139))))))))+1, 1) * 10^ROW(INDIRECT("1:"&amp;LEN((--TRIM(RIGHT(SUBSTITUTE(LEFT(A139,_xlfn.AGGREGATE(16,6,FIND({0,1,2,3,4,5,6,7,8,9},A139,ROW(INDIRECT("1:"&amp;LEN(A139)))),1))," ",REPT(" ",LEN(A139))),LEN(A139)))))))/10))*1+1</f>
        <v>107 ,.., 507</v>
      </c>
      <c r="B140" s="65"/>
      <c r="C140" s="13" t="s">
        <v>196</v>
      </c>
      <c r="D140" s="13">
        <f>(2.75*4+2.07*2.05+2.7*3.5+1.8*1.1+0.9*1.2+0.9*2.5+0.9*1.5+1*1+1.5*2.75)*10.764</f>
        <v>392.65457400000003</v>
      </c>
      <c r="E140" s="13">
        <v>0</v>
      </c>
      <c r="F140" s="13">
        <f t="shared" si="0"/>
        <v>588.98186099999998</v>
      </c>
      <c r="G140" s="64" t="str">
        <f t="shared" si="1"/>
        <v>1st, 3rd, 5th Floor for Residential</v>
      </c>
      <c r="H140" s="65"/>
      <c r="I140" s="30"/>
    </row>
    <row r="141" spans="1:9" s="2" customFormat="1" ht="15.75" customHeight="1" x14ac:dyDescent="0.25">
      <c r="A141" s="64" t="str">
        <f ca="1">(SUMPRODUCT(MID(0&amp;(LEFT(A140,SUM(LEN(A140)-LEN(SUBSTITUTE(A140,{"0","1","2"},""))))), LARGE(INDEX(ISNUMBER(--MID((LEFT(A140,SUM(LEN(A140)-LEN(SUBSTITUTE(A140,{"0","1","2"},""))))), ROW(INDIRECT("1:"&amp;LEN((LEFT(A140,SUM(LEN(A140)-LEN(SUBSTITUTE(A140,{"0","1","2"},"")))))))), 1)) * ROW(INDIRECT("1:"&amp;LEN((LEFT(A140,SUM(LEN(A140)-LEN(SUBSTITUTE(A140,{"0","1","2"},"")))))))), 0), ROW(INDIRECT("1:"&amp;LEN((LEFT(A140,SUM(LEN(A140)-LEN(SUBSTITUTE(A140,{"0","1","2"},"")))))))))+1, 1) * 10^ROW(INDIRECT("1:"&amp;LEN((LEFT(A140,SUM(LEN(A140)-LEN(SUBSTITUTE(A140,{"0","1","2"},""))))))))/10))*1+1&amp;""&amp;" ,.., "&amp;""&amp;(SUMPRODUCT(MID(0&amp;(--TRIM(RIGHT(SUBSTITUTE(LEFT(A140,_xlfn.AGGREGATE(16,6,FIND({0,1,2,3,4,5,6,7,8,9},A140,ROW(INDIRECT("1:"&amp;LEN(A140)))),1))," ",REPT(" ",LEN(A140))),LEN(A140)))), LARGE(INDEX(ISNUMBER(--MID((--TRIM(RIGHT(SUBSTITUTE(LEFT(A140,_xlfn.AGGREGATE(16,6,FIND({0,1,2,3,4,5,6,7,8,9},A140,ROW(INDIRECT("1:"&amp;LEN(A140)))),1))," ",REPT(" ",LEN(A140))),LEN(A140)))), ROW(INDIRECT("1:"&amp;LEN((--TRIM(RIGHT(SUBSTITUTE(LEFT(A140,_xlfn.AGGREGATE(16,6,FIND({0,1,2,3,4,5,6,7,8,9},A140,ROW(INDIRECT("1:"&amp;LEN(A140)))),1))," ",REPT(" ",LEN(A140))),LEN(A140))))))), 1)) * ROW(INDIRECT("1:"&amp;LEN((--TRIM(RIGHT(SUBSTITUTE(LEFT(A140,_xlfn.AGGREGATE(16,6,FIND({0,1,2,3,4,5,6,7,8,9},A140,ROW(INDIRECT("1:"&amp;LEN(A140)))),1))," ",REPT(" ",LEN(A140))),LEN(A140))))))), 0), ROW(INDIRECT("1:"&amp;LEN((--TRIM(RIGHT(SUBSTITUTE(LEFT(A140,_xlfn.AGGREGATE(16,6,FIND({0,1,2,3,4,5,6,7,8,9},A140,ROW(INDIRECT("1:"&amp;LEN(A140)))),1))," ",REPT(" ",LEN(A140))),LEN(A140))))))))+1, 1) * 10^ROW(INDIRECT("1:"&amp;LEN((--TRIM(RIGHT(SUBSTITUTE(LEFT(A140,_xlfn.AGGREGATE(16,6,FIND({0,1,2,3,4,5,6,7,8,9},A140,ROW(INDIRECT("1:"&amp;LEN(A140)))),1))," ",REPT(" ",LEN(A140))),LEN(A140)))))))/10))*1+1</f>
        <v>108 ,.., 508</v>
      </c>
      <c r="B141" s="65"/>
      <c r="C141" s="13" t="s">
        <v>196</v>
      </c>
      <c r="D141" s="13">
        <f>(2.75*3+2.07*2.05+2.7*3.5+0.9*1.2+1.8*1.2+0.9*2.5+0.9*1.2+1.5*2.75+1*1.8)*10.764</f>
        <v>370.69601399999993</v>
      </c>
      <c r="E141" s="13">
        <v>0</v>
      </c>
      <c r="F141" s="13">
        <f t="shared" si="0"/>
        <v>556.04402099999993</v>
      </c>
      <c r="G141" s="64" t="str">
        <f t="shared" si="1"/>
        <v>1st, 3rd, 5th Floor for Residential</v>
      </c>
      <c r="H141" s="65"/>
      <c r="I141" s="30"/>
    </row>
    <row r="142" spans="1:9" s="2" customFormat="1" ht="15.75" customHeight="1" x14ac:dyDescent="0.25">
      <c r="A142" s="64" t="str">
        <f ca="1">(SUMPRODUCT(MID(0&amp;(LEFT(A141,SUM(LEN(A141)-LEN(SUBSTITUTE(A141,{"0","1","2"},""))))), LARGE(INDEX(ISNUMBER(--MID((LEFT(A141,SUM(LEN(A141)-LEN(SUBSTITUTE(A141,{"0","1","2"},""))))), ROW(INDIRECT("1:"&amp;LEN((LEFT(A141,SUM(LEN(A141)-LEN(SUBSTITUTE(A141,{"0","1","2"},"")))))))), 1)) * ROW(INDIRECT("1:"&amp;LEN((LEFT(A141,SUM(LEN(A141)-LEN(SUBSTITUTE(A141,{"0","1","2"},"")))))))), 0), ROW(INDIRECT("1:"&amp;LEN((LEFT(A141,SUM(LEN(A141)-LEN(SUBSTITUTE(A141,{"0","1","2"},"")))))))))+1, 1) * 10^ROW(INDIRECT("1:"&amp;LEN((LEFT(A141,SUM(LEN(A141)-LEN(SUBSTITUTE(A141,{"0","1","2"},""))))))))/10))*1+1&amp;""&amp;" ,.., "&amp;""&amp;(SUMPRODUCT(MID(0&amp;(--TRIM(RIGHT(SUBSTITUTE(LEFT(A141,_xlfn.AGGREGATE(16,6,FIND({0,1,2,3,4,5,6,7,8,9},A141,ROW(INDIRECT("1:"&amp;LEN(A141)))),1))," ",REPT(" ",LEN(A141))),LEN(A141)))), LARGE(INDEX(ISNUMBER(--MID((--TRIM(RIGHT(SUBSTITUTE(LEFT(A141,_xlfn.AGGREGATE(16,6,FIND({0,1,2,3,4,5,6,7,8,9},A141,ROW(INDIRECT("1:"&amp;LEN(A141)))),1))," ",REPT(" ",LEN(A141))),LEN(A141)))), ROW(INDIRECT("1:"&amp;LEN((--TRIM(RIGHT(SUBSTITUTE(LEFT(A141,_xlfn.AGGREGATE(16,6,FIND({0,1,2,3,4,5,6,7,8,9},A141,ROW(INDIRECT("1:"&amp;LEN(A141)))),1))," ",REPT(" ",LEN(A141))),LEN(A141))))))), 1)) * ROW(INDIRECT("1:"&amp;LEN((--TRIM(RIGHT(SUBSTITUTE(LEFT(A141,_xlfn.AGGREGATE(16,6,FIND({0,1,2,3,4,5,6,7,8,9},A141,ROW(INDIRECT("1:"&amp;LEN(A141)))),1))," ",REPT(" ",LEN(A141))),LEN(A141))))))), 0), ROW(INDIRECT("1:"&amp;LEN((--TRIM(RIGHT(SUBSTITUTE(LEFT(A141,_xlfn.AGGREGATE(16,6,FIND({0,1,2,3,4,5,6,7,8,9},A141,ROW(INDIRECT("1:"&amp;LEN(A141)))),1))," ",REPT(" ",LEN(A141))),LEN(A141))))))))+1, 1) * 10^ROW(INDIRECT("1:"&amp;LEN((--TRIM(RIGHT(SUBSTITUTE(LEFT(A141,_xlfn.AGGREGATE(16,6,FIND({0,1,2,3,4,5,6,7,8,9},A141,ROW(INDIRECT("1:"&amp;LEN(A141)))),1))," ",REPT(" ",LEN(A141))),LEN(A141)))))))/10))*1+1</f>
        <v>109 ,.., 509</v>
      </c>
      <c r="B142" s="65"/>
      <c r="C142" s="13" t="s">
        <v>196</v>
      </c>
      <c r="D142" s="13">
        <f>(2.75*3.45+2.07*2.05+2.7*3.5+1.8*1.1+0.9*1.2+0.9*2.5+0.9*1.2+1.5*2.75)*10.764</f>
        <v>362.70374399999997</v>
      </c>
      <c r="E142" s="13">
        <v>0</v>
      </c>
      <c r="F142" s="13">
        <f t="shared" si="0"/>
        <v>544.05561599999999</v>
      </c>
      <c r="G142" s="64" t="str">
        <f t="shared" si="1"/>
        <v>1st, 3rd, 5th Floor for Residential</v>
      </c>
      <c r="H142" s="65"/>
      <c r="I142" s="30"/>
    </row>
    <row r="143" spans="1:9" s="2" customFormat="1" ht="15.75" customHeight="1" x14ac:dyDescent="0.25">
      <c r="A143" s="64" t="str">
        <f ca="1">(SUMPRODUCT(MID(0&amp;(LEFT(A142,SUM(LEN(A142)-LEN(SUBSTITUTE(A142,{"0","1","2"},""))))), LARGE(INDEX(ISNUMBER(--MID((LEFT(A142,SUM(LEN(A142)-LEN(SUBSTITUTE(A142,{"0","1","2"},""))))), ROW(INDIRECT("1:"&amp;LEN((LEFT(A142,SUM(LEN(A142)-LEN(SUBSTITUTE(A142,{"0","1","2"},"")))))))), 1)) * ROW(INDIRECT("1:"&amp;LEN((LEFT(A142,SUM(LEN(A142)-LEN(SUBSTITUTE(A142,{"0","1","2"},"")))))))), 0), ROW(INDIRECT("1:"&amp;LEN((LEFT(A142,SUM(LEN(A142)-LEN(SUBSTITUTE(A142,{"0","1","2"},"")))))))))+1, 1) * 10^ROW(INDIRECT("1:"&amp;LEN((LEFT(A142,SUM(LEN(A142)-LEN(SUBSTITUTE(A142,{"0","1","2"},""))))))))/10))*1+1&amp;""&amp;" ,.., "&amp;""&amp;(SUMPRODUCT(MID(0&amp;(--TRIM(RIGHT(SUBSTITUTE(LEFT(A142,_xlfn.AGGREGATE(16,6,FIND({0,1,2,3,4,5,6,7,8,9},A142,ROW(INDIRECT("1:"&amp;LEN(A142)))),1))," ",REPT(" ",LEN(A142))),LEN(A142)))), LARGE(INDEX(ISNUMBER(--MID((--TRIM(RIGHT(SUBSTITUTE(LEFT(A142,_xlfn.AGGREGATE(16,6,FIND({0,1,2,3,4,5,6,7,8,9},A142,ROW(INDIRECT("1:"&amp;LEN(A142)))),1))," ",REPT(" ",LEN(A142))),LEN(A142)))), ROW(INDIRECT("1:"&amp;LEN((--TRIM(RIGHT(SUBSTITUTE(LEFT(A142,_xlfn.AGGREGATE(16,6,FIND({0,1,2,3,4,5,6,7,8,9},A142,ROW(INDIRECT("1:"&amp;LEN(A142)))),1))," ",REPT(" ",LEN(A142))),LEN(A142))))))), 1)) * ROW(INDIRECT("1:"&amp;LEN((--TRIM(RIGHT(SUBSTITUTE(LEFT(A142,_xlfn.AGGREGATE(16,6,FIND({0,1,2,3,4,5,6,7,8,9},A142,ROW(INDIRECT("1:"&amp;LEN(A142)))),1))," ",REPT(" ",LEN(A142))),LEN(A142))))))), 0), ROW(INDIRECT("1:"&amp;LEN((--TRIM(RIGHT(SUBSTITUTE(LEFT(A142,_xlfn.AGGREGATE(16,6,FIND({0,1,2,3,4,5,6,7,8,9},A142,ROW(INDIRECT("1:"&amp;LEN(A142)))),1))," ",REPT(" ",LEN(A142))),LEN(A142))))))))+1, 1) * 10^ROW(INDIRECT("1:"&amp;LEN((--TRIM(RIGHT(SUBSTITUTE(LEFT(A142,_xlfn.AGGREGATE(16,6,FIND({0,1,2,3,4,5,6,7,8,9},A142,ROW(INDIRECT("1:"&amp;LEN(A142)))),1))," ",REPT(" ",LEN(A142))),LEN(A142)))))))/10))*1+1</f>
        <v>110 ,.., 510</v>
      </c>
      <c r="B143" s="65"/>
      <c r="C143" s="13" t="s">
        <v>196</v>
      </c>
      <c r="D143" s="13">
        <f>(2.75*3.45+2.07*2.05+2.7*3.5+1.8*1.1+0.9*1.2+0.9*2.5+0.9*1.2+1.5*2.75)*10.764</f>
        <v>362.70374399999997</v>
      </c>
      <c r="E143" s="13">
        <v>0</v>
      </c>
      <c r="F143" s="13">
        <f t="shared" si="0"/>
        <v>544.05561599999999</v>
      </c>
      <c r="G143" s="64" t="str">
        <f t="shared" si="1"/>
        <v>1st, 3rd, 5th Floor for Residential</v>
      </c>
      <c r="H143" s="65"/>
      <c r="I143" s="30"/>
    </row>
    <row r="144" spans="1:9" s="2" customFormat="1" ht="15.75" customHeight="1" x14ac:dyDescent="0.25">
      <c r="A144" s="64" t="str">
        <f ca="1">(SUMPRODUCT(MID(0&amp;(LEFT(A143,SUM(LEN(A143)-LEN(SUBSTITUTE(A143,{"0","1","2"},""))))), LARGE(INDEX(ISNUMBER(--MID((LEFT(A143,SUM(LEN(A143)-LEN(SUBSTITUTE(A143,{"0","1","2"},""))))), ROW(INDIRECT("1:"&amp;LEN((LEFT(A143,SUM(LEN(A143)-LEN(SUBSTITUTE(A143,{"0","1","2"},"")))))))), 1)) * ROW(INDIRECT("1:"&amp;LEN((LEFT(A143,SUM(LEN(A143)-LEN(SUBSTITUTE(A143,{"0","1","2"},"")))))))), 0), ROW(INDIRECT("1:"&amp;LEN((LEFT(A143,SUM(LEN(A143)-LEN(SUBSTITUTE(A143,{"0","1","2"},"")))))))))+1, 1) * 10^ROW(INDIRECT("1:"&amp;LEN((LEFT(A143,SUM(LEN(A143)-LEN(SUBSTITUTE(A143,{"0","1","2"},""))))))))/10))*1+1&amp;""&amp;" ,.., "&amp;""&amp;(SUMPRODUCT(MID(0&amp;(--TRIM(RIGHT(SUBSTITUTE(LEFT(A143,_xlfn.AGGREGATE(16,6,FIND({0,1,2,3,4,5,6,7,8,9},A143,ROW(INDIRECT("1:"&amp;LEN(A143)))),1))," ",REPT(" ",LEN(A143))),LEN(A143)))), LARGE(INDEX(ISNUMBER(--MID((--TRIM(RIGHT(SUBSTITUTE(LEFT(A143,_xlfn.AGGREGATE(16,6,FIND({0,1,2,3,4,5,6,7,8,9},A143,ROW(INDIRECT("1:"&amp;LEN(A143)))),1))," ",REPT(" ",LEN(A143))),LEN(A143)))), ROW(INDIRECT("1:"&amp;LEN((--TRIM(RIGHT(SUBSTITUTE(LEFT(A143,_xlfn.AGGREGATE(16,6,FIND({0,1,2,3,4,5,6,7,8,9},A143,ROW(INDIRECT("1:"&amp;LEN(A143)))),1))," ",REPT(" ",LEN(A143))),LEN(A143))))))), 1)) * ROW(INDIRECT("1:"&amp;LEN((--TRIM(RIGHT(SUBSTITUTE(LEFT(A143,_xlfn.AGGREGATE(16,6,FIND({0,1,2,3,4,5,6,7,8,9},A143,ROW(INDIRECT("1:"&amp;LEN(A143)))),1))," ",REPT(" ",LEN(A143))),LEN(A143))))))), 0), ROW(INDIRECT("1:"&amp;LEN((--TRIM(RIGHT(SUBSTITUTE(LEFT(A143,_xlfn.AGGREGATE(16,6,FIND({0,1,2,3,4,5,6,7,8,9},A143,ROW(INDIRECT("1:"&amp;LEN(A143)))),1))," ",REPT(" ",LEN(A143))),LEN(A143))))))))+1, 1) * 10^ROW(INDIRECT("1:"&amp;LEN((--TRIM(RIGHT(SUBSTITUTE(LEFT(A143,_xlfn.AGGREGATE(16,6,FIND({0,1,2,3,4,5,6,7,8,9},A143,ROW(INDIRECT("1:"&amp;LEN(A143)))),1))," ",REPT(" ",LEN(A143))),LEN(A143)))))))/10))*1+1</f>
        <v>111 ,.., 511</v>
      </c>
      <c r="B144" s="65"/>
      <c r="C144" s="13" t="s">
        <v>196</v>
      </c>
      <c r="D144" s="13">
        <f>(2.75*3.45+2.07*2.05+2.7*3.5+1.8*1.1+0.9*1.2+0.9*2.5+0.9*1.2+1.5*2.75)*10.764</f>
        <v>362.70374399999997</v>
      </c>
      <c r="E144" s="13">
        <v>0</v>
      </c>
      <c r="F144" s="13">
        <f t="shared" si="0"/>
        <v>544.05561599999999</v>
      </c>
      <c r="G144" s="64" t="str">
        <f t="shared" si="1"/>
        <v>1st, 3rd, 5th Floor for Residential</v>
      </c>
      <c r="H144" s="65"/>
      <c r="I144" s="30"/>
    </row>
    <row r="145" spans="1:9" s="2" customFormat="1" ht="15.75" customHeight="1" x14ac:dyDescent="0.25">
      <c r="A145" s="64" t="str">
        <f ca="1">(SUMPRODUCT(MID(0&amp;(LEFT(A144,SUM(LEN(A144)-LEN(SUBSTITUTE(A144,{"0","1","2"},""))))), LARGE(INDEX(ISNUMBER(--MID((LEFT(A144,SUM(LEN(A144)-LEN(SUBSTITUTE(A144,{"0","1","2"},""))))), ROW(INDIRECT("1:"&amp;LEN((LEFT(A144,SUM(LEN(A144)-LEN(SUBSTITUTE(A144,{"0","1","2"},"")))))))), 1)) * ROW(INDIRECT("1:"&amp;LEN((LEFT(A144,SUM(LEN(A144)-LEN(SUBSTITUTE(A144,{"0","1","2"},"")))))))), 0), ROW(INDIRECT("1:"&amp;LEN((LEFT(A144,SUM(LEN(A144)-LEN(SUBSTITUTE(A144,{"0","1","2"},"")))))))))+1, 1) * 10^ROW(INDIRECT("1:"&amp;LEN((LEFT(A144,SUM(LEN(A144)-LEN(SUBSTITUTE(A144,{"0","1","2"},""))))))))/10))*1+1&amp;""&amp;" ,.., "&amp;""&amp;(SUMPRODUCT(MID(0&amp;(--TRIM(RIGHT(SUBSTITUTE(LEFT(A144,_xlfn.AGGREGATE(16,6,FIND({0,1,2,3,4,5,6,7,8,9},A144,ROW(INDIRECT("1:"&amp;LEN(A144)))),1))," ",REPT(" ",LEN(A144))),LEN(A144)))), LARGE(INDEX(ISNUMBER(--MID((--TRIM(RIGHT(SUBSTITUTE(LEFT(A144,_xlfn.AGGREGATE(16,6,FIND({0,1,2,3,4,5,6,7,8,9},A144,ROW(INDIRECT("1:"&amp;LEN(A144)))),1))," ",REPT(" ",LEN(A144))),LEN(A144)))), ROW(INDIRECT("1:"&amp;LEN((--TRIM(RIGHT(SUBSTITUTE(LEFT(A144,_xlfn.AGGREGATE(16,6,FIND({0,1,2,3,4,5,6,7,8,9},A144,ROW(INDIRECT("1:"&amp;LEN(A144)))),1))," ",REPT(" ",LEN(A144))),LEN(A144))))))), 1)) * ROW(INDIRECT("1:"&amp;LEN((--TRIM(RIGHT(SUBSTITUTE(LEFT(A144,_xlfn.AGGREGATE(16,6,FIND({0,1,2,3,4,5,6,7,8,9},A144,ROW(INDIRECT("1:"&amp;LEN(A144)))),1))," ",REPT(" ",LEN(A144))),LEN(A144))))))), 0), ROW(INDIRECT("1:"&amp;LEN((--TRIM(RIGHT(SUBSTITUTE(LEFT(A144,_xlfn.AGGREGATE(16,6,FIND({0,1,2,3,4,5,6,7,8,9},A144,ROW(INDIRECT("1:"&amp;LEN(A144)))),1))," ",REPT(" ",LEN(A144))),LEN(A144))))))))+1, 1) * 10^ROW(INDIRECT("1:"&amp;LEN((--TRIM(RIGHT(SUBSTITUTE(LEFT(A144,_xlfn.AGGREGATE(16,6,FIND({0,1,2,3,4,5,6,7,8,9},A144,ROW(INDIRECT("1:"&amp;LEN(A144)))),1))," ",REPT(" ",LEN(A144))),LEN(A144)))))))/10))*1+1</f>
        <v>112 ,.., 512</v>
      </c>
      <c r="B145" s="65"/>
      <c r="C145" s="13" t="s">
        <v>196</v>
      </c>
      <c r="D145" s="13">
        <f>(2.68*2.75+2.1*2.15+3.5*2.7+1.2*2.14+0.9*1.12+0.9*1.8+0.9*3+1.5*2.75+0.45*2.35)*10.764</f>
        <v>370.42691399999995</v>
      </c>
      <c r="E145" s="13">
        <v>0</v>
      </c>
      <c r="F145" s="13">
        <f t="shared" si="0"/>
        <v>555.64037099999996</v>
      </c>
      <c r="G145" s="64" t="str">
        <f t="shared" si="1"/>
        <v>1st, 3rd, 5th Floor for Residential</v>
      </c>
      <c r="H145" s="65"/>
      <c r="I145" s="30"/>
    </row>
    <row r="146" spans="1:9" s="2" customFormat="1" ht="15.75" customHeight="1" x14ac:dyDescent="0.25">
      <c r="A146" s="64" t="str">
        <f ca="1">(SUMPRODUCT(MID(0&amp;(LEFT(A145,SUM(LEN(A145)-LEN(SUBSTITUTE(A145,{"0","1","2"},""))))), LARGE(INDEX(ISNUMBER(--MID((LEFT(A145,SUM(LEN(A145)-LEN(SUBSTITUTE(A145,{"0","1","2"},""))))), ROW(INDIRECT("1:"&amp;LEN((LEFT(A145,SUM(LEN(A145)-LEN(SUBSTITUTE(A145,{"0","1","2"},"")))))))), 1)) * ROW(INDIRECT("1:"&amp;LEN((LEFT(A145,SUM(LEN(A145)-LEN(SUBSTITUTE(A145,{"0","1","2"},"")))))))), 0), ROW(INDIRECT("1:"&amp;LEN((LEFT(A145,SUM(LEN(A145)-LEN(SUBSTITUTE(A145,{"0","1","2"},"")))))))))+1, 1) * 10^ROW(INDIRECT("1:"&amp;LEN((LEFT(A145,SUM(LEN(A145)-LEN(SUBSTITUTE(A145,{"0","1","2"},""))))))))/10))*1+1&amp;""&amp;" ,.., "&amp;""&amp;(SUMPRODUCT(MID(0&amp;(--TRIM(RIGHT(SUBSTITUTE(LEFT(A145,_xlfn.AGGREGATE(16,6,FIND({0,1,2,3,4,5,6,7,8,9},A145,ROW(INDIRECT("1:"&amp;LEN(A145)))),1))," ",REPT(" ",LEN(A145))),LEN(A145)))), LARGE(INDEX(ISNUMBER(--MID((--TRIM(RIGHT(SUBSTITUTE(LEFT(A145,_xlfn.AGGREGATE(16,6,FIND({0,1,2,3,4,5,6,7,8,9},A145,ROW(INDIRECT("1:"&amp;LEN(A145)))),1))," ",REPT(" ",LEN(A145))),LEN(A145)))), ROW(INDIRECT("1:"&amp;LEN((--TRIM(RIGHT(SUBSTITUTE(LEFT(A145,_xlfn.AGGREGATE(16,6,FIND({0,1,2,3,4,5,6,7,8,9},A145,ROW(INDIRECT("1:"&amp;LEN(A145)))),1))," ",REPT(" ",LEN(A145))),LEN(A145))))))), 1)) * ROW(INDIRECT("1:"&amp;LEN((--TRIM(RIGHT(SUBSTITUTE(LEFT(A145,_xlfn.AGGREGATE(16,6,FIND({0,1,2,3,4,5,6,7,8,9},A145,ROW(INDIRECT("1:"&amp;LEN(A145)))),1))," ",REPT(" ",LEN(A145))),LEN(A145))))))), 0), ROW(INDIRECT("1:"&amp;LEN((--TRIM(RIGHT(SUBSTITUTE(LEFT(A145,_xlfn.AGGREGATE(16,6,FIND({0,1,2,3,4,5,6,7,8,9},A145,ROW(INDIRECT("1:"&amp;LEN(A145)))),1))," ",REPT(" ",LEN(A145))),LEN(A145))))))))+1, 1) * 10^ROW(INDIRECT("1:"&amp;LEN((--TRIM(RIGHT(SUBSTITUTE(LEFT(A145,_xlfn.AGGREGATE(16,6,FIND({0,1,2,3,4,5,6,7,8,9},A145,ROW(INDIRECT("1:"&amp;LEN(A145)))),1))," ",REPT(" ",LEN(A145))),LEN(A145)))))))/10))*1+1</f>
        <v>113 ,.., 513</v>
      </c>
      <c r="B146" s="65"/>
      <c r="C146" s="13" t="s">
        <v>196</v>
      </c>
      <c r="D146" s="13">
        <f>(3.45*2.75+2.1*2.14+3.5*2.7+0.9*1+1.2*2.06+0.9*1.8+0.9*3+1.5*2.75+0.45*2.35)*10.764</f>
        <v>390.79778399999992</v>
      </c>
      <c r="E146" s="13">
        <v>0</v>
      </c>
      <c r="F146" s="13">
        <f t="shared" si="0"/>
        <v>586.19667599999991</v>
      </c>
      <c r="G146" s="64" t="str">
        <f t="shared" si="1"/>
        <v>1st, 3rd, 5th Floor for Residential</v>
      </c>
      <c r="H146" s="65"/>
      <c r="I146" s="30"/>
    </row>
    <row r="147" spans="1:9" s="2" customFormat="1" ht="15.75" customHeight="1" x14ac:dyDescent="0.25">
      <c r="A147" s="64" t="str">
        <f ca="1">(SUMPRODUCT(MID(0&amp;(LEFT(A146,SUM(LEN(A146)-LEN(SUBSTITUTE(A146,{"0","1","2"},""))))), LARGE(INDEX(ISNUMBER(--MID((LEFT(A146,SUM(LEN(A146)-LEN(SUBSTITUTE(A146,{"0","1","2"},""))))), ROW(INDIRECT("1:"&amp;LEN((LEFT(A146,SUM(LEN(A146)-LEN(SUBSTITUTE(A146,{"0","1","2"},"")))))))), 1)) * ROW(INDIRECT("1:"&amp;LEN((LEFT(A146,SUM(LEN(A146)-LEN(SUBSTITUTE(A146,{"0","1","2"},"")))))))), 0), ROW(INDIRECT("1:"&amp;LEN((LEFT(A146,SUM(LEN(A146)-LEN(SUBSTITUTE(A146,{"0","1","2"},"")))))))))+1, 1) * 10^ROW(INDIRECT("1:"&amp;LEN((LEFT(A146,SUM(LEN(A146)-LEN(SUBSTITUTE(A146,{"0","1","2"},""))))))))/10))*1+1&amp;""&amp;" ,.., "&amp;""&amp;(SUMPRODUCT(MID(0&amp;(--TRIM(RIGHT(SUBSTITUTE(LEFT(A146,_xlfn.AGGREGATE(16,6,FIND({0,1,2,3,4,5,6,7,8,9},A146,ROW(INDIRECT("1:"&amp;LEN(A146)))),1))," ",REPT(" ",LEN(A146))),LEN(A146)))), LARGE(INDEX(ISNUMBER(--MID((--TRIM(RIGHT(SUBSTITUTE(LEFT(A146,_xlfn.AGGREGATE(16,6,FIND({0,1,2,3,4,5,6,7,8,9},A146,ROW(INDIRECT("1:"&amp;LEN(A146)))),1))," ",REPT(" ",LEN(A146))),LEN(A146)))), ROW(INDIRECT("1:"&amp;LEN((--TRIM(RIGHT(SUBSTITUTE(LEFT(A146,_xlfn.AGGREGATE(16,6,FIND({0,1,2,3,4,5,6,7,8,9},A146,ROW(INDIRECT("1:"&amp;LEN(A146)))),1))," ",REPT(" ",LEN(A146))),LEN(A146))))))), 1)) * ROW(INDIRECT("1:"&amp;LEN((--TRIM(RIGHT(SUBSTITUTE(LEFT(A146,_xlfn.AGGREGATE(16,6,FIND({0,1,2,3,4,5,6,7,8,9},A146,ROW(INDIRECT("1:"&amp;LEN(A146)))),1))," ",REPT(" ",LEN(A146))),LEN(A146))))))), 0), ROW(INDIRECT("1:"&amp;LEN((--TRIM(RIGHT(SUBSTITUTE(LEFT(A146,_xlfn.AGGREGATE(16,6,FIND({0,1,2,3,4,5,6,7,8,9},A146,ROW(INDIRECT("1:"&amp;LEN(A146)))),1))," ",REPT(" ",LEN(A146))),LEN(A146))))))))+1, 1) * 10^ROW(INDIRECT("1:"&amp;LEN((--TRIM(RIGHT(SUBSTITUTE(LEFT(A146,_xlfn.AGGREGATE(16,6,FIND({0,1,2,3,4,5,6,7,8,9},A146,ROW(INDIRECT("1:"&amp;LEN(A146)))),1))," ",REPT(" ",LEN(A146))),LEN(A146)))))))/10))*1+1</f>
        <v>114 ,.., 514</v>
      </c>
      <c r="B147" s="65"/>
      <c r="C147" s="13" t="s">
        <v>196</v>
      </c>
      <c r="D147" s="13">
        <f>(2.75*3.95+2.01*2.05+2.7*3.5+1.8*1.1+0.9*1.2+1.5*2.75)*10.764</f>
        <v>340.33615200000003</v>
      </c>
      <c r="E147" s="13">
        <v>0</v>
      </c>
      <c r="F147" s="13">
        <f t="shared" si="0"/>
        <v>510.50422800000001</v>
      </c>
      <c r="G147" s="64" t="str">
        <f t="shared" si="1"/>
        <v>1st, 3rd, 5th Floor for Residential</v>
      </c>
      <c r="H147" s="65"/>
      <c r="I147" s="30"/>
    </row>
    <row r="148" spans="1:9" s="2" customFormat="1" ht="15.75" customHeight="1" x14ac:dyDescent="0.25">
      <c r="A148" s="66" t="s">
        <v>190</v>
      </c>
      <c r="B148" s="67"/>
      <c r="C148" s="67"/>
      <c r="D148" s="67"/>
      <c r="E148" s="67"/>
      <c r="F148" s="67"/>
      <c r="G148" s="67"/>
      <c r="H148" s="68"/>
      <c r="I148" s="30"/>
    </row>
    <row r="149" spans="1:9" s="2" customFormat="1" x14ac:dyDescent="0.25">
      <c r="A149" s="64" t="str">
        <f ca="1">(SUMPRODUCT(MID(0&amp;(LEFT(A148,SUM(LEN(A148)-LEN(SUBSTITUTE(A148,{"0","1","2"},""))))), LARGE(INDEX(ISNUMBER(--MID((LEFT(A148,SUM(LEN(A148)-LEN(SUBSTITUTE(A148,{"0","1","2"},""))))), ROW(INDIRECT("1:"&amp;LEN((LEFT(A148,SUM(LEN(A148)-LEN(SUBSTITUTE(A148,{"0","1","2"},"")))))))), 1)) * ROW(INDIRECT("1:"&amp;LEN((LEFT(A148,SUM(LEN(A148)-LEN(SUBSTITUTE(A148,{"0","1","2"},"")))))))), 0), ROW(INDIRECT("1:"&amp;LEN((LEFT(A148,SUM(LEN(A148)-LEN(SUBSTITUTE(A148,{"0","1","2"},"")))))))))+1, 1) * 10^ROW(INDIRECT("1:"&amp;LEN((LEFT(A148,SUM(LEN(A148)-LEN(SUBSTITUTE(A148,{"0","1","2"},""))))))))/10))*100+1&amp;""&amp;" ,.., "&amp;""&amp;(SUMPRODUCT(MID(0&amp;(--TRIM(RIGHT(SUBSTITUTE(LEFT(A148,_xlfn.AGGREGATE(16,6,FIND({0,1,2,3,4,5,6,7,8,9},A148,ROW(INDIRECT("1:"&amp;LEN(A148)))),1))," ",REPT(" ",LEN(A148))),LEN(A148)))), LARGE(INDEX(ISNUMBER(--MID((--TRIM(RIGHT(SUBSTITUTE(LEFT(A148,_xlfn.AGGREGATE(16,6,FIND({0,1,2,3,4,5,6,7,8,9},A148,ROW(INDIRECT("1:"&amp;LEN(A148)))),1))," ",REPT(" ",LEN(A148))),LEN(A148)))), ROW(INDIRECT("1:"&amp;LEN((--TRIM(RIGHT(SUBSTITUTE(LEFT(A148,_xlfn.AGGREGATE(16,6,FIND({0,1,2,3,4,5,6,7,8,9},A148,ROW(INDIRECT("1:"&amp;LEN(A148)))),1))," ",REPT(" ",LEN(A148))),LEN(A148))))))), 1)) * ROW(INDIRECT("1:"&amp;LEN((--TRIM(RIGHT(SUBSTITUTE(LEFT(A148,_xlfn.AGGREGATE(16,6,FIND({0,1,2,3,4,5,6,7,8,9},A148,ROW(INDIRECT("1:"&amp;LEN(A148)))),1))," ",REPT(" ",LEN(A148))),LEN(A148))))))), 0), ROW(INDIRECT("1:"&amp;LEN((--TRIM(RIGHT(SUBSTITUTE(LEFT(A148,_xlfn.AGGREGATE(16,6,FIND({0,1,2,3,4,5,6,7,8,9},A148,ROW(INDIRECT("1:"&amp;LEN(A148)))),1))," ",REPT(" ",LEN(A148))),LEN(A148))))))))+1, 1) * 10^ROW(INDIRECT("1:"&amp;LEN((--TRIM(RIGHT(SUBSTITUTE(LEFT(A148,_xlfn.AGGREGATE(16,6,FIND({0,1,2,3,4,5,6,7,8,9},A148,ROW(INDIRECT("1:"&amp;LEN(A148)))),1))," ",REPT(" ",LEN(A148))),LEN(A148)))))))/10))*100+1</f>
        <v>201 ,.., 601</v>
      </c>
      <c r="B149" s="65"/>
      <c r="C149" s="13" t="s">
        <v>196</v>
      </c>
      <c r="D149" s="13">
        <f>(2.75*3.2+2.1*1.93+2.7*3.5+1.09*1.8+0.9*1.8+1*1.8+1.5*2.75)*10.764</f>
        <v>342.40284000000003</v>
      </c>
      <c r="E149" s="13">
        <v>0</v>
      </c>
      <c r="F149" s="13">
        <f t="shared" ref="F149:F162" si="2">D149*(($F$130)+1)+(IF(E149&lt;101,E149,IF(E149&lt;201,E149/2,IF(E149&lt;=301,E149/3,E149/4))))</f>
        <v>513.60426000000007</v>
      </c>
      <c r="G149" s="64" t="str">
        <f>A148</f>
        <v>2nd, 4th, 6th Floor</v>
      </c>
      <c r="H149" s="65"/>
      <c r="I149" s="30"/>
    </row>
    <row r="150" spans="1:9" s="2" customFormat="1" x14ac:dyDescent="0.25">
      <c r="A150" s="64" t="str">
        <f ca="1">(SUMPRODUCT(MID(0&amp;(LEFT(A149,SUM(LEN(A149)-LEN(SUBSTITUTE(A149,{"0","1","2"},""))))), LARGE(INDEX(ISNUMBER(--MID((LEFT(A149,SUM(LEN(A149)-LEN(SUBSTITUTE(A149,{"0","1","2"},""))))), ROW(INDIRECT("1:"&amp;LEN((LEFT(A149,SUM(LEN(A149)-LEN(SUBSTITUTE(A149,{"0","1","2"},"")))))))), 1)) * ROW(INDIRECT("1:"&amp;LEN((LEFT(A149,SUM(LEN(A149)-LEN(SUBSTITUTE(A149,{"0","1","2"},"")))))))), 0), ROW(INDIRECT("1:"&amp;LEN((LEFT(A149,SUM(LEN(A149)-LEN(SUBSTITUTE(A149,{"0","1","2"},"")))))))))+1, 1) * 10^ROW(INDIRECT("1:"&amp;LEN((LEFT(A149,SUM(LEN(A149)-LEN(SUBSTITUTE(A149,{"0","1","2"},""))))))))/10))*1+1&amp;""&amp;" ,.., "&amp;""&amp;(SUMPRODUCT(MID(0&amp;(--TRIM(RIGHT(SUBSTITUTE(LEFT(A149,_xlfn.AGGREGATE(16,6,FIND({0,1,2,3,4,5,6,7,8,9},A149,ROW(INDIRECT("1:"&amp;LEN(A149)))),1))," ",REPT(" ",LEN(A149))),LEN(A149)))), LARGE(INDEX(ISNUMBER(--MID((--TRIM(RIGHT(SUBSTITUTE(LEFT(A149,_xlfn.AGGREGATE(16,6,FIND({0,1,2,3,4,5,6,7,8,9},A149,ROW(INDIRECT("1:"&amp;LEN(A149)))),1))," ",REPT(" ",LEN(A149))),LEN(A149)))), ROW(INDIRECT("1:"&amp;LEN((--TRIM(RIGHT(SUBSTITUTE(LEFT(A149,_xlfn.AGGREGATE(16,6,FIND({0,1,2,3,4,5,6,7,8,9},A149,ROW(INDIRECT("1:"&amp;LEN(A149)))),1))," ",REPT(" ",LEN(A149))),LEN(A149))))))), 1)) * ROW(INDIRECT("1:"&amp;LEN((--TRIM(RIGHT(SUBSTITUTE(LEFT(A149,_xlfn.AGGREGATE(16,6,FIND({0,1,2,3,4,5,6,7,8,9},A149,ROW(INDIRECT("1:"&amp;LEN(A149)))),1))," ",REPT(" ",LEN(A149))),LEN(A149))))))), 0), ROW(INDIRECT("1:"&amp;LEN((--TRIM(RIGHT(SUBSTITUTE(LEFT(A149,_xlfn.AGGREGATE(16,6,FIND({0,1,2,3,4,5,6,7,8,9},A149,ROW(INDIRECT("1:"&amp;LEN(A149)))),1))," ",REPT(" ",LEN(A149))),LEN(A149))))))))+1, 1) * 10^ROW(INDIRECT("1:"&amp;LEN((--TRIM(RIGHT(SUBSTITUTE(LEFT(A149,_xlfn.AGGREGATE(16,6,FIND({0,1,2,3,4,5,6,7,8,9},A149,ROW(INDIRECT("1:"&amp;LEN(A149)))),1))," ",REPT(" ",LEN(A149))),LEN(A149)))))))/10))*1+1</f>
        <v>202 ,.., 602</v>
      </c>
      <c r="B150" s="65"/>
      <c r="C150" s="13" t="s">
        <v>196</v>
      </c>
      <c r="D150" s="13">
        <f>(2.75*3.45+2.1*1.93+2.7*3.5+1.09*1.8+0.9*1.8+1.5*2.75)*10.764</f>
        <v>330.42789000000005</v>
      </c>
      <c r="E150" s="13">
        <v>0</v>
      </c>
      <c r="F150" s="13">
        <f t="shared" si="2"/>
        <v>495.64183500000007</v>
      </c>
      <c r="G150" s="64" t="str">
        <f t="shared" ref="G150:G162" si="3">G149</f>
        <v>2nd, 4th, 6th Floor</v>
      </c>
      <c r="H150" s="65"/>
      <c r="I150" s="30"/>
    </row>
    <row r="151" spans="1:9" s="2" customFormat="1" ht="15.75" customHeight="1" x14ac:dyDescent="0.25">
      <c r="A151" s="64" t="str">
        <f ca="1">(SUMPRODUCT(MID(0&amp;(LEFT(A150,SUM(LEN(A150)-LEN(SUBSTITUTE(A150,{"0","1","2"},""))))), LARGE(INDEX(ISNUMBER(--MID((LEFT(A150,SUM(LEN(A150)-LEN(SUBSTITUTE(A150,{"0","1","2"},""))))), ROW(INDIRECT("1:"&amp;LEN((LEFT(A150,SUM(LEN(A150)-LEN(SUBSTITUTE(A150,{"0","1","2"},"")))))))), 1)) * ROW(INDIRECT("1:"&amp;LEN((LEFT(A150,SUM(LEN(A150)-LEN(SUBSTITUTE(A150,{"0","1","2"},"")))))))), 0), ROW(INDIRECT("1:"&amp;LEN((LEFT(A150,SUM(LEN(A150)-LEN(SUBSTITUTE(A150,{"0","1","2"},"")))))))))+1, 1) * 10^ROW(INDIRECT("1:"&amp;LEN((LEFT(A150,SUM(LEN(A150)-LEN(SUBSTITUTE(A150,{"0","1","2"},""))))))))/10))*1+1&amp;""&amp;" ,.., "&amp;""&amp;(SUMPRODUCT(MID(0&amp;(--TRIM(RIGHT(SUBSTITUTE(LEFT(A150,_xlfn.AGGREGATE(16,6,FIND({0,1,2,3,4,5,6,7,8,9},A150,ROW(INDIRECT("1:"&amp;LEN(A150)))),1))," ",REPT(" ",LEN(A150))),LEN(A150)))), LARGE(INDEX(ISNUMBER(--MID((--TRIM(RIGHT(SUBSTITUTE(LEFT(A150,_xlfn.AGGREGATE(16,6,FIND({0,1,2,3,4,5,6,7,8,9},A150,ROW(INDIRECT("1:"&amp;LEN(A150)))),1))," ",REPT(" ",LEN(A150))),LEN(A150)))), ROW(INDIRECT("1:"&amp;LEN((--TRIM(RIGHT(SUBSTITUTE(LEFT(A150,_xlfn.AGGREGATE(16,6,FIND({0,1,2,3,4,5,6,7,8,9},A150,ROW(INDIRECT("1:"&amp;LEN(A150)))),1))," ",REPT(" ",LEN(A150))),LEN(A150))))))), 1)) * ROW(INDIRECT("1:"&amp;LEN((--TRIM(RIGHT(SUBSTITUTE(LEFT(A150,_xlfn.AGGREGATE(16,6,FIND({0,1,2,3,4,5,6,7,8,9},A150,ROW(INDIRECT("1:"&amp;LEN(A150)))),1))," ",REPT(" ",LEN(A150))),LEN(A150))))))), 0), ROW(INDIRECT("1:"&amp;LEN((--TRIM(RIGHT(SUBSTITUTE(LEFT(A150,_xlfn.AGGREGATE(16,6,FIND({0,1,2,3,4,5,6,7,8,9},A150,ROW(INDIRECT("1:"&amp;LEN(A150)))),1))," ",REPT(" ",LEN(A150))),LEN(A150))))))))+1, 1) * 10^ROW(INDIRECT("1:"&amp;LEN((--TRIM(RIGHT(SUBSTITUTE(LEFT(A150,_xlfn.AGGREGATE(16,6,FIND({0,1,2,3,4,5,6,7,8,9},A150,ROW(INDIRECT("1:"&amp;LEN(A150)))),1))," ",REPT(" ",LEN(A150))),LEN(A150)))))))/10))*1+1</f>
        <v>203 ,.., 603</v>
      </c>
      <c r="B151" s="65"/>
      <c r="C151" s="13" t="s">
        <v>196</v>
      </c>
      <c r="D151" s="13">
        <f>(2.75*3.45+2.07*2.05+2.7*3.5+1.8*1.1+0.9*1.2+0.9*2.5+0.9*1.2+1.5*2.75)*10.764</f>
        <v>362.70374399999997</v>
      </c>
      <c r="E151" s="13">
        <v>0</v>
      </c>
      <c r="F151" s="13">
        <f t="shared" si="2"/>
        <v>544.05561599999999</v>
      </c>
      <c r="G151" s="64" t="str">
        <f t="shared" si="3"/>
        <v>2nd, 4th, 6th Floor</v>
      </c>
      <c r="H151" s="65"/>
      <c r="I151" s="30"/>
    </row>
    <row r="152" spans="1:9" s="2" customFormat="1" ht="15.75" customHeight="1" x14ac:dyDescent="0.25">
      <c r="A152" s="64" t="str">
        <f ca="1">(SUMPRODUCT(MID(0&amp;(LEFT(A151,SUM(LEN(A151)-LEN(SUBSTITUTE(A151,{"0","1","2"},""))))), LARGE(INDEX(ISNUMBER(--MID((LEFT(A151,SUM(LEN(A151)-LEN(SUBSTITUTE(A151,{"0","1","2"},""))))), ROW(INDIRECT("1:"&amp;LEN((LEFT(A151,SUM(LEN(A151)-LEN(SUBSTITUTE(A151,{"0","1","2"},"")))))))), 1)) * ROW(INDIRECT("1:"&amp;LEN((LEFT(A151,SUM(LEN(A151)-LEN(SUBSTITUTE(A151,{"0","1","2"},"")))))))), 0), ROW(INDIRECT("1:"&amp;LEN((LEFT(A151,SUM(LEN(A151)-LEN(SUBSTITUTE(A151,{"0","1","2"},"")))))))))+1, 1) * 10^ROW(INDIRECT("1:"&amp;LEN((LEFT(A151,SUM(LEN(A151)-LEN(SUBSTITUTE(A151,{"0","1","2"},""))))))))/10))*1+1&amp;""&amp;" ,.., "&amp;""&amp;(SUMPRODUCT(MID(0&amp;(--TRIM(RIGHT(SUBSTITUTE(LEFT(A151,_xlfn.AGGREGATE(16,6,FIND({0,1,2,3,4,5,6,7,8,9},A151,ROW(INDIRECT("1:"&amp;LEN(A151)))),1))," ",REPT(" ",LEN(A151))),LEN(A151)))), LARGE(INDEX(ISNUMBER(--MID((--TRIM(RIGHT(SUBSTITUTE(LEFT(A151,_xlfn.AGGREGATE(16,6,FIND({0,1,2,3,4,5,6,7,8,9},A151,ROW(INDIRECT("1:"&amp;LEN(A151)))),1))," ",REPT(" ",LEN(A151))),LEN(A151)))), ROW(INDIRECT("1:"&amp;LEN((--TRIM(RIGHT(SUBSTITUTE(LEFT(A151,_xlfn.AGGREGATE(16,6,FIND({0,1,2,3,4,5,6,7,8,9},A151,ROW(INDIRECT("1:"&amp;LEN(A151)))),1))," ",REPT(" ",LEN(A151))),LEN(A151))))))), 1)) * ROW(INDIRECT("1:"&amp;LEN((--TRIM(RIGHT(SUBSTITUTE(LEFT(A151,_xlfn.AGGREGATE(16,6,FIND({0,1,2,3,4,5,6,7,8,9},A151,ROW(INDIRECT("1:"&amp;LEN(A151)))),1))," ",REPT(" ",LEN(A151))),LEN(A151))))))), 0), ROW(INDIRECT("1:"&amp;LEN((--TRIM(RIGHT(SUBSTITUTE(LEFT(A151,_xlfn.AGGREGATE(16,6,FIND({0,1,2,3,4,5,6,7,8,9},A151,ROW(INDIRECT("1:"&amp;LEN(A151)))),1))," ",REPT(" ",LEN(A151))),LEN(A151))))))))+1, 1) * 10^ROW(INDIRECT("1:"&amp;LEN((--TRIM(RIGHT(SUBSTITUTE(LEFT(A151,_xlfn.AGGREGATE(16,6,FIND({0,1,2,3,4,5,6,7,8,9},A151,ROW(INDIRECT("1:"&amp;LEN(A151)))),1))," ",REPT(" ",LEN(A151))),LEN(A151)))))))/10))*1+1</f>
        <v>204 ,.., 604</v>
      </c>
      <c r="B152" s="65"/>
      <c r="C152" s="13" t="s">
        <v>196</v>
      </c>
      <c r="D152" s="13">
        <f>(2.75*3.45+2.07*2.05+2.7*3.5+1.8*1.1+0.9*1.2+0.9*2.5+0.9*1.2+1.5*2.75)*10.764</f>
        <v>362.70374399999997</v>
      </c>
      <c r="E152" s="13">
        <v>0</v>
      </c>
      <c r="F152" s="13">
        <f t="shared" si="2"/>
        <v>544.05561599999999</v>
      </c>
      <c r="G152" s="64" t="str">
        <f t="shared" si="3"/>
        <v>2nd, 4th, 6th Floor</v>
      </c>
      <c r="H152" s="65"/>
      <c r="I152" s="30"/>
    </row>
    <row r="153" spans="1:9" s="2" customFormat="1" ht="15.75" customHeight="1" x14ac:dyDescent="0.25">
      <c r="A153" s="64" t="str">
        <f ca="1">(SUMPRODUCT(MID(0&amp;(LEFT(A152,SUM(LEN(A152)-LEN(SUBSTITUTE(A152,{"0","1","2"},""))))), LARGE(INDEX(ISNUMBER(--MID((LEFT(A152,SUM(LEN(A152)-LEN(SUBSTITUTE(A152,{"0","1","2"},""))))), ROW(INDIRECT("1:"&amp;LEN((LEFT(A152,SUM(LEN(A152)-LEN(SUBSTITUTE(A152,{"0","1","2"},"")))))))), 1)) * ROW(INDIRECT("1:"&amp;LEN((LEFT(A152,SUM(LEN(A152)-LEN(SUBSTITUTE(A152,{"0","1","2"},"")))))))), 0), ROW(INDIRECT("1:"&amp;LEN((LEFT(A152,SUM(LEN(A152)-LEN(SUBSTITUTE(A152,{"0","1","2"},"")))))))))+1, 1) * 10^ROW(INDIRECT("1:"&amp;LEN((LEFT(A152,SUM(LEN(A152)-LEN(SUBSTITUTE(A152,{"0","1","2"},""))))))))/10))*1+1&amp;""&amp;" ,.., "&amp;""&amp;(SUMPRODUCT(MID(0&amp;(--TRIM(RIGHT(SUBSTITUTE(LEFT(A152,_xlfn.AGGREGATE(16,6,FIND({0,1,2,3,4,5,6,7,8,9},A152,ROW(INDIRECT("1:"&amp;LEN(A152)))),1))," ",REPT(" ",LEN(A152))),LEN(A152)))), LARGE(INDEX(ISNUMBER(--MID((--TRIM(RIGHT(SUBSTITUTE(LEFT(A152,_xlfn.AGGREGATE(16,6,FIND({0,1,2,3,4,5,6,7,8,9},A152,ROW(INDIRECT("1:"&amp;LEN(A152)))),1))," ",REPT(" ",LEN(A152))),LEN(A152)))), ROW(INDIRECT("1:"&amp;LEN((--TRIM(RIGHT(SUBSTITUTE(LEFT(A152,_xlfn.AGGREGATE(16,6,FIND({0,1,2,3,4,5,6,7,8,9},A152,ROW(INDIRECT("1:"&amp;LEN(A152)))),1))," ",REPT(" ",LEN(A152))),LEN(A152))))))), 1)) * ROW(INDIRECT("1:"&amp;LEN((--TRIM(RIGHT(SUBSTITUTE(LEFT(A152,_xlfn.AGGREGATE(16,6,FIND({0,1,2,3,4,5,6,7,8,9},A152,ROW(INDIRECT("1:"&amp;LEN(A152)))),1))," ",REPT(" ",LEN(A152))),LEN(A152))))))), 0), ROW(INDIRECT("1:"&amp;LEN((--TRIM(RIGHT(SUBSTITUTE(LEFT(A152,_xlfn.AGGREGATE(16,6,FIND({0,1,2,3,4,5,6,7,8,9},A152,ROW(INDIRECT("1:"&amp;LEN(A152)))),1))," ",REPT(" ",LEN(A152))),LEN(A152))))))))+1, 1) * 10^ROW(INDIRECT("1:"&amp;LEN((--TRIM(RIGHT(SUBSTITUTE(LEFT(A152,_xlfn.AGGREGATE(16,6,FIND({0,1,2,3,4,5,6,7,8,9},A152,ROW(INDIRECT("1:"&amp;LEN(A152)))),1))," ",REPT(" ",LEN(A152))),LEN(A152)))))))/10))*1+1</f>
        <v>205 ,.., 605</v>
      </c>
      <c r="B153" s="65"/>
      <c r="C153" s="13" t="s">
        <v>196</v>
      </c>
      <c r="D153" s="13">
        <f>(4.2*2.75+2.1*2.15+3.5*2.7+1.2*2.14+0.9*1.12+0.9*1.8+0.9*3+1.5*2.75+0.45*2.35)*10.764</f>
        <v>415.42043399999994</v>
      </c>
      <c r="E153" s="13">
        <v>0</v>
      </c>
      <c r="F153" s="13">
        <f t="shared" si="2"/>
        <v>623.13065099999994</v>
      </c>
      <c r="G153" s="64" t="str">
        <f t="shared" si="3"/>
        <v>2nd, 4th, 6th Floor</v>
      </c>
      <c r="H153" s="65"/>
      <c r="I153" s="30"/>
    </row>
    <row r="154" spans="1:9" s="2" customFormat="1" ht="15.75" customHeight="1" x14ac:dyDescent="0.25">
      <c r="A154" s="64" t="str">
        <f ca="1">(SUMPRODUCT(MID(0&amp;(LEFT(A153,SUM(LEN(A153)-LEN(SUBSTITUTE(A153,{"0","1","2"},""))))), LARGE(INDEX(ISNUMBER(--MID((LEFT(A153,SUM(LEN(A153)-LEN(SUBSTITUTE(A153,{"0","1","2"},""))))), ROW(INDIRECT("1:"&amp;LEN((LEFT(A153,SUM(LEN(A153)-LEN(SUBSTITUTE(A153,{"0","1","2"},"")))))))), 1)) * ROW(INDIRECT("1:"&amp;LEN((LEFT(A153,SUM(LEN(A153)-LEN(SUBSTITUTE(A153,{"0","1","2"},"")))))))), 0), ROW(INDIRECT("1:"&amp;LEN((LEFT(A153,SUM(LEN(A153)-LEN(SUBSTITUTE(A153,{"0","1","2"},"")))))))))+1, 1) * 10^ROW(INDIRECT("1:"&amp;LEN((LEFT(A153,SUM(LEN(A153)-LEN(SUBSTITUTE(A153,{"0","1","2"},""))))))))/10))*1+1&amp;""&amp;" ,.., "&amp;""&amp;(SUMPRODUCT(MID(0&amp;(--TRIM(RIGHT(SUBSTITUTE(LEFT(A153,_xlfn.AGGREGATE(16,6,FIND({0,1,2,3,4,5,6,7,8,9},A153,ROW(INDIRECT("1:"&amp;LEN(A153)))),1))," ",REPT(" ",LEN(A153))),LEN(A153)))), LARGE(INDEX(ISNUMBER(--MID((--TRIM(RIGHT(SUBSTITUTE(LEFT(A153,_xlfn.AGGREGATE(16,6,FIND({0,1,2,3,4,5,6,7,8,9},A153,ROW(INDIRECT("1:"&amp;LEN(A153)))),1))," ",REPT(" ",LEN(A153))),LEN(A153)))), ROW(INDIRECT("1:"&amp;LEN((--TRIM(RIGHT(SUBSTITUTE(LEFT(A153,_xlfn.AGGREGATE(16,6,FIND({0,1,2,3,4,5,6,7,8,9},A153,ROW(INDIRECT("1:"&amp;LEN(A153)))),1))," ",REPT(" ",LEN(A153))),LEN(A153))))))), 1)) * ROW(INDIRECT("1:"&amp;LEN((--TRIM(RIGHT(SUBSTITUTE(LEFT(A153,_xlfn.AGGREGATE(16,6,FIND({0,1,2,3,4,5,6,7,8,9},A153,ROW(INDIRECT("1:"&amp;LEN(A153)))),1))," ",REPT(" ",LEN(A153))),LEN(A153))))))), 0), ROW(INDIRECT("1:"&amp;LEN((--TRIM(RIGHT(SUBSTITUTE(LEFT(A153,_xlfn.AGGREGATE(16,6,FIND({0,1,2,3,4,5,6,7,8,9},A153,ROW(INDIRECT("1:"&amp;LEN(A153)))),1))," ",REPT(" ",LEN(A153))),LEN(A153))))))))+1, 1) * 10^ROW(INDIRECT("1:"&amp;LEN((--TRIM(RIGHT(SUBSTITUTE(LEFT(A153,_xlfn.AGGREGATE(16,6,FIND({0,1,2,3,4,5,6,7,8,9},A153,ROW(INDIRECT("1:"&amp;LEN(A153)))),1))," ",REPT(" ",LEN(A153))),LEN(A153)))))))/10))*1+1</f>
        <v>206 ,.., 606</v>
      </c>
      <c r="B154" s="65"/>
      <c r="C154" s="13" t="s">
        <v>196</v>
      </c>
      <c r="D154" s="13">
        <f>(3.85*2.75+2.1*2.15+3.5*2.7+1.23*2.05+0.9*1.12+0.9*3+0.9*1.8+1.5*2.75+0.45*2.35)*10.764</f>
        <v>404.55955799999998</v>
      </c>
      <c r="E154" s="13">
        <v>0</v>
      </c>
      <c r="F154" s="13">
        <f t="shared" si="2"/>
        <v>606.839337</v>
      </c>
      <c r="G154" s="64" t="str">
        <f t="shared" si="3"/>
        <v>2nd, 4th, 6th Floor</v>
      </c>
      <c r="H154" s="65"/>
      <c r="I154" s="30"/>
    </row>
    <row r="155" spans="1:9" s="2" customFormat="1" ht="15.75" customHeight="1" x14ac:dyDescent="0.25">
      <c r="A155" s="64" t="str">
        <f ca="1">(SUMPRODUCT(MID(0&amp;(LEFT(A154,SUM(LEN(A154)-LEN(SUBSTITUTE(A154,{"0","1","2"},""))))), LARGE(INDEX(ISNUMBER(--MID((LEFT(A154,SUM(LEN(A154)-LEN(SUBSTITUTE(A154,{"0","1","2"},""))))), ROW(INDIRECT("1:"&amp;LEN((LEFT(A154,SUM(LEN(A154)-LEN(SUBSTITUTE(A154,{"0","1","2"},"")))))))), 1)) * ROW(INDIRECT("1:"&amp;LEN((LEFT(A154,SUM(LEN(A154)-LEN(SUBSTITUTE(A154,{"0","1","2"},"")))))))), 0), ROW(INDIRECT("1:"&amp;LEN((LEFT(A154,SUM(LEN(A154)-LEN(SUBSTITUTE(A154,{"0","1","2"},"")))))))))+1, 1) * 10^ROW(INDIRECT("1:"&amp;LEN((LEFT(A154,SUM(LEN(A154)-LEN(SUBSTITUTE(A154,{"0","1","2"},""))))))))/10))*1+1&amp;""&amp;" ,.., "&amp;""&amp;(SUMPRODUCT(MID(0&amp;(--TRIM(RIGHT(SUBSTITUTE(LEFT(A154,_xlfn.AGGREGATE(16,6,FIND({0,1,2,3,4,5,6,7,8,9},A154,ROW(INDIRECT("1:"&amp;LEN(A154)))),1))," ",REPT(" ",LEN(A154))),LEN(A154)))), LARGE(INDEX(ISNUMBER(--MID((--TRIM(RIGHT(SUBSTITUTE(LEFT(A154,_xlfn.AGGREGATE(16,6,FIND({0,1,2,3,4,5,6,7,8,9},A154,ROW(INDIRECT("1:"&amp;LEN(A154)))),1))," ",REPT(" ",LEN(A154))),LEN(A154)))), ROW(INDIRECT("1:"&amp;LEN((--TRIM(RIGHT(SUBSTITUTE(LEFT(A154,_xlfn.AGGREGATE(16,6,FIND({0,1,2,3,4,5,6,7,8,9},A154,ROW(INDIRECT("1:"&amp;LEN(A154)))),1))," ",REPT(" ",LEN(A154))),LEN(A154))))))), 1)) * ROW(INDIRECT("1:"&amp;LEN((--TRIM(RIGHT(SUBSTITUTE(LEFT(A154,_xlfn.AGGREGATE(16,6,FIND({0,1,2,3,4,5,6,7,8,9},A154,ROW(INDIRECT("1:"&amp;LEN(A154)))),1))," ",REPT(" ",LEN(A154))),LEN(A154))))))), 0), ROW(INDIRECT("1:"&amp;LEN((--TRIM(RIGHT(SUBSTITUTE(LEFT(A154,_xlfn.AGGREGATE(16,6,FIND({0,1,2,3,4,5,6,7,8,9},A154,ROW(INDIRECT("1:"&amp;LEN(A154)))),1))," ",REPT(" ",LEN(A154))),LEN(A154))))))))+1, 1) * 10^ROW(INDIRECT("1:"&amp;LEN((--TRIM(RIGHT(SUBSTITUTE(LEFT(A154,_xlfn.AGGREGATE(16,6,FIND({0,1,2,3,4,5,6,7,8,9},A154,ROW(INDIRECT("1:"&amp;LEN(A154)))),1))," ",REPT(" ",LEN(A154))),LEN(A154)))))))/10))*1+1</f>
        <v>207 ,.., 607</v>
      </c>
      <c r="B155" s="65"/>
      <c r="C155" s="13" t="s">
        <v>196</v>
      </c>
      <c r="D155" s="13">
        <f>(2.75*4+2.07*2.05+2.7*3.5+1.8*1.1+0.9*1.2+0.9*2.5+0.9*1.5+1*1+1.5*2.75)*10.764</f>
        <v>392.65457400000003</v>
      </c>
      <c r="E155" s="13">
        <v>0</v>
      </c>
      <c r="F155" s="13">
        <f t="shared" si="2"/>
        <v>588.98186099999998</v>
      </c>
      <c r="G155" s="64" t="str">
        <f t="shared" si="3"/>
        <v>2nd, 4th, 6th Floor</v>
      </c>
      <c r="H155" s="65"/>
      <c r="I155" s="30"/>
    </row>
    <row r="156" spans="1:9" s="2" customFormat="1" ht="15.75" customHeight="1" x14ac:dyDescent="0.25">
      <c r="A156" s="64" t="str">
        <f ca="1">(SUMPRODUCT(MID(0&amp;(LEFT(A155,SUM(LEN(A155)-LEN(SUBSTITUTE(A155,{"0","1","2"},""))))), LARGE(INDEX(ISNUMBER(--MID((LEFT(A155,SUM(LEN(A155)-LEN(SUBSTITUTE(A155,{"0","1","2"},""))))), ROW(INDIRECT("1:"&amp;LEN((LEFT(A155,SUM(LEN(A155)-LEN(SUBSTITUTE(A155,{"0","1","2"},"")))))))), 1)) * ROW(INDIRECT("1:"&amp;LEN((LEFT(A155,SUM(LEN(A155)-LEN(SUBSTITUTE(A155,{"0","1","2"},"")))))))), 0), ROW(INDIRECT("1:"&amp;LEN((LEFT(A155,SUM(LEN(A155)-LEN(SUBSTITUTE(A155,{"0","1","2"},"")))))))))+1, 1) * 10^ROW(INDIRECT("1:"&amp;LEN((LEFT(A155,SUM(LEN(A155)-LEN(SUBSTITUTE(A155,{"0","1","2"},""))))))))/10))*1+1&amp;""&amp;" ,.., "&amp;""&amp;(SUMPRODUCT(MID(0&amp;(--TRIM(RIGHT(SUBSTITUTE(LEFT(A155,_xlfn.AGGREGATE(16,6,FIND({0,1,2,3,4,5,6,7,8,9},A155,ROW(INDIRECT("1:"&amp;LEN(A155)))),1))," ",REPT(" ",LEN(A155))),LEN(A155)))), LARGE(INDEX(ISNUMBER(--MID((--TRIM(RIGHT(SUBSTITUTE(LEFT(A155,_xlfn.AGGREGATE(16,6,FIND({0,1,2,3,4,5,6,7,8,9},A155,ROW(INDIRECT("1:"&amp;LEN(A155)))),1))," ",REPT(" ",LEN(A155))),LEN(A155)))), ROW(INDIRECT("1:"&amp;LEN((--TRIM(RIGHT(SUBSTITUTE(LEFT(A155,_xlfn.AGGREGATE(16,6,FIND({0,1,2,3,4,5,6,7,8,9},A155,ROW(INDIRECT("1:"&amp;LEN(A155)))),1))," ",REPT(" ",LEN(A155))),LEN(A155))))))), 1)) * ROW(INDIRECT("1:"&amp;LEN((--TRIM(RIGHT(SUBSTITUTE(LEFT(A155,_xlfn.AGGREGATE(16,6,FIND({0,1,2,3,4,5,6,7,8,9},A155,ROW(INDIRECT("1:"&amp;LEN(A155)))),1))," ",REPT(" ",LEN(A155))),LEN(A155))))))), 0), ROW(INDIRECT("1:"&amp;LEN((--TRIM(RIGHT(SUBSTITUTE(LEFT(A155,_xlfn.AGGREGATE(16,6,FIND({0,1,2,3,4,5,6,7,8,9},A155,ROW(INDIRECT("1:"&amp;LEN(A155)))),1))," ",REPT(" ",LEN(A155))),LEN(A155))))))))+1, 1) * 10^ROW(INDIRECT("1:"&amp;LEN((--TRIM(RIGHT(SUBSTITUTE(LEFT(A155,_xlfn.AGGREGATE(16,6,FIND({0,1,2,3,4,5,6,7,8,9},A155,ROW(INDIRECT("1:"&amp;LEN(A155)))),1))," ",REPT(" ",LEN(A155))),LEN(A155)))))))/10))*1+1</f>
        <v>208 ,.., 608</v>
      </c>
      <c r="B156" s="65"/>
      <c r="C156" s="13" t="s">
        <v>196</v>
      </c>
      <c r="D156" s="13">
        <f>(2.75*3+2.07*2.05+2.7*3.5+0.9*1.2+1.8*1.2+0.9*2.5+0.9*1.2+1.5*2.75+1*1.8)*10.764</f>
        <v>370.69601399999993</v>
      </c>
      <c r="E156" s="13">
        <v>0</v>
      </c>
      <c r="F156" s="13">
        <f t="shared" si="2"/>
        <v>556.04402099999993</v>
      </c>
      <c r="G156" s="64" t="str">
        <f t="shared" si="3"/>
        <v>2nd, 4th, 6th Floor</v>
      </c>
      <c r="H156" s="65"/>
      <c r="I156" s="30"/>
    </row>
    <row r="157" spans="1:9" s="2" customFormat="1" ht="15.75" customHeight="1" x14ac:dyDescent="0.25">
      <c r="A157" s="64" t="str">
        <f ca="1">(SUMPRODUCT(MID(0&amp;(LEFT(A156,SUM(LEN(A156)-LEN(SUBSTITUTE(A156,{"0","1","2"},""))))), LARGE(INDEX(ISNUMBER(--MID((LEFT(A156,SUM(LEN(A156)-LEN(SUBSTITUTE(A156,{"0","1","2"},""))))), ROW(INDIRECT("1:"&amp;LEN((LEFT(A156,SUM(LEN(A156)-LEN(SUBSTITUTE(A156,{"0","1","2"},"")))))))), 1)) * ROW(INDIRECT("1:"&amp;LEN((LEFT(A156,SUM(LEN(A156)-LEN(SUBSTITUTE(A156,{"0","1","2"},"")))))))), 0), ROW(INDIRECT("1:"&amp;LEN((LEFT(A156,SUM(LEN(A156)-LEN(SUBSTITUTE(A156,{"0","1","2"},"")))))))))+1, 1) * 10^ROW(INDIRECT("1:"&amp;LEN((LEFT(A156,SUM(LEN(A156)-LEN(SUBSTITUTE(A156,{"0","1","2"},""))))))))/10))*1+1&amp;""&amp;" ,.., "&amp;""&amp;(SUMPRODUCT(MID(0&amp;(--TRIM(RIGHT(SUBSTITUTE(LEFT(A156,_xlfn.AGGREGATE(16,6,FIND({0,1,2,3,4,5,6,7,8,9},A156,ROW(INDIRECT("1:"&amp;LEN(A156)))),1))," ",REPT(" ",LEN(A156))),LEN(A156)))), LARGE(INDEX(ISNUMBER(--MID((--TRIM(RIGHT(SUBSTITUTE(LEFT(A156,_xlfn.AGGREGATE(16,6,FIND({0,1,2,3,4,5,6,7,8,9},A156,ROW(INDIRECT("1:"&amp;LEN(A156)))),1))," ",REPT(" ",LEN(A156))),LEN(A156)))), ROW(INDIRECT("1:"&amp;LEN((--TRIM(RIGHT(SUBSTITUTE(LEFT(A156,_xlfn.AGGREGATE(16,6,FIND({0,1,2,3,4,5,6,7,8,9},A156,ROW(INDIRECT("1:"&amp;LEN(A156)))),1))," ",REPT(" ",LEN(A156))),LEN(A156))))))), 1)) * ROW(INDIRECT("1:"&amp;LEN((--TRIM(RIGHT(SUBSTITUTE(LEFT(A156,_xlfn.AGGREGATE(16,6,FIND({0,1,2,3,4,5,6,7,8,9},A156,ROW(INDIRECT("1:"&amp;LEN(A156)))),1))," ",REPT(" ",LEN(A156))),LEN(A156))))))), 0), ROW(INDIRECT("1:"&amp;LEN((--TRIM(RIGHT(SUBSTITUTE(LEFT(A156,_xlfn.AGGREGATE(16,6,FIND({0,1,2,3,4,5,6,7,8,9},A156,ROW(INDIRECT("1:"&amp;LEN(A156)))),1))," ",REPT(" ",LEN(A156))),LEN(A156))))))))+1, 1) * 10^ROW(INDIRECT("1:"&amp;LEN((--TRIM(RIGHT(SUBSTITUTE(LEFT(A156,_xlfn.AGGREGATE(16,6,FIND({0,1,2,3,4,5,6,7,8,9},A156,ROW(INDIRECT("1:"&amp;LEN(A156)))),1))," ",REPT(" ",LEN(A156))),LEN(A156)))))))/10))*1+1</f>
        <v>209 ,.., 609</v>
      </c>
      <c r="B157" s="65"/>
      <c r="C157" s="13" t="s">
        <v>196</v>
      </c>
      <c r="D157" s="13">
        <f>(2.75*3.45+2.07*2.05+2.7*3.5+1.8*1.1+0.9*1.2+0.9*2.5+0.9*1.2+1.5*2.75)*10.764</f>
        <v>362.70374399999997</v>
      </c>
      <c r="E157" s="13">
        <v>0</v>
      </c>
      <c r="F157" s="13">
        <f t="shared" si="2"/>
        <v>544.05561599999999</v>
      </c>
      <c r="G157" s="64" t="str">
        <f t="shared" si="3"/>
        <v>2nd, 4th, 6th Floor</v>
      </c>
      <c r="H157" s="65"/>
      <c r="I157" s="30"/>
    </row>
    <row r="158" spans="1:9" s="2" customFormat="1" ht="15.75" customHeight="1" x14ac:dyDescent="0.25">
      <c r="A158" s="64" t="str">
        <f ca="1">(SUMPRODUCT(MID(0&amp;(LEFT(A157,SUM(LEN(A157)-LEN(SUBSTITUTE(A157,{"0","1","2"},""))))), LARGE(INDEX(ISNUMBER(--MID((LEFT(A157,SUM(LEN(A157)-LEN(SUBSTITUTE(A157,{"0","1","2"},""))))), ROW(INDIRECT("1:"&amp;LEN((LEFT(A157,SUM(LEN(A157)-LEN(SUBSTITUTE(A157,{"0","1","2"},"")))))))), 1)) * ROW(INDIRECT("1:"&amp;LEN((LEFT(A157,SUM(LEN(A157)-LEN(SUBSTITUTE(A157,{"0","1","2"},"")))))))), 0), ROW(INDIRECT("1:"&amp;LEN((LEFT(A157,SUM(LEN(A157)-LEN(SUBSTITUTE(A157,{"0","1","2"},"")))))))))+1, 1) * 10^ROW(INDIRECT("1:"&amp;LEN((LEFT(A157,SUM(LEN(A157)-LEN(SUBSTITUTE(A157,{"0","1","2"},""))))))))/10))*1+1&amp;""&amp;" ,.., "&amp;""&amp;(SUMPRODUCT(MID(0&amp;(--TRIM(RIGHT(SUBSTITUTE(LEFT(A157,_xlfn.AGGREGATE(16,6,FIND({0,1,2,3,4,5,6,7,8,9},A157,ROW(INDIRECT("1:"&amp;LEN(A157)))),1))," ",REPT(" ",LEN(A157))),LEN(A157)))), LARGE(INDEX(ISNUMBER(--MID((--TRIM(RIGHT(SUBSTITUTE(LEFT(A157,_xlfn.AGGREGATE(16,6,FIND({0,1,2,3,4,5,6,7,8,9},A157,ROW(INDIRECT("1:"&amp;LEN(A157)))),1))," ",REPT(" ",LEN(A157))),LEN(A157)))), ROW(INDIRECT("1:"&amp;LEN((--TRIM(RIGHT(SUBSTITUTE(LEFT(A157,_xlfn.AGGREGATE(16,6,FIND({0,1,2,3,4,5,6,7,8,9},A157,ROW(INDIRECT("1:"&amp;LEN(A157)))),1))," ",REPT(" ",LEN(A157))),LEN(A157))))))), 1)) * ROW(INDIRECT("1:"&amp;LEN((--TRIM(RIGHT(SUBSTITUTE(LEFT(A157,_xlfn.AGGREGATE(16,6,FIND({0,1,2,3,4,5,6,7,8,9},A157,ROW(INDIRECT("1:"&amp;LEN(A157)))),1))," ",REPT(" ",LEN(A157))),LEN(A157))))))), 0), ROW(INDIRECT("1:"&amp;LEN((--TRIM(RIGHT(SUBSTITUTE(LEFT(A157,_xlfn.AGGREGATE(16,6,FIND({0,1,2,3,4,5,6,7,8,9},A157,ROW(INDIRECT("1:"&amp;LEN(A157)))),1))," ",REPT(" ",LEN(A157))),LEN(A157))))))))+1, 1) * 10^ROW(INDIRECT("1:"&amp;LEN((--TRIM(RIGHT(SUBSTITUTE(LEFT(A157,_xlfn.AGGREGATE(16,6,FIND({0,1,2,3,4,5,6,7,8,9},A157,ROW(INDIRECT("1:"&amp;LEN(A157)))),1))," ",REPT(" ",LEN(A157))),LEN(A157)))))))/10))*1+1</f>
        <v>210 ,.., 610</v>
      </c>
      <c r="B158" s="65"/>
      <c r="C158" s="13" t="s">
        <v>196</v>
      </c>
      <c r="D158" s="13">
        <f>(2.75*3.45+2.07*2.05+2.7*3.5+1.8*1.1+0.9*1.2+0.9*2.5+0.9*1.2+1.5*2.75)*10.764</f>
        <v>362.70374399999997</v>
      </c>
      <c r="E158" s="13">
        <v>0</v>
      </c>
      <c r="F158" s="13">
        <f t="shared" si="2"/>
        <v>544.05561599999999</v>
      </c>
      <c r="G158" s="64" t="str">
        <f t="shared" si="3"/>
        <v>2nd, 4th, 6th Floor</v>
      </c>
      <c r="H158" s="65"/>
      <c r="I158" s="30"/>
    </row>
    <row r="159" spans="1:9" s="2" customFormat="1" ht="15.75" customHeight="1" x14ac:dyDescent="0.25">
      <c r="A159" s="64" t="str">
        <f ca="1">(SUMPRODUCT(MID(0&amp;(LEFT(A158,SUM(LEN(A158)-LEN(SUBSTITUTE(A158,{"0","1","2"},""))))), LARGE(INDEX(ISNUMBER(--MID((LEFT(A158,SUM(LEN(A158)-LEN(SUBSTITUTE(A158,{"0","1","2"},""))))), ROW(INDIRECT("1:"&amp;LEN((LEFT(A158,SUM(LEN(A158)-LEN(SUBSTITUTE(A158,{"0","1","2"},"")))))))), 1)) * ROW(INDIRECT("1:"&amp;LEN((LEFT(A158,SUM(LEN(A158)-LEN(SUBSTITUTE(A158,{"0","1","2"},"")))))))), 0), ROW(INDIRECT("1:"&amp;LEN((LEFT(A158,SUM(LEN(A158)-LEN(SUBSTITUTE(A158,{"0","1","2"},"")))))))))+1, 1) * 10^ROW(INDIRECT("1:"&amp;LEN((LEFT(A158,SUM(LEN(A158)-LEN(SUBSTITUTE(A158,{"0","1","2"},""))))))))/10))*1+1&amp;""&amp;" ,.., "&amp;""&amp;(SUMPRODUCT(MID(0&amp;(--TRIM(RIGHT(SUBSTITUTE(LEFT(A158,_xlfn.AGGREGATE(16,6,FIND({0,1,2,3,4,5,6,7,8,9},A158,ROW(INDIRECT("1:"&amp;LEN(A158)))),1))," ",REPT(" ",LEN(A158))),LEN(A158)))), LARGE(INDEX(ISNUMBER(--MID((--TRIM(RIGHT(SUBSTITUTE(LEFT(A158,_xlfn.AGGREGATE(16,6,FIND({0,1,2,3,4,5,6,7,8,9},A158,ROW(INDIRECT("1:"&amp;LEN(A158)))),1))," ",REPT(" ",LEN(A158))),LEN(A158)))), ROW(INDIRECT("1:"&amp;LEN((--TRIM(RIGHT(SUBSTITUTE(LEFT(A158,_xlfn.AGGREGATE(16,6,FIND({0,1,2,3,4,5,6,7,8,9},A158,ROW(INDIRECT("1:"&amp;LEN(A158)))),1))," ",REPT(" ",LEN(A158))),LEN(A158))))))), 1)) * ROW(INDIRECT("1:"&amp;LEN((--TRIM(RIGHT(SUBSTITUTE(LEFT(A158,_xlfn.AGGREGATE(16,6,FIND({0,1,2,3,4,5,6,7,8,9},A158,ROW(INDIRECT("1:"&amp;LEN(A158)))),1))," ",REPT(" ",LEN(A158))),LEN(A158))))))), 0), ROW(INDIRECT("1:"&amp;LEN((--TRIM(RIGHT(SUBSTITUTE(LEFT(A158,_xlfn.AGGREGATE(16,6,FIND({0,1,2,3,4,5,6,7,8,9},A158,ROW(INDIRECT("1:"&amp;LEN(A158)))),1))," ",REPT(" ",LEN(A158))),LEN(A158))))))))+1, 1) * 10^ROW(INDIRECT("1:"&amp;LEN((--TRIM(RIGHT(SUBSTITUTE(LEFT(A158,_xlfn.AGGREGATE(16,6,FIND({0,1,2,3,4,5,6,7,8,9},A158,ROW(INDIRECT("1:"&amp;LEN(A158)))),1))," ",REPT(" ",LEN(A158))),LEN(A158)))))))/10))*1+1</f>
        <v>211 ,.., 611</v>
      </c>
      <c r="B159" s="65"/>
      <c r="C159" s="13" t="s">
        <v>196</v>
      </c>
      <c r="D159" s="13">
        <f>(2.75*3.45+2.07*2.05+2.7*3.5+1.8*1.1+0.9*1.2+0.9*2.5+0.9*1.2+1.5*2.75)*10.764</f>
        <v>362.70374399999997</v>
      </c>
      <c r="E159" s="13">
        <v>0</v>
      </c>
      <c r="F159" s="13">
        <f t="shared" si="2"/>
        <v>544.05561599999999</v>
      </c>
      <c r="G159" s="64" t="str">
        <f t="shared" si="3"/>
        <v>2nd, 4th, 6th Floor</v>
      </c>
      <c r="H159" s="65"/>
      <c r="I159" s="30"/>
    </row>
    <row r="160" spans="1:9" s="2" customFormat="1" ht="15.75" customHeight="1" x14ac:dyDescent="0.25">
      <c r="A160" s="64" t="str">
        <f ca="1">(SUMPRODUCT(MID(0&amp;(LEFT(A159,SUM(LEN(A159)-LEN(SUBSTITUTE(A159,{"0","1","2"},""))))), LARGE(INDEX(ISNUMBER(--MID((LEFT(A159,SUM(LEN(A159)-LEN(SUBSTITUTE(A159,{"0","1","2"},""))))), ROW(INDIRECT("1:"&amp;LEN((LEFT(A159,SUM(LEN(A159)-LEN(SUBSTITUTE(A159,{"0","1","2"},"")))))))), 1)) * ROW(INDIRECT("1:"&amp;LEN((LEFT(A159,SUM(LEN(A159)-LEN(SUBSTITUTE(A159,{"0","1","2"},"")))))))), 0), ROW(INDIRECT("1:"&amp;LEN((LEFT(A159,SUM(LEN(A159)-LEN(SUBSTITUTE(A159,{"0","1","2"},"")))))))))+1, 1) * 10^ROW(INDIRECT("1:"&amp;LEN((LEFT(A159,SUM(LEN(A159)-LEN(SUBSTITUTE(A159,{"0","1","2"},""))))))))/10))*1+1&amp;""&amp;" ,.., "&amp;""&amp;(SUMPRODUCT(MID(0&amp;(--TRIM(RIGHT(SUBSTITUTE(LEFT(A159,_xlfn.AGGREGATE(16,6,FIND({0,1,2,3,4,5,6,7,8,9},A159,ROW(INDIRECT("1:"&amp;LEN(A159)))),1))," ",REPT(" ",LEN(A159))),LEN(A159)))), LARGE(INDEX(ISNUMBER(--MID((--TRIM(RIGHT(SUBSTITUTE(LEFT(A159,_xlfn.AGGREGATE(16,6,FIND({0,1,2,3,4,5,6,7,8,9},A159,ROW(INDIRECT("1:"&amp;LEN(A159)))),1))," ",REPT(" ",LEN(A159))),LEN(A159)))), ROW(INDIRECT("1:"&amp;LEN((--TRIM(RIGHT(SUBSTITUTE(LEFT(A159,_xlfn.AGGREGATE(16,6,FIND({0,1,2,3,4,5,6,7,8,9},A159,ROW(INDIRECT("1:"&amp;LEN(A159)))),1))," ",REPT(" ",LEN(A159))),LEN(A159))))))), 1)) * ROW(INDIRECT("1:"&amp;LEN((--TRIM(RIGHT(SUBSTITUTE(LEFT(A159,_xlfn.AGGREGATE(16,6,FIND({0,1,2,3,4,5,6,7,8,9},A159,ROW(INDIRECT("1:"&amp;LEN(A159)))),1))," ",REPT(" ",LEN(A159))),LEN(A159))))))), 0), ROW(INDIRECT("1:"&amp;LEN((--TRIM(RIGHT(SUBSTITUTE(LEFT(A159,_xlfn.AGGREGATE(16,6,FIND({0,1,2,3,4,5,6,7,8,9},A159,ROW(INDIRECT("1:"&amp;LEN(A159)))),1))," ",REPT(" ",LEN(A159))),LEN(A159))))))))+1, 1) * 10^ROW(INDIRECT("1:"&amp;LEN((--TRIM(RIGHT(SUBSTITUTE(LEFT(A159,_xlfn.AGGREGATE(16,6,FIND({0,1,2,3,4,5,6,7,8,9},A159,ROW(INDIRECT("1:"&amp;LEN(A159)))),1))," ",REPT(" ",LEN(A159))),LEN(A159)))))))/10))*1+1</f>
        <v>212 ,.., 612</v>
      </c>
      <c r="B160" s="65"/>
      <c r="C160" s="13" t="s">
        <v>196</v>
      </c>
      <c r="D160" s="13">
        <f>(2.68*2.75+2.1*2.15+3.5*2.7+1.2*2.14+0.9*1.12+0.9*1.8+0.9*3+1.5*2.75+0.45*2.35)*10.764</f>
        <v>370.42691399999995</v>
      </c>
      <c r="E160" s="13">
        <v>0</v>
      </c>
      <c r="F160" s="13">
        <f t="shared" si="2"/>
        <v>555.64037099999996</v>
      </c>
      <c r="G160" s="64" t="str">
        <f t="shared" si="3"/>
        <v>2nd, 4th, 6th Floor</v>
      </c>
      <c r="H160" s="65"/>
      <c r="I160" s="30"/>
    </row>
    <row r="161" spans="1:9" s="2" customFormat="1" ht="15.75" customHeight="1" x14ac:dyDescent="0.25">
      <c r="A161" s="64" t="str">
        <f ca="1">(SUMPRODUCT(MID(0&amp;(LEFT(A160,SUM(LEN(A160)-LEN(SUBSTITUTE(A160,{"0","1","2"},""))))), LARGE(INDEX(ISNUMBER(--MID((LEFT(A160,SUM(LEN(A160)-LEN(SUBSTITUTE(A160,{"0","1","2"},""))))), ROW(INDIRECT("1:"&amp;LEN((LEFT(A160,SUM(LEN(A160)-LEN(SUBSTITUTE(A160,{"0","1","2"},"")))))))), 1)) * ROW(INDIRECT("1:"&amp;LEN((LEFT(A160,SUM(LEN(A160)-LEN(SUBSTITUTE(A160,{"0","1","2"},"")))))))), 0), ROW(INDIRECT("1:"&amp;LEN((LEFT(A160,SUM(LEN(A160)-LEN(SUBSTITUTE(A160,{"0","1","2"},"")))))))))+1, 1) * 10^ROW(INDIRECT("1:"&amp;LEN((LEFT(A160,SUM(LEN(A160)-LEN(SUBSTITUTE(A160,{"0","1","2"},""))))))))/10))*1+1&amp;""&amp;" ,.., "&amp;""&amp;(SUMPRODUCT(MID(0&amp;(--TRIM(RIGHT(SUBSTITUTE(LEFT(A160,_xlfn.AGGREGATE(16,6,FIND({0,1,2,3,4,5,6,7,8,9},A160,ROW(INDIRECT("1:"&amp;LEN(A160)))),1))," ",REPT(" ",LEN(A160))),LEN(A160)))), LARGE(INDEX(ISNUMBER(--MID((--TRIM(RIGHT(SUBSTITUTE(LEFT(A160,_xlfn.AGGREGATE(16,6,FIND({0,1,2,3,4,5,6,7,8,9},A160,ROW(INDIRECT("1:"&amp;LEN(A160)))),1))," ",REPT(" ",LEN(A160))),LEN(A160)))), ROW(INDIRECT("1:"&amp;LEN((--TRIM(RIGHT(SUBSTITUTE(LEFT(A160,_xlfn.AGGREGATE(16,6,FIND({0,1,2,3,4,5,6,7,8,9},A160,ROW(INDIRECT("1:"&amp;LEN(A160)))),1))," ",REPT(" ",LEN(A160))),LEN(A160))))))), 1)) * ROW(INDIRECT("1:"&amp;LEN((--TRIM(RIGHT(SUBSTITUTE(LEFT(A160,_xlfn.AGGREGATE(16,6,FIND({0,1,2,3,4,5,6,7,8,9},A160,ROW(INDIRECT("1:"&amp;LEN(A160)))),1))," ",REPT(" ",LEN(A160))),LEN(A160))))))), 0), ROW(INDIRECT("1:"&amp;LEN((--TRIM(RIGHT(SUBSTITUTE(LEFT(A160,_xlfn.AGGREGATE(16,6,FIND({0,1,2,3,4,5,6,7,8,9},A160,ROW(INDIRECT("1:"&amp;LEN(A160)))),1))," ",REPT(" ",LEN(A160))),LEN(A160))))))))+1, 1) * 10^ROW(INDIRECT("1:"&amp;LEN((--TRIM(RIGHT(SUBSTITUTE(LEFT(A160,_xlfn.AGGREGATE(16,6,FIND({0,1,2,3,4,5,6,7,8,9},A160,ROW(INDIRECT("1:"&amp;LEN(A160)))),1))," ",REPT(" ",LEN(A160))),LEN(A160)))))))/10))*1+1</f>
        <v>213 ,.., 613</v>
      </c>
      <c r="B161" s="65"/>
      <c r="C161" s="13" t="s">
        <v>196</v>
      </c>
      <c r="D161" s="13">
        <f>(3.45*2.75+2.1*2.14+3.5*2.7+0.9*1+1.2*2.06+0.9*1.8+0.9*3+1.5*2.75+0.45*2.35)*10.764</f>
        <v>390.79778399999992</v>
      </c>
      <c r="E161" s="13">
        <v>0</v>
      </c>
      <c r="F161" s="13">
        <f t="shared" si="2"/>
        <v>586.19667599999991</v>
      </c>
      <c r="G161" s="64" t="str">
        <f t="shared" si="3"/>
        <v>2nd, 4th, 6th Floor</v>
      </c>
      <c r="H161" s="65"/>
      <c r="I161" s="30"/>
    </row>
    <row r="162" spans="1:9" s="2" customFormat="1" ht="15.75" customHeight="1" x14ac:dyDescent="0.25">
      <c r="A162" s="64" t="str">
        <f ca="1">(SUMPRODUCT(MID(0&amp;(LEFT(A161,SUM(LEN(A161)-LEN(SUBSTITUTE(A161,{"0","1","2"},""))))), LARGE(INDEX(ISNUMBER(--MID((LEFT(A161,SUM(LEN(A161)-LEN(SUBSTITUTE(A161,{"0","1","2"},""))))), ROW(INDIRECT("1:"&amp;LEN((LEFT(A161,SUM(LEN(A161)-LEN(SUBSTITUTE(A161,{"0","1","2"},"")))))))), 1)) * ROW(INDIRECT("1:"&amp;LEN((LEFT(A161,SUM(LEN(A161)-LEN(SUBSTITUTE(A161,{"0","1","2"},"")))))))), 0), ROW(INDIRECT("1:"&amp;LEN((LEFT(A161,SUM(LEN(A161)-LEN(SUBSTITUTE(A161,{"0","1","2"},"")))))))))+1, 1) * 10^ROW(INDIRECT("1:"&amp;LEN((LEFT(A161,SUM(LEN(A161)-LEN(SUBSTITUTE(A161,{"0","1","2"},""))))))))/10))*1+1&amp;""&amp;" ,.., "&amp;""&amp;(SUMPRODUCT(MID(0&amp;(--TRIM(RIGHT(SUBSTITUTE(LEFT(A161,_xlfn.AGGREGATE(16,6,FIND({0,1,2,3,4,5,6,7,8,9},A161,ROW(INDIRECT("1:"&amp;LEN(A161)))),1))," ",REPT(" ",LEN(A161))),LEN(A161)))), LARGE(INDEX(ISNUMBER(--MID((--TRIM(RIGHT(SUBSTITUTE(LEFT(A161,_xlfn.AGGREGATE(16,6,FIND({0,1,2,3,4,5,6,7,8,9},A161,ROW(INDIRECT("1:"&amp;LEN(A161)))),1))," ",REPT(" ",LEN(A161))),LEN(A161)))), ROW(INDIRECT("1:"&amp;LEN((--TRIM(RIGHT(SUBSTITUTE(LEFT(A161,_xlfn.AGGREGATE(16,6,FIND({0,1,2,3,4,5,6,7,8,9},A161,ROW(INDIRECT("1:"&amp;LEN(A161)))),1))," ",REPT(" ",LEN(A161))),LEN(A161))))))), 1)) * ROW(INDIRECT("1:"&amp;LEN((--TRIM(RIGHT(SUBSTITUTE(LEFT(A161,_xlfn.AGGREGATE(16,6,FIND({0,1,2,3,4,5,6,7,8,9},A161,ROW(INDIRECT("1:"&amp;LEN(A161)))),1))," ",REPT(" ",LEN(A161))),LEN(A161))))))), 0), ROW(INDIRECT("1:"&amp;LEN((--TRIM(RIGHT(SUBSTITUTE(LEFT(A161,_xlfn.AGGREGATE(16,6,FIND({0,1,2,3,4,5,6,7,8,9},A161,ROW(INDIRECT("1:"&amp;LEN(A161)))),1))," ",REPT(" ",LEN(A161))),LEN(A161))))))))+1, 1) * 10^ROW(INDIRECT("1:"&amp;LEN((--TRIM(RIGHT(SUBSTITUTE(LEFT(A161,_xlfn.AGGREGATE(16,6,FIND({0,1,2,3,4,5,6,7,8,9},A161,ROW(INDIRECT("1:"&amp;LEN(A161)))),1))," ",REPT(" ",LEN(A161))),LEN(A161)))))))/10))*1+1</f>
        <v>214 ,.., 614</v>
      </c>
      <c r="B162" s="65"/>
      <c r="C162" s="13" t="s">
        <v>196</v>
      </c>
      <c r="D162" s="13">
        <f>(2.75*3.95+2.01*2.05+2.7*3.5+1.8*1.1+0.9*1.2+1.5*2.75)*10.764</f>
        <v>340.33615200000003</v>
      </c>
      <c r="E162" s="13">
        <v>0</v>
      </c>
      <c r="F162" s="13">
        <f t="shared" si="2"/>
        <v>510.50422800000001</v>
      </c>
      <c r="G162" s="64" t="str">
        <f t="shared" si="3"/>
        <v>2nd, 4th, 6th Floor</v>
      </c>
      <c r="H162" s="65"/>
      <c r="I162" s="30"/>
    </row>
    <row r="163" spans="1:9" s="4" customFormat="1" x14ac:dyDescent="0.25">
      <c r="A163" s="69" t="s">
        <v>192</v>
      </c>
      <c r="B163" s="70"/>
      <c r="C163" s="70"/>
      <c r="D163" s="70"/>
      <c r="E163" s="70"/>
      <c r="F163" s="70"/>
      <c r="G163" s="70"/>
      <c r="H163" s="71"/>
    </row>
    <row r="164" spans="1:9" s="2" customFormat="1" ht="15.75" customHeight="1" x14ac:dyDescent="0.25">
      <c r="A164" s="66" t="s">
        <v>189</v>
      </c>
      <c r="B164" s="67"/>
      <c r="C164" s="67"/>
      <c r="D164" s="67"/>
      <c r="E164" s="67"/>
      <c r="F164" s="67"/>
      <c r="G164" s="67"/>
      <c r="H164" s="68"/>
      <c r="I164" s="30"/>
    </row>
    <row r="165" spans="1:9" s="2" customFormat="1" x14ac:dyDescent="0.25">
      <c r="A165" s="64" t="str">
        <f ca="1">(SUMPRODUCT(MID(0&amp;(LEFT(A164,SUM(LEN(A164)-LEN(SUBSTITUTE(A164,{"0","1","2"},""))))), LARGE(INDEX(ISNUMBER(--MID((LEFT(A164,SUM(LEN(A164)-LEN(SUBSTITUTE(A164,{"0","1","2"},""))))), ROW(INDIRECT("1:"&amp;LEN((LEFT(A164,SUM(LEN(A164)-LEN(SUBSTITUTE(A164,{"0","1","2"},"")))))))), 1)) * ROW(INDIRECT("1:"&amp;LEN((LEFT(A164,SUM(LEN(A164)-LEN(SUBSTITUTE(A164,{"0","1","2"},"")))))))), 0), ROW(INDIRECT("1:"&amp;LEN((LEFT(A164,SUM(LEN(A164)-LEN(SUBSTITUTE(A164,{"0","1","2"},"")))))))))+1, 1) * 10^ROW(INDIRECT("1:"&amp;LEN((LEFT(A164,SUM(LEN(A164)-LEN(SUBSTITUTE(A164,{"0","1","2"},""))))))))/10))*100+1&amp;""&amp;" ,.., "&amp;""&amp;(SUMPRODUCT(MID(0&amp;(--TRIM(RIGHT(SUBSTITUTE(LEFT(A164,_xlfn.AGGREGATE(16,6,FIND({0,1,2,3,4,5,6,7,8,9},A164,ROW(INDIRECT("1:"&amp;LEN(A164)))),1))," ",REPT(" ",LEN(A164))),LEN(A164)))), LARGE(INDEX(ISNUMBER(--MID((--TRIM(RIGHT(SUBSTITUTE(LEFT(A164,_xlfn.AGGREGATE(16,6,FIND({0,1,2,3,4,5,6,7,8,9},A164,ROW(INDIRECT("1:"&amp;LEN(A164)))),1))," ",REPT(" ",LEN(A164))),LEN(A164)))), ROW(INDIRECT("1:"&amp;LEN((--TRIM(RIGHT(SUBSTITUTE(LEFT(A164,_xlfn.AGGREGATE(16,6,FIND({0,1,2,3,4,5,6,7,8,9},A164,ROW(INDIRECT("1:"&amp;LEN(A164)))),1))," ",REPT(" ",LEN(A164))),LEN(A164))))))), 1)) * ROW(INDIRECT("1:"&amp;LEN((--TRIM(RIGHT(SUBSTITUTE(LEFT(A164,_xlfn.AGGREGATE(16,6,FIND({0,1,2,3,4,5,6,7,8,9},A164,ROW(INDIRECT("1:"&amp;LEN(A164)))),1))," ",REPT(" ",LEN(A164))),LEN(A164))))))), 0), ROW(INDIRECT("1:"&amp;LEN((--TRIM(RIGHT(SUBSTITUTE(LEFT(A164,_xlfn.AGGREGATE(16,6,FIND({0,1,2,3,4,5,6,7,8,9},A164,ROW(INDIRECT("1:"&amp;LEN(A164)))),1))," ",REPT(" ",LEN(A164))),LEN(A164))))))))+1, 1) * 10^ROW(INDIRECT("1:"&amp;LEN((--TRIM(RIGHT(SUBSTITUTE(LEFT(A164,_xlfn.AGGREGATE(16,6,FIND({0,1,2,3,4,5,6,7,8,9},A164,ROW(INDIRECT("1:"&amp;LEN(A164)))),1))," ",REPT(" ",LEN(A164))),LEN(A164)))))))/10))*100+1</f>
        <v>101 ,.., 501</v>
      </c>
      <c r="B165" s="65"/>
      <c r="C165" s="13" t="s">
        <v>196</v>
      </c>
      <c r="D165" s="13">
        <f>(2.75*3.2+2.1*1.93+2.7*3.5+1.09*1.8+0.9*1.8+1*1.8+1.5*2.75)*10.764</f>
        <v>342.40284000000003</v>
      </c>
      <c r="E165" s="13">
        <v>0</v>
      </c>
      <c r="F165" s="13">
        <f t="shared" ref="F165:F178" si="4">D165*(($F$130)+1)+(IF(E165&lt;101,E165,IF(E165&lt;201,E165/2,IF(E165&lt;=301,E165/3,E165/4))))</f>
        <v>513.60426000000007</v>
      </c>
      <c r="G165" s="64" t="str">
        <f>A164</f>
        <v>1st, 3rd, 5th Floor for Residential</v>
      </c>
      <c r="H165" s="65"/>
      <c r="I165" s="30"/>
    </row>
    <row r="166" spans="1:9" s="2" customFormat="1" ht="15.75" customHeight="1" x14ac:dyDescent="0.25">
      <c r="A166" s="64" t="str">
        <f ca="1">(SUMPRODUCT(MID(0&amp;(LEFT(A165,SUM(LEN(A165)-LEN(SUBSTITUTE(A165,{"0","1","2"},""))))), LARGE(INDEX(ISNUMBER(--MID((LEFT(A165,SUM(LEN(A165)-LEN(SUBSTITUTE(A165,{"0","1","2"},""))))), ROW(INDIRECT("1:"&amp;LEN((LEFT(A165,SUM(LEN(A165)-LEN(SUBSTITUTE(A165,{"0","1","2"},"")))))))), 1)) * ROW(INDIRECT("1:"&amp;LEN((LEFT(A165,SUM(LEN(A165)-LEN(SUBSTITUTE(A165,{"0","1","2"},"")))))))), 0), ROW(INDIRECT("1:"&amp;LEN((LEFT(A165,SUM(LEN(A165)-LEN(SUBSTITUTE(A165,{"0","1","2"},"")))))))))+1, 1) * 10^ROW(INDIRECT("1:"&amp;LEN((LEFT(A165,SUM(LEN(A165)-LEN(SUBSTITUTE(A165,{"0","1","2"},""))))))))/10))*1+1&amp;""&amp;" ,.., "&amp;""&amp;(SUMPRODUCT(MID(0&amp;(--TRIM(RIGHT(SUBSTITUTE(LEFT(A165,_xlfn.AGGREGATE(16,6,FIND({0,1,2,3,4,5,6,7,8,9},A165,ROW(INDIRECT("1:"&amp;LEN(A165)))),1))," ",REPT(" ",LEN(A165))),LEN(A165)))), LARGE(INDEX(ISNUMBER(--MID((--TRIM(RIGHT(SUBSTITUTE(LEFT(A165,_xlfn.AGGREGATE(16,6,FIND({0,1,2,3,4,5,6,7,8,9},A165,ROW(INDIRECT("1:"&amp;LEN(A165)))),1))," ",REPT(" ",LEN(A165))),LEN(A165)))), ROW(INDIRECT("1:"&amp;LEN((--TRIM(RIGHT(SUBSTITUTE(LEFT(A165,_xlfn.AGGREGATE(16,6,FIND({0,1,2,3,4,5,6,7,8,9},A165,ROW(INDIRECT("1:"&amp;LEN(A165)))),1))," ",REPT(" ",LEN(A165))),LEN(A165))))))), 1)) * ROW(INDIRECT("1:"&amp;LEN((--TRIM(RIGHT(SUBSTITUTE(LEFT(A165,_xlfn.AGGREGATE(16,6,FIND({0,1,2,3,4,5,6,7,8,9},A165,ROW(INDIRECT("1:"&amp;LEN(A165)))),1))," ",REPT(" ",LEN(A165))),LEN(A165))))))), 0), ROW(INDIRECT("1:"&amp;LEN((--TRIM(RIGHT(SUBSTITUTE(LEFT(A165,_xlfn.AGGREGATE(16,6,FIND({0,1,2,3,4,5,6,7,8,9},A165,ROW(INDIRECT("1:"&amp;LEN(A165)))),1))," ",REPT(" ",LEN(A165))),LEN(A165))))))))+1, 1) * 10^ROW(INDIRECT("1:"&amp;LEN((--TRIM(RIGHT(SUBSTITUTE(LEFT(A165,_xlfn.AGGREGATE(16,6,FIND({0,1,2,3,4,5,6,7,8,9},A165,ROW(INDIRECT("1:"&amp;LEN(A165)))),1))," ",REPT(" ",LEN(A165))),LEN(A165)))))))/10))*1+1</f>
        <v>102 ,.., 502</v>
      </c>
      <c r="B166" s="65"/>
      <c r="C166" s="13" t="s">
        <v>196</v>
      </c>
      <c r="D166" s="13">
        <f>(2.75*3.45+2.1*1.93+2.7*3.5+1.09*1.8+0.9*1.8+1.5*2.75)*10.764</f>
        <v>330.42789000000005</v>
      </c>
      <c r="E166" s="13">
        <v>0</v>
      </c>
      <c r="F166" s="13">
        <f t="shared" si="4"/>
        <v>495.64183500000007</v>
      </c>
      <c r="G166" s="64" t="str">
        <f t="shared" ref="G166:G178" si="5">G165</f>
        <v>1st, 3rd, 5th Floor for Residential</v>
      </c>
      <c r="H166" s="65"/>
      <c r="I166" s="30"/>
    </row>
    <row r="167" spans="1:9" s="2" customFormat="1" ht="15.75" customHeight="1" x14ac:dyDescent="0.25">
      <c r="A167" s="64" t="str">
        <f ca="1">(SUMPRODUCT(MID(0&amp;(LEFT(A166,SUM(LEN(A166)-LEN(SUBSTITUTE(A166,{"0","1","2"},""))))), LARGE(INDEX(ISNUMBER(--MID((LEFT(A166,SUM(LEN(A166)-LEN(SUBSTITUTE(A166,{"0","1","2"},""))))), ROW(INDIRECT("1:"&amp;LEN((LEFT(A166,SUM(LEN(A166)-LEN(SUBSTITUTE(A166,{"0","1","2"},"")))))))), 1)) * ROW(INDIRECT("1:"&amp;LEN((LEFT(A166,SUM(LEN(A166)-LEN(SUBSTITUTE(A166,{"0","1","2"},"")))))))), 0), ROW(INDIRECT("1:"&amp;LEN((LEFT(A166,SUM(LEN(A166)-LEN(SUBSTITUTE(A166,{"0","1","2"},"")))))))))+1, 1) * 10^ROW(INDIRECT("1:"&amp;LEN((LEFT(A166,SUM(LEN(A166)-LEN(SUBSTITUTE(A166,{"0","1","2"},""))))))))/10))*1+1&amp;""&amp;" ,.., "&amp;""&amp;(SUMPRODUCT(MID(0&amp;(--TRIM(RIGHT(SUBSTITUTE(LEFT(A166,_xlfn.AGGREGATE(16,6,FIND({0,1,2,3,4,5,6,7,8,9},A166,ROW(INDIRECT("1:"&amp;LEN(A166)))),1))," ",REPT(" ",LEN(A166))),LEN(A166)))), LARGE(INDEX(ISNUMBER(--MID((--TRIM(RIGHT(SUBSTITUTE(LEFT(A166,_xlfn.AGGREGATE(16,6,FIND({0,1,2,3,4,5,6,7,8,9},A166,ROW(INDIRECT("1:"&amp;LEN(A166)))),1))," ",REPT(" ",LEN(A166))),LEN(A166)))), ROW(INDIRECT("1:"&amp;LEN((--TRIM(RIGHT(SUBSTITUTE(LEFT(A166,_xlfn.AGGREGATE(16,6,FIND({0,1,2,3,4,5,6,7,8,9},A166,ROW(INDIRECT("1:"&amp;LEN(A166)))),1))," ",REPT(" ",LEN(A166))),LEN(A166))))))), 1)) * ROW(INDIRECT("1:"&amp;LEN((--TRIM(RIGHT(SUBSTITUTE(LEFT(A166,_xlfn.AGGREGATE(16,6,FIND({0,1,2,3,4,5,6,7,8,9},A166,ROW(INDIRECT("1:"&amp;LEN(A166)))),1))," ",REPT(" ",LEN(A166))),LEN(A166))))))), 0), ROW(INDIRECT("1:"&amp;LEN((--TRIM(RIGHT(SUBSTITUTE(LEFT(A166,_xlfn.AGGREGATE(16,6,FIND({0,1,2,3,4,5,6,7,8,9},A166,ROW(INDIRECT("1:"&amp;LEN(A166)))),1))," ",REPT(" ",LEN(A166))),LEN(A166))))))))+1, 1) * 10^ROW(INDIRECT("1:"&amp;LEN((--TRIM(RIGHT(SUBSTITUTE(LEFT(A166,_xlfn.AGGREGATE(16,6,FIND({0,1,2,3,4,5,6,7,8,9},A166,ROW(INDIRECT("1:"&amp;LEN(A166)))),1))," ",REPT(" ",LEN(A166))),LEN(A166)))))))/10))*1+1</f>
        <v>103 ,.., 503</v>
      </c>
      <c r="B167" s="65"/>
      <c r="C167" s="13" t="s">
        <v>196</v>
      </c>
      <c r="D167" s="13">
        <f>(2.75*3.45+2.07*2.05+2.7*3.5+1.8*1.1+0.9*1.2+0.9*2.5+0.9*1.2+1.5*2.75)*10.764</f>
        <v>362.70374399999997</v>
      </c>
      <c r="E167" s="13">
        <v>0</v>
      </c>
      <c r="F167" s="13">
        <f t="shared" si="4"/>
        <v>544.05561599999999</v>
      </c>
      <c r="G167" s="64" t="str">
        <f t="shared" si="5"/>
        <v>1st, 3rd, 5th Floor for Residential</v>
      </c>
      <c r="H167" s="65"/>
      <c r="I167" s="30"/>
    </row>
    <row r="168" spans="1:9" s="2" customFormat="1" ht="15.75" customHeight="1" x14ac:dyDescent="0.25">
      <c r="A168" s="64" t="str">
        <f ca="1">(SUMPRODUCT(MID(0&amp;(LEFT(A167,SUM(LEN(A167)-LEN(SUBSTITUTE(A167,{"0","1","2"},""))))), LARGE(INDEX(ISNUMBER(--MID((LEFT(A167,SUM(LEN(A167)-LEN(SUBSTITUTE(A167,{"0","1","2"},""))))), ROW(INDIRECT("1:"&amp;LEN((LEFT(A167,SUM(LEN(A167)-LEN(SUBSTITUTE(A167,{"0","1","2"},"")))))))), 1)) * ROW(INDIRECT("1:"&amp;LEN((LEFT(A167,SUM(LEN(A167)-LEN(SUBSTITUTE(A167,{"0","1","2"},"")))))))), 0), ROW(INDIRECT("1:"&amp;LEN((LEFT(A167,SUM(LEN(A167)-LEN(SUBSTITUTE(A167,{"0","1","2"},"")))))))))+1, 1) * 10^ROW(INDIRECT("1:"&amp;LEN((LEFT(A167,SUM(LEN(A167)-LEN(SUBSTITUTE(A167,{"0","1","2"},""))))))))/10))*1+1&amp;""&amp;" ,.., "&amp;""&amp;(SUMPRODUCT(MID(0&amp;(--TRIM(RIGHT(SUBSTITUTE(LEFT(A167,_xlfn.AGGREGATE(16,6,FIND({0,1,2,3,4,5,6,7,8,9},A167,ROW(INDIRECT("1:"&amp;LEN(A167)))),1))," ",REPT(" ",LEN(A167))),LEN(A167)))), LARGE(INDEX(ISNUMBER(--MID((--TRIM(RIGHT(SUBSTITUTE(LEFT(A167,_xlfn.AGGREGATE(16,6,FIND({0,1,2,3,4,5,6,7,8,9},A167,ROW(INDIRECT("1:"&amp;LEN(A167)))),1))," ",REPT(" ",LEN(A167))),LEN(A167)))), ROW(INDIRECT("1:"&amp;LEN((--TRIM(RIGHT(SUBSTITUTE(LEFT(A167,_xlfn.AGGREGATE(16,6,FIND({0,1,2,3,4,5,6,7,8,9},A167,ROW(INDIRECT("1:"&amp;LEN(A167)))),1))," ",REPT(" ",LEN(A167))),LEN(A167))))))), 1)) * ROW(INDIRECT("1:"&amp;LEN((--TRIM(RIGHT(SUBSTITUTE(LEFT(A167,_xlfn.AGGREGATE(16,6,FIND({0,1,2,3,4,5,6,7,8,9},A167,ROW(INDIRECT("1:"&amp;LEN(A167)))),1))," ",REPT(" ",LEN(A167))),LEN(A167))))))), 0), ROW(INDIRECT("1:"&amp;LEN((--TRIM(RIGHT(SUBSTITUTE(LEFT(A167,_xlfn.AGGREGATE(16,6,FIND({0,1,2,3,4,5,6,7,8,9},A167,ROW(INDIRECT("1:"&amp;LEN(A167)))),1))," ",REPT(" ",LEN(A167))),LEN(A167))))))))+1, 1) * 10^ROW(INDIRECT("1:"&amp;LEN((--TRIM(RIGHT(SUBSTITUTE(LEFT(A167,_xlfn.AGGREGATE(16,6,FIND({0,1,2,3,4,5,6,7,8,9},A167,ROW(INDIRECT("1:"&amp;LEN(A167)))),1))," ",REPT(" ",LEN(A167))),LEN(A167)))))))/10))*1+1</f>
        <v>104 ,.., 504</v>
      </c>
      <c r="B168" s="65"/>
      <c r="C168" s="13" t="s">
        <v>196</v>
      </c>
      <c r="D168" s="13">
        <f>(2.75*3.45+2.07*2.05+2.7*3.5+1.8*1.1+0.9*1.2+0.9*2.5+0.9*1.2+1.5*2.75)*10.764</f>
        <v>362.70374399999997</v>
      </c>
      <c r="E168" s="13">
        <v>0</v>
      </c>
      <c r="F168" s="13">
        <f t="shared" si="4"/>
        <v>544.05561599999999</v>
      </c>
      <c r="G168" s="64" t="str">
        <f t="shared" si="5"/>
        <v>1st, 3rd, 5th Floor for Residential</v>
      </c>
      <c r="H168" s="65"/>
      <c r="I168" s="30"/>
    </row>
    <row r="169" spans="1:9" s="2" customFormat="1" ht="15.75" customHeight="1" x14ac:dyDescent="0.25">
      <c r="A169" s="64" t="str">
        <f ca="1">(SUMPRODUCT(MID(0&amp;(LEFT(A168,SUM(LEN(A168)-LEN(SUBSTITUTE(A168,{"0","1","2"},""))))), LARGE(INDEX(ISNUMBER(--MID((LEFT(A168,SUM(LEN(A168)-LEN(SUBSTITUTE(A168,{"0","1","2"},""))))), ROW(INDIRECT("1:"&amp;LEN((LEFT(A168,SUM(LEN(A168)-LEN(SUBSTITUTE(A168,{"0","1","2"},"")))))))), 1)) * ROW(INDIRECT("1:"&amp;LEN((LEFT(A168,SUM(LEN(A168)-LEN(SUBSTITUTE(A168,{"0","1","2"},"")))))))), 0), ROW(INDIRECT("1:"&amp;LEN((LEFT(A168,SUM(LEN(A168)-LEN(SUBSTITUTE(A168,{"0","1","2"},"")))))))))+1, 1) * 10^ROW(INDIRECT("1:"&amp;LEN((LEFT(A168,SUM(LEN(A168)-LEN(SUBSTITUTE(A168,{"0","1","2"},""))))))))/10))*1+1&amp;""&amp;" ,.., "&amp;""&amp;(SUMPRODUCT(MID(0&amp;(--TRIM(RIGHT(SUBSTITUTE(LEFT(A168,_xlfn.AGGREGATE(16,6,FIND({0,1,2,3,4,5,6,7,8,9},A168,ROW(INDIRECT("1:"&amp;LEN(A168)))),1))," ",REPT(" ",LEN(A168))),LEN(A168)))), LARGE(INDEX(ISNUMBER(--MID((--TRIM(RIGHT(SUBSTITUTE(LEFT(A168,_xlfn.AGGREGATE(16,6,FIND({0,1,2,3,4,5,6,7,8,9},A168,ROW(INDIRECT("1:"&amp;LEN(A168)))),1))," ",REPT(" ",LEN(A168))),LEN(A168)))), ROW(INDIRECT("1:"&amp;LEN((--TRIM(RIGHT(SUBSTITUTE(LEFT(A168,_xlfn.AGGREGATE(16,6,FIND({0,1,2,3,4,5,6,7,8,9},A168,ROW(INDIRECT("1:"&amp;LEN(A168)))),1))," ",REPT(" ",LEN(A168))),LEN(A168))))))), 1)) * ROW(INDIRECT("1:"&amp;LEN((--TRIM(RIGHT(SUBSTITUTE(LEFT(A168,_xlfn.AGGREGATE(16,6,FIND({0,1,2,3,4,5,6,7,8,9},A168,ROW(INDIRECT("1:"&amp;LEN(A168)))),1))," ",REPT(" ",LEN(A168))),LEN(A168))))))), 0), ROW(INDIRECT("1:"&amp;LEN((--TRIM(RIGHT(SUBSTITUTE(LEFT(A168,_xlfn.AGGREGATE(16,6,FIND({0,1,2,3,4,5,6,7,8,9},A168,ROW(INDIRECT("1:"&amp;LEN(A168)))),1))," ",REPT(" ",LEN(A168))),LEN(A168))))))))+1, 1) * 10^ROW(INDIRECT("1:"&amp;LEN((--TRIM(RIGHT(SUBSTITUTE(LEFT(A168,_xlfn.AGGREGATE(16,6,FIND({0,1,2,3,4,5,6,7,8,9},A168,ROW(INDIRECT("1:"&amp;LEN(A168)))),1))," ",REPT(" ",LEN(A168))),LEN(A168)))))))/10))*1+1</f>
        <v>105 ,.., 505</v>
      </c>
      <c r="B169" s="65"/>
      <c r="C169" s="13" t="s">
        <v>196</v>
      </c>
      <c r="D169" s="13">
        <f>(4.2*2.75+2.1*2.15+3.5*2.7+1.2*2.14+0.9*1.12+0.9*1.8+0.9*3+1.5*2.75+0.45*2.35)*10.764</f>
        <v>415.42043399999994</v>
      </c>
      <c r="E169" s="13">
        <v>0</v>
      </c>
      <c r="F169" s="13">
        <f t="shared" si="4"/>
        <v>623.13065099999994</v>
      </c>
      <c r="G169" s="64" t="str">
        <f t="shared" si="5"/>
        <v>1st, 3rd, 5th Floor for Residential</v>
      </c>
      <c r="H169" s="65"/>
      <c r="I169" s="30"/>
    </row>
    <row r="170" spans="1:9" s="2" customFormat="1" ht="15.75" customHeight="1" x14ac:dyDescent="0.25">
      <c r="A170" s="64" t="str">
        <f ca="1">(SUMPRODUCT(MID(0&amp;(LEFT(A169,SUM(LEN(A169)-LEN(SUBSTITUTE(A169,{"0","1","2"},""))))), LARGE(INDEX(ISNUMBER(--MID((LEFT(A169,SUM(LEN(A169)-LEN(SUBSTITUTE(A169,{"0","1","2"},""))))), ROW(INDIRECT("1:"&amp;LEN((LEFT(A169,SUM(LEN(A169)-LEN(SUBSTITUTE(A169,{"0","1","2"},"")))))))), 1)) * ROW(INDIRECT("1:"&amp;LEN((LEFT(A169,SUM(LEN(A169)-LEN(SUBSTITUTE(A169,{"0","1","2"},"")))))))), 0), ROW(INDIRECT("1:"&amp;LEN((LEFT(A169,SUM(LEN(A169)-LEN(SUBSTITUTE(A169,{"0","1","2"},"")))))))))+1, 1) * 10^ROW(INDIRECT("1:"&amp;LEN((LEFT(A169,SUM(LEN(A169)-LEN(SUBSTITUTE(A169,{"0","1","2"},""))))))))/10))*1+1&amp;""&amp;" ,.., "&amp;""&amp;(SUMPRODUCT(MID(0&amp;(--TRIM(RIGHT(SUBSTITUTE(LEFT(A169,_xlfn.AGGREGATE(16,6,FIND({0,1,2,3,4,5,6,7,8,9},A169,ROW(INDIRECT("1:"&amp;LEN(A169)))),1))," ",REPT(" ",LEN(A169))),LEN(A169)))), LARGE(INDEX(ISNUMBER(--MID((--TRIM(RIGHT(SUBSTITUTE(LEFT(A169,_xlfn.AGGREGATE(16,6,FIND({0,1,2,3,4,5,6,7,8,9},A169,ROW(INDIRECT("1:"&amp;LEN(A169)))),1))," ",REPT(" ",LEN(A169))),LEN(A169)))), ROW(INDIRECT("1:"&amp;LEN((--TRIM(RIGHT(SUBSTITUTE(LEFT(A169,_xlfn.AGGREGATE(16,6,FIND({0,1,2,3,4,5,6,7,8,9},A169,ROW(INDIRECT("1:"&amp;LEN(A169)))),1))," ",REPT(" ",LEN(A169))),LEN(A169))))))), 1)) * ROW(INDIRECT("1:"&amp;LEN((--TRIM(RIGHT(SUBSTITUTE(LEFT(A169,_xlfn.AGGREGATE(16,6,FIND({0,1,2,3,4,5,6,7,8,9},A169,ROW(INDIRECT("1:"&amp;LEN(A169)))),1))," ",REPT(" ",LEN(A169))),LEN(A169))))))), 0), ROW(INDIRECT("1:"&amp;LEN((--TRIM(RIGHT(SUBSTITUTE(LEFT(A169,_xlfn.AGGREGATE(16,6,FIND({0,1,2,3,4,5,6,7,8,9},A169,ROW(INDIRECT("1:"&amp;LEN(A169)))),1))," ",REPT(" ",LEN(A169))),LEN(A169))))))))+1, 1) * 10^ROW(INDIRECT("1:"&amp;LEN((--TRIM(RIGHT(SUBSTITUTE(LEFT(A169,_xlfn.AGGREGATE(16,6,FIND({0,1,2,3,4,5,6,7,8,9},A169,ROW(INDIRECT("1:"&amp;LEN(A169)))),1))," ",REPT(" ",LEN(A169))),LEN(A169)))))))/10))*1+1</f>
        <v>106 ,.., 506</v>
      </c>
      <c r="B170" s="65"/>
      <c r="C170" s="13" t="s">
        <v>196</v>
      </c>
      <c r="D170" s="13">
        <f>(3.85*2.75+2.1*2.15+3.5*2.7+1.23*2.05+0.9*1.12+0.9*3+0.9*1.8+1.5*2.75+0.45*2.35)*10.764</f>
        <v>404.55955799999998</v>
      </c>
      <c r="E170" s="13">
        <v>0</v>
      </c>
      <c r="F170" s="13">
        <f t="shared" si="4"/>
        <v>606.839337</v>
      </c>
      <c r="G170" s="64" t="str">
        <f t="shared" si="5"/>
        <v>1st, 3rd, 5th Floor for Residential</v>
      </c>
      <c r="H170" s="65"/>
      <c r="I170" s="30"/>
    </row>
    <row r="171" spans="1:9" s="2" customFormat="1" ht="15.75" customHeight="1" x14ac:dyDescent="0.25">
      <c r="A171" s="64" t="str">
        <f ca="1">(SUMPRODUCT(MID(0&amp;(LEFT(A170,SUM(LEN(A170)-LEN(SUBSTITUTE(A170,{"0","1","2"},""))))), LARGE(INDEX(ISNUMBER(--MID((LEFT(A170,SUM(LEN(A170)-LEN(SUBSTITUTE(A170,{"0","1","2"},""))))), ROW(INDIRECT("1:"&amp;LEN((LEFT(A170,SUM(LEN(A170)-LEN(SUBSTITUTE(A170,{"0","1","2"},"")))))))), 1)) * ROW(INDIRECT("1:"&amp;LEN((LEFT(A170,SUM(LEN(A170)-LEN(SUBSTITUTE(A170,{"0","1","2"},"")))))))), 0), ROW(INDIRECT("1:"&amp;LEN((LEFT(A170,SUM(LEN(A170)-LEN(SUBSTITUTE(A170,{"0","1","2"},"")))))))))+1, 1) * 10^ROW(INDIRECT("1:"&amp;LEN((LEFT(A170,SUM(LEN(A170)-LEN(SUBSTITUTE(A170,{"0","1","2"},""))))))))/10))*1+1&amp;""&amp;" ,.., "&amp;""&amp;(SUMPRODUCT(MID(0&amp;(--TRIM(RIGHT(SUBSTITUTE(LEFT(A170,_xlfn.AGGREGATE(16,6,FIND({0,1,2,3,4,5,6,7,8,9},A170,ROW(INDIRECT("1:"&amp;LEN(A170)))),1))," ",REPT(" ",LEN(A170))),LEN(A170)))), LARGE(INDEX(ISNUMBER(--MID((--TRIM(RIGHT(SUBSTITUTE(LEFT(A170,_xlfn.AGGREGATE(16,6,FIND({0,1,2,3,4,5,6,7,8,9},A170,ROW(INDIRECT("1:"&amp;LEN(A170)))),1))," ",REPT(" ",LEN(A170))),LEN(A170)))), ROW(INDIRECT("1:"&amp;LEN((--TRIM(RIGHT(SUBSTITUTE(LEFT(A170,_xlfn.AGGREGATE(16,6,FIND({0,1,2,3,4,5,6,7,8,9},A170,ROW(INDIRECT("1:"&amp;LEN(A170)))),1))," ",REPT(" ",LEN(A170))),LEN(A170))))))), 1)) * ROW(INDIRECT("1:"&amp;LEN((--TRIM(RIGHT(SUBSTITUTE(LEFT(A170,_xlfn.AGGREGATE(16,6,FIND({0,1,2,3,4,5,6,7,8,9},A170,ROW(INDIRECT("1:"&amp;LEN(A170)))),1))," ",REPT(" ",LEN(A170))),LEN(A170))))))), 0), ROW(INDIRECT("1:"&amp;LEN((--TRIM(RIGHT(SUBSTITUTE(LEFT(A170,_xlfn.AGGREGATE(16,6,FIND({0,1,2,3,4,5,6,7,8,9},A170,ROW(INDIRECT("1:"&amp;LEN(A170)))),1))," ",REPT(" ",LEN(A170))),LEN(A170))))))))+1, 1) * 10^ROW(INDIRECT("1:"&amp;LEN((--TRIM(RIGHT(SUBSTITUTE(LEFT(A170,_xlfn.AGGREGATE(16,6,FIND({0,1,2,3,4,5,6,7,8,9},A170,ROW(INDIRECT("1:"&amp;LEN(A170)))),1))," ",REPT(" ",LEN(A170))),LEN(A170)))))))/10))*1+1</f>
        <v>107 ,.., 507</v>
      </c>
      <c r="B171" s="65"/>
      <c r="C171" s="13" t="s">
        <v>196</v>
      </c>
      <c r="D171" s="13">
        <f>(2.75*4+2.07*2.05+2.7*3.5+1.8*1.1+0.9*1.2+0.9*2.5+0.9*1.5+1*1+1.5*2.75)*10.764</f>
        <v>392.65457400000003</v>
      </c>
      <c r="E171" s="13">
        <v>0</v>
      </c>
      <c r="F171" s="13">
        <f t="shared" si="4"/>
        <v>588.98186099999998</v>
      </c>
      <c r="G171" s="64" t="str">
        <f t="shared" si="5"/>
        <v>1st, 3rd, 5th Floor for Residential</v>
      </c>
      <c r="H171" s="65"/>
      <c r="I171" s="30"/>
    </row>
    <row r="172" spans="1:9" s="2" customFormat="1" ht="15.75" customHeight="1" x14ac:dyDescent="0.25">
      <c r="A172" s="64" t="str">
        <f ca="1">(SUMPRODUCT(MID(0&amp;(LEFT(A171,SUM(LEN(A171)-LEN(SUBSTITUTE(A171,{"0","1","2"},""))))), LARGE(INDEX(ISNUMBER(--MID((LEFT(A171,SUM(LEN(A171)-LEN(SUBSTITUTE(A171,{"0","1","2"},""))))), ROW(INDIRECT("1:"&amp;LEN((LEFT(A171,SUM(LEN(A171)-LEN(SUBSTITUTE(A171,{"0","1","2"},"")))))))), 1)) * ROW(INDIRECT("1:"&amp;LEN((LEFT(A171,SUM(LEN(A171)-LEN(SUBSTITUTE(A171,{"0","1","2"},"")))))))), 0), ROW(INDIRECT("1:"&amp;LEN((LEFT(A171,SUM(LEN(A171)-LEN(SUBSTITUTE(A171,{"0","1","2"},"")))))))))+1, 1) * 10^ROW(INDIRECT("1:"&amp;LEN((LEFT(A171,SUM(LEN(A171)-LEN(SUBSTITUTE(A171,{"0","1","2"},""))))))))/10))*1+1&amp;""&amp;" ,.., "&amp;""&amp;(SUMPRODUCT(MID(0&amp;(--TRIM(RIGHT(SUBSTITUTE(LEFT(A171,_xlfn.AGGREGATE(16,6,FIND({0,1,2,3,4,5,6,7,8,9},A171,ROW(INDIRECT("1:"&amp;LEN(A171)))),1))," ",REPT(" ",LEN(A171))),LEN(A171)))), LARGE(INDEX(ISNUMBER(--MID((--TRIM(RIGHT(SUBSTITUTE(LEFT(A171,_xlfn.AGGREGATE(16,6,FIND({0,1,2,3,4,5,6,7,8,9},A171,ROW(INDIRECT("1:"&amp;LEN(A171)))),1))," ",REPT(" ",LEN(A171))),LEN(A171)))), ROW(INDIRECT("1:"&amp;LEN((--TRIM(RIGHT(SUBSTITUTE(LEFT(A171,_xlfn.AGGREGATE(16,6,FIND({0,1,2,3,4,5,6,7,8,9},A171,ROW(INDIRECT("1:"&amp;LEN(A171)))),1))," ",REPT(" ",LEN(A171))),LEN(A171))))))), 1)) * ROW(INDIRECT("1:"&amp;LEN((--TRIM(RIGHT(SUBSTITUTE(LEFT(A171,_xlfn.AGGREGATE(16,6,FIND({0,1,2,3,4,5,6,7,8,9},A171,ROW(INDIRECT("1:"&amp;LEN(A171)))),1))," ",REPT(" ",LEN(A171))),LEN(A171))))))), 0), ROW(INDIRECT("1:"&amp;LEN((--TRIM(RIGHT(SUBSTITUTE(LEFT(A171,_xlfn.AGGREGATE(16,6,FIND({0,1,2,3,4,5,6,7,8,9},A171,ROW(INDIRECT("1:"&amp;LEN(A171)))),1))," ",REPT(" ",LEN(A171))),LEN(A171))))))))+1, 1) * 10^ROW(INDIRECT("1:"&amp;LEN((--TRIM(RIGHT(SUBSTITUTE(LEFT(A171,_xlfn.AGGREGATE(16,6,FIND({0,1,2,3,4,5,6,7,8,9},A171,ROW(INDIRECT("1:"&amp;LEN(A171)))),1))," ",REPT(" ",LEN(A171))),LEN(A171)))))))/10))*1+1</f>
        <v>108 ,.., 508</v>
      </c>
      <c r="B172" s="65"/>
      <c r="C172" s="13" t="s">
        <v>196</v>
      </c>
      <c r="D172" s="13">
        <f>(2.75*3+2.07*2.05+2.7*3.5+0.9*1.2+1.8*1.2+0.9*2.5+0.9*1.2+1.5*2.75+1*1.8)*10.764</f>
        <v>370.69601399999993</v>
      </c>
      <c r="E172" s="13">
        <v>0</v>
      </c>
      <c r="F172" s="13">
        <f t="shared" si="4"/>
        <v>556.04402099999993</v>
      </c>
      <c r="G172" s="64" t="str">
        <f t="shared" si="5"/>
        <v>1st, 3rd, 5th Floor for Residential</v>
      </c>
      <c r="H172" s="65"/>
      <c r="I172" s="30"/>
    </row>
    <row r="173" spans="1:9" s="2" customFormat="1" ht="15.75" customHeight="1" x14ac:dyDescent="0.25">
      <c r="A173" s="64" t="str">
        <f ca="1">(SUMPRODUCT(MID(0&amp;(LEFT(A172,SUM(LEN(A172)-LEN(SUBSTITUTE(A172,{"0","1","2"},""))))), LARGE(INDEX(ISNUMBER(--MID((LEFT(A172,SUM(LEN(A172)-LEN(SUBSTITUTE(A172,{"0","1","2"},""))))), ROW(INDIRECT("1:"&amp;LEN((LEFT(A172,SUM(LEN(A172)-LEN(SUBSTITUTE(A172,{"0","1","2"},"")))))))), 1)) * ROW(INDIRECT("1:"&amp;LEN((LEFT(A172,SUM(LEN(A172)-LEN(SUBSTITUTE(A172,{"0","1","2"},"")))))))), 0), ROW(INDIRECT("1:"&amp;LEN((LEFT(A172,SUM(LEN(A172)-LEN(SUBSTITUTE(A172,{"0","1","2"},"")))))))))+1, 1) * 10^ROW(INDIRECT("1:"&amp;LEN((LEFT(A172,SUM(LEN(A172)-LEN(SUBSTITUTE(A172,{"0","1","2"},""))))))))/10))*1+1&amp;""&amp;" ,.., "&amp;""&amp;(SUMPRODUCT(MID(0&amp;(--TRIM(RIGHT(SUBSTITUTE(LEFT(A172,_xlfn.AGGREGATE(16,6,FIND({0,1,2,3,4,5,6,7,8,9},A172,ROW(INDIRECT("1:"&amp;LEN(A172)))),1))," ",REPT(" ",LEN(A172))),LEN(A172)))), LARGE(INDEX(ISNUMBER(--MID((--TRIM(RIGHT(SUBSTITUTE(LEFT(A172,_xlfn.AGGREGATE(16,6,FIND({0,1,2,3,4,5,6,7,8,9},A172,ROW(INDIRECT("1:"&amp;LEN(A172)))),1))," ",REPT(" ",LEN(A172))),LEN(A172)))), ROW(INDIRECT("1:"&amp;LEN((--TRIM(RIGHT(SUBSTITUTE(LEFT(A172,_xlfn.AGGREGATE(16,6,FIND({0,1,2,3,4,5,6,7,8,9},A172,ROW(INDIRECT("1:"&amp;LEN(A172)))),1))," ",REPT(" ",LEN(A172))),LEN(A172))))))), 1)) * ROW(INDIRECT("1:"&amp;LEN((--TRIM(RIGHT(SUBSTITUTE(LEFT(A172,_xlfn.AGGREGATE(16,6,FIND({0,1,2,3,4,5,6,7,8,9},A172,ROW(INDIRECT("1:"&amp;LEN(A172)))),1))," ",REPT(" ",LEN(A172))),LEN(A172))))))), 0), ROW(INDIRECT("1:"&amp;LEN((--TRIM(RIGHT(SUBSTITUTE(LEFT(A172,_xlfn.AGGREGATE(16,6,FIND({0,1,2,3,4,5,6,7,8,9},A172,ROW(INDIRECT("1:"&amp;LEN(A172)))),1))," ",REPT(" ",LEN(A172))),LEN(A172))))))))+1, 1) * 10^ROW(INDIRECT("1:"&amp;LEN((--TRIM(RIGHT(SUBSTITUTE(LEFT(A172,_xlfn.AGGREGATE(16,6,FIND({0,1,2,3,4,5,6,7,8,9},A172,ROW(INDIRECT("1:"&amp;LEN(A172)))),1))," ",REPT(" ",LEN(A172))),LEN(A172)))))))/10))*1+1</f>
        <v>109 ,.., 509</v>
      </c>
      <c r="B173" s="65"/>
      <c r="C173" s="13" t="s">
        <v>196</v>
      </c>
      <c r="D173" s="13">
        <f>(2.75*3.45+2.07*2.05+2.7*3.5+1.8*1.1+0.9*1.2+0.9*2.5+0.9*1.2+1.5*2.75)*10.764</f>
        <v>362.70374399999997</v>
      </c>
      <c r="E173" s="13">
        <v>0</v>
      </c>
      <c r="F173" s="13">
        <f t="shared" si="4"/>
        <v>544.05561599999999</v>
      </c>
      <c r="G173" s="64" t="str">
        <f t="shared" si="5"/>
        <v>1st, 3rd, 5th Floor for Residential</v>
      </c>
      <c r="H173" s="65"/>
      <c r="I173" s="30"/>
    </row>
    <row r="174" spans="1:9" s="2" customFormat="1" ht="15.75" customHeight="1" x14ac:dyDescent="0.25">
      <c r="A174" s="64" t="str">
        <f ca="1">(SUMPRODUCT(MID(0&amp;(LEFT(A173,SUM(LEN(A173)-LEN(SUBSTITUTE(A173,{"0","1","2"},""))))), LARGE(INDEX(ISNUMBER(--MID((LEFT(A173,SUM(LEN(A173)-LEN(SUBSTITUTE(A173,{"0","1","2"},""))))), ROW(INDIRECT("1:"&amp;LEN((LEFT(A173,SUM(LEN(A173)-LEN(SUBSTITUTE(A173,{"0","1","2"},"")))))))), 1)) * ROW(INDIRECT("1:"&amp;LEN((LEFT(A173,SUM(LEN(A173)-LEN(SUBSTITUTE(A173,{"0","1","2"},"")))))))), 0), ROW(INDIRECT("1:"&amp;LEN((LEFT(A173,SUM(LEN(A173)-LEN(SUBSTITUTE(A173,{"0","1","2"},"")))))))))+1, 1) * 10^ROW(INDIRECT("1:"&amp;LEN((LEFT(A173,SUM(LEN(A173)-LEN(SUBSTITUTE(A173,{"0","1","2"},""))))))))/10))*1+1&amp;""&amp;" ,.., "&amp;""&amp;(SUMPRODUCT(MID(0&amp;(--TRIM(RIGHT(SUBSTITUTE(LEFT(A173,_xlfn.AGGREGATE(16,6,FIND({0,1,2,3,4,5,6,7,8,9},A173,ROW(INDIRECT("1:"&amp;LEN(A173)))),1))," ",REPT(" ",LEN(A173))),LEN(A173)))), LARGE(INDEX(ISNUMBER(--MID((--TRIM(RIGHT(SUBSTITUTE(LEFT(A173,_xlfn.AGGREGATE(16,6,FIND({0,1,2,3,4,5,6,7,8,9},A173,ROW(INDIRECT("1:"&amp;LEN(A173)))),1))," ",REPT(" ",LEN(A173))),LEN(A173)))), ROW(INDIRECT("1:"&amp;LEN((--TRIM(RIGHT(SUBSTITUTE(LEFT(A173,_xlfn.AGGREGATE(16,6,FIND({0,1,2,3,4,5,6,7,8,9},A173,ROW(INDIRECT("1:"&amp;LEN(A173)))),1))," ",REPT(" ",LEN(A173))),LEN(A173))))))), 1)) * ROW(INDIRECT("1:"&amp;LEN((--TRIM(RIGHT(SUBSTITUTE(LEFT(A173,_xlfn.AGGREGATE(16,6,FIND({0,1,2,3,4,5,6,7,8,9},A173,ROW(INDIRECT("1:"&amp;LEN(A173)))),1))," ",REPT(" ",LEN(A173))),LEN(A173))))))), 0), ROW(INDIRECT("1:"&amp;LEN((--TRIM(RIGHT(SUBSTITUTE(LEFT(A173,_xlfn.AGGREGATE(16,6,FIND({0,1,2,3,4,5,6,7,8,9},A173,ROW(INDIRECT("1:"&amp;LEN(A173)))),1))," ",REPT(" ",LEN(A173))),LEN(A173))))))))+1, 1) * 10^ROW(INDIRECT("1:"&amp;LEN((--TRIM(RIGHT(SUBSTITUTE(LEFT(A173,_xlfn.AGGREGATE(16,6,FIND({0,1,2,3,4,5,6,7,8,9},A173,ROW(INDIRECT("1:"&amp;LEN(A173)))),1))," ",REPT(" ",LEN(A173))),LEN(A173)))))))/10))*1+1</f>
        <v>110 ,.., 510</v>
      </c>
      <c r="B174" s="65"/>
      <c r="C174" s="13" t="s">
        <v>196</v>
      </c>
      <c r="D174" s="13">
        <f>(2.75*3.45+2.07*2.05+2.7*3.5+1.8*1.1+0.9*1.2+0.9*2.5+0.9*1.2+1.5*2.75)*10.764</f>
        <v>362.70374399999997</v>
      </c>
      <c r="E174" s="13">
        <v>0</v>
      </c>
      <c r="F174" s="13">
        <f t="shared" si="4"/>
        <v>544.05561599999999</v>
      </c>
      <c r="G174" s="64" t="str">
        <f t="shared" si="5"/>
        <v>1st, 3rd, 5th Floor for Residential</v>
      </c>
      <c r="H174" s="65"/>
      <c r="I174" s="30"/>
    </row>
    <row r="175" spans="1:9" s="2" customFormat="1" ht="15.75" customHeight="1" x14ac:dyDescent="0.25">
      <c r="A175" s="64" t="str">
        <f ca="1">(SUMPRODUCT(MID(0&amp;(LEFT(A174,SUM(LEN(A174)-LEN(SUBSTITUTE(A174,{"0","1","2"},""))))), LARGE(INDEX(ISNUMBER(--MID((LEFT(A174,SUM(LEN(A174)-LEN(SUBSTITUTE(A174,{"0","1","2"},""))))), ROW(INDIRECT("1:"&amp;LEN((LEFT(A174,SUM(LEN(A174)-LEN(SUBSTITUTE(A174,{"0","1","2"},"")))))))), 1)) * ROW(INDIRECT("1:"&amp;LEN((LEFT(A174,SUM(LEN(A174)-LEN(SUBSTITUTE(A174,{"0","1","2"},"")))))))), 0), ROW(INDIRECT("1:"&amp;LEN((LEFT(A174,SUM(LEN(A174)-LEN(SUBSTITUTE(A174,{"0","1","2"},"")))))))))+1, 1) * 10^ROW(INDIRECT("1:"&amp;LEN((LEFT(A174,SUM(LEN(A174)-LEN(SUBSTITUTE(A174,{"0","1","2"},""))))))))/10))*1+1&amp;""&amp;" ,.., "&amp;""&amp;(SUMPRODUCT(MID(0&amp;(--TRIM(RIGHT(SUBSTITUTE(LEFT(A174,_xlfn.AGGREGATE(16,6,FIND({0,1,2,3,4,5,6,7,8,9},A174,ROW(INDIRECT("1:"&amp;LEN(A174)))),1))," ",REPT(" ",LEN(A174))),LEN(A174)))), LARGE(INDEX(ISNUMBER(--MID((--TRIM(RIGHT(SUBSTITUTE(LEFT(A174,_xlfn.AGGREGATE(16,6,FIND({0,1,2,3,4,5,6,7,8,9},A174,ROW(INDIRECT("1:"&amp;LEN(A174)))),1))," ",REPT(" ",LEN(A174))),LEN(A174)))), ROW(INDIRECT("1:"&amp;LEN((--TRIM(RIGHT(SUBSTITUTE(LEFT(A174,_xlfn.AGGREGATE(16,6,FIND({0,1,2,3,4,5,6,7,8,9},A174,ROW(INDIRECT("1:"&amp;LEN(A174)))),1))," ",REPT(" ",LEN(A174))),LEN(A174))))))), 1)) * ROW(INDIRECT("1:"&amp;LEN((--TRIM(RIGHT(SUBSTITUTE(LEFT(A174,_xlfn.AGGREGATE(16,6,FIND({0,1,2,3,4,5,6,7,8,9},A174,ROW(INDIRECT("1:"&amp;LEN(A174)))),1))," ",REPT(" ",LEN(A174))),LEN(A174))))))), 0), ROW(INDIRECT("1:"&amp;LEN((--TRIM(RIGHT(SUBSTITUTE(LEFT(A174,_xlfn.AGGREGATE(16,6,FIND({0,1,2,3,4,5,6,7,8,9},A174,ROW(INDIRECT("1:"&amp;LEN(A174)))),1))," ",REPT(" ",LEN(A174))),LEN(A174))))))))+1, 1) * 10^ROW(INDIRECT("1:"&amp;LEN((--TRIM(RIGHT(SUBSTITUTE(LEFT(A174,_xlfn.AGGREGATE(16,6,FIND({0,1,2,3,4,5,6,7,8,9},A174,ROW(INDIRECT("1:"&amp;LEN(A174)))),1))," ",REPT(" ",LEN(A174))),LEN(A174)))))))/10))*1+1</f>
        <v>111 ,.., 511</v>
      </c>
      <c r="B175" s="65"/>
      <c r="C175" s="13" t="s">
        <v>196</v>
      </c>
      <c r="D175" s="13">
        <f>(2.75*3.45+2.07*2.05+2.7*3.5+1.8*1.1+0.9*1.2+0.9*2.5+0.9*1.2+1.5*2.75)*10.764</f>
        <v>362.70374399999997</v>
      </c>
      <c r="E175" s="13">
        <v>0</v>
      </c>
      <c r="F175" s="13">
        <f t="shared" si="4"/>
        <v>544.05561599999999</v>
      </c>
      <c r="G175" s="64" t="str">
        <f t="shared" si="5"/>
        <v>1st, 3rd, 5th Floor for Residential</v>
      </c>
      <c r="H175" s="65"/>
      <c r="I175" s="30"/>
    </row>
    <row r="176" spans="1:9" s="2" customFormat="1" ht="15.75" customHeight="1" x14ac:dyDescent="0.25">
      <c r="A176" s="64" t="str">
        <f ca="1">(SUMPRODUCT(MID(0&amp;(LEFT(A175,SUM(LEN(A175)-LEN(SUBSTITUTE(A175,{"0","1","2"},""))))), LARGE(INDEX(ISNUMBER(--MID((LEFT(A175,SUM(LEN(A175)-LEN(SUBSTITUTE(A175,{"0","1","2"},""))))), ROW(INDIRECT("1:"&amp;LEN((LEFT(A175,SUM(LEN(A175)-LEN(SUBSTITUTE(A175,{"0","1","2"},"")))))))), 1)) * ROW(INDIRECT("1:"&amp;LEN((LEFT(A175,SUM(LEN(A175)-LEN(SUBSTITUTE(A175,{"0","1","2"},"")))))))), 0), ROW(INDIRECT("1:"&amp;LEN((LEFT(A175,SUM(LEN(A175)-LEN(SUBSTITUTE(A175,{"0","1","2"},"")))))))))+1, 1) * 10^ROW(INDIRECT("1:"&amp;LEN((LEFT(A175,SUM(LEN(A175)-LEN(SUBSTITUTE(A175,{"0","1","2"},""))))))))/10))*1+1&amp;""&amp;" ,.., "&amp;""&amp;(SUMPRODUCT(MID(0&amp;(--TRIM(RIGHT(SUBSTITUTE(LEFT(A175,_xlfn.AGGREGATE(16,6,FIND({0,1,2,3,4,5,6,7,8,9},A175,ROW(INDIRECT("1:"&amp;LEN(A175)))),1))," ",REPT(" ",LEN(A175))),LEN(A175)))), LARGE(INDEX(ISNUMBER(--MID((--TRIM(RIGHT(SUBSTITUTE(LEFT(A175,_xlfn.AGGREGATE(16,6,FIND({0,1,2,3,4,5,6,7,8,9},A175,ROW(INDIRECT("1:"&amp;LEN(A175)))),1))," ",REPT(" ",LEN(A175))),LEN(A175)))), ROW(INDIRECT("1:"&amp;LEN((--TRIM(RIGHT(SUBSTITUTE(LEFT(A175,_xlfn.AGGREGATE(16,6,FIND({0,1,2,3,4,5,6,7,8,9},A175,ROW(INDIRECT("1:"&amp;LEN(A175)))),1))," ",REPT(" ",LEN(A175))),LEN(A175))))))), 1)) * ROW(INDIRECT("1:"&amp;LEN((--TRIM(RIGHT(SUBSTITUTE(LEFT(A175,_xlfn.AGGREGATE(16,6,FIND({0,1,2,3,4,5,6,7,8,9},A175,ROW(INDIRECT("1:"&amp;LEN(A175)))),1))," ",REPT(" ",LEN(A175))),LEN(A175))))))), 0), ROW(INDIRECT("1:"&amp;LEN((--TRIM(RIGHT(SUBSTITUTE(LEFT(A175,_xlfn.AGGREGATE(16,6,FIND({0,1,2,3,4,5,6,7,8,9},A175,ROW(INDIRECT("1:"&amp;LEN(A175)))),1))," ",REPT(" ",LEN(A175))),LEN(A175))))))))+1, 1) * 10^ROW(INDIRECT("1:"&amp;LEN((--TRIM(RIGHT(SUBSTITUTE(LEFT(A175,_xlfn.AGGREGATE(16,6,FIND({0,1,2,3,4,5,6,7,8,9},A175,ROW(INDIRECT("1:"&amp;LEN(A175)))),1))," ",REPT(" ",LEN(A175))),LEN(A175)))))))/10))*1+1</f>
        <v>112 ,.., 512</v>
      </c>
      <c r="B176" s="65"/>
      <c r="C176" s="13" t="s">
        <v>196</v>
      </c>
      <c r="D176" s="13">
        <f>(2.68*2.75+2.1*2.15+3.5*2.7+1.2*2.14+0.9*1.12+0.9*1.8+0.9*3+1.5*2.75+0.45*2.35)*10.764</f>
        <v>370.42691399999995</v>
      </c>
      <c r="E176" s="13">
        <v>0</v>
      </c>
      <c r="F176" s="13">
        <f t="shared" si="4"/>
        <v>555.64037099999996</v>
      </c>
      <c r="G176" s="64" t="str">
        <f t="shared" si="5"/>
        <v>1st, 3rd, 5th Floor for Residential</v>
      </c>
      <c r="H176" s="65"/>
      <c r="I176" s="30"/>
    </row>
    <row r="177" spans="1:9" s="2" customFormat="1" ht="15.75" customHeight="1" x14ac:dyDescent="0.25">
      <c r="A177" s="64" t="str">
        <f ca="1">(SUMPRODUCT(MID(0&amp;(LEFT(A176,SUM(LEN(A176)-LEN(SUBSTITUTE(A176,{"0","1","2"},""))))), LARGE(INDEX(ISNUMBER(--MID((LEFT(A176,SUM(LEN(A176)-LEN(SUBSTITUTE(A176,{"0","1","2"},""))))), ROW(INDIRECT("1:"&amp;LEN((LEFT(A176,SUM(LEN(A176)-LEN(SUBSTITUTE(A176,{"0","1","2"},"")))))))), 1)) * ROW(INDIRECT("1:"&amp;LEN((LEFT(A176,SUM(LEN(A176)-LEN(SUBSTITUTE(A176,{"0","1","2"},"")))))))), 0), ROW(INDIRECT("1:"&amp;LEN((LEFT(A176,SUM(LEN(A176)-LEN(SUBSTITUTE(A176,{"0","1","2"},"")))))))))+1, 1) * 10^ROW(INDIRECT("1:"&amp;LEN((LEFT(A176,SUM(LEN(A176)-LEN(SUBSTITUTE(A176,{"0","1","2"},""))))))))/10))*1+1&amp;""&amp;" ,.., "&amp;""&amp;(SUMPRODUCT(MID(0&amp;(--TRIM(RIGHT(SUBSTITUTE(LEFT(A176,_xlfn.AGGREGATE(16,6,FIND({0,1,2,3,4,5,6,7,8,9},A176,ROW(INDIRECT("1:"&amp;LEN(A176)))),1))," ",REPT(" ",LEN(A176))),LEN(A176)))), LARGE(INDEX(ISNUMBER(--MID((--TRIM(RIGHT(SUBSTITUTE(LEFT(A176,_xlfn.AGGREGATE(16,6,FIND({0,1,2,3,4,5,6,7,8,9},A176,ROW(INDIRECT("1:"&amp;LEN(A176)))),1))," ",REPT(" ",LEN(A176))),LEN(A176)))), ROW(INDIRECT("1:"&amp;LEN((--TRIM(RIGHT(SUBSTITUTE(LEFT(A176,_xlfn.AGGREGATE(16,6,FIND({0,1,2,3,4,5,6,7,8,9},A176,ROW(INDIRECT("1:"&amp;LEN(A176)))),1))," ",REPT(" ",LEN(A176))),LEN(A176))))))), 1)) * ROW(INDIRECT("1:"&amp;LEN((--TRIM(RIGHT(SUBSTITUTE(LEFT(A176,_xlfn.AGGREGATE(16,6,FIND({0,1,2,3,4,5,6,7,8,9},A176,ROW(INDIRECT("1:"&amp;LEN(A176)))),1))," ",REPT(" ",LEN(A176))),LEN(A176))))))), 0), ROW(INDIRECT("1:"&amp;LEN((--TRIM(RIGHT(SUBSTITUTE(LEFT(A176,_xlfn.AGGREGATE(16,6,FIND({0,1,2,3,4,5,6,7,8,9},A176,ROW(INDIRECT("1:"&amp;LEN(A176)))),1))," ",REPT(" ",LEN(A176))),LEN(A176))))))))+1, 1) * 10^ROW(INDIRECT("1:"&amp;LEN((--TRIM(RIGHT(SUBSTITUTE(LEFT(A176,_xlfn.AGGREGATE(16,6,FIND({0,1,2,3,4,5,6,7,8,9},A176,ROW(INDIRECT("1:"&amp;LEN(A176)))),1))," ",REPT(" ",LEN(A176))),LEN(A176)))))))/10))*1+1</f>
        <v>113 ,.., 513</v>
      </c>
      <c r="B177" s="65"/>
      <c r="C177" s="13" t="s">
        <v>196</v>
      </c>
      <c r="D177" s="13">
        <f>(3.45*2.75+2.1*2.14+3.5*2.7+0.9*1+1.2*2.06+0.9*1.8+0.9*3+1.5*2.75+0.45*2.35)*10.764</f>
        <v>390.79778399999992</v>
      </c>
      <c r="E177" s="13">
        <v>0</v>
      </c>
      <c r="F177" s="13">
        <f t="shared" si="4"/>
        <v>586.19667599999991</v>
      </c>
      <c r="G177" s="64" t="str">
        <f t="shared" si="5"/>
        <v>1st, 3rd, 5th Floor for Residential</v>
      </c>
      <c r="H177" s="65"/>
      <c r="I177" s="30"/>
    </row>
    <row r="178" spans="1:9" s="2" customFormat="1" ht="15.75" customHeight="1" x14ac:dyDescent="0.25">
      <c r="A178" s="64" t="str">
        <f ca="1">(SUMPRODUCT(MID(0&amp;(LEFT(A177,SUM(LEN(A177)-LEN(SUBSTITUTE(A177,{"0","1","2"},""))))), LARGE(INDEX(ISNUMBER(--MID((LEFT(A177,SUM(LEN(A177)-LEN(SUBSTITUTE(A177,{"0","1","2"},""))))), ROW(INDIRECT("1:"&amp;LEN((LEFT(A177,SUM(LEN(A177)-LEN(SUBSTITUTE(A177,{"0","1","2"},"")))))))), 1)) * ROW(INDIRECT("1:"&amp;LEN((LEFT(A177,SUM(LEN(A177)-LEN(SUBSTITUTE(A177,{"0","1","2"},"")))))))), 0), ROW(INDIRECT("1:"&amp;LEN((LEFT(A177,SUM(LEN(A177)-LEN(SUBSTITUTE(A177,{"0","1","2"},"")))))))))+1, 1) * 10^ROW(INDIRECT("1:"&amp;LEN((LEFT(A177,SUM(LEN(A177)-LEN(SUBSTITUTE(A177,{"0","1","2"},""))))))))/10))*1+1&amp;""&amp;" ,.., "&amp;""&amp;(SUMPRODUCT(MID(0&amp;(--TRIM(RIGHT(SUBSTITUTE(LEFT(A177,_xlfn.AGGREGATE(16,6,FIND({0,1,2,3,4,5,6,7,8,9},A177,ROW(INDIRECT("1:"&amp;LEN(A177)))),1))," ",REPT(" ",LEN(A177))),LEN(A177)))), LARGE(INDEX(ISNUMBER(--MID((--TRIM(RIGHT(SUBSTITUTE(LEFT(A177,_xlfn.AGGREGATE(16,6,FIND({0,1,2,3,4,5,6,7,8,9},A177,ROW(INDIRECT("1:"&amp;LEN(A177)))),1))," ",REPT(" ",LEN(A177))),LEN(A177)))), ROW(INDIRECT("1:"&amp;LEN((--TRIM(RIGHT(SUBSTITUTE(LEFT(A177,_xlfn.AGGREGATE(16,6,FIND({0,1,2,3,4,5,6,7,8,9},A177,ROW(INDIRECT("1:"&amp;LEN(A177)))),1))," ",REPT(" ",LEN(A177))),LEN(A177))))))), 1)) * ROW(INDIRECT("1:"&amp;LEN((--TRIM(RIGHT(SUBSTITUTE(LEFT(A177,_xlfn.AGGREGATE(16,6,FIND({0,1,2,3,4,5,6,7,8,9},A177,ROW(INDIRECT("1:"&amp;LEN(A177)))),1))," ",REPT(" ",LEN(A177))),LEN(A177))))))), 0), ROW(INDIRECT("1:"&amp;LEN((--TRIM(RIGHT(SUBSTITUTE(LEFT(A177,_xlfn.AGGREGATE(16,6,FIND({0,1,2,3,4,5,6,7,8,9},A177,ROW(INDIRECT("1:"&amp;LEN(A177)))),1))," ",REPT(" ",LEN(A177))),LEN(A177))))))))+1, 1) * 10^ROW(INDIRECT("1:"&amp;LEN((--TRIM(RIGHT(SUBSTITUTE(LEFT(A177,_xlfn.AGGREGATE(16,6,FIND({0,1,2,3,4,5,6,7,8,9},A177,ROW(INDIRECT("1:"&amp;LEN(A177)))),1))," ",REPT(" ",LEN(A177))),LEN(A177)))))))/10))*1+1</f>
        <v>114 ,.., 514</v>
      </c>
      <c r="B178" s="65"/>
      <c r="C178" s="13" t="s">
        <v>196</v>
      </c>
      <c r="D178" s="13">
        <f>(2.75*3.95+2.01*2.05+2.7*3.5+1.8*1.1+0.9*1.2+1.5*2.75)*10.764</f>
        <v>340.33615200000003</v>
      </c>
      <c r="E178" s="13">
        <v>0</v>
      </c>
      <c r="F178" s="13">
        <f t="shared" si="4"/>
        <v>510.50422800000001</v>
      </c>
      <c r="G178" s="64" t="str">
        <f t="shared" si="5"/>
        <v>1st, 3rd, 5th Floor for Residential</v>
      </c>
      <c r="H178" s="65"/>
      <c r="I178" s="30"/>
    </row>
    <row r="179" spans="1:9" s="2" customFormat="1" ht="15.75" customHeight="1" x14ac:dyDescent="0.25">
      <c r="A179" s="66" t="s">
        <v>190</v>
      </c>
      <c r="B179" s="67"/>
      <c r="C179" s="67"/>
      <c r="D179" s="67"/>
      <c r="E179" s="67"/>
      <c r="F179" s="67"/>
      <c r="G179" s="67"/>
      <c r="H179" s="68"/>
      <c r="I179" s="30"/>
    </row>
    <row r="180" spans="1:9" s="2" customFormat="1" x14ac:dyDescent="0.25">
      <c r="A180" s="64" t="str">
        <f ca="1">(SUMPRODUCT(MID(0&amp;(LEFT(A179,SUM(LEN(A179)-LEN(SUBSTITUTE(A179,{"0","1","2"},""))))), LARGE(INDEX(ISNUMBER(--MID((LEFT(A179,SUM(LEN(A179)-LEN(SUBSTITUTE(A179,{"0","1","2"},""))))), ROW(INDIRECT("1:"&amp;LEN((LEFT(A179,SUM(LEN(A179)-LEN(SUBSTITUTE(A179,{"0","1","2"},"")))))))), 1)) * ROW(INDIRECT("1:"&amp;LEN((LEFT(A179,SUM(LEN(A179)-LEN(SUBSTITUTE(A179,{"0","1","2"},"")))))))), 0), ROW(INDIRECT("1:"&amp;LEN((LEFT(A179,SUM(LEN(A179)-LEN(SUBSTITUTE(A179,{"0","1","2"},"")))))))))+1, 1) * 10^ROW(INDIRECT("1:"&amp;LEN((LEFT(A179,SUM(LEN(A179)-LEN(SUBSTITUTE(A179,{"0","1","2"},""))))))))/10))*100+1&amp;""&amp;" ,.., "&amp;""&amp;(SUMPRODUCT(MID(0&amp;(--TRIM(RIGHT(SUBSTITUTE(LEFT(A179,_xlfn.AGGREGATE(16,6,FIND({0,1,2,3,4,5,6,7,8,9},A179,ROW(INDIRECT("1:"&amp;LEN(A179)))),1))," ",REPT(" ",LEN(A179))),LEN(A179)))), LARGE(INDEX(ISNUMBER(--MID((--TRIM(RIGHT(SUBSTITUTE(LEFT(A179,_xlfn.AGGREGATE(16,6,FIND({0,1,2,3,4,5,6,7,8,9},A179,ROW(INDIRECT("1:"&amp;LEN(A179)))),1))," ",REPT(" ",LEN(A179))),LEN(A179)))), ROW(INDIRECT("1:"&amp;LEN((--TRIM(RIGHT(SUBSTITUTE(LEFT(A179,_xlfn.AGGREGATE(16,6,FIND({0,1,2,3,4,5,6,7,8,9},A179,ROW(INDIRECT("1:"&amp;LEN(A179)))),1))," ",REPT(" ",LEN(A179))),LEN(A179))))))), 1)) * ROW(INDIRECT("1:"&amp;LEN((--TRIM(RIGHT(SUBSTITUTE(LEFT(A179,_xlfn.AGGREGATE(16,6,FIND({0,1,2,3,4,5,6,7,8,9},A179,ROW(INDIRECT("1:"&amp;LEN(A179)))),1))," ",REPT(" ",LEN(A179))),LEN(A179))))))), 0), ROW(INDIRECT("1:"&amp;LEN((--TRIM(RIGHT(SUBSTITUTE(LEFT(A179,_xlfn.AGGREGATE(16,6,FIND({0,1,2,3,4,5,6,7,8,9},A179,ROW(INDIRECT("1:"&amp;LEN(A179)))),1))," ",REPT(" ",LEN(A179))),LEN(A179))))))))+1, 1) * 10^ROW(INDIRECT("1:"&amp;LEN((--TRIM(RIGHT(SUBSTITUTE(LEFT(A179,_xlfn.AGGREGATE(16,6,FIND({0,1,2,3,4,5,6,7,8,9},A179,ROW(INDIRECT("1:"&amp;LEN(A179)))),1))," ",REPT(" ",LEN(A179))),LEN(A179)))))))/10))*100+1</f>
        <v>201 ,.., 601</v>
      </c>
      <c r="B180" s="65"/>
      <c r="C180" s="13" t="s">
        <v>196</v>
      </c>
      <c r="D180" s="13">
        <f>(2.75*3.2+2.1*1.93+2.7*3.5+1.09*1.8+0.9*1.8+1*1.8+1.5*2.75)*10.764</f>
        <v>342.40284000000003</v>
      </c>
      <c r="E180" s="13">
        <v>0</v>
      </c>
      <c r="F180" s="13">
        <f t="shared" ref="F180:F193" si="6">D180*(($F$130)+1)+(IF(E180&lt;101,E180,IF(E180&lt;201,E180/2,IF(E180&lt;=301,E180/3,E180/4))))</f>
        <v>513.60426000000007</v>
      </c>
      <c r="G180" s="64" t="str">
        <f>A179</f>
        <v>2nd, 4th, 6th Floor</v>
      </c>
      <c r="H180" s="65"/>
      <c r="I180" s="30"/>
    </row>
    <row r="181" spans="1:9" s="2" customFormat="1" x14ac:dyDescent="0.25">
      <c r="A181" s="64" t="str">
        <f ca="1">(SUMPRODUCT(MID(0&amp;(LEFT(A180,SUM(LEN(A180)-LEN(SUBSTITUTE(A180,{"0","1","2"},""))))), LARGE(INDEX(ISNUMBER(--MID((LEFT(A180,SUM(LEN(A180)-LEN(SUBSTITUTE(A180,{"0","1","2"},""))))), ROW(INDIRECT("1:"&amp;LEN((LEFT(A180,SUM(LEN(A180)-LEN(SUBSTITUTE(A180,{"0","1","2"},"")))))))), 1)) * ROW(INDIRECT("1:"&amp;LEN((LEFT(A180,SUM(LEN(A180)-LEN(SUBSTITUTE(A180,{"0","1","2"},"")))))))), 0), ROW(INDIRECT("1:"&amp;LEN((LEFT(A180,SUM(LEN(A180)-LEN(SUBSTITUTE(A180,{"0","1","2"},"")))))))))+1, 1) * 10^ROW(INDIRECT("1:"&amp;LEN((LEFT(A180,SUM(LEN(A180)-LEN(SUBSTITUTE(A180,{"0","1","2"},""))))))))/10))*1+1&amp;""&amp;" ,.., "&amp;""&amp;(SUMPRODUCT(MID(0&amp;(--TRIM(RIGHT(SUBSTITUTE(LEFT(A180,_xlfn.AGGREGATE(16,6,FIND({0,1,2,3,4,5,6,7,8,9},A180,ROW(INDIRECT("1:"&amp;LEN(A180)))),1))," ",REPT(" ",LEN(A180))),LEN(A180)))), LARGE(INDEX(ISNUMBER(--MID((--TRIM(RIGHT(SUBSTITUTE(LEFT(A180,_xlfn.AGGREGATE(16,6,FIND({0,1,2,3,4,5,6,7,8,9},A180,ROW(INDIRECT("1:"&amp;LEN(A180)))),1))," ",REPT(" ",LEN(A180))),LEN(A180)))), ROW(INDIRECT("1:"&amp;LEN((--TRIM(RIGHT(SUBSTITUTE(LEFT(A180,_xlfn.AGGREGATE(16,6,FIND({0,1,2,3,4,5,6,7,8,9},A180,ROW(INDIRECT("1:"&amp;LEN(A180)))),1))," ",REPT(" ",LEN(A180))),LEN(A180))))))), 1)) * ROW(INDIRECT("1:"&amp;LEN((--TRIM(RIGHT(SUBSTITUTE(LEFT(A180,_xlfn.AGGREGATE(16,6,FIND({0,1,2,3,4,5,6,7,8,9},A180,ROW(INDIRECT("1:"&amp;LEN(A180)))),1))," ",REPT(" ",LEN(A180))),LEN(A180))))))), 0), ROW(INDIRECT("1:"&amp;LEN((--TRIM(RIGHT(SUBSTITUTE(LEFT(A180,_xlfn.AGGREGATE(16,6,FIND({0,1,2,3,4,5,6,7,8,9},A180,ROW(INDIRECT("1:"&amp;LEN(A180)))),1))," ",REPT(" ",LEN(A180))),LEN(A180))))))))+1, 1) * 10^ROW(INDIRECT("1:"&amp;LEN((--TRIM(RIGHT(SUBSTITUTE(LEFT(A180,_xlfn.AGGREGATE(16,6,FIND({0,1,2,3,4,5,6,7,8,9},A180,ROW(INDIRECT("1:"&amp;LEN(A180)))),1))," ",REPT(" ",LEN(A180))),LEN(A180)))))))/10))*1+1</f>
        <v>202 ,.., 602</v>
      </c>
      <c r="B181" s="65"/>
      <c r="C181" s="13" t="s">
        <v>196</v>
      </c>
      <c r="D181" s="13">
        <f>(2.75*3.45+2.1*1.93+2.7*3.5+1.09*1.8+0.9*1.8+1.5*2.75)*10.764</f>
        <v>330.42789000000005</v>
      </c>
      <c r="E181" s="13">
        <v>0</v>
      </c>
      <c r="F181" s="13">
        <f t="shared" si="6"/>
        <v>495.64183500000007</v>
      </c>
      <c r="G181" s="64" t="str">
        <f t="shared" ref="G181:G193" si="7">G180</f>
        <v>2nd, 4th, 6th Floor</v>
      </c>
      <c r="H181" s="65"/>
      <c r="I181" s="30"/>
    </row>
    <row r="182" spans="1:9" s="2" customFormat="1" ht="15.75" customHeight="1" x14ac:dyDescent="0.25">
      <c r="A182" s="64" t="str">
        <f ca="1">(SUMPRODUCT(MID(0&amp;(LEFT(A181,SUM(LEN(A181)-LEN(SUBSTITUTE(A181,{"0","1","2"},""))))), LARGE(INDEX(ISNUMBER(--MID((LEFT(A181,SUM(LEN(A181)-LEN(SUBSTITUTE(A181,{"0","1","2"},""))))), ROW(INDIRECT("1:"&amp;LEN((LEFT(A181,SUM(LEN(A181)-LEN(SUBSTITUTE(A181,{"0","1","2"},"")))))))), 1)) * ROW(INDIRECT("1:"&amp;LEN((LEFT(A181,SUM(LEN(A181)-LEN(SUBSTITUTE(A181,{"0","1","2"},"")))))))), 0), ROW(INDIRECT("1:"&amp;LEN((LEFT(A181,SUM(LEN(A181)-LEN(SUBSTITUTE(A181,{"0","1","2"},"")))))))))+1, 1) * 10^ROW(INDIRECT("1:"&amp;LEN((LEFT(A181,SUM(LEN(A181)-LEN(SUBSTITUTE(A181,{"0","1","2"},""))))))))/10))*1+1&amp;""&amp;" ,.., "&amp;""&amp;(SUMPRODUCT(MID(0&amp;(--TRIM(RIGHT(SUBSTITUTE(LEFT(A181,_xlfn.AGGREGATE(16,6,FIND({0,1,2,3,4,5,6,7,8,9},A181,ROW(INDIRECT("1:"&amp;LEN(A181)))),1))," ",REPT(" ",LEN(A181))),LEN(A181)))), LARGE(INDEX(ISNUMBER(--MID((--TRIM(RIGHT(SUBSTITUTE(LEFT(A181,_xlfn.AGGREGATE(16,6,FIND({0,1,2,3,4,5,6,7,8,9},A181,ROW(INDIRECT("1:"&amp;LEN(A181)))),1))," ",REPT(" ",LEN(A181))),LEN(A181)))), ROW(INDIRECT("1:"&amp;LEN((--TRIM(RIGHT(SUBSTITUTE(LEFT(A181,_xlfn.AGGREGATE(16,6,FIND({0,1,2,3,4,5,6,7,8,9},A181,ROW(INDIRECT("1:"&amp;LEN(A181)))),1))," ",REPT(" ",LEN(A181))),LEN(A181))))))), 1)) * ROW(INDIRECT("1:"&amp;LEN((--TRIM(RIGHT(SUBSTITUTE(LEFT(A181,_xlfn.AGGREGATE(16,6,FIND({0,1,2,3,4,5,6,7,8,9},A181,ROW(INDIRECT("1:"&amp;LEN(A181)))),1))," ",REPT(" ",LEN(A181))),LEN(A181))))))), 0), ROW(INDIRECT("1:"&amp;LEN((--TRIM(RIGHT(SUBSTITUTE(LEFT(A181,_xlfn.AGGREGATE(16,6,FIND({0,1,2,3,4,5,6,7,8,9},A181,ROW(INDIRECT("1:"&amp;LEN(A181)))),1))," ",REPT(" ",LEN(A181))),LEN(A181))))))))+1, 1) * 10^ROW(INDIRECT("1:"&amp;LEN((--TRIM(RIGHT(SUBSTITUTE(LEFT(A181,_xlfn.AGGREGATE(16,6,FIND({0,1,2,3,4,5,6,7,8,9},A181,ROW(INDIRECT("1:"&amp;LEN(A181)))),1))," ",REPT(" ",LEN(A181))),LEN(A181)))))))/10))*1+1</f>
        <v>203 ,.., 603</v>
      </c>
      <c r="B182" s="65"/>
      <c r="C182" s="13" t="s">
        <v>196</v>
      </c>
      <c r="D182" s="13">
        <f>(2.75*3.45+2.07*2.05+2.7*3.5+1.8*1.1+0.9*1.2+0.9*2.5+0.9*1.2+1.5*2.75)*10.764</f>
        <v>362.70374399999997</v>
      </c>
      <c r="E182" s="13">
        <v>0</v>
      </c>
      <c r="F182" s="13">
        <f t="shared" si="6"/>
        <v>544.05561599999999</v>
      </c>
      <c r="G182" s="64" t="str">
        <f t="shared" si="7"/>
        <v>2nd, 4th, 6th Floor</v>
      </c>
      <c r="H182" s="65"/>
      <c r="I182" s="30"/>
    </row>
    <row r="183" spans="1:9" s="2" customFormat="1" ht="15.75" customHeight="1" x14ac:dyDescent="0.25">
      <c r="A183" s="64" t="str">
        <f ca="1">(SUMPRODUCT(MID(0&amp;(LEFT(A182,SUM(LEN(A182)-LEN(SUBSTITUTE(A182,{"0","1","2"},""))))), LARGE(INDEX(ISNUMBER(--MID((LEFT(A182,SUM(LEN(A182)-LEN(SUBSTITUTE(A182,{"0","1","2"},""))))), ROW(INDIRECT("1:"&amp;LEN((LEFT(A182,SUM(LEN(A182)-LEN(SUBSTITUTE(A182,{"0","1","2"},"")))))))), 1)) * ROW(INDIRECT("1:"&amp;LEN((LEFT(A182,SUM(LEN(A182)-LEN(SUBSTITUTE(A182,{"0","1","2"},"")))))))), 0), ROW(INDIRECT("1:"&amp;LEN((LEFT(A182,SUM(LEN(A182)-LEN(SUBSTITUTE(A182,{"0","1","2"},"")))))))))+1, 1) * 10^ROW(INDIRECT("1:"&amp;LEN((LEFT(A182,SUM(LEN(A182)-LEN(SUBSTITUTE(A182,{"0","1","2"},""))))))))/10))*1+1&amp;""&amp;" ,.., "&amp;""&amp;(SUMPRODUCT(MID(0&amp;(--TRIM(RIGHT(SUBSTITUTE(LEFT(A182,_xlfn.AGGREGATE(16,6,FIND({0,1,2,3,4,5,6,7,8,9},A182,ROW(INDIRECT("1:"&amp;LEN(A182)))),1))," ",REPT(" ",LEN(A182))),LEN(A182)))), LARGE(INDEX(ISNUMBER(--MID((--TRIM(RIGHT(SUBSTITUTE(LEFT(A182,_xlfn.AGGREGATE(16,6,FIND({0,1,2,3,4,5,6,7,8,9},A182,ROW(INDIRECT("1:"&amp;LEN(A182)))),1))," ",REPT(" ",LEN(A182))),LEN(A182)))), ROW(INDIRECT("1:"&amp;LEN((--TRIM(RIGHT(SUBSTITUTE(LEFT(A182,_xlfn.AGGREGATE(16,6,FIND({0,1,2,3,4,5,6,7,8,9},A182,ROW(INDIRECT("1:"&amp;LEN(A182)))),1))," ",REPT(" ",LEN(A182))),LEN(A182))))))), 1)) * ROW(INDIRECT("1:"&amp;LEN((--TRIM(RIGHT(SUBSTITUTE(LEFT(A182,_xlfn.AGGREGATE(16,6,FIND({0,1,2,3,4,5,6,7,8,9},A182,ROW(INDIRECT("1:"&amp;LEN(A182)))),1))," ",REPT(" ",LEN(A182))),LEN(A182))))))), 0), ROW(INDIRECT("1:"&amp;LEN((--TRIM(RIGHT(SUBSTITUTE(LEFT(A182,_xlfn.AGGREGATE(16,6,FIND({0,1,2,3,4,5,6,7,8,9},A182,ROW(INDIRECT("1:"&amp;LEN(A182)))),1))," ",REPT(" ",LEN(A182))),LEN(A182))))))))+1, 1) * 10^ROW(INDIRECT("1:"&amp;LEN((--TRIM(RIGHT(SUBSTITUTE(LEFT(A182,_xlfn.AGGREGATE(16,6,FIND({0,1,2,3,4,5,6,7,8,9},A182,ROW(INDIRECT("1:"&amp;LEN(A182)))),1))," ",REPT(" ",LEN(A182))),LEN(A182)))))))/10))*1+1</f>
        <v>204 ,.., 604</v>
      </c>
      <c r="B183" s="65"/>
      <c r="C183" s="13" t="s">
        <v>196</v>
      </c>
      <c r="D183" s="13">
        <f>(2.75*3.45+2.07*2.05+2.7*3.5+1.8*1.1+0.9*1.2+0.9*2.5+0.9*1.2+1.5*2.75)*10.764</f>
        <v>362.70374399999997</v>
      </c>
      <c r="E183" s="13">
        <v>0</v>
      </c>
      <c r="F183" s="13">
        <f t="shared" si="6"/>
        <v>544.05561599999999</v>
      </c>
      <c r="G183" s="64" t="str">
        <f t="shared" si="7"/>
        <v>2nd, 4th, 6th Floor</v>
      </c>
      <c r="H183" s="65"/>
      <c r="I183" s="30"/>
    </row>
    <row r="184" spans="1:9" s="2" customFormat="1" ht="15.75" customHeight="1" x14ac:dyDescent="0.25">
      <c r="A184" s="64" t="str">
        <f ca="1">(SUMPRODUCT(MID(0&amp;(LEFT(A183,SUM(LEN(A183)-LEN(SUBSTITUTE(A183,{"0","1","2"},""))))), LARGE(INDEX(ISNUMBER(--MID((LEFT(A183,SUM(LEN(A183)-LEN(SUBSTITUTE(A183,{"0","1","2"},""))))), ROW(INDIRECT("1:"&amp;LEN((LEFT(A183,SUM(LEN(A183)-LEN(SUBSTITUTE(A183,{"0","1","2"},"")))))))), 1)) * ROW(INDIRECT("1:"&amp;LEN((LEFT(A183,SUM(LEN(A183)-LEN(SUBSTITUTE(A183,{"0","1","2"},"")))))))), 0), ROW(INDIRECT("1:"&amp;LEN((LEFT(A183,SUM(LEN(A183)-LEN(SUBSTITUTE(A183,{"0","1","2"},"")))))))))+1, 1) * 10^ROW(INDIRECT("1:"&amp;LEN((LEFT(A183,SUM(LEN(A183)-LEN(SUBSTITUTE(A183,{"0","1","2"},""))))))))/10))*1+1&amp;""&amp;" ,.., "&amp;""&amp;(SUMPRODUCT(MID(0&amp;(--TRIM(RIGHT(SUBSTITUTE(LEFT(A183,_xlfn.AGGREGATE(16,6,FIND({0,1,2,3,4,5,6,7,8,9},A183,ROW(INDIRECT("1:"&amp;LEN(A183)))),1))," ",REPT(" ",LEN(A183))),LEN(A183)))), LARGE(INDEX(ISNUMBER(--MID((--TRIM(RIGHT(SUBSTITUTE(LEFT(A183,_xlfn.AGGREGATE(16,6,FIND({0,1,2,3,4,5,6,7,8,9},A183,ROW(INDIRECT("1:"&amp;LEN(A183)))),1))," ",REPT(" ",LEN(A183))),LEN(A183)))), ROW(INDIRECT("1:"&amp;LEN((--TRIM(RIGHT(SUBSTITUTE(LEFT(A183,_xlfn.AGGREGATE(16,6,FIND({0,1,2,3,4,5,6,7,8,9},A183,ROW(INDIRECT("1:"&amp;LEN(A183)))),1))," ",REPT(" ",LEN(A183))),LEN(A183))))))), 1)) * ROW(INDIRECT("1:"&amp;LEN((--TRIM(RIGHT(SUBSTITUTE(LEFT(A183,_xlfn.AGGREGATE(16,6,FIND({0,1,2,3,4,5,6,7,8,9},A183,ROW(INDIRECT("1:"&amp;LEN(A183)))),1))," ",REPT(" ",LEN(A183))),LEN(A183))))))), 0), ROW(INDIRECT("1:"&amp;LEN((--TRIM(RIGHT(SUBSTITUTE(LEFT(A183,_xlfn.AGGREGATE(16,6,FIND({0,1,2,3,4,5,6,7,8,9},A183,ROW(INDIRECT("1:"&amp;LEN(A183)))),1))," ",REPT(" ",LEN(A183))),LEN(A183))))))))+1, 1) * 10^ROW(INDIRECT("1:"&amp;LEN((--TRIM(RIGHT(SUBSTITUTE(LEFT(A183,_xlfn.AGGREGATE(16,6,FIND({0,1,2,3,4,5,6,7,8,9},A183,ROW(INDIRECT("1:"&amp;LEN(A183)))),1))," ",REPT(" ",LEN(A183))),LEN(A183)))))))/10))*1+1</f>
        <v>205 ,.., 605</v>
      </c>
      <c r="B184" s="65"/>
      <c r="C184" s="13" t="s">
        <v>196</v>
      </c>
      <c r="D184" s="13">
        <f>(4.2*2.75+2.1*2.15+3.5*2.7+1.2*2.14+0.9*1.12+0.9*1.8+0.9*3+1.5*2.75+0.45*2.35)*10.764</f>
        <v>415.42043399999994</v>
      </c>
      <c r="E184" s="13">
        <v>0</v>
      </c>
      <c r="F184" s="13">
        <f t="shared" si="6"/>
        <v>623.13065099999994</v>
      </c>
      <c r="G184" s="64" t="str">
        <f t="shared" si="7"/>
        <v>2nd, 4th, 6th Floor</v>
      </c>
      <c r="H184" s="65"/>
      <c r="I184" s="30"/>
    </row>
    <row r="185" spans="1:9" s="2" customFormat="1" ht="15.75" customHeight="1" x14ac:dyDescent="0.25">
      <c r="A185" s="64" t="str">
        <f ca="1">(SUMPRODUCT(MID(0&amp;(LEFT(A184,SUM(LEN(A184)-LEN(SUBSTITUTE(A184,{"0","1","2"},""))))), LARGE(INDEX(ISNUMBER(--MID((LEFT(A184,SUM(LEN(A184)-LEN(SUBSTITUTE(A184,{"0","1","2"},""))))), ROW(INDIRECT("1:"&amp;LEN((LEFT(A184,SUM(LEN(A184)-LEN(SUBSTITUTE(A184,{"0","1","2"},"")))))))), 1)) * ROW(INDIRECT("1:"&amp;LEN((LEFT(A184,SUM(LEN(A184)-LEN(SUBSTITUTE(A184,{"0","1","2"},"")))))))), 0), ROW(INDIRECT("1:"&amp;LEN((LEFT(A184,SUM(LEN(A184)-LEN(SUBSTITUTE(A184,{"0","1","2"},"")))))))))+1, 1) * 10^ROW(INDIRECT("1:"&amp;LEN((LEFT(A184,SUM(LEN(A184)-LEN(SUBSTITUTE(A184,{"0","1","2"},""))))))))/10))*1+1&amp;""&amp;" ,.., "&amp;""&amp;(SUMPRODUCT(MID(0&amp;(--TRIM(RIGHT(SUBSTITUTE(LEFT(A184,_xlfn.AGGREGATE(16,6,FIND({0,1,2,3,4,5,6,7,8,9},A184,ROW(INDIRECT("1:"&amp;LEN(A184)))),1))," ",REPT(" ",LEN(A184))),LEN(A184)))), LARGE(INDEX(ISNUMBER(--MID((--TRIM(RIGHT(SUBSTITUTE(LEFT(A184,_xlfn.AGGREGATE(16,6,FIND({0,1,2,3,4,5,6,7,8,9},A184,ROW(INDIRECT("1:"&amp;LEN(A184)))),1))," ",REPT(" ",LEN(A184))),LEN(A184)))), ROW(INDIRECT("1:"&amp;LEN((--TRIM(RIGHT(SUBSTITUTE(LEFT(A184,_xlfn.AGGREGATE(16,6,FIND({0,1,2,3,4,5,6,7,8,9},A184,ROW(INDIRECT("1:"&amp;LEN(A184)))),1))," ",REPT(" ",LEN(A184))),LEN(A184))))))), 1)) * ROW(INDIRECT("1:"&amp;LEN((--TRIM(RIGHT(SUBSTITUTE(LEFT(A184,_xlfn.AGGREGATE(16,6,FIND({0,1,2,3,4,5,6,7,8,9},A184,ROW(INDIRECT("1:"&amp;LEN(A184)))),1))," ",REPT(" ",LEN(A184))),LEN(A184))))))), 0), ROW(INDIRECT("1:"&amp;LEN((--TRIM(RIGHT(SUBSTITUTE(LEFT(A184,_xlfn.AGGREGATE(16,6,FIND({0,1,2,3,4,5,6,7,8,9},A184,ROW(INDIRECT("1:"&amp;LEN(A184)))),1))," ",REPT(" ",LEN(A184))),LEN(A184))))))))+1, 1) * 10^ROW(INDIRECT("1:"&amp;LEN((--TRIM(RIGHT(SUBSTITUTE(LEFT(A184,_xlfn.AGGREGATE(16,6,FIND({0,1,2,3,4,5,6,7,8,9},A184,ROW(INDIRECT("1:"&amp;LEN(A184)))),1))," ",REPT(" ",LEN(A184))),LEN(A184)))))))/10))*1+1</f>
        <v>206 ,.., 606</v>
      </c>
      <c r="B185" s="65"/>
      <c r="C185" s="13" t="s">
        <v>196</v>
      </c>
      <c r="D185" s="13">
        <f>(3.85*2.75+2.1*2.15+3.5*2.7+1.23*2.05+0.9*1.12+0.9*3+0.9*1.8+1.5*2.75+0.45*2.35)*10.764</f>
        <v>404.55955799999998</v>
      </c>
      <c r="E185" s="13">
        <v>0</v>
      </c>
      <c r="F185" s="13">
        <f t="shared" si="6"/>
        <v>606.839337</v>
      </c>
      <c r="G185" s="64" t="str">
        <f t="shared" si="7"/>
        <v>2nd, 4th, 6th Floor</v>
      </c>
      <c r="H185" s="65"/>
      <c r="I185" s="30"/>
    </row>
    <row r="186" spans="1:9" s="2" customFormat="1" ht="15.75" customHeight="1" x14ac:dyDescent="0.25">
      <c r="A186" s="64" t="str">
        <f ca="1">(SUMPRODUCT(MID(0&amp;(LEFT(A185,SUM(LEN(A185)-LEN(SUBSTITUTE(A185,{"0","1","2"},""))))), LARGE(INDEX(ISNUMBER(--MID((LEFT(A185,SUM(LEN(A185)-LEN(SUBSTITUTE(A185,{"0","1","2"},""))))), ROW(INDIRECT("1:"&amp;LEN((LEFT(A185,SUM(LEN(A185)-LEN(SUBSTITUTE(A185,{"0","1","2"},"")))))))), 1)) * ROW(INDIRECT("1:"&amp;LEN((LEFT(A185,SUM(LEN(A185)-LEN(SUBSTITUTE(A185,{"0","1","2"},"")))))))), 0), ROW(INDIRECT("1:"&amp;LEN((LEFT(A185,SUM(LEN(A185)-LEN(SUBSTITUTE(A185,{"0","1","2"},"")))))))))+1, 1) * 10^ROW(INDIRECT("1:"&amp;LEN((LEFT(A185,SUM(LEN(A185)-LEN(SUBSTITUTE(A185,{"0","1","2"},""))))))))/10))*1+1&amp;""&amp;" ,.., "&amp;""&amp;(SUMPRODUCT(MID(0&amp;(--TRIM(RIGHT(SUBSTITUTE(LEFT(A185,_xlfn.AGGREGATE(16,6,FIND({0,1,2,3,4,5,6,7,8,9},A185,ROW(INDIRECT("1:"&amp;LEN(A185)))),1))," ",REPT(" ",LEN(A185))),LEN(A185)))), LARGE(INDEX(ISNUMBER(--MID((--TRIM(RIGHT(SUBSTITUTE(LEFT(A185,_xlfn.AGGREGATE(16,6,FIND({0,1,2,3,4,5,6,7,8,9},A185,ROW(INDIRECT("1:"&amp;LEN(A185)))),1))," ",REPT(" ",LEN(A185))),LEN(A185)))), ROW(INDIRECT("1:"&amp;LEN((--TRIM(RIGHT(SUBSTITUTE(LEFT(A185,_xlfn.AGGREGATE(16,6,FIND({0,1,2,3,4,5,6,7,8,9},A185,ROW(INDIRECT("1:"&amp;LEN(A185)))),1))," ",REPT(" ",LEN(A185))),LEN(A185))))))), 1)) * ROW(INDIRECT("1:"&amp;LEN((--TRIM(RIGHT(SUBSTITUTE(LEFT(A185,_xlfn.AGGREGATE(16,6,FIND({0,1,2,3,4,5,6,7,8,9},A185,ROW(INDIRECT("1:"&amp;LEN(A185)))),1))," ",REPT(" ",LEN(A185))),LEN(A185))))))), 0), ROW(INDIRECT("1:"&amp;LEN((--TRIM(RIGHT(SUBSTITUTE(LEFT(A185,_xlfn.AGGREGATE(16,6,FIND({0,1,2,3,4,5,6,7,8,9},A185,ROW(INDIRECT("1:"&amp;LEN(A185)))),1))," ",REPT(" ",LEN(A185))),LEN(A185))))))))+1, 1) * 10^ROW(INDIRECT("1:"&amp;LEN((--TRIM(RIGHT(SUBSTITUTE(LEFT(A185,_xlfn.AGGREGATE(16,6,FIND({0,1,2,3,4,5,6,7,8,9},A185,ROW(INDIRECT("1:"&amp;LEN(A185)))),1))," ",REPT(" ",LEN(A185))),LEN(A185)))))))/10))*1+1</f>
        <v>207 ,.., 607</v>
      </c>
      <c r="B186" s="65"/>
      <c r="C186" s="13" t="s">
        <v>196</v>
      </c>
      <c r="D186" s="13">
        <f>(2.75*4+2.07*2.05+2.7*3.5+1.8*1.1+0.9*1.2+0.9*2.5+0.9*1.5+1*1+1.5*2.75)*10.764</f>
        <v>392.65457400000003</v>
      </c>
      <c r="E186" s="13">
        <v>0</v>
      </c>
      <c r="F186" s="13">
        <f t="shared" si="6"/>
        <v>588.98186099999998</v>
      </c>
      <c r="G186" s="64" t="str">
        <f t="shared" si="7"/>
        <v>2nd, 4th, 6th Floor</v>
      </c>
      <c r="H186" s="65"/>
      <c r="I186" s="30"/>
    </row>
    <row r="187" spans="1:9" s="2" customFormat="1" ht="15.75" customHeight="1" x14ac:dyDescent="0.25">
      <c r="A187" s="64" t="str">
        <f ca="1">(SUMPRODUCT(MID(0&amp;(LEFT(A186,SUM(LEN(A186)-LEN(SUBSTITUTE(A186,{"0","1","2"},""))))), LARGE(INDEX(ISNUMBER(--MID((LEFT(A186,SUM(LEN(A186)-LEN(SUBSTITUTE(A186,{"0","1","2"},""))))), ROW(INDIRECT("1:"&amp;LEN((LEFT(A186,SUM(LEN(A186)-LEN(SUBSTITUTE(A186,{"0","1","2"},"")))))))), 1)) * ROW(INDIRECT("1:"&amp;LEN((LEFT(A186,SUM(LEN(A186)-LEN(SUBSTITUTE(A186,{"0","1","2"},"")))))))), 0), ROW(INDIRECT("1:"&amp;LEN((LEFT(A186,SUM(LEN(A186)-LEN(SUBSTITUTE(A186,{"0","1","2"},"")))))))))+1, 1) * 10^ROW(INDIRECT("1:"&amp;LEN((LEFT(A186,SUM(LEN(A186)-LEN(SUBSTITUTE(A186,{"0","1","2"},""))))))))/10))*1+1&amp;""&amp;" ,.., "&amp;""&amp;(SUMPRODUCT(MID(0&amp;(--TRIM(RIGHT(SUBSTITUTE(LEFT(A186,_xlfn.AGGREGATE(16,6,FIND({0,1,2,3,4,5,6,7,8,9},A186,ROW(INDIRECT("1:"&amp;LEN(A186)))),1))," ",REPT(" ",LEN(A186))),LEN(A186)))), LARGE(INDEX(ISNUMBER(--MID((--TRIM(RIGHT(SUBSTITUTE(LEFT(A186,_xlfn.AGGREGATE(16,6,FIND({0,1,2,3,4,5,6,7,8,9},A186,ROW(INDIRECT("1:"&amp;LEN(A186)))),1))," ",REPT(" ",LEN(A186))),LEN(A186)))), ROW(INDIRECT("1:"&amp;LEN((--TRIM(RIGHT(SUBSTITUTE(LEFT(A186,_xlfn.AGGREGATE(16,6,FIND({0,1,2,3,4,5,6,7,8,9},A186,ROW(INDIRECT("1:"&amp;LEN(A186)))),1))," ",REPT(" ",LEN(A186))),LEN(A186))))))), 1)) * ROW(INDIRECT("1:"&amp;LEN((--TRIM(RIGHT(SUBSTITUTE(LEFT(A186,_xlfn.AGGREGATE(16,6,FIND({0,1,2,3,4,5,6,7,8,9},A186,ROW(INDIRECT("1:"&amp;LEN(A186)))),1))," ",REPT(" ",LEN(A186))),LEN(A186))))))), 0), ROW(INDIRECT("1:"&amp;LEN((--TRIM(RIGHT(SUBSTITUTE(LEFT(A186,_xlfn.AGGREGATE(16,6,FIND({0,1,2,3,4,5,6,7,8,9},A186,ROW(INDIRECT("1:"&amp;LEN(A186)))),1))," ",REPT(" ",LEN(A186))),LEN(A186))))))))+1, 1) * 10^ROW(INDIRECT("1:"&amp;LEN((--TRIM(RIGHT(SUBSTITUTE(LEFT(A186,_xlfn.AGGREGATE(16,6,FIND({0,1,2,3,4,5,6,7,8,9},A186,ROW(INDIRECT("1:"&amp;LEN(A186)))),1))," ",REPT(" ",LEN(A186))),LEN(A186)))))))/10))*1+1</f>
        <v>208 ,.., 608</v>
      </c>
      <c r="B187" s="65"/>
      <c r="C187" s="13" t="s">
        <v>196</v>
      </c>
      <c r="D187" s="13">
        <f>(2.75*3+2.07*2.05+2.7*3.5+0.9*1.2+1.8*1.2+0.9*2.5+0.9*1.2+1.5*2.75+1*1.8)*10.764</f>
        <v>370.69601399999993</v>
      </c>
      <c r="E187" s="13">
        <v>0</v>
      </c>
      <c r="F187" s="13">
        <f t="shared" si="6"/>
        <v>556.04402099999993</v>
      </c>
      <c r="G187" s="64" t="str">
        <f t="shared" si="7"/>
        <v>2nd, 4th, 6th Floor</v>
      </c>
      <c r="H187" s="65"/>
      <c r="I187" s="30"/>
    </row>
    <row r="188" spans="1:9" s="2" customFormat="1" ht="15.75" customHeight="1" x14ac:dyDescent="0.25">
      <c r="A188" s="64" t="str">
        <f ca="1">(SUMPRODUCT(MID(0&amp;(LEFT(A187,SUM(LEN(A187)-LEN(SUBSTITUTE(A187,{"0","1","2"},""))))), LARGE(INDEX(ISNUMBER(--MID((LEFT(A187,SUM(LEN(A187)-LEN(SUBSTITUTE(A187,{"0","1","2"},""))))), ROW(INDIRECT("1:"&amp;LEN((LEFT(A187,SUM(LEN(A187)-LEN(SUBSTITUTE(A187,{"0","1","2"},"")))))))), 1)) * ROW(INDIRECT("1:"&amp;LEN((LEFT(A187,SUM(LEN(A187)-LEN(SUBSTITUTE(A187,{"0","1","2"},"")))))))), 0), ROW(INDIRECT("1:"&amp;LEN((LEFT(A187,SUM(LEN(A187)-LEN(SUBSTITUTE(A187,{"0","1","2"},"")))))))))+1, 1) * 10^ROW(INDIRECT("1:"&amp;LEN((LEFT(A187,SUM(LEN(A187)-LEN(SUBSTITUTE(A187,{"0","1","2"},""))))))))/10))*1+1&amp;""&amp;" ,.., "&amp;""&amp;(SUMPRODUCT(MID(0&amp;(--TRIM(RIGHT(SUBSTITUTE(LEFT(A187,_xlfn.AGGREGATE(16,6,FIND({0,1,2,3,4,5,6,7,8,9},A187,ROW(INDIRECT("1:"&amp;LEN(A187)))),1))," ",REPT(" ",LEN(A187))),LEN(A187)))), LARGE(INDEX(ISNUMBER(--MID((--TRIM(RIGHT(SUBSTITUTE(LEFT(A187,_xlfn.AGGREGATE(16,6,FIND({0,1,2,3,4,5,6,7,8,9},A187,ROW(INDIRECT("1:"&amp;LEN(A187)))),1))," ",REPT(" ",LEN(A187))),LEN(A187)))), ROW(INDIRECT("1:"&amp;LEN((--TRIM(RIGHT(SUBSTITUTE(LEFT(A187,_xlfn.AGGREGATE(16,6,FIND({0,1,2,3,4,5,6,7,8,9},A187,ROW(INDIRECT("1:"&amp;LEN(A187)))),1))," ",REPT(" ",LEN(A187))),LEN(A187))))))), 1)) * ROW(INDIRECT("1:"&amp;LEN((--TRIM(RIGHT(SUBSTITUTE(LEFT(A187,_xlfn.AGGREGATE(16,6,FIND({0,1,2,3,4,5,6,7,8,9},A187,ROW(INDIRECT("1:"&amp;LEN(A187)))),1))," ",REPT(" ",LEN(A187))),LEN(A187))))))), 0), ROW(INDIRECT("1:"&amp;LEN((--TRIM(RIGHT(SUBSTITUTE(LEFT(A187,_xlfn.AGGREGATE(16,6,FIND({0,1,2,3,4,5,6,7,8,9},A187,ROW(INDIRECT("1:"&amp;LEN(A187)))),1))," ",REPT(" ",LEN(A187))),LEN(A187))))))))+1, 1) * 10^ROW(INDIRECT("1:"&amp;LEN((--TRIM(RIGHT(SUBSTITUTE(LEFT(A187,_xlfn.AGGREGATE(16,6,FIND({0,1,2,3,4,5,6,7,8,9},A187,ROW(INDIRECT("1:"&amp;LEN(A187)))),1))," ",REPT(" ",LEN(A187))),LEN(A187)))))))/10))*1+1</f>
        <v>209 ,.., 609</v>
      </c>
      <c r="B188" s="65"/>
      <c r="C188" s="13" t="s">
        <v>196</v>
      </c>
      <c r="D188" s="13">
        <f>(2.75*3.45+2.07*2.05+2.7*3.5+1.8*1.1+0.9*1.2+0.9*2.5+0.9*1.2+1.5*2.75)*10.764</f>
        <v>362.70374399999997</v>
      </c>
      <c r="E188" s="13">
        <v>0</v>
      </c>
      <c r="F188" s="13">
        <f t="shared" si="6"/>
        <v>544.05561599999999</v>
      </c>
      <c r="G188" s="64" t="str">
        <f t="shared" si="7"/>
        <v>2nd, 4th, 6th Floor</v>
      </c>
      <c r="H188" s="65"/>
      <c r="I188" s="30"/>
    </row>
    <row r="189" spans="1:9" s="2" customFormat="1" ht="15.75" customHeight="1" x14ac:dyDescent="0.25">
      <c r="A189" s="64" t="str">
        <f ca="1">(SUMPRODUCT(MID(0&amp;(LEFT(A188,SUM(LEN(A188)-LEN(SUBSTITUTE(A188,{"0","1","2"},""))))), LARGE(INDEX(ISNUMBER(--MID((LEFT(A188,SUM(LEN(A188)-LEN(SUBSTITUTE(A188,{"0","1","2"},""))))), ROW(INDIRECT("1:"&amp;LEN((LEFT(A188,SUM(LEN(A188)-LEN(SUBSTITUTE(A188,{"0","1","2"},"")))))))), 1)) * ROW(INDIRECT("1:"&amp;LEN((LEFT(A188,SUM(LEN(A188)-LEN(SUBSTITUTE(A188,{"0","1","2"},"")))))))), 0), ROW(INDIRECT("1:"&amp;LEN((LEFT(A188,SUM(LEN(A188)-LEN(SUBSTITUTE(A188,{"0","1","2"},"")))))))))+1, 1) * 10^ROW(INDIRECT("1:"&amp;LEN((LEFT(A188,SUM(LEN(A188)-LEN(SUBSTITUTE(A188,{"0","1","2"},""))))))))/10))*1+1&amp;""&amp;" ,.., "&amp;""&amp;(SUMPRODUCT(MID(0&amp;(--TRIM(RIGHT(SUBSTITUTE(LEFT(A188,_xlfn.AGGREGATE(16,6,FIND({0,1,2,3,4,5,6,7,8,9},A188,ROW(INDIRECT("1:"&amp;LEN(A188)))),1))," ",REPT(" ",LEN(A188))),LEN(A188)))), LARGE(INDEX(ISNUMBER(--MID((--TRIM(RIGHT(SUBSTITUTE(LEFT(A188,_xlfn.AGGREGATE(16,6,FIND({0,1,2,3,4,5,6,7,8,9},A188,ROW(INDIRECT("1:"&amp;LEN(A188)))),1))," ",REPT(" ",LEN(A188))),LEN(A188)))), ROW(INDIRECT("1:"&amp;LEN((--TRIM(RIGHT(SUBSTITUTE(LEFT(A188,_xlfn.AGGREGATE(16,6,FIND({0,1,2,3,4,5,6,7,8,9},A188,ROW(INDIRECT("1:"&amp;LEN(A188)))),1))," ",REPT(" ",LEN(A188))),LEN(A188))))))), 1)) * ROW(INDIRECT("1:"&amp;LEN((--TRIM(RIGHT(SUBSTITUTE(LEFT(A188,_xlfn.AGGREGATE(16,6,FIND({0,1,2,3,4,5,6,7,8,9},A188,ROW(INDIRECT("1:"&amp;LEN(A188)))),1))," ",REPT(" ",LEN(A188))),LEN(A188))))))), 0), ROW(INDIRECT("1:"&amp;LEN((--TRIM(RIGHT(SUBSTITUTE(LEFT(A188,_xlfn.AGGREGATE(16,6,FIND({0,1,2,3,4,5,6,7,8,9},A188,ROW(INDIRECT("1:"&amp;LEN(A188)))),1))," ",REPT(" ",LEN(A188))),LEN(A188))))))))+1, 1) * 10^ROW(INDIRECT("1:"&amp;LEN((--TRIM(RIGHT(SUBSTITUTE(LEFT(A188,_xlfn.AGGREGATE(16,6,FIND({0,1,2,3,4,5,6,7,8,9},A188,ROW(INDIRECT("1:"&amp;LEN(A188)))),1))," ",REPT(" ",LEN(A188))),LEN(A188)))))))/10))*1+1</f>
        <v>210 ,.., 610</v>
      </c>
      <c r="B189" s="65"/>
      <c r="C189" s="13" t="s">
        <v>196</v>
      </c>
      <c r="D189" s="13">
        <f>(2.75*3.45+2.07*2.05+2.7*3.5+1.8*1.1+0.9*1.2+0.9*2.5+0.9*1.2+1.5*2.75)*10.764</f>
        <v>362.70374399999997</v>
      </c>
      <c r="E189" s="13">
        <v>0</v>
      </c>
      <c r="F189" s="13">
        <f t="shared" si="6"/>
        <v>544.05561599999999</v>
      </c>
      <c r="G189" s="64" t="str">
        <f t="shared" si="7"/>
        <v>2nd, 4th, 6th Floor</v>
      </c>
      <c r="H189" s="65"/>
      <c r="I189" s="30"/>
    </row>
    <row r="190" spans="1:9" s="2" customFormat="1" ht="15.75" customHeight="1" x14ac:dyDescent="0.25">
      <c r="A190" s="64" t="str">
        <f ca="1">(SUMPRODUCT(MID(0&amp;(LEFT(A189,SUM(LEN(A189)-LEN(SUBSTITUTE(A189,{"0","1","2"},""))))), LARGE(INDEX(ISNUMBER(--MID((LEFT(A189,SUM(LEN(A189)-LEN(SUBSTITUTE(A189,{"0","1","2"},""))))), ROW(INDIRECT("1:"&amp;LEN((LEFT(A189,SUM(LEN(A189)-LEN(SUBSTITUTE(A189,{"0","1","2"},"")))))))), 1)) * ROW(INDIRECT("1:"&amp;LEN((LEFT(A189,SUM(LEN(A189)-LEN(SUBSTITUTE(A189,{"0","1","2"},"")))))))), 0), ROW(INDIRECT("1:"&amp;LEN((LEFT(A189,SUM(LEN(A189)-LEN(SUBSTITUTE(A189,{"0","1","2"},"")))))))))+1, 1) * 10^ROW(INDIRECT("1:"&amp;LEN((LEFT(A189,SUM(LEN(A189)-LEN(SUBSTITUTE(A189,{"0","1","2"},""))))))))/10))*1+1&amp;""&amp;" ,.., "&amp;""&amp;(SUMPRODUCT(MID(0&amp;(--TRIM(RIGHT(SUBSTITUTE(LEFT(A189,_xlfn.AGGREGATE(16,6,FIND({0,1,2,3,4,5,6,7,8,9},A189,ROW(INDIRECT("1:"&amp;LEN(A189)))),1))," ",REPT(" ",LEN(A189))),LEN(A189)))), LARGE(INDEX(ISNUMBER(--MID((--TRIM(RIGHT(SUBSTITUTE(LEFT(A189,_xlfn.AGGREGATE(16,6,FIND({0,1,2,3,4,5,6,7,8,9},A189,ROW(INDIRECT("1:"&amp;LEN(A189)))),1))," ",REPT(" ",LEN(A189))),LEN(A189)))), ROW(INDIRECT("1:"&amp;LEN((--TRIM(RIGHT(SUBSTITUTE(LEFT(A189,_xlfn.AGGREGATE(16,6,FIND({0,1,2,3,4,5,6,7,8,9},A189,ROW(INDIRECT("1:"&amp;LEN(A189)))),1))," ",REPT(" ",LEN(A189))),LEN(A189))))))), 1)) * ROW(INDIRECT("1:"&amp;LEN((--TRIM(RIGHT(SUBSTITUTE(LEFT(A189,_xlfn.AGGREGATE(16,6,FIND({0,1,2,3,4,5,6,7,8,9},A189,ROW(INDIRECT("1:"&amp;LEN(A189)))),1))," ",REPT(" ",LEN(A189))),LEN(A189))))))), 0), ROW(INDIRECT("1:"&amp;LEN((--TRIM(RIGHT(SUBSTITUTE(LEFT(A189,_xlfn.AGGREGATE(16,6,FIND({0,1,2,3,4,5,6,7,8,9},A189,ROW(INDIRECT("1:"&amp;LEN(A189)))),1))," ",REPT(" ",LEN(A189))),LEN(A189))))))))+1, 1) * 10^ROW(INDIRECT("1:"&amp;LEN((--TRIM(RIGHT(SUBSTITUTE(LEFT(A189,_xlfn.AGGREGATE(16,6,FIND({0,1,2,3,4,5,6,7,8,9},A189,ROW(INDIRECT("1:"&amp;LEN(A189)))),1))," ",REPT(" ",LEN(A189))),LEN(A189)))))))/10))*1+1</f>
        <v>211 ,.., 611</v>
      </c>
      <c r="B190" s="65"/>
      <c r="C190" s="13" t="s">
        <v>196</v>
      </c>
      <c r="D190" s="13">
        <f>(2.75*3.45+2.07*2.05+2.7*3.5+1.8*1.1+0.9*1.2+0.9*2.5+0.9*1.2+1.5*2.75)*10.764</f>
        <v>362.70374399999997</v>
      </c>
      <c r="E190" s="13">
        <v>0</v>
      </c>
      <c r="F190" s="13">
        <f t="shared" si="6"/>
        <v>544.05561599999999</v>
      </c>
      <c r="G190" s="64" t="str">
        <f t="shared" si="7"/>
        <v>2nd, 4th, 6th Floor</v>
      </c>
      <c r="H190" s="65"/>
      <c r="I190" s="30"/>
    </row>
    <row r="191" spans="1:9" s="2" customFormat="1" ht="15.75" customHeight="1" x14ac:dyDescent="0.25">
      <c r="A191" s="64" t="str">
        <f ca="1">(SUMPRODUCT(MID(0&amp;(LEFT(A190,SUM(LEN(A190)-LEN(SUBSTITUTE(A190,{"0","1","2"},""))))), LARGE(INDEX(ISNUMBER(--MID((LEFT(A190,SUM(LEN(A190)-LEN(SUBSTITUTE(A190,{"0","1","2"},""))))), ROW(INDIRECT("1:"&amp;LEN((LEFT(A190,SUM(LEN(A190)-LEN(SUBSTITUTE(A190,{"0","1","2"},"")))))))), 1)) * ROW(INDIRECT("1:"&amp;LEN((LEFT(A190,SUM(LEN(A190)-LEN(SUBSTITUTE(A190,{"0","1","2"},"")))))))), 0), ROW(INDIRECT("1:"&amp;LEN((LEFT(A190,SUM(LEN(A190)-LEN(SUBSTITUTE(A190,{"0","1","2"},"")))))))))+1, 1) * 10^ROW(INDIRECT("1:"&amp;LEN((LEFT(A190,SUM(LEN(A190)-LEN(SUBSTITUTE(A190,{"0","1","2"},""))))))))/10))*1+1&amp;""&amp;" ,.., "&amp;""&amp;(SUMPRODUCT(MID(0&amp;(--TRIM(RIGHT(SUBSTITUTE(LEFT(A190,_xlfn.AGGREGATE(16,6,FIND({0,1,2,3,4,5,6,7,8,9},A190,ROW(INDIRECT("1:"&amp;LEN(A190)))),1))," ",REPT(" ",LEN(A190))),LEN(A190)))), LARGE(INDEX(ISNUMBER(--MID((--TRIM(RIGHT(SUBSTITUTE(LEFT(A190,_xlfn.AGGREGATE(16,6,FIND({0,1,2,3,4,5,6,7,8,9},A190,ROW(INDIRECT("1:"&amp;LEN(A190)))),1))," ",REPT(" ",LEN(A190))),LEN(A190)))), ROW(INDIRECT("1:"&amp;LEN((--TRIM(RIGHT(SUBSTITUTE(LEFT(A190,_xlfn.AGGREGATE(16,6,FIND({0,1,2,3,4,5,6,7,8,9},A190,ROW(INDIRECT("1:"&amp;LEN(A190)))),1))," ",REPT(" ",LEN(A190))),LEN(A190))))))), 1)) * ROW(INDIRECT("1:"&amp;LEN((--TRIM(RIGHT(SUBSTITUTE(LEFT(A190,_xlfn.AGGREGATE(16,6,FIND({0,1,2,3,4,5,6,7,8,9},A190,ROW(INDIRECT("1:"&amp;LEN(A190)))),1))," ",REPT(" ",LEN(A190))),LEN(A190))))))), 0), ROW(INDIRECT("1:"&amp;LEN((--TRIM(RIGHT(SUBSTITUTE(LEFT(A190,_xlfn.AGGREGATE(16,6,FIND({0,1,2,3,4,5,6,7,8,9},A190,ROW(INDIRECT("1:"&amp;LEN(A190)))),1))," ",REPT(" ",LEN(A190))),LEN(A190))))))))+1, 1) * 10^ROW(INDIRECT("1:"&amp;LEN((--TRIM(RIGHT(SUBSTITUTE(LEFT(A190,_xlfn.AGGREGATE(16,6,FIND({0,1,2,3,4,5,6,7,8,9},A190,ROW(INDIRECT("1:"&amp;LEN(A190)))),1))," ",REPT(" ",LEN(A190))),LEN(A190)))))))/10))*1+1</f>
        <v>212 ,.., 612</v>
      </c>
      <c r="B191" s="65"/>
      <c r="C191" s="13" t="s">
        <v>196</v>
      </c>
      <c r="D191" s="13">
        <f>(2.68*2.75+2.1*2.15+3.5*2.7+1.2*2.14+0.9*1.12+0.9*1.8+0.9*3+1.5*2.75+0.45*2.35)*10.764</f>
        <v>370.42691399999995</v>
      </c>
      <c r="E191" s="13">
        <v>0</v>
      </c>
      <c r="F191" s="13">
        <f t="shared" si="6"/>
        <v>555.64037099999996</v>
      </c>
      <c r="G191" s="64" t="str">
        <f t="shared" si="7"/>
        <v>2nd, 4th, 6th Floor</v>
      </c>
      <c r="H191" s="65"/>
      <c r="I191" s="30"/>
    </row>
    <row r="192" spans="1:9" s="2" customFormat="1" ht="15.75" customHeight="1" x14ac:dyDescent="0.25">
      <c r="A192" s="64" t="str">
        <f ca="1">(SUMPRODUCT(MID(0&amp;(LEFT(A191,SUM(LEN(A191)-LEN(SUBSTITUTE(A191,{"0","1","2"},""))))), LARGE(INDEX(ISNUMBER(--MID((LEFT(A191,SUM(LEN(A191)-LEN(SUBSTITUTE(A191,{"0","1","2"},""))))), ROW(INDIRECT("1:"&amp;LEN((LEFT(A191,SUM(LEN(A191)-LEN(SUBSTITUTE(A191,{"0","1","2"},"")))))))), 1)) * ROW(INDIRECT("1:"&amp;LEN((LEFT(A191,SUM(LEN(A191)-LEN(SUBSTITUTE(A191,{"0","1","2"},"")))))))), 0), ROW(INDIRECT("1:"&amp;LEN((LEFT(A191,SUM(LEN(A191)-LEN(SUBSTITUTE(A191,{"0","1","2"},"")))))))))+1, 1) * 10^ROW(INDIRECT("1:"&amp;LEN((LEFT(A191,SUM(LEN(A191)-LEN(SUBSTITUTE(A191,{"0","1","2"},""))))))))/10))*1+1&amp;""&amp;" ,.., "&amp;""&amp;(SUMPRODUCT(MID(0&amp;(--TRIM(RIGHT(SUBSTITUTE(LEFT(A191,_xlfn.AGGREGATE(16,6,FIND({0,1,2,3,4,5,6,7,8,9},A191,ROW(INDIRECT("1:"&amp;LEN(A191)))),1))," ",REPT(" ",LEN(A191))),LEN(A191)))), LARGE(INDEX(ISNUMBER(--MID((--TRIM(RIGHT(SUBSTITUTE(LEFT(A191,_xlfn.AGGREGATE(16,6,FIND({0,1,2,3,4,5,6,7,8,9},A191,ROW(INDIRECT("1:"&amp;LEN(A191)))),1))," ",REPT(" ",LEN(A191))),LEN(A191)))), ROW(INDIRECT("1:"&amp;LEN((--TRIM(RIGHT(SUBSTITUTE(LEFT(A191,_xlfn.AGGREGATE(16,6,FIND({0,1,2,3,4,5,6,7,8,9},A191,ROW(INDIRECT("1:"&amp;LEN(A191)))),1))," ",REPT(" ",LEN(A191))),LEN(A191))))))), 1)) * ROW(INDIRECT("1:"&amp;LEN((--TRIM(RIGHT(SUBSTITUTE(LEFT(A191,_xlfn.AGGREGATE(16,6,FIND({0,1,2,3,4,5,6,7,8,9},A191,ROW(INDIRECT("1:"&amp;LEN(A191)))),1))," ",REPT(" ",LEN(A191))),LEN(A191))))))), 0), ROW(INDIRECT("1:"&amp;LEN((--TRIM(RIGHT(SUBSTITUTE(LEFT(A191,_xlfn.AGGREGATE(16,6,FIND({0,1,2,3,4,5,6,7,8,9},A191,ROW(INDIRECT("1:"&amp;LEN(A191)))),1))," ",REPT(" ",LEN(A191))),LEN(A191))))))))+1, 1) * 10^ROW(INDIRECT("1:"&amp;LEN((--TRIM(RIGHT(SUBSTITUTE(LEFT(A191,_xlfn.AGGREGATE(16,6,FIND({0,1,2,3,4,5,6,7,8,9},A191,ROW(INDIRECT("1:"&amp;LEN(A191)))),1))," ",REPT(" ",LEN(A191))),LEN(A191)))))))/10))*1+1</f>
        <v>213 ,.., 613</v>
      </c>
      <c r="B192" s="65"/>
      <c r="C192" s="13" t="s">
        <v>196</v>
      </c>
      <c r="D192" s="13">
        <f>(3.45*2.75+2.1*2.14+3.5*2.7+0.9*1+1.2*2.06+0.9*1.8+0.9*3+1.5*2.75+0.45*2.35)*10.764</f>
        <v>390.79778399999992</v>
      </c>
      <c r="E192" s="13">
        <v>0</v>
      </c>
      <c r="F192" s="13">
        <f t="shared" si="6"/>
        <v>586.19667599999991</v>
      </c>
      <c r="G192" s="64" t="str">
        <f t="shared" si="7"/>
        <v>2nd, 4th, 6th Floor</v>
      </c>
      <c r="H192" s="65"/>
      <c r="I192" s="30"/>
    </row>
    <row r="193" spans="1:9" s="2" customFormat="1" ht="15.75" customHeight="1" x14ac:dyDescent="0.25">
      <c r="A193" s="64" t="str">
        <f ca="1">(SUMPRODUCT(MID(0&amp;(LEFT(A192,SUM(LEN(A192)-LEN(SUBSTITUTE(A192,{"0","1","2"},""))))), LARGE(INDEX(ISNUMBER(--MID((LEFT(A192,SUM(LEN(A192)-LEN(SUBSTITUTE(A192,{"0","1","2"},""))))), ROW(INDIRECT("1:"&amp;LEN((LEFT(A192,SUM(LEN(A192)-LEN(SUBSTITUTE(A192,{"0","1","2"},"")))))))), 1)) * ROW(INDIRECT("1:"&amp;LEN((LEFT(A192,SUM(LEN(A192)-LEN(SUBSTITUTE(A192,{"0","1","2"},"")))))))), 0), ROW(INDIRECT("1:"&amp;LEN((LEFT(A192,SUM(LEN(A192)-LEN(SUBSTITUTE(A192,{"0","1","2"},"")))))))))+1, 1) * 10^ROW(INDIRECT("1:"&amp;LEN((LEFT(A192,SUM(LEN(A192)-LEN(SUBSTITUTE(A192,{"0","1","2"},""))))))))/10))*1+1&amp;""&amp;" ,.., "&amp;""&amp;(SUMPRODUCT(MID(0&amp;(--TRIM(RIGHT(SUBSTITUTE(LEFT(A192,_xlfn.AGGREGATE(16,6,FIND({0,1,2,3,4,5,6,7,8,9},A192,ROW(INDIRECT("1:"&amp;LEN(A192)))),1))," ",REPT(" ",LEN(A192))),LEN(A192)))), LARGE(INDEX(ISNUMBER(--MID((--TRIM(RIGHT(SUBSTITUTE(LEFT(A192,_xlfn.AGGREGATE(16,6,FIND({0,1,2,3,4,5,6,7,8,9},A192,ROW(INDIRECT("1:"&amp;LEN(A192)))),1))," ",REPT(" ",LEN(A192))),LEN(A192)))), ROW(INDIRECT("1:"&amp;LEN((--TRIM(RIGHT(SUBSTITUTE(LEFT(A192,_xlfn.AGGREGATE(16,6,FIND({0,1,2,3,4,5,6,7,8,9},A192,ROW(INDIRECT("1:"&amp;LEN(A192)))),1))," ",REPT(" ",LEN(A192))),LEN(A192))))))), 1)) * ROW(INDIRECT("1:"&amp;LEN((--TRIM(RIGHT(SUBSTITUTE(LEFT(A192,_xlfn.AGGREGATE(16,6,FIND({0,1,2,3,4,5,6,7,8,9},A192,ROW(INDIRECT("1:"&amp;LEN(A192)))),1))," ",REPT(" ",LEN(A192))),LEN(A192))))))), 0), ROW(INDIRECT("1:"&amp;LEN((--TRIM(RIGHT(SUBSTITUTE(LEFT(A192,_xlfn.AGGREGATE(16,6,FIND({0,1,2,3,4,5,6,7,8,9},A192,ROW(INDIRECT("1:"&amp;LEN(A192)))),1))," ",REPT(" ",LEN(A192))),LEN(A192))))))))+1, 1) * 10^ROW(INDIRECT("1:"&amp;LEN((--TRIM(RIGHT(SUBSTITUTE(LEFT(A192,_xlfn.AGGREGATE(16,6,FIND({0,1,2,3,4,5,6,7,8,9},A192,ROW(INDIRECT("1:"&amp;LEN(A192)))),1))," ",REPT(" ",LEN(A192))),LEN(A192)))))))/10))*1+1</f>
        <v>214 ,.., 614</v>
      </c>
      <c r="B193" s="65"/>
      <c r="C193" s="13" t="s">
        <v>196</v>
      </c>
      <c r="D193" s="13">
        <f>(2.75*3.95+2.01*2.05+2.7*3.5+1.8*1.1+0.9*1.2+1.5*2.75)*10.764</f>
        <v>340.33615200000003</v>
      </c>
      <c r="E193" s="13">
        <v>0</v>
      </c>
      <c r="F193" s="13">
        <f t="shared" si="6"/>
        <v>510.50422800000001</v>
      </c>
      <c r="G193" s="64" t="str">
        <f t="shared" si="7"/>
        <v>2nd, 4th, 6th Floor</v>
      </c>
      <c r="H193" s="65"/>
      <c r="I193" s="30"/>
    </row>
    <row r="194" spans="1:9" s="4" customFormat="1" x14ac:dyDescent="0.25">
      <c r="A194" s="69" t="s">
        <v>193</v>
      </c>
      <c r="B194" s="70"/>
      <c r="C194" s="70"/>
      <c r="D194" s="70"/>
      <c r="E194" s="70"/>
      <c r="F194" s="70"/>
      <c r="G194" s="70"/>
      <c r="H194" s="71"/>
    </row>
    <row r="195" spans="1:9" s="2" customFormat="1" ht="15.75" customHeight="1" x14ac:dyDescent="0.25">
      <c r="A195" s="66" t="s">
        <v>197</v>
      </c>
      <c r="B195" s="67"/>
      <c r="C195" s="67"/>
      <c r="D195" s="67"/>
      <c r="E195" s="67"/>
      <c r="F195" s="67"/>
      <c r="G195" s="67"/>
      <c r="H195" s="68"/>
      <c r="I195" s="30"/>
    </row>
    <row r="196" spans="1:9" s="2" customFormat="1" ht="15.75" customHeight="1" x14ac:dyDescent="0.25">
      <c r="A196" s="64" t="str">
        <f ca="1">(SUMPRODUCT(MID(0&amp;(LEFT(A195,SUM(LEN(A195)-LEN(SUBSTITUTE(A195,{"0","1","2"},""))))), LARGE(INDEX(ISNUMBER(--MID((LEFT(A195,SUM(LEN(A195)-LEN(SUBSTITUTE(A195,{"0","1","2"},""))))), ROW(INDIRECT("1:"&amp;LEN((LEFT(A195,SUM(LEN(A195)-LEN(SUBSTITUTE(A195,{"0","1","2"},"")))))))), 1)) * ROW(INDIRECT("1:"&amp;LEN((LEFT(A195,SUM(LEN(A195)-LEN(SUBSTITUTE(A195,{"0","1","2"},"")))))))), 0), ROW(INDIRECT("1:"&amp;LEN((LEFT(A195,SUM(LEN(A195)-LEN(SUBSTITUTE(A195,{"0","1","2"},"")))))))))+1, 1) * 10^ROW(INDIRECT("1:"&amp;LEN((LEFT(A195,SUM(LEN(A195)-LEN(SUBSTITUTE(A195,{"0","1","2"},""))))))))/10))*100+1&amp;""&amp;" &amp; "&amp;""&amp;(SUMPRODUCT(MID(0&amp;(--TRIM(RIGHT(SUBSTITUTE(LEFT(A195,_xlfn.AGGREGATE(16,6,FIND({0,1,2,3,4,5,6,7,8,9},A195,ROW(INDIRECT("1:"&amp;LEN(A195)))),1))," ",REPT(" ",LEN(A195))),LEN(A195)))), LARGE(INDEX(ISNUMBER(--MID((--TRIM(RIGHT(SUBSTITUTE(LEFT(A195,_xlfn.AGGREGATE(16,6,FIND({0,1,2,3,4,5,6,7,8,9},A195,ROW(INDIRECT("1:"&amp;LEN(A195)))),1))," ",REPT(" ",LEN(A195))),LEN(A195)))), ROW(INDIRECT("1:"&amp;LEN((--TRIM(RIGHT(SUBSTITUTE(LEFT(A195,_xlfn.AGGREGATE(16,6,FIND({0,1,2,3,4,5,6,7,8,9},A195,ROW(INDIRECT("1:"&amp;LEN(A195)))),1))," ",REPT(" ",LEN(A195))),LEN(A195))))))), 1)) * ROW(INDIRECT("1:"&amp;LEN((--TRIM(RIGHT(SUBSTITUTE(LEFT(A195,_xlfn.AGGREGATE(16,6,FIND({0,1,2,3,4,5,6,7,8,9},A195,ROW(INDIRECT("1:"&amp;LEN(A195)))),1))," ",REPT(" ",LEN(A195))),LEN(A195))))))), 0), ROW(INDIRECT("1:"&amp;LEN((--TRIM(RIGHT(SUBSTITUTE(LEFT(A195,_xlfn.AGGREGATE(16,6,FIND({0,1,2,3,4,5,6,7,8,9},A195,ROW(INDIRECT("1:"&amp;LEN(A195)))),1))," ",REPT(" ",LEN(A195))),LEN(A195))))))))+1, 1) * 10^ROW(INDIRECT("1:"&amp;LEN((--TRIM(RIGHT(SUBSTITUTE(LEFT(A195,_xlfn.AGGREGATE(16,6,FIND({0,1,2,3,4,5,6,7,8,9},A195,ROW(INDIRECT("1:"&amp;LEN(A195)))),1))," ",REPT(" ",LEN(A195))),LEN(A195)))))))/10))*100+1</f>
        <v>101 &amp; 301</v>
      </c>
      <c r="B196" s="65"/>
      <c r="C196" s="13" t="s">
        <v>196</v>
      </c>
      <c r="D196" s="13">
        <f>(2.75*3.17+2.1*1.93+2.7*2.65+1.09*1.8+1.2*1.96+0.9*1.8+1.5*2.75)*10.764</f>
        <v>322.75315799999998</v>
      </c>
      <c r="E196" s="13">
        <v>0</v>
      </c>
      <c r="F196" s="13">
        <f t="shared" ref="F196:F201" si="8">D196*(($F$130)+1)+(IF(E196&lt;101,E196,IF(E196&lt;201,E196/2,IF(E196&lt;=301,E196/3,E196/4))))</f>
        <v>484.12973699999998</v>
      </c>
      <c r="G196" s="64" t="str">
        <f>A195</f>
        <v>1st &amp; 3rd Floor for Residential</v>
      </c>
      <c r="H196" s="65"/>
      <c r="I196" s="30"/>
    </row>
    <row r="197" spans="1:9" s="2" customFormat="1" ht="15.75" customHeight="1" x14ac:dyDescent="0.25">
      <c r="A197" s="64" t="str">
        <f ca="1">(SUMPRODUCT(MID(0&amp;(LEFT(A196,SUM(LEN(A196)-LEN(SUBSTITUTE(A196,{"0","1","2"},""))))), LARGE(INDEX(ISNUMBER(--MID((LEFT(A196,SUM(LEN(A196)-LEN(SUBSTITUTE(A196,{"0","1","2"},""))))), ROW(INDIRECT("1:"&amp;LEN((LEFT(A196,SUM(LEN(A196)-LEN(SUBSTITUTE(A196,{"0","1","2"},"")))))))), 1)) * ROW(INDIRECT("1:"&amp;LEN((LEFT(A196,SUM(LEN(A196)-LEN(SUBSTITUTE(A196,{"0","1","2"},"")))))))), 0), ROW(INDIRECT("1:"&amp;LEN((LEFT(A196,SUM(LEN(A196)-LEN(SUBSTITUTE(A196,{"0","1","2"},"")))))))))+1, 1) * 10^ROW(INDIRECT("1:"&amp;LEN((LEFT(A196,SUM(LEN(A196)-LEN(SUBSTITUTE(A196,{"0","1","2"},""))))))))/10))*1+1&amp;""&amp;" &amp; "&amp;""&amp;(SUMPRODUCT(MID(0&amp;(--TRIM(RIGHT(SUBSTITUTE(LEFT(A196,_xlfn.AGGREGATE(16,6,FIND({0,1,2,3,4,5,6,7,8,9},A196,ROW(INDIRECT("1:"&amp;LEN(A196)))),1))," ",REPT(" ",LEN(A196))),LEN(A196)))), LARGE(INDEX(ISNUMBER(--MID((--TRIM(RIGHT(SUBSTITUTE(LEFT(A196,_xlfn.AGGREGATE(16,6,FIND({0,1,2,3,4,5,6,7,8,9},A196,ROW(INDIRECT("1:"&amp;LEN(A196)))),1))," ",REPT(" ",LEN(A196))),LEN(A196)))), ROW(INDIRECT("1:"&amp;LEN((--TRIM(RIGHT(SUBSTITUTE(LEFT(A196,_xlfn.AGGREGATE(16,6,FIND({0,1,2,3,4,5,6,7,8,9},A196,ROW(INDIRECT("1:"&amp;LEN(A196)))),1))," ",REPT(" ",LEN(A196))),LEN(A196))))))), 1)) * ROW(INDIRECT("1:"&amp;LEN((--TRIM(RIGHT(SUBSTITUTE(LEFT(A196,_xlfn.AGGREGATE(16,6,FIND({0,1,2,3,4,5,6,7,8,9},A196,ROW(INDIRECT("1:"&amp;LEN(A196)))),1))," ",REPT(" ",LEN(A196))),LEN(A196))))))), 0), ROW(INDIRECT("1:"&amp;LEN((--TRIM(RIGHT(SUBSTITUTE(LEFT(A196,_xlfn.AGGREGATE(16,6,FIND({0,1,2,3,4,5,6,7,8,9},A196,ROW(INDIRECT("1:"&amp;LEN(A196)))),1))," ",REPT(" ",LEN(A196))),LEN(A196))))))))+1, 1) * 10^ROW(INDIRECT("1:"&amp;LEN((--TRIM(RIGHT(SUBSTITUTE(LEFT(A196,_xlfn.AGGREGATE(16,6,FIND({0,1,2,3,4,5,6,7,8,9},A196,ROW(INDIRECT("1:"&amp;LEN(A196)))),1))," ",REPT(" ",LEN(A196))),LEN(A196)))))))/10))*1+1</f>
        <v>102 &amp; 302</v>
      </c>
      <c r="B197" s="65"/>
      <c r="C197" s="13" t="s">
        <v>196</v>
      </c>
      <c r="D197" s="13">
        <f>(2.75*3.45+2.1*1.93+2.7*2.65+1.09*1.8+0.9*1.8+1.91*1.15+1.5*2.75)*10.764</f>
        <v>329.367636</v>
      </c>
      <c r="E197" s="13">
        <v>0</v>
      </c>
      <c r="F197" s="13">
        <f t="shared" si="8"/>
        <v>494.05145400000004</v>
      </c>
      <c r="G197" s="64" t="str">
        <f t="shared" ref="G197:G207" si="9">G196</f>
        <v>1st &amp; 3rd Floor for Residential</v>
      </c>
      <c r="H197" s="65"/>
      <c r="I197" s="30"/>
    </row>
    <row r="198" spans="1:9" s="2" customFormat="1" ht="15.75" customHeight="1" x14ac:dyDescent="0.25">
      <c r="A198" s="64" t="str">
        <f ca="1">(SUMPRODUCT(MID(0&amp;(LEFT(A197,SUM(LEN(A197)-LEN(SUBSTITUTE(A197,{"0","1","2"},""))))), LARGE(INDEX(ISNUMBER(--MID((LEFT(A197,SUM(LEN(A197)-LEN(SUBSTITUTE(A197,{"0","1","2"},""))))), ROW(INDIRECT("1:"&amp;LEN((LEFT(A197,SUM(LEN(A197)-LEN(SUBSTITUTE(A197,{"0","1","2"},"")))))))), 1)) * ROW(INDIRECT("1:"&amp;LEN((LEFT(A197,SUM(LEN(A197)-LEN(SUBSTITUTE(A197,{"0","1","2"},"")))))))), 0), ROW(INDIRECT("1:"&amp;LEN((LEFT(A197,SUM(LEN(A197)-LEN(SUBSTITUTE(A197,{"0","1","2"},"")))))))))+1, 1) * 10^ROW(INDIRECT("1:"&amp;LEN((LEFT(A197,SUM(LEN(A197)-LEN(SUBSTITUTE(A197,{"0","1","2"},""))))))))/10))*1+1&amp;""&amp;" &amp; "&amp;""&amp;(SUMPRODUCT(MID(0&amp;(--TRIM(RIGHT(SUBSTITUTE(LEFT(A197,_xlfn.AGGREGATE(16,6,FIND({0,1,2,3,4,5,6,7,8,9},A197,ROW(INDIRECT("1:"&amp;LEN(A197)))),1))," ",REPT(" ",LEN(A197))),LEN(A197)))), LARGE(INDEX(ISNUMBER(--MID((--TRIM(RIGHT(SUBSTITUTE(LEFT(A197,_xlfn.AGGREGATE(16,6,FIND({0,1,2,3,4,5,6,7,8,9},A197,ROW(INDIRECT("1:"&amp;LEN(A197)))),1))," ",REPT(" ",LEN(A197))),LEN(A197)))), ROW(INDIRECT("1:"&amp;LEN((--TRIM(RIGHT(SUBSTITUTE(LEFT(A197,_xlfn.AGGREGATE(16,6,FIND({0,1,2,3,4,5,6,7,8,9},A197,ROW(INDIRECT("1:"&amp;LEN(A197)))),1))," ",REPT(" ",LEN(A197))),LEN(A197))))))), 1)) * ROW(INDIRECT("1:"&amp;LEN((--TRIM(RIGHT(SUBSTITUTE(LEFT(A197,_xlfn.AGGREGATE(16,6,FIND({0,1,2,3,4,5,6,7,8,9},A197,ROW(INDIRECT("1:"&amp;LEN(A197)))),1))," ",REPT(" ",LEN(A197))),LEN(A197))))))), 0), ROW(INDIRECT("1:"&amp;LEN((--TRIM(RIGHT(SUBSTITUTE(LEFT(A197,_xlfn.AGGREGATE(16,6,FIND({0,1,2,3,4,5,6,7,8,9},A197,ROW(INDIRECT("1:"&amp;LEN(A197)))),1))," ",REPT(" ",LEN(A197))),LEN(A197))))))))+1, 1) * 10^ROW(INDIRECT("1:"&amp;LEN((--TRIM(RIGHT(SUBSTITUTE(LEFT(A197,_xlfn.AGGREGATE(16,6,FIND({0,1,2,3,4,5,6,7,8,9},A197,ROW(INDIRECT("1:"&amp;LEN(A197)))),1))," ",REPT(" ",LEN(A197))),LEN(A197)))))))/10))*1+1</f>
        <v>103 &amp; 303</v>
      </c>
      <c r="B198" s="65"/>
      <c r="C198" s="13" t="s">
        <v>196</v>
      </c>
      <c r="D198" s="13">
        <f>(2.75*3.45+1.91*1.15+2.07*2.05+2.7*2.65+1.8*1.1+0.9*1.2+0.9*2.5+0.9*1.2+1.5*2.75)*10.764</f>
        <v>361.64348999999993</v>
      </c>
      <c r="E198" s="13">
        <v>0</v>
      </c>
      <c r="F198" s="13">
        <f t="shared" si="8"/>
        <v>542.46523499999989</v>
      </c>
      <c r="G198" s="64" t="str">
        <f t="shared" si="9"/>
        <v>1st &amp; 3rd Floor for Residential</v>
      </c>
      <c r="H198" s="65"/>
      <c r="I198" s="30"/>
    </row>
    <row r="199" spans="1:9" s="2" customFormat="1" ht="15.75" customHeight="1" x14ac:dyDescent="0.25">
      <c r="A199" s="64" t="str">
        <f ca="1">(SUMPRODUCT(MID(0&amp;(LEFT(A198,SUM(LEN(A198)-LEN(SUBSTITUTE(A198,{"0","1","2"},""))))), LARGE(INDEX(ISNUMBER(--MID((LEFT(A198,SUM(LEN(A198)-LEN(SUBSTITUTE(A198,{"0","1","2"},""))))), ROW(INDIRECT("1:"&amp;LEN((LEFT(A198,SUM(LEN(A198)-LEN(SUBSTITUTE(A198,{"0","1","2"},"")))))))), 1)) * ROW(INDIRECT("1:"&amp;LEN((LEFT(A198,SUM(LEN(A198)-LEN(SUBSTITUTE(A198,{"0","1","2"},"")))))))), 0), ROW(INDIRECT("1:"&amp;LEN((LEFT(A198,SUM(LEN(A198)-LEN(SUBSTITUTE(A198,{"0","1","2"},"")))))))))+1, 1) * 10^ROW(INDIRECT("1:"&amp;LEN((LEFT(A198,SUM(LEN(A198)-LEN(SUBSTITUTE(A198,{"0","1","2"},""))))))))/10))*1+1&amp;""&amp;" &amp; "&amp;""&amp;(SUMPRODUCT(MID(0&amp;(--TRIM(RIGHT(SUBSTITUTE(LEFT(A198,_xlfn.AGGREGATE(16,6,FIND({0,1,2,3,4,5,6,7,8,9},A198,ROW(INDIRECT("1:"&amp;LEN(A198)))),1))," ",REPT(" ",LEN(A198))),LEN(A198)))), LARGE(INDEX(ISNUMBER(--MID((--TRIM(RIGHT(SUBSTITUTE(LEFT(A198,_xlfn.AGGREGATE(16,6,FIND({0,1,2,3,4,5,6,7,8,9},A198,ROW(INDIRECT("1:"&amp;LEN(A198)))),1))," ",REPT(" ",LEN(A198))),LEN(A198)))), ROW(INDIRECT("1:"&amp;LEN((--TRIM(RIGHT(SUBSTITUTE(LEFT(A198,_xlfn.AGGREGATE(16,6,FIND({0,1,2,3,4,5,6,7,8,9},A198,ROW(INDIRECT("1:"&amp;LEN(A198)))),1))," ",REPT(" ",LEN(A198))),LEN(A198))))))), 1)) * ROW(INDIRECT("1:"&amp;LEN((--TRIM(RIGHT(SUBSTITUTE(LEFT(A198,_xlfn.AGGREGATE(16,6,FIND({0,1,2,3,4,5,6,7,8,9},A198,ROW(INDIRECT("1:"&amp;LEN(A198)))),1))," ",REPT(" ",LEN(A198))),LEN(A198))))))), 0), ROW(INDIRECT("1:"&amp;LEN((--TRIM(RIGHT(SUBSTITUTE(LEFT(A198,_xlfn.AGGREGATE(16,6,FIND({0,1,2,3,4,5,6,7,8,9},A198,ROW(INDIRECT("1:"&amp;LEN(A198)))),1))," ",REPT(" ",LEN(A198))),LEN(A198))))))))+1, 1) * 10^ROW(INDIRECT("1:"&amp;LEN((--TRIM(RIGHT(SUBSTITUTE(LEFT(A198,_xlfn.AGGREGATE(16,6,FIND({0,1,2,3,4,5,6,7,8,9},A198,ROW(INDIRECT("1:"&amp;LEN(A198)))),1))," ",REPT(" ",LEN(A198))),LEN(A198)))))))/10))*1+1</f>
        <v>104 &amp; 304</v>
      </c>
      <c r="B199" s="65"/>
      <c r="C199" s="13" t="s">
        <v>196</v>
      </c>
      <c r="D199" s="13">
        <f>(3.45*2.75+2.1*2.14+2.65*2.7+1.2*2.05+0.9*1.2+0.9*3+0.9*1.8+1.5*2.75)*10.764</f>
        <v>356.51982600000002</v>
      </c>
      <c r="E199" s="13">
        <v>0</v>
      </c>
      <c r="F199" s="13">
        <f t="shared" si="8"/>
        <v>534.77973900000006</v>
      </c>
      <c r="G199" s="64" t="str">
        <f t="shared" si="9"/>
        <v>1st &amp; 3rd Floor for Residential</v>
      </c>
      <c r="H199" s="65"/>
      <c r="I199" s="30"/>
    </row>
    <row r="200" spans="1:9" s="2" customFormat="1" ht="15.75" customHeight="1" x14ac:dyDescent="0.25">
      <c r="A200" s="64" t="str">
        <f ca="1">(SUMPRODUCT(MID(0&amp;(LEFT(A199,SUM(LEN(A199)-LEN(SUBSTITUTE(A199,{"0","1","2"},""))))), LARGE(INDEX(ISNUMBER(--MID((LEFT(A199,SUM(LEN(A199)-LEN(SUBSTITUTE(A199,{"0","1","2"},""))))), ROW(INDIRECT("1:"&amp;LEN((LEFT(A199,SUM(LEN(A199)-LEN(SUBSTITUTE(A199,{"0","1","2"},"")))))))), 1)) * ROW(INDIRECT("1:"&amp;LEN((LEFT(A199,SUM(LEN(A199)-LEN(SUBSTITUTE(A199,{"0","1","2"},"")))))))), 0), ROW(INDIRECT("1:"&amp;LEN((LEFT(A199,SUM(LEN(A199)-LEN(SUBSTITUTE(A199,{"0","1","2"},"")))))))))+1, 1) * 10^ROW(INDIRECT("1:"&amp;LEN((LEFT(A199,SUM(LEN(A199)-LEN(SUBSTITUTE(A199,{"0","1","2"},""))))))))/10))*1+1&amp;""&amp;" &amp; "&amp;""&amp;(SUMPRODUCT(MID(0&amp;(--TRIM(RIGHT(SUBSTITUTE(LEFT(A199,_xlfn.AGGREGATE(16,6,FIND({0,1,2,3,4,5,6,7,8,9},A199,ROW(INDIRECT("1:"&amp;LEN(A199)))),1))," ",REPT(" ",LEN(A199))),LEN(A199)))), LARGE(INDEX(ISNUMBER(--MID((--TRIM(RIGHT(SUBSTITUTE(LEFT(A199,_xlfn.AGGREGATE(16,6,FIND({0,1,2,3,4,5,6,7,8,9},A199,ROW(INDIRECT("1:"&amp;LEN(A199)))),1))," ",REPT(" ",LEN(A199))),LEN(A199)))), ROW(INDIRECT("1:"&amp;LEN((--TRIM(RIGHT(SUBSTITUTE(LEFT(A199,_xlfn.AGGREGATE(16,6,FIND({0,1,2,3,4,5,6,7,8,9},A199,ROW(INDIRECT("1:"&amp;LEN(A199)))),1))," ",REPT(" ",LEN(A199))),LEN(A199))))))), 1)) * ROW(INDIRECT("1:"&amp;LEN((--TRIM(RIGHT(SUBSTITUTE(LEFT(A199,_xlfn.AGGREGATE(16,6,FIND({0,1,2,3,4,5,6,7,8,9},A199,ROW(INDIRECT("1:"&amp;LEN(A199)))),1))," ",REPT(" ",LEN(A199))),LEN(A199))))))), 0), ROW(INDIRECT("1:"&amp;LEN((--TRIM(RIGHT(SUBSTITUTE(LEFT(A199,_xlfn.AGGREGATE(16,6,FIND({0,1,2,3,4,5,6,7,8,9},A199,ROW(INDIRECT("1:"&amp;LEN(A199)))),1))," ",REPT(" ",LEN(A199))),LEN(A199))))))))+1, 1) * 10^ROW(INDIRECT("1:"&amp;LEN((--TRIM(RIGHT(SUBSTITUTE(LEFT(A199,_xlfn.AGGREGATE(16,6,FIND({0,1,2,3,4,5,6,7,8,9},A199,ROW(INDIRECT("1:"&amp;LEN(A199)))),1))," ",REPT(" ",LEN(A199))),LEN(A199)))))))/10))*1+1</f>
        <v>105 &amp; 305</v>
      </c>
      <c r="B200" s="65"/>
      <c r="C200" s="13" t="s">
        <v>196</v>
      </c>
      <c r="D200" s="13">
        <f>(3.38*2.75+2.1*2.15+2.65*2.7+1.2*2.05+0.9*1.12+0.9*1.8+0.9*3+1.5*2.75+1.8*0.45)*10.764</f>
        <v>362.61763200000001</v>
      </c>
      <c r="E200" s="13">
        <v>0</v>
      </c>
      <c r="F200" s="13">
        <f t="shared" si="8"/>
        <v>543.92644800000005</v>
      </c>
      <c r="G200" s="64" t="str">
        <f t="shared" si="9"/>
        <v>1st &amp; 3rd Floor for Residential</v>
      </c>
      <c r="H200" s="65"/>
      <c r="I200" s="30"/>
    </row>
    <row r="201" spans="1:9" s="2" customFormat="1" ht="15.75" customHeight="1" x14ac:dyDescent="0.25">
      <c r="A201" s="64" t="str">
        <f ca="1">(SUMPRODUCT(MID(0&amp;(LEFT(A200,SUM(LEN(A200)-LEN(SUBSTITUTE(A200,{"0","1","2"},""))))), LARGE(INDEX(ISNUMBER(--MID((LEFT(A200,SUM(LEN(A200)-LEN(SUBSTITUTE(A200,{"0","1","2"},""))))), ROW(INDIRECT("1:"&amp;LEN((LEFT(A200,SUM(LEN(A200)-LEN(SUBSTITUTE(A200,{"0","1","2"},"")))))))), 1)) * ROW(INDIRECT("1:"&amp;LEN((LEFT(A200,SUM(LEN(A200)-LEN(SUBSTITUTE(A200,{"0","1","2"},"")))))))), 0), ROW(INDIRECT("1:"&amp;LEN((LEFT(A200,SUM(LEN(A200)-LEN(SUBSTITUTE(A200,{"0","1","2"},"")))))))))+1, 1) * 10^ROW(INDIRECT("1:"&amp;LEN((LEFT(A200,SUM(LEN(A200)-LEN(SUBSTITUTE(A200,{"0","1","2"},""))))))))/10))*1+1&amp;""&amp;" &amp; "&amp;""&amp;(SUMPRODUCT(MID(0&amp;(--TRIM(RIGHT(SUBSTITUTE(LEFT(A200,_xlfn.AGGREGATE(16,6,FIND({0,1,2,3,4,5,6,7,8,9},A200,ROW(INDIRECT("1:"&amp;LEN(A200)))),1))," ",REPT(" ",LEN(A200))),LEN(A200)))), LARGE(INDEX(ISNUMBER(--MID((--TRIM(RIGHT(SUBSTITUTE(LEFT(A200,_xlfn.AGGREGATE(16,6,FIND({0,1,2,3,4,5,6,7,8,9},A200,ROW(INDIRECT("1:"&amp;LEN(A200)))),1))," ",REPT(" ",LEN(A200))),LEN(A200)))), ROW(INDIRECT("1:"&amp;LEN((--TRIM(RIGHT(SUBSTITUTE(LEFT(A200,_xlfn.AGGREGATE(16,6,FIND({0,1,2,3,4,5,6,7,8,9},A200,ROW(INDIRECT("1:"&amp;LEN(A200)))),1))," ",REPT(" ",LEN(A200))),LEN(A200))))))), 1)) * ROW(INDIRECT("1:"&amp;LEN((--TRIM(RIGHT(SUBSTITUTE(LEFT(A200,_xlfn.AGGREGATE(16,6,FIND({0,1,2,3,4,5,6,7,8,9},A200,ROW(INDIRECT("1:"&amp;LEN(A200)))),1))," ",REPT(" ",LEN(A200))),LEN(A200))))))), 0), ROW(INDIRECT("1:"&amp;LEN((--TRIM(RIGHT(SUBSTITUTE(LEFT(A200,_xlfn.AGGREGATE(16,6,FIND({0,1,2,3,4,5,6,7,8,9},A200,ROW(INDIRECT("1:"&amp;LEN(A200)))),1))," ",REPT(" ",LEN(A200))),LEN(A200))))))))+1, 1) * 10^ROW(INDIRECT("1:"&amp;LEN((--TRIM(RIGHT(SUBSTITUTE(LEFT(A200,_xlfn.AGGREGATE(16,6,FIND({0,1,2,3,4,5,6,7,8,9},A200,ROW(INDIRECT("1:"&amp;LEN(A200)))),1))," ",REPT(" ",LEN(A200))),LEN(A200)))))))/10))*1+1</f>
        <v>106 &amp; 306</v>
      </c>
      <c r="B201" s="65"/>
      <c r="C201" s="13" t="s">
        <v>196</v>
      </c>
      <c r="D201" s="13">
        <f>(2.75*3.16+2.07*2.05+2.7*2.65+1.8*1.1+0.9*1.2+0.9*2.7+0.9*1.4+1.5*2.75+1.18*1.95)*10.764</f>
        <v>358.05907799999994</v>
      </c>
      <c r="E201" s="13">
        <v>0</v>
      </c>
      <c r="F201" s="13">
        <f t="shared" si="8"/>
        <v>537.08861699999989</v>
      </c>
      <c r="G201" s="64" t="str">
        <f t="shared" si="9"/>
        <v>1st &amp; 3rd Floor for Residential</v>
      </c>
      <c r="H201" s="65"/>
      <c r="I201" s="30"/>
    </row>
    <row r="202" spans="1:9" s="2" customFormat="1" ht="15.75" customHeight="1" x14ac:dyDescent="0.25">
      <c r="A202" s="64" t="str">
        <f ca="1">(SUMPRODUCT(MID(0&amp;(LEFT(A201,SUM(LEN(A201)-LEN(SUBSTITUTE(A201,{"0","1","2"},""))))), LARGE(INDEX(ISNUMBER(--MID((LEFT(A201,SUM(LEN(A201)-LEN(SUBSTITUTE(A201,{"0","1","2"},""))))), ROW(INDIRECT("1:"&amp;LEN((LEFT(A201,SUM(LEN(A201)-LEN(SUBSTITUTE(A201,{"0","1","2"},"")))))))), 1)) * ROW(INDIRECT("1:"&amp;LEN((LEFT(A201,SUM(LEN(A201)-LEN(SUBSTITUTE(A201,{"0","1","2"},"")))))))), 0), ROW(INDIRECT("1:"&amp;LEN((LEFT(A201,SUM(LEN(A201)-LEN(SUBSTITUTE(A201,{"0","1","2"},"")))))))))+1, 1) * 10^ROW(INDIRECT("1:"&amp;LEN((LEFT(A201,SUM(LEN(A201)-LEN(SUBSTITUTE(A201,{"0","1","2"},""))))))))/10))*1+1&amp;""&amp;" &amp; "&amp;""&amp;(SUMPRODUCT(MID(0&amp;(--TRIM(RIGHT(SUBSTITUTE(LEFT(A201,_xlfn.AGGREGATE(16,6,FIND({0,1,2,3,4,5,6,7,8,9},A201,ROW(INDIRECT("1:"&amp;LEN(A201)))),1))," ",REPT(" ",LEN(A201))),LEN(A201)))), LARGE(INDEX(ISNUMBER(--MID((--TRIM(RIGHT(SUBSTITUTE(LEFT(A201,_xlfn.AGGREGATE(16,6,FIND({0,1,2,3,4,5,6,7,8,9},A201,ROW(INDIRECT("1:"&amp;LEN(A201)))),1))," ",REPT(" ",LEN(A201))),LEN(A201)))), ROW(INDIRECT("1:"&amp;LEN((--TRIM(RIGHT(SUBSTITUTE(LEFT(A201,_xlfn.AGGREGATE(16,6,FIND({0,1,2,3,4,5,6,7,8,9},A201,ROW(INDIRECT("1:"&amp;LEN(A201)))),1))," ",REPT(" ",LEN(A201))),LEN(A201))))))), 1)) * ROW(INDIRECT("1:"&amp;LEN((--TRIM(RIGHT(SUBSTITUTE(LEFT(A201,_xlfn.AGGREGATE(16,6,FIND({0,1,2,3,4,5,6,7,8,9},A201,ROW(INDIRECT("1:"&amp;LEN(A201)))),1))," ",REPT(" ",LEN(A201))),LEN(A201))))))), 0), ROW(INDIRECT("1:"&amp;LEN((--TRIM(RIGHT(SUBSTITUTE(LEFT(A201,_xlfn.AGGREGATE(16,6,FIND({0,1,2,3,4,5,6,7,8,9},A201,ROW(INDIRECT("1:"&amp;LEN(A201)))),1))," ",REPT(" ",LEN(A201))),LEN(A201))))))))+1, 1) * 10^ROW(INDIRECT("1:"&amp;LEN((--TRIM(RIGHT(SUBSTITUTE(LEFT(A201,_xlfn.AGGREGATE(16,6,FIND({0,1,2,3,4,5,6,7,8,9},A201,ROW(INDIRECT("1:"&amp;LEN(A201)))),1))," ",REPT(" ",LEN(A201))),LEN(A201)))))))/10))*1+1</f>
        <v>107 &amp; 307</v>
      </c>
      <c r="B202" s="65"/>
      <c r="C202" s="13" t="s">
        <v>196</v>
      </c>
      <c r="D202" s="13">
        <f>(2.75*3.45+2.07*2.05+2.7*2.65+1.8*1.1+0.9*1.2+0.9*2.6+0.9*1.4+1.5*2.75)*10.764</f>
        <v>340.90664399999997</v>
      </c>
      <c r="E202" s="13">
        <v>0</v>
      </c>
      <c r="F202" s="13">
        <f t="shared" ref="F202" si="10">D202*(($F$130)+1)+(IF(E202&lt;101,E202,IF(E202&lt;201,E202/2,IF(E202&lt;=301,E202/3,E202/4))))</f>
        <v>511.35996599999999</v>
      </c>
      <c r="G202" s="64" t="str">
        <f t="shared" si="9"/>
        <v>1st &amp; 3rd Floor for Residential</v>
      </c>
      <c r="H202" s="65"/>
      <c r="I202" s="30"/>
    </row>
    <row r="203" spans="1:9" s="2" customFormat="1" ht="15.75" customHeight="1" x14ac:dyDescent="0.25">
      <c r="A203" s="64" t="str">
        <f ca="1">(SUMPRODUCT(MID(0&amp;(LEFT(A202,SUM(LEN(A202)-LEN(SUBSTITUTE(A202,{"0","1","2"},""))))), LARGE(INDEX(ISNUMBER(--MID((LEFT(A202,SUM(LEN(A202)-LEN(SUBSTITUTE(A202,{"0","1","2"},""))))), ROW(INDIRECT("1:"&amp;LEN((LEFT(A202,SUM(LEN(A202)-LEN(SUBSTITUTE(A202,{"0","1","2"},"")))))))), 1)) * ROW(INDIRECT("1:"&amp;LEN((LEFT(A202,SUM(LEN(A202)-LEN(SUBSTITUTE(A202,{"0","1","2"},"")))))))), 0), ROW(INDIRECT("1:"&amp;LEN((LEFT(A202,SUM(LEN(A202)-LEN(SUBSTITUTE(A202,{"0","1","2"},"")))))))))+1, 1) * 10^ROW(INDIRECT("1:"&amp;LEN((LEFT(A202,SUM(LEN(A202)-LEN(SUBSTITUTE(A202,{"0","1","2"},""))))))))/10))*1+1&amp;""&amp;" &amp; "&amp;""&amp;(SUMPRODUCT(MID(0&amp;(--TRIM(RIGHT(SUBSTITUTE(LEFT(A202,_xlfn.AGGREGATE(16,6,FIND({0,1,2,3,4,5,6,7,8,9},A202,ROW(INDIRECT("1:"&amp;LEN(A202)))),1))," ",REPT(" ",LEN(A202))),LEN(A202)))), LARGE(INDEX(ISNUMBER(--MID((--TRIM(RIGHT(SUBSTITUTE(LEFT(A202,_xlfn.AGGREGATE(16,6,FIND({0,1,2,3,4,5,6,7,8,9},A202,ROW(INDIRECT("1:"&amp;LEN(A202)))),1))," ",REPT(" ",LEN(A202))),LEN(A202)))), ROW(INDIRECT("1:"&amp;LEN((--TRIM(RIGHT(SUBSTITUTE(LEFT(A202,_xlfn.AGGREGATE(16,6,FIND({0,1,2,3,4,5,6,7,8,9},A202,ROW(INDIRECT("1:"&amp;LEN(A202)))),1))," ",REPT(" ",LEN(A202))),LEN(A202))))))), 1)) * ROW(INDIRECT("1:"&amp;LEN((--TRIM(RIGHT(SUBSTITUTE(LEFT(A202,_xlfn.AGGREGATE(16,6,FIND({0,1,2,3,4,5,6,7,8,9},A202,ROW(INDIRECT("1:"&amp;LEN(A202)))),1))," ",REPT(" ",LEN(A202))),LEN(A202))))))), 0), ROW(INDIRECT("1:"&amp;LEN((--TRIM(RIGHT(SUBSTITUTE(LEFT(A202,_xlfn.AGGREGATE(16,6,FIND({0,1,2,3,4,5,6,7,8,9},A202,ROW(INDIRECT("1:"&amp;LEN(A202)))),1))," ",REPT(" ",LEN(A202))),LEN(A202))))))))+1, 1) * 10^ROW(INDIRECT("1:"&amp;LEN((--TRIM(RIGHT(SUBSTITUTE(LEFT(A202,_xlfn.AGGREGATE(16,6,FIND({0,1,2,3,4,5,6,7,8,9},A202,ROW(INDIRECT("1:"&amp;LEN(A202)))),1))," ",REPT(" ",LEN(A202))),LEN(A202)))))))/10))*1+1</f>
        <v>108 &amp; 308</v>
      </c>
      <c r="B203" s="65"/>
      <c r="C203" s="13" t="s">
        <v>196</v>
      </c>
      <c r="D203" s="13">
        <f>(2.75*3.45+2.07*2.05+2.7*2.65+1.8*1.1+0.9*1.2+0.9*2.6+0.9*1.4+1.5*2.75)*10.764</f>
        <v>340.90664399999997</v>
      </c>
      <c r="E203" s="13">
        <v>0</v>
      </c>
      <c r="F203" s="13">
        <f>D203*(($F$130)+1)+(IF(E203&lt;101,E203,IF(E203&lt;201,E203/2,IF(E203&lt;=301,E203/3,E203/4))))</f>
        <v>511.35996599999999</v>
      </c>
      <c r="G203" s="64" t="str">
        <f t="shared" si="9"/>
        <v>1st &amp; 3rd Floor for Residential</v>
      </c>
      <c r="H203" s="65"/>
      <c r="I203" s="30"/>
    </row>
    <row r="204" spans="1:9" s="2" customFormat="1" ht="15.75" customHeight="1" x14ac:dyDescent="0.25">
      <c r="A204" s="64" t="str">
        <f ca="1">(SUMPRODUCT(MID(0&amp;(LEFT(A203,SUM(LEN(A203)-LEN(SUBSTITUTE(A203,{"0","1","2"},""))))), LARGE(INDEX(ISNUMBER(--MID((LEFT(A203,SUM(LEN(A203)-LEN(SUBSTITUTE(A203,{"0","1","2"},""))))), ROW(INDIRECT("1:"&amp;LEN((LEFT(A203,SUM(LEN(A203)-LEN(SUBSTITUTE(A203,{"0","1","2"},"")))))))), 1)) * ROW(INDIRECT("1:"&amp;LEN((LEFT(A203,SUM(LEN(A203)-LEN(SUBSTITUTE(A203,{"0","1","2"},"")))))))), 0), ROW(INDIRECT("1:"&amp;LEN((LEFT(A203,SUM(LEN(A203)-LEN(SUBSTITUTE(A203,{"0","1","2"},"")))))))))+1, 1) * 10^ROW(INDIRECT("1:"&amp;LEN((LEFT(A203,SUM(LEN(A203)-LEN(SUBSTITUTE(A203,{"0","1","2"},""))))))))/10))*1+1&amp;""&amp;" &amp; "&amp;""&amp;(SUMPRODUCT(MID(0&amp;(--TRIM(RIGHT(SUBSTITUTE(LEFT(A203,_xlfn.AGGREGATE(16,6,FIND({0,1,2,3,4,5,6,7,8,9},A203,ROW(INDIRECT("1:"&amp;LEN(A203)))),1))," ",REPT(" ",LEN(A203))),LEN(A203)))), LARGE(INDEX(ISNUMBER(--MID((--TRIM(RIGHT(SUBSTITUTE(LEFT(A203,_xlfn.AGGREGATE(16,6,FIND({0,1,2,3,4,5,6,7,8,9},A203,ROW(INDIRECT("1:"&amp;LEN(A203)))),1))," ",REPT(" ",LEN(A203))),LEN(A203)))), ROW(INDIRECT("1:"&amp;LEN((--TRIM(RIGHT(SUBSTITUTE(LEFT(A203,_xlfn.AGGREGATE(16,6,FIND({0,1,2,3,4,5,6,7,8,9},A203,ROW(INDIRECT("1:"&amp;LEN(A203)))),1))," ",REPT(" ",LEN(A203))),LEN(A203))))))), 1)) * ROW(INDIRECT("1:"&amp;LEN((--TRIM(RIGHT(SUBSTITUTE(LEFT(A203,_xlfn.AGGREGATE(16,6,FIND({0,1,2,3,4,5,6,7,8,9},A203,ROW(INDIRECT("1:"&amp;LEN(A203)))),1))," ",REPT(" ",LEN(A203))),LEN(A203))))))), 0), ROW(INDIRECT("1:"&amp;LEN((--TRIM(RIGHT(SUBSTITUTE(LEFT(A203,_xlfn.AGGREGATE(16,6,FIND({0,1,2,3,4,5,6,7,8,9},A203,ROW(INDIRECT("1:"&amp;LEN(A203)))),1))," ",REPT(" ",LEN(A203))),LEN(A203))))))))+1, 1) * 10^ROW(INDIRECT("1:"&amp;LEN((--TRIM(RIGHT(SUBSTITUTE(LEFT(A203,_xlfn.AGGREGATE(16,6,FIND({0,1,2,3,4,5,6,7,8,9},A203,ROW(INDIRECT("1:"&amp;LEN(A203)))),1))," ",REPT(" ",LEN(A203))),LEN(A203)))))))/10))*1+1</f>
        <v>109 &amp; 309</v>
      </c>
      <c r="B204" s="65"/>
      <c r="C204" s="13" t="s">
        <v>196</v>
      </c>
      <c r="D204" s="13">
        <f>(2.75*3.45+2.07*2.05+2.7*2.65+1.8*1.1+0.9*1.2+0.9*2.6+0.9*1.4+1.5*2.75)*10.764</f>
        <v>340.90664399999997</v>
      </c>
      <c r="E204" s="13">
        <v>0</v>
      </c>
      <c r="F204" s="13">
        <f>D204*(($F$130)+1)+(IF(E204&lt;101,E204,IF(E204&lt;201,E204/2,IF(E204&lt;=301,E204/3,E204/4))))</f>
        <v>511.35996599999999</v>
      </c>
      <c r="G204" s="64" t="str">
        <f t="shared" si="9"/>
        <v>1st &amp; 3rd Floor for Residential</v>
      </c>
      <c r="H204" s="65"/>
      <c r="I204" s="30"/>
    </row>
    <row r="205" spans="1:9" s="2" customFormat="1" ht="15.75" customHeight="1" x14ac:dyDescent="0.25">
      <c r="A205" s="64" t="str">
        <f ca="1">(SUMPRODUCT(MID(0&amp;(LEFT(A204,SUM(LEN(A204)-LEN(SUBSTITUTE(A204,{"0","1","2"},""))))), LARGE(INDEX(ISNUMBER(--MID((LEFT(A204,SUM(LEN(A204)-LEN(SUBSTITUTE(A204,{"0","1","2"},""))))), ROW(INDIRECT("1:"&amp;LEN((LEFT(A204,SUM(LEN(A204)-LEN(SUBSTITUTE(A204,{"0","1","2"},"")))))))), 1)) * ROW(INDIRECT("1:"&amp;LEN((LEFT(A204,SUM(LEN(A204)-LEN(SUBSTITUTE(A204,{"0","1","2"},"")))))))), 0), ROW(INDIRECT("1:"&amp;LEN((LEFT(A204,SUM(LEN(A204)-LEN(SUBSTITUTE(A204,{"0","1","2"},"")))))))))+1, 1) * 10^ROW(INDIRECT("1:"&amp;LEN((LEFT(A204,SUM(LEN(A204)-LEN(SUBSTITUTE(A204,{"0","1","2"},""))))))))/10))*1+1&amp;""&amp;" &amp; "&amp;""&amp;(SUMPRODUCT(MID(0&amp;(--TRIM(RIGHT(SUBSTITUTE(LEFT(A204,_xlfn.AGGREGATE(16,6,FIND({0,1,2,3,4,5,6,7,8,9},A204,ROW(INDIRECT("1:"&amp;LEN(A204)))),1))," ",REPT(" ",LEN(A204))),LEN(A204)))), LARGE(INDEX(ISNUMBER(--MID((--TRIM(RIGHT(SUBSTITUTE(LEFT(A204,_xlfn.AGGREGATE(16,6,FIND({0,1,2,3,4,5,6,7,8,9},A204,ROW(INDIRECT("1:"&amp;LEN(A204)))),1))," ",REPT(" ",LEN(A204))),LEN(A204)))), ROW(INDIRECT("1:"&amp;LEN((--TRIM(RIGHT(SUBSTITUTE(LEFT(A204,_xlfn.AGGREGATE(16,6,FIND({0,1,2,3,4,5,6,7,8,9},A204,ROW(INDIRECT("1:"&amp;LEN(A204)))),1))," ",REPT(" ",LEN(A204))),LEN(A204))))))), 1)) * ROW(INDIRECT("1:"&amp;LEN((--TRIM(RIGHT(SUBSTITUTE(LEFT(A204,_xlfn.AGGREGATE(16,6,FIND({0,1,2,3,4,5,6,7,8,9},A204,ROW(INDIRECT("1:"&amp;LEN(A204)))),1))," ",REPT(" ",LEN(A204))),LEN(A204))))))), 0), ROW(INDIRECT("1:"&amp;LEN((--TRIM(RIGHT(SUBSTITUTE(LEFT(A204,_xlfn.AGGREGATE(16,6,FIND({0,1,2,3,4,5,6,7,8,9},A204,ROW(INDIRECT("1:"&amp;LEN(A204)))),1))," ",REPT(" ",LEN(A204))),LEN(A204))))))))+1, 1) * 10^ROW(INDIRECT("1:"&amp;LEN((--TRIM(RIGHT(SUBSTITUTE(LEFT(A204,_xlfn.AGGREGATE(16,6,FIND({0,1,2,3,4,5,6,7,8,9},A204,ROW(INDIRECT("1:"&amp;LEN(A204)))),1))," ",REPT(" ",LEN(A204))),LEN(A204)))))))/10))*1+1</f>
        <v>110 &amp; 310</v>
      </c>
      <c r="B205" s="65"/>
      <c r="C205" s="13" t="s">
        <v>196</v>
      </c>
      <c r="D205" s="13">
        <f>(2.75*3.83+2.1*2.15+2.65*2.7+1.2*2.14+0.9*1.2+0.9*1.8+0.9*3+1.5*2.75+1.8*0.45)*10.764</f>
        <v>377.87560200000007</v>
      </c>
      <c r="E205" s="13">
        <v>0</v>
      </c>
      <c r="F205" s="13">
        <f t="shared" ref="F205" si="11">D205*(($F$130)+1)+(IF(E205&lt;101,E205,IF(E205&lt;201,E205/2,IF(E205&lt;=301,E205/3,E205/4))))</f>
        <v>566.81340300000011</v>
      </c>
      <c r="G205" s="64" t="str">
        <f t="shared" si="9"/>
        <v>1st &amp; 3rd Floor for Residential</v>
      </c>
      <c r="H205" s="65"/>
      <c r="I205" s="30"/>
    </row>
    <row r="206" spans="1:9" s="2" customFormat="1" ht="15.75" customHeight="1" x14ac:dyDescent="0.25">
      <c r="A206" s="64" t="str">
        <f ca="1">(SUMPRODUCT(MID(0&amp;(LEFT(A205,SUM(LEN(A205)-LEN(SUBSTITUTE(A205,{"0","1","2"},""))))), LARGE(INDEX(ISNUMBER(--MID((LEFT(A205,SUM(LEN(A205)-LEN(SUBSTITUTE(A205,{"0","1","2"},""))))), ROW(INDIRECT("1:"&amp;LEN((LEFT(A205,SUM(LEN(A205)-LEN(SUBSTITUTE(A205,{"0","1","2"},"")))))))), 1)) * ROW(INDIRECT("1:"&amp;LEN((LEFT(A205,SUM(LEN(A205)-LEN(SUBSTITUTE(A205,{"0","1","2"},"")))))))), 0), ROW(INDIRECT("1:"&amp;LEN((LEFT(A205,SUM(LEN(A205)-LEN(SUBSTITUTE(A205,{"0","1","2"},"")))))))))+1, 1) * 10^ROW(INDIRECT("1:"&amp;LEN((LEFT(A205,SUM(LEN(A205)-LEN(SUBSTITUTE(A205,{"0","1","2"},""))))))))/10))*1+1&amp;""&amp;" &amp; "&amp;""&amp;(SUMPRODUCT(MID(0&amp;(--TRIM(RIGHT(SUBSTITUTE(LEFT(A205,_xlfn.AGGREGATE(16,6,FIND({0,1,2,3,4,5,6,7,8,9},A205,ROW(INDIRECT("1:"&amp;LEN(A205)))),1))," ",REPT(" ",LEN(A205))),LEN(A205)))), LARGE(INDEX(ISNUMBER(--MID((--TRIM(RIGHT(SUBSTITUTE(LEFT(A205,_xlfn.AGGREGATE(16,6,FIND({0,1,2,3,4,5,6,7,8,9},A205,ROW(INDIRECT("1:"&amp;LEN(A205)))),1))," ",REPT(" ",LEN(A205))),LEN(A205)))), ROW(INDIRECT("1:"&amp;LEN((--TRIM(RIGHT(SUBSTITUTE(LEFT(A205,_xlfn.AGGREGATE(16,6,FIND({0,1,2,3,4,5,6,7,8,9},A205,ROW(INDIRECT("1:"&amp;LEN(A205)))),1))," ",REPT(" ",LEN(A205))),LEN(A205))))))), 1)) * ROW(INDIRECT("1:"&amp;LEN((--TRIM(RIGHT(SUBSTITUTE(LEFT(A205,_xlfn.AGGREGATE(16,6,FIND({0,1,2,3,4,5,6,7,8,9},A205,ROW(INDIRECT("1:"&amp;LEN(A205)))),1))," ",REPT(" ",LEN(A205))),LEN(A205))))))), 0), ROW(INDIRECT("1:"&amp;LEN((--TRIM(RIGHT(SUBSTITUTE(LEFT(A205,_xlfn.AGGREGATE(16,6,FIND({0,1,2,3,4,5,6,7,8,9},A205,ROW(INDIRECT("1:"&amp;LEN(A205)))),1))," ",REPT(" ",LEN(A205))),LEN(A205))))))))+1, 1) * 10^ROW(INDIRECT("1:"&amp;LEN((--TRIM(RIGHT(SUBSTITUTE(LEFT(A205,_xlfn.AGGREGATE(16,6,FIND({0,1,2,3,4,5,6,7,8,9},A205,ROW(INDIRECT("1:"&amp;LEN(A205)))),1))," ",REPT(" ",LEN(A205))),LEN(A205)))))))/10))*1+1</f>
        <v>111 &amp; 311</v>
      </c>
      <c r="B206" s="65"/>
      <c r="C206" s="13" t="s">
        <v>196</v>
      </c>
      <c r="D206" s="13">
        <f>(3.45*2.75+2.1*2.14+3.5*2.7+1.2*2.06+0.9*1.2+0.9*1.8+0.9*2.9+1.8*0.45+1.5*2.75)*10.764</f>
        <v>389.10245399999997</v>
      </c>
      <c r="E206" s="13">
        <v>0</v>
      </c>
      <c r="F206" s="13">
        <f>D206*(($F$130)+1)+(IF(E206&lt;101,E206,IF(E206&lt;201,E206/2,IF(E206&lt;=301,E206/3,E206/4))))</f>
        <v>583.65368100000001</v>
      </c>
      <c r="G206" s="64" t="str">
        <f t="shared" si="9"/>
        <v>1st &amp; 3rd Floor for Residential</v>
      </c>
      <c r="H206" s="65"/>
      <c r="I206" s="30"/>
    </row>
    <row r="207" spans="1:9" s="2" customFormat="1" ht="15.75" customHeight="1" x14ac:dyDescent="0.25">
      <c r="A207" s="64" t="str">
        <f ca="1">(SUMPRODUCT(MID(0&amp;(LEFT(A206,SUM(LEN(A206)-LEN(SUBSTITUTE(A206,{"0","1","2"},""))))), LARGE(INDEX(ISNUMBER(--MID((LEFT(A206,SUM(LEN(A206)-LEN(SUBSTITUTE(A206,{"0","1","2"},""))))), ROW(INDIRECT("1:"&amp;LEN((LEFT(A206,SUM(LEN(A206)-LEN(SUBSTITUTE(A206,{"0","1","2"},"")))))))), 1)) * ROW(INDIRECT("1:"&amp;LEN((LEFT(A206,SUM(LEN(A206)-LEN(SUBSTITUTE(A206,{"0","1","2"},"")))))))), 0), ROW(INDIRECT("1:"&amp;LEN((LEFT(A206,SUM(LEN(A206)-LEN(SUBSTITUTE(A206,{"0","1","2"},"")))))))))+1, 1) * 10^ROW(INDIRECT("1:"&amp;LEN((LEFT(A206,SUM(LEN(A206)-LEN(SUBSTITUTE(A206,{"0","1","2"},""))))))))/10))*1+1&amp;""&amp;" &amp; "&amp;""&amp;(SUMPRODUCT(MID(0&amp;(--TRIM(RIGHT(SUBSTITUTE(LEFT(A206,_xlfn.AGGREGATE(16,6,FIND({0,1,2,3,4,5,6,7,8,9},A206,ROW(INDIRECT("1:"&amp;LEN(A206)))),1))," ",REPT(" ",LEN(A206))),LEN(A206)))), LARGE(INDEX(ISNUMBER(--MID((--TRIM(RIGHT(SUBSTITUTE(LEFT(A206,_xlfn.AGGREGATE(16,6,FIND({0,1,2,3,4,5,6,7,8,9},A206,ROW(INDIRECT("1:"&amp;LEN(A206)))),1))," ",REPT(" ",LEN(A206))),LEN(A206)))), ROW(INDIRECT("1:"&amp;LEN((--TRIM(RIGHT(SUBSTITUTE(LEFT(A206,_xlfn.AGGREGATE(16,6,FIND({0,1,2,3,4,5,6,7,8,9},A206,ROW(INDIRECT("1:"&amp;LEN(A206)))),1))," ",REPT(" ",LEN(A206))),LEN(A206))))))), 1)) * ROW(INDIRECT("1:"&amp;LEN((--TRIM(RIGHT(SUBSTITUTE(LEFT(A206,_xlfn.AGGREGATE(16,6,FIND({0,1,2,3,4,5,6,7,8,9},A206,ROW(INDIRECT("1:"&amp;LEN(A206)))),1))," ",REPT(" ",LEN(A206))),LEN(A206))))))), 0), ROW(INDIRECT("1:"&amp;LEN((--TRIM(RIGHT(SUBSTITUTE(LEFT(A206,_xlfn.AGGREGATE(16,6,FIND({0,1,2,3,4,5,6,7,8,9},A206,ROW(INDIRECT("1:"&amp;LEN(A206)))),1))," ",REPT(" ",LEN(A206))),LEN(A206))))))))+1, 1) * 10^ROW(INDIRECT("1:"&amp;LEN((--TRIM(RIGHT(SUBSTITUTE(LEFT(A206,_xlfn.AGGREGATE(16,6,FIND({0,1,2,3,4,5,6,7,8,9},A206,ROW(INDIRECT("1:"&amp;LEN(A206)))),1))," ",REPT(" ",LEN(A206))),LEN(A206)))))))/10))*1+1</f>
        <v>112 &amp; 312</v>
      </c>
      <c r="B207" s="65"/>
      <c r="C207" s="13" t="s">
        <v>196</v>
      </c>
      <c r="D207" s="13">
        <f>(2.75*3.97+2.01*2.05+2.7*2.65+1.8*1+0.9*1.2+0.9*1.2+0.9*2.5+1.1*1.15+1.5*2.75)*10.764</f>
        <v>363.74785199999997</v>
      </c>
      <c r="E207" s="13">
        <v>0</v>
      </c>
      <c r="F207" s="13">
        <f t="shared" ref="F207" si="12">D207*(($F$130)+1)+(IF(E207&lt;101,E207,IF(E207&lt;201,E207/2,IF(E207&lt;=301,E207/3,E207/4))))</f>
        <v>545.62177799999995</v>
      </c>
      <c r="G207" s="64" t="str">
        <f t="shared" si="9"/>
        <v>1st &amp; 3rd Floor for Residential</v>
      </c>
      <c r="H207" s="65"/>
      <c r="I207" s="30"/>
    </row>
    <row r="208" spans="1:9" s="2" customFormat="1" ht="15.75" customHeight="1" x14ac:dyDescent="0.25">
      <c r="A208" s="66" t="s">
        <v>194</v>
      </c>
      <c r="B208" s="67"/>
      <c r="C208" s="67"/>
      <c r="D208" s="67"/>
      <c r="E208" s="67"/>
      <c r="F208" s="67"/>
      <c r="G208" s="67"/>
      <c r="H208" s="68"/>
      <c r="I208" s="30"/>
    </row>
    <row r="209" spans="1:9" s="2" customFormat="1" ht="15.75" customHeight="1" x14ac:dyDescent="0.25">
      <c r="A209" s="64" t="str">
        <f ca="1">(SUMPRODUCT(MID(0&amp;(LEFT(A208,SUM(LEN(A208)-LEN(SUBSTITUTE(A208,{"0","1","2"},""))))), LARGE(INDEX(ISNUMBER(--MID((LEFT(A208,SUM(LEN(A208)-LEN(SUBSTITUTE(A208,{"0","1","2"},""))))), ROW(INDIRECT("1:"&amp;LEN((LEFT(A208,SUM(LEN(A208)-LEN(SUBSTITUTE(A208,{"0","1","2"},"")))))))), 1)) * ROW(INDIRECT("1:"&amp;LEN((LEFT(A208,SUM(LEN(A208)-LEN(SUBSTITUTE(A208,{"0","1","2"},"")))))))), 0), ROW(INDIRECT("1:"&amp;LEN((LEFT(A208,SUM(LEN(A208)-LEN(SUBSTITUTE(A208,{"0","1","2"},"")))))))))+1, 1) * 10^ROW(INDIRECT("1:"&amp;LEN((LEFT(A208,SUM(LEN(A208)-LEN(SUBSTITUTE(A208,{"0","1","2"},""))))))))/10))*100+1&amp;""&amp;" &amp; "&amp;""&amp;(SUMPRODUCT(MID(0&amp;(--TRIM(RIGHT(SUBSTITUTE(LEFT(A208,_xlfn.AGGREGATE(16,6,FIND({0,1,2,3,4,5,6,7,8,9},A208,ROW(INDIRECT("1:"&amp;LEN(A208)))),1))," ",REPT(" ",LEN(A208))),LEN(A208)))), LARGE(INDEX(ISNUMBER(--MID((--TRIM(RIGHT(SUBSTITUTE(LEFT(A208,_xlfn.AGGREGATE(16,6,FIND({0,1,2,3,4,5,6,7,8,9},A208,ROW(INDIRECT("1:"&amp;LEN(A208)))),1))," ",REPT(" ",LEN(A208))),LEN(A208)))), ROW(INDIRECT("1:"&amp;LEN((--TRIM(RIGHT(SUBSTITUTE(LEFT(A208,_xlfn.AGGREGATE(16,6,FIND({0,1,2,3,4,5,6,7,8,9},A208,ROW(INDIRECT("1:"&amp;LEN(A208)))),1))," ",REPT(" ",LEN(A208))),LEN(A208))))))), 1)) * ROW(INDIRECT("1:"&amp;LEN((--TRIM(RIGHT(SUBSTITUTE(LEFT(A208,_xlfn.AGGREGATE(16,6,FIND({0,1,2,3,4,5,6,7,8,9},A208,ROW(INDIRECT("1:"&amp;LEN(A208)))),1))," ",REPT(" ",LEN(A208))),LEN(A208))))))), 0), ROW(INDIRECT("1:"&amp;LEN((--TRIM(RIGHT(SUBSTITUTE(LEFT(A208,_xlfn.AGGREGATE(16,6,FIND({0,1,2,3,4,5,6,7,8,9},A208,ROW(INDIRECT("1:"&amp;LEN(A208)))),1))," ",REPT(" ",LEN(A208))),LEN(A208))))))))+1, 1) * 10^ROW(INDIRECT("1:"&amp;LEN((--TRIM(RIGHT(SUBSTITUTE(LEFT(A208,_xlfn.AGGREGATE(16,6,FIND({0,1,2,3,4,5,6,7,8,9},A208,ROW(INDIRECT("1:"&amp;LEN(A208)))),1))," ",REPT(" ",LEN(A208))),LEN(A208)))))))/10))*100+1</f>
        <v>201 &amp; 401</v>
      </c>
      <c r="B209" s="65"/>
      <c r="C209" s="13" t="s">
        <v>196</v>
      </c>
      <c r="D209" s="13">
        <f>(2.75*3.17+2.1*1.93+2.7*2.65+1.09*1.8+1.2*1.96+0.9*1.8+1.5*2.75)*10.764</f>
        <v>322.75315799999998</v>
      </c>
      <c r="E209" s="13">
        <v>0</v>
      </c>
      <c r="F209" s="13">
        <f t="shared" ref="F209:F214" si="13">D209*(($F$130)+1)+(IF(E209&lt;101,E209,IF(E209&lt;201,E209/2,IF(E209&lt;=301,E209/3,E209/4))))</f>
        <v>484.12973699999998</v>
      </c>
      <c r="G209" s="64" t="str">
        <f>A208</f>
        <v>2nd &amp; 4th Floor</v>
      </c>
      <c r="H209" s="65"/>
      <c r="I209" s="30"/>
    </row>
    <row r="210" spans="1:9" s="2" customFormat="1" ht="15.75" customHeight="1" x14ac:dyDescent="0.25">
      <c r="A210" s="64" t="str">
        <f ca="1">(SUMPRODUCT(MID(0&amp;(LEFT(A209,SUM(LEN(A209)-LEN(SUBSTITUTE(A209,{"0","1","2"},""))))), LARGE(INDEX(ISNUMBER(--MID((LEFT(A209,SUM(LEN(A209)-LEN(SUBSTITUTE(A209,{"0","1","2"},""))))), ROW(INDIRECT("1:"&amp;LEN((LEFT(A209,SUM(LEN(A209)-LEN(SUBSTITUTE(A209,{"0","1","2"},"")))))))), 1)) * ROW(INDIRECT("1:"&amp;LEN((LEFT(A209,SUM(LEN(A209)-LEN(SUBSTITUTE(A209,{"0","1","2"},"")))))))), 0), ROW(INDIRECT("1:"&amp;LEN((LEFT(A209,SUM(LEN(A209)-LEN(SUBSTITUTE(A209,{"0","1","2"},"")))))))))+1, 1) * 10^ROW(INDIRECT("1:"&amp;LEN((LEFT(A209,SUM(LEN(A209)-LEN(SUBSTITUTE(A209,{"0","1","2"},""))))))))/10))*1+1&amp;""&amp;" &amp; "&amp;""&amp;(SUMPRODUCT(MID(0&amp;(--TRIM(RIGHT(SUBSTITUTE(LEFT(A209,_xlfn.AGGREGATE(16,6,FIND({0,1,2,3,4,5,6,7,8,9},A209,ROW(INDIRECT("1:"&amp;LEN(A209)))),1))," ",REPT(" ",LEN(A209))),LEN(A209)))), LARGE(INDEX(ISNUMBER(--MID((--TRIM(RIGHT(SUBSTITUTE(LEFT(A209,_xlfn.AGGREGATE(16,6,FIND({0,1,2,3,4,5,6,7,8,9},A209,ROW(INDIRECT("1:"&amp;LEN(A209)))),1))," ",REPT(" ",LEN(A209))),LEN(A209)))), ROW(INDIRECT("1:"&amp;LEN((--TRIM(RIGHT(SUBSTITUTE(LEFT(A209,_xlfn.AGGREGATE(16,6,FIND({0,1,2,3,4,5,6,7,8,9},A209,ROW(INDIRECT("1:"&amp;LEN(A209)))),1))," ",REPT(" ",LEN(A209))),LEN(A209))))))), 1)) * ROW(INDIRECT("1:"&amp;LEN((--TRIM(RIGHT(SUBSTITUTE(LEFT(A209,_xlfn.AGGREGATE(16,6,FIND({0,1,2,3,4,5,6,7,8,9},A209,ROW(INDIRECT("1:"&amp;LEN(A209)))),1))," ",REPT(" ",LEN(A209))),LEN(A209))))))), 0), ROW(INDIRECT("1:"&amp;LEN((--TRIM(RIGHT(SUBSTITUTE(LEFT(A209,_xlfn.AGGREGATE(16,6,FIND({0,1,2,3,4,5,6,7,8,9},A209,ROW(INDIRECT("1:"&amp;LEN(A209)))),1))," ",REPT(" ",LEN(A209))),LEN(A209))))))))+1, 1) * 10^ROW(INDIRECT("1:"&amp;LEN((--TRIM(RIGHT(SUBSTITUTE(LEFT(A209,_xlfn.AGGREGATE(16,6,FIND({0,1,2,3,4,5,6,7,8,9},A209,ROW(INDIRECT("1:"&amp;LEN(A209)))),1))," ",REPT(" ",LEN(A209))),LEN(A209)))))))/10))*1+1</f>
        <v>202 &amp; 402</v>
      </c>
      <c r="B210" s="65"/>
      <c r="C210" s="13" t="s">
        <v>196</v>
      </c>
      <c r="D210" s="13">
        <f>(2.75*3.45+2.1*1.93+2.7*2.65+1.09*1.8+0.9*1.8+1.91*1.15+1.5*2.75)*10.764</f>
        <v>329.367636</v>
      </c>
      <c r="E210" s="13">
        <v>0</v>
      </c>
      <c r="F210" s="13">
        <f t="shared" si="13"/>
        <v>494.05145400000004</v>
      </c>
      <c r="G210" s="64" t="str">
        <f t="shared" ref="G210:G220" si="14">G209</f>
        <v>2nd &amp; 4th Floor</v>
      </c>
      <c r="H210" s="65"/>
      <c r="I210" s="30"/>
    </row>
    <row r="211" spans="1:9" s="2" customFormat="1" ht="15.75" customHeight="1" x14ac:dyDescent="0.25">
      <c r="A211" s="64" t="str">
        <f ca="1">(SUMPRODUCT(MID(0&amp;(LEFT(A210,SUM(LEN(A210)-LEN(SUBSTITUTE(A210,{"0","1","2"},""))))), LARGE(INDEX(ISNUMBER(--MID((LEFT(A210,SUM(LEN(A210)-LEN(SUBSTITUTE(A210,{"0","1","2"},""))))), ROW(INDIRECT("1:"&amp;LEN((LEFT(A210,SUM(LEN(A210)-LEN(SUBSTITUTE(A210,{"0","1","2"},"")))))))), 1)) * ROW(INDIRECT("1:"&amp;LEN((LEFT(A210,SUM(LEN(A210)-LEN(SUBSTITUTE(A210,{"0","1","2"},"")))))))), 0), ROW(INDIRECT("1:"&amp;LEN((LEFT(A210,SUM(LEN(A210)-LEN(SUBSTITUTE(A210,{"0","1","2"},"")))))))))+1, 1) * 10^ROW(INDIRECT("1:"&amp;LEN((LEFT(A210,SUM(LEN(A210)-LEN(SUBSTITUTE(A210,{"0","1","2"},""))))))))/10))*1+1&amp;""&amp;" &amp; "&amp;""&amp;(SUMPRODUCT(MID(0&amp;(--TRIM(RIGHT(SUBSTITUTE(LEFT(A210,_xlfn.AGGREGATE(16,6,FIND({0,1,2,3,4,5,6,7,8,9},A210,ROW(INDIRECT("1:"&amp;LEN(A210)))),1))," ",REPT(" ",LEN(A210))),LEN(A210)))), LARGE(INDEX(ISNUMBER(--MID((--TRIM(RIGHT(SUBSTITUTE(LEFT(A210,_xlfn.AGGREGATE(16,6,FIND({0,1,2,3,4,5,6,7,8,9},A210,ROW(INDIRECT("1:"&amp;LEN(A210)))),1))," ",REPT(" ",LEN(A210))),LEN(A210)))), ROW(INDIRECT("1:"&amp;LEN((--TRIM(RIGHT(SUBSTITUTE(LEFT(A210,_xlfn.AGGREGATE(16,6,FIND({0,1,2,3,4,5,6,7,8,9},A210,ROW(INDIRECT("1:"&amp;LEN(A210)))),1))," ",REPT(" ",LEN(A210))),LEN(A210))))))), 1)) * ROW(INDIRECT("1:"&amp;LEN((--TRIM(RIGHT(SUBSTITUTE(LEFT(A210,_xlfn.AGGREGATE(16,6,FIND({0,1,2,3,4,5,6,7,8,9},A210,ROW(INDIRECT("1:"&amp;LEN(A210)))),1))," ",REPT(" ",LEN(A210))),LEN(A210))))))), 0), ROW(INDIRECT("1:"&amp;LEN((--TRIM(RIGHT(SUBSTITUTE(LEFT(A210,_xlfn.AGGREGATE(16,6,FIND({0,1,2,3,4,5,6,7,8,9},A210,ROW(INDIRECT("1:"&amp;LEN(A210)))),1))," ",REPT(" ",LEN(A210))),LEN(A210))))))))+1, 1) * 10^ROW(INDIRECT("1:"&amp;LEN((--TRIM(RIGHT(SUBSTITUTE(LEFT(A210,_xlfn.AGGREGATE(16,6,FIND({0,1,2,3,4,5,6,7,8,9},A210,ROW(INDIRECT("1:"&amp;LEN(A210)))),1))," ",REPT(" ",LEN(A210))),LEN(A210)))))))/10))*1+1</f>
        <v>203 &amp; 403</v>
      </c>
      <c r="B211" s="65"/>
      <c r="C211" s="13" t="s">
        <v>196</v>
      </c>
      <c r="D211" s="13">
        <f>(2.75*3.45+1.91*1.15+2.07*2.05+2.7*2.65+1.8*1.1+0.9*1.2+0.9*2.5+0.9*1.2+1.5*2.75)*10.764</f>
        <v>361.64348999999993</v>
      </c>
      <c r="E211" s="13">
        <v>0</v>
      </c>
      <c r="F211" s="13">
        <f t="shared" si="13"/>
        <v>542.46523499999989</v>
      </c>
      <c r="G211" s="64" t="str">
        <f t="shared" si="14"/>
        <v>2nd &amp; 4th Floor</v>
      </c>
      <c r="H211" s="65"/>
      <c r="I211" s="30"/>
    </row>
    <row r="212" spans="1:9" s="2" customFormat="1" ht="15.75" customHeight="1" x14ac:dyDescent="0.25">
      <c r="A212" s="64" t="str">
        <f ca="1">(SUMPRODUCT(MID(0&amp;(LEFT(A211,SUM(LEN(A211)-LEN(SUBSTITUTE(A211,{"0","1","2"},""))))), LARGE(INDEX(ISNUMBER(--MID((LEFT(A211,SUM(LEN(A211)-LEN(SUBSTITUTE(A211,{"0","1","2"},""))))), ROW(INDIRECT("1:"&amp;LEN((LEFT(A211,SUM(LEN(A211)-LEN(SUBSTITUTE(A211,{"0","1","2"},"")))))))), 1)) * ROW(INDIRECT("1:"&amp;LEN((LEFT(A211,SUM(LEN(A211)-LEN(SUBSTITUTE(A211,{"0","1","2"},"")))))))), 0), ROW(INDIRECT("1:"&amp;LEN((LEFT(A211,SUM(LEN(A211)-LEN(SUBSTITUTE(A211,{"0","1","2"},"")))))))))+1, 1) * 10^ROW(INDIRECT("1:"&amp;LEN((LEFT(A211,SUM(LEN(A211)-LEN(SUBSTITUTE(A211,{"0","1","2"},""))))))))/10))*1+1&amp;""&amp;" &amp; "&amp;""&amp;(SUMPRODUCT(MID(0&amp;(--TRIM(RIGHT(SUBSTITUTE(LEFT(A211,_xlfn.AGGREGATE(16,6,FIND({0,1,2,3,4,5,6,7,8,9},A211,ROW(INDIRECT("1:"&amp;LEN(A211)))),1))," ",REPT(" ",LEN(A211))),LEN(A211)))), LARGE(INDEX(ISNUMBER(--MID((--TRIM(RIGHT(SUBSTITUTE(LEFT(A211,_xlfn.AGGREGATE(16,6,FIND({0,1,2,3,4,5,6,7,8,9},A211,ROW(INDIRECT("1:"&amp;LEN(A211)))),1))," ",REPT(" ",LEN(A211))),LEN(A211)))), ROW(INDIRECT("1:"&amp;LEN((--TRIM(RIGHT(SUBSTITUTE(LEFT(A211,_xlfn.AGGREGATE(16,6,FIND({0,1,2,3,4,5,6,7,8,9},A211,ROW(INDIRECT("1:"&amp;LEN(A211)))),1))," ",REPT(" ",LEN(A211))),LEN(A211))))))), 1)) * ROW(INDIRECT("1:"&amp;LEN((--TRIM(RIGHT(SUBSTITUTE(LEFT(A211,_xlfn.AGGREGATE(16,6,FIND({0,1,2,3,4,5,6,7,8,9},A211,ROW(INDIRECT("1:"&amp;LEN(A211)))),1))," ",REPT(" ",LEN(A211))),LEN(A211))))))), 0), ROW(INDIRECT("1:"&amp;LEN((--TRIM(RIGHT(SUBSTITUTE(LEFT(A211,_xlfn.AGGREGATE(16,6,FIND({0,1,2,3,4,5,6,7,8,9},A211,ROW(INDIRECT("1:"&amp;LEN(A211)))),1))," ",REPT(" ",LEN(A211))),LEN(A211))))))))+1, 1) * 10^ROW(INDIRECT("1:"&amp;LEN((--TRIM(RIGHT(SUBSTITUTE(LEFT(A211,_xlfn.AGGREGATE(16,6,FIND({0,1,2,3,4,5,6,7,8,9},A211,ROW(INDIRECT("1:"&amp;LEN(A211)))),1))," ",REPT(" ",LEN(A211))),LEN(A211)))))))/10))*1+1</f>
        <v>204 &amp; 404</v>
      </c>
      <c r="B212" s="65"/>
      <c r="C212" s="13" t="s">
        <v>196</v>
      </c>
      <c r="D212" s="13">
        <f>(3.45*2.75+2.1*2.14+2.65*2.7+1.2*2.05+0.9*1.2+0.9*3+0.9*1.8+1.5*2.75)*10.764</f>
        <v>356.51982600000002</v>
      </c>
      <c r="E212" s="13">
        <v>0</v>
      </c>
      <c r="F212" s="13">
        <f t="shared" si="13"/>
        <v>534.77973900000006</v>
      </c>
      <c r="G212" s="64" t="str">
        <f t="shared" si="14"/>
        <v>2nd &amp; 4th Floor</v>
      </c>
      <c r="H212" s="65"/>
      <c r="I212" s="30"/>
    </row>
    <row r="213" spans="1:9" s="2" customFormat="1" ht="15.75" customHeight="1" x14ac:dyDescent="0.25">
      <c r="A213" s="64" t="str">
        <f ca="1">(SUMPRODUCT(MID(0&amp;(LEFT(A212,SUM(LEN(A212)-LEN(SUBSTITUTE(A212,{"0","1","2"},""))))), LARGE(INDEX(ISNUMBER(--MID((LEFT(A212,SUM(LEN(A212)-LEN(SUBSTITUTE(A212,{"0","1","2"},""))))), ROW(INDIRECT("1:"&amp;LEN((LEFT(A212,SUM(LEN(A212)-LEN(SUBSTITUTE(A212,{"0","1","2"},"")))))))), 1)) * ROW(INDIRECT("1:"&amp;LEN((LEFT(A212,SUM(LEN(A212)-LEN(SUBSTITUTE(A212,{"0","1","2"},"")))))))), 0), ROW(INDIRECT("1:"&amp;LEN((LEFT(A212,SUM(LEN(A212)-LEN(SUBSTITUTE(A212,{"0","1","2"},"")))))))))+1, 1) * 10^ROW(INDIRECT("1:"&amp;LEN((LEFT(A212,SUM(LEN(A212)-LEN(SUBSTITUTE(A212,{"0","1","2"},""))))))))/10))*1+1&amp;""&amp;" &amp; "&amp;""&amp;(SUMPRODUCT(MID(0&amp;(--TRIM(RIGHT(SUBSTITUTE(LEFT(A212,_xlfn.AGGREGATE(16,6,FIND({0,1,2,3,4,5,6,7,8,9},A212,ROW(INDIRECT("1:"&amp;LEN(A212)))),1))," ",REPT(" ",LEN(A212))),LEN(A212)))), LARGE(INDEX(ISNUMBER(--MID((--TRIM(RIGHT(SUBSTITUTE(LEFT(A212,_xlfn.AGGREGATE(16,6,FIND({0,1,2,3,4,5,6,7,8,9},A212,ROW(INDIRECT("1:"&amp;LEN(A212)))),1))," ",REPT(" ",LEN(A212))),LEN(A212)))), ROW(INDIRECT("1:"&amp;LEN((--TRIM(RIGHT(SUBSTITUTE(LEFT(A212,_xlfn.AGGREGATE(16,6,FIND({0,1,2,3,4,5,6,7,8,9},A212,ROW(INDIRECT("1:"&amp;LEN(A212)))),1))," ",REPT(" ",LEN(A212))),LEN(A212))))))), 1)) * ROW(INDIRECT("1:"&amp;LEN((--TRIM(RIGHT(SUBSTITUTE(LEFT(A212,_xlfn.AGGREGATE(16,6,FIND({0,1,2,3,4,5,6,7,8,9},A212,ROW(INDIRECT("1:"&amp;LEN(A212)))),1))," ",REPT(" ",LEN(A212))),LEN(A212))))))), 0), ROW(INDIRECT("1:"&amp;LEN((--TRIM(RIGHT(SUBSTITUTE(LEFT(A212,_xlfn.AGGREGATE(16,6,FIND({0,1,2,3,4,5,6,7,8,9},A212,ROW(INDIRECT("1:"&amp;LEN(A212)))),1))," ",REPT(" ",LEN(A212))),LEN(A212))))))))+1, 1) * 10^ROW(INDIRECT("1:"&amp;LEN((--TRIM(RIGHT(SUBSTITUTE(LEFT(A212,_xlfn.AGGREGATE(16,6,FIND({0,1,2,3,4,5,6,7,8,9},A212,ROW(INDIRECT("1:"&amp;LEN(A212)))),1))," ",REPT(" ",LEN(A212))),LEN(A212)))))))/10))*1+1</f>
        <v>205 &amp; 405</v>
      </c>
      <c r="B213" s="65"/>
      <c r="C213" s="13" t="s">
        <v>196</v>
      </c>
      <c r="D213" s="13">
        <f>(3.38*2.75+2.1*2.15+2.65*2.7+1.2*2.05+0.9*1.12+0.9*1.8+0.9*3+1.5*2.75+1.8*0.45)*10.764</f>
        <v>362.61763200000001</v>
      </c>
      <c r="E213" s="13">
        <v>0</v>
      </c>
      <c r="F213" s="13">
        <f t="shared" si="13"/>
        <v>543.92644800000005</v>
      </c>
      <c r="G213" s="64" t="str">
        <f t="shared" si="14"/>
        <v>2nd &amp; 4th Floor</v>
      </c>
      <c r="H213" s="65"/>
      <c r="I213" s="30"/>
    </row>
    <row r="214" spans="1:9" s="2" customFormat="1" ht="15.75" customHeight="1" x14ac:dyDescent="0.25">
      <c r="A214" s="64" t="str">
        <f ca="1">(SUMPRODUCT(MID(0&amp;(LEFT(A213,SUM(LEN(A213)-LEN(SUBSTITUTE(A213,{"0","1","2"},""))))), LARGE(INDEX(ISNUMBER(--MID((LEFT(A213,SUM(LEN(A213)-LEN(SUBSTITUTE(A213,{"0","1","2"},""))))), ROW(INDIRECT("1:"&amp;LEN((LEFT(A213,SUM(LEN(A213)-LEN(SUBSTITUTE(A213,{"0","1","2"},"")))))))), 1)) * ROW(INDIRECT("1:"&amp;LEN((LEFT(A213,SUM(LEN(A213)-LEN(SUBSTITUTE(A213,{"0","1","2"},"")))))))), 0), ROW(INDIRECT("1:"&amp;LEN((LEFT(A213,SUM(LEN(A213)-LEN(SUBSTITUTE(A213,{"0","1","2"},"")))))))))+1, 1) * 10^ROW(INDIRECT("1:"&amp;LEN((LEFT(A213,SUM(LEN(A213)-LEN(SUBSTITUTE(A213,{"0","1","2"},""))))))))/10))*1+1&amp;""&amp;" &amp; "&amp;""&amp;(SUMPRODUCT(MID(0&amp;(--TRIM(RIGHT(SUBSTITUTE(LEFT(A213,_xlfn.AGGREGATE(16,6,FIND({0,1,2,3,4,5,6,7,8,9},A213,ROW(INDIRECT("1:"&amp;LEN(A213)))),1))," ",REPT(" ",LEN(A213))),LEN(A213)))), LARGE(INDEX(ISNUMBER(--MID((--TRIM(RIGHT(SUBSTITUTE(LEFT(A213,_xlfn.AGGREGATE(16,6,FIND({0,1,2,3,4,5,6,7,8,9},A213,ROW(INDIRECT("1:"&amp;LEN(A213)))),1))," ",REPT(" ",LEN(A213))),LEN(A213)))), ROW(INDIRECT("1:"&amp;LEN((--TRIM(RIGHT(SUBSTITUTE(LEFT(A213,_xlfn.AGGREGATE(16,6,FIND({0,1,2,3,4,5,6,7,8,9},A213,ROW(INDIRECT("1:"&amp;LEN(A213)))),1))," ",REPT(" ",LEN(A213))),LEN(A213))))))), 1)) * ROW(INDIRECT("1:"&amp;LEN((--TRIM(RIGHT(SUBSTITUTE(LEFT(A213,_xlfn.AGGREGATE(16,6,FIND({0,1,2,3,4,5,6,7,8,9},A213,ROW(INDIRECT("1:"&amp;LEN(A213)))),1))," ",REPT(" ",LEN(A213))),LEN(A213))))))), 0), ROW(INDIRECT("1:"&amp;LEN((--TRIM(RIGHT(SUBSTITUTE(LEFT(A213,_xlfn.AGGREGATE(16,6,FIND({0,1,2,3,4,5,6,7,8,9},A213,ROW(INDIRECT("1:"&amp;LEN(A213)))),1))," ",REPT(" ",LEN(A213))),LEN(A213))))))))+1, 1) * 10^ROW(INDIRECT("1:"&amp;LEN((--TRIM(RIGHT(SUBSTITUTE(LEFT(A213,_xlfn.AGGREGATE(16,6,FIND({0,1,2,3,4,5,6,7,8,9},A213,ROW(INDIRECT("1:"&amp;LEN(A213)))),1))," ",REPT(" ",LEN(A213))),LEN(A213)))))))/10))*1+1</f>
        <v>206 &amp; 406</v>
      </c>
      <c r="B214" s="65"/>
      <c r="C214" s="13" t="s">
        <v>196</v>
      </c>
      <c r="D214" s="13">
        <f>(2.75*3.16+2.07*2.05+2.7*2.65+1.8*1.1+0.9*1.2+0.9*2.7+0.9*1.4+1.5*2.75+1.18*1.95)*10.764</f>
        <v>358.05907799999994</v>
      </c>
      <c r="E214" s="13">
        <v>0</v>
      </c>
      <c r="F214" s="13">
        <f t="shared" si="13"/>
        <v>537.08861699999989</v>
      </c>
      <c r="G214" s="64" t="str">
        <f t="shared" si="14"/>
        <v>2nd &amp; 4th Floor</v>
      </c>
      <c r="H214" s="65"/>
      <c r="I214" s="30"/>
    </row>
    <row r="215" spans="1:9" s="2" customFormat="1" ht="15.75" customHeight="1" x14ac:dyDescent="0.25">
      <c r="A215" s="64" t="str">
        <f ca="1">(SUMPRODUCT(MID(0&amp;(LEFT(A214,SUM(LEN(A214)-LEN(SUBSTITUTE(A214,{"0","1","2"},""))))), LARGE(INDEX(ISNUMBER(--MID((LEFT(A214,SUM(LEN(A214)-LEN(SUBSTITUTE(A214,{"0","1","2"},""))))), ROW(INDIRECT("1:"&amp;LEN((LEFT(A214,SUM(LEN(A214)-LEN(SUBSTITUTE(A214,{"0","1","2"},"")))))))), 1)) * ROW(INDIRECT("1:"&amp;LEN((LEFT(A214,SUM(LEN(A214)-LEN(SUBSTITUTE(A214,{"0","1","2"},"")))))))), 0), ROW(INDIRECT("1:"&amp;LEN((LEFT(A214,SUM(LEN(A214)-LEN(SUBSTITUTE(A214,{"0","1","2"},"")))))))))+1, 1) * 10^ROW(INDIRECT("1:"&amp;LEN((LEFT(A214,SUM(LEN(A214)-LEN(SUBSTITUTE(A214,{"0","1","2"},""))))))))/10))*1+1&amp;""&amp;" &amp; "&amp;""&amp;(SUMPRODUCT(MID(0&amp;(--TRIM(RIGHT(SUBSTITUTE(LEFT(A214,_xlfn.AGGREGATE(16,6,FIND({0,1,2,3,4,5,6,7,8,9},A214,ROW(INDIRECT("1:"&amp;LEN(A214)))),1))," ",REPT(" ",LEN(A214))),LEN(A214)))), LARGE(INDEX(ISNUMBER(--MID((--TRIM(RIGHT(SUBSTITUTE(LEFT(A214,_xlfn.AGGREGATE(16,6,FIND({0,1,2,3,4,5,6,7,8,9},A214,ROW(INDIRECT("1:"&amp;LEN(A214)))),1))," ",REPT(" ",LEN(A214))),LEN(A214)))), ROW(INDIRECT("1:"&amp;LEN((--TRIM(RIGHT(SUBSTITUTE(LEFT(A214,_xlfn.AGGREGATE(16,6,FIND({0,1,2,3,4,5,6,7,8,9},A214,ROW(INDIRECT("1:"&amp;LEN(A214)))),1))," ",REPT(" ",LEN(A214))),LEN(A214))))))), 1)) * ROW(INDIRECT("1:"&amp;LEN((--TRIM(RIGHT(SUBSTITUTE(LEFT(A214,_xlfn.AGGREGATE(16,6,FIND({0,1,2,3,4,5,6,7,8,9},A214,ROW(INDIRECT("1:"&amp;LEN(A214)))),1))," ",REPT(" ",LEN(A214))),LEN(A214))))))), 0), ROW(INDIRECT("1:"&amp;LEN((--TRIM(RIGHT(SUBSTITUTE(LEFT(A214,_xlfn.AGGREGATE(16,6,FIND({0,1,2,3,4,5,6,7,8,9},A214,ROW(INDIRECT("1:"&amp;LEN(A214)))),1))," ",REPT(" ",LEN(A214))),LEN(A214))))))))+1, 1) * 10^ROW(INDIRECT("1:"&amp;LEN((--TRIM(RIGHT(SUBSTITUTE(LEFT(A214,_xlfn.AGGREGATE(16,6,FIND({0,1,2,3,4,5,6,7,8,9},A214,ROW(INDIRECT("1:"&amp;LEN(A214)))),1))," ",REPT(" ",LEN(A214))),LEN(A214)))))))/10))*1+1</f>
        <v>207 &amp; 407</v>
      </c>
      <c r="B215" s="65"/>
      <c r="C215" s="13" t="s">
        <v>196</v>
      </c>
      <c r="D215" s="13">
        <f>(2.75*3.45+2.07*2.05+2.7*2.65+1.8*1.1+0.9*1.2+0.9*2.6+0.9*1.4+1.5*2.75)*10.764</f>
        <v>340.90664399999997</v>
      </c>
      <c r="E215" s="13">
        <v>0</v>
      </c>
      <c r="F215" s="13">
        <f t="shared" ref="F215" si="15">D215*(($F$130)+1)+(IF(E215&lt;101,E215,IF(E215&lt;201,E215/2,IF(E215&lt;=301,E215/3,E215/4))))</f>
        <v>511.35996599999999</v>
      </c>
      <c r="G215" s="64" t="str">
        <f t="shared" si="14"/>
        <v>2nd &amp; 4th Floor</v>
      </c>
      <c r="H215" s="65"/>
      <c r="I215" s="30"/>
    </row>
    <row r="216" spans="1:9" s="2" customFormat="1" ht="15.75" customHeight="1" x14ac:dyDescent="0.25">
      <c r="A216" s="64" t="str">
        <f ca="1">(SUMPRODUCT(MID(0&amp;(LEFT(A215,SUM(LEN(A215)-LEN(SUBSTITUTE(A215,{"0","1","2"},""))))), LARGE(INDEX(ISNUMBER(--MID((LEFT(A215,SUM(LEN(A215)-LEN(SUBSTITUTE(A215,{"0","1","2"},""))))), ROW(INDIRECT("1:"&amp;LEN((LEFT(A215,SUM(LEN(A215)-LEN(SUBSTITUTE(A215,{"0","1","2"},"")))))))), 1)) * ROW(INDIRECT("1:"&amp;LEN((LEFT(A215,SUM(LEN(A215)-LEN(SUBSTITUTE(A215,{"0","1","2"},"")))))))), 0), ROW(INDIRECT("1:"&amp;LEN((LEFT(A215,SUM(LEN(A215)-LEN(SUBSTITUTE(A215,{"0","1","2"},"")))))))))+1, 1) * 10^ROW(INDIRECT("1:"&amp;LEN((LEFT(A215,SUM(LEN(A215)-LEN(SUBSTITUTE(A215,{"0","1","2"},""))))))))/10))*1+1&amp;""&amp;" &amp; "&amp;""&amp;(SUMPRODUCT(MID(0&amp;(--TRIM(RIGHT(SUBSTITUTE(LEFT(A215,_xlfn.AGGREGATE(16,6,FIND({0,1,2,3,4,5,6,7,8,9},A215,ROW(INDIRECT("1:"&amp;LEN(A215)))),1))," ",REPT(" ",LEN(A215))),LEN(A215)))), LARGE(INDEX(ISNUMBER(--MID((--TRIM(RIGHT(SUBSTITUTE(LEFT(A215,_xlfn.AGGREGATE(16,6,FIND({0,1,2,3,4,5,6,7,8,9},A215,ROW(INDIRECT("1:"&amp;LEN(A215)))),1))," ",REPT(" ",LEN(A215))),LEN(A215)))), ROW(INDIRECT("1:"&amp;LEN((--TRIM(RIGHT(SUBSTITUTE(LEFT(A215,_xlfn.AGGREGATE(16,6,FIND({0,1,2,3,4,5,6,7,8,9},A215,ROW(INDIRECT("1:"&amp;LEN(A215)))),1))," ",REPT(" ",LEN(A215))),LEN(A215))))))), 1)) * ROW(INDIRECT("1:"&amp;LEN((--TRIM(RIGHT(SUBSTITUTE(LEFT(A215,_xlfn.AGGREGATE(16,6,FIND({0,1,2,3,4,5,6,7,8,9},A215,ROW(INDIRECT("1:"&amp;LEN(A215)))),1))," ",REPT(" ",LEN(A215))),LEN(A215))))))), 0), ROW(INDIRECT("1:"&amp;LEN((--TRIM(RIGHT(SUBSTITUTE(LEFT(A215,_xlfn.AGGREGATE(16,6,FIND({0,1,2,3,4,5,6,7,8,9},A215,ROW(INDIRECT("1:"&amp;LEN(A215)))),1))," ",REPT(" ",LEN(A215))),LEN(A215))))))))+1, 1) * 10^ROW(INDIRECT("1:"&amp;LEN((--TRIM(RIGHT(SUBSTITUTE(LEFT(A215,_xlfn.AGGREGATE(16,6,FIND({0,1,2,3,4,5,6,7,8,9},A215,ROW(INDIRECT("1:"&amp;LEN(A215)))),1))," ",REPT(" ",LEN(A215))),LEN(A215)))))))/10))*1+1</f>
        <v>208 &amp; 408</v>
      </c>
      <c r="B216" s="65"/>
      <c r="C216" s="13" t="s">
        <v>196</v>
      </c>
      <c r="D216" s="13">
        <f>(2.75*3.45+2.07*2.05+2.7*2.65+1.8*1.1+0.9*1.2+0.9*2.6+0.9*1.4+1.5*2.75)*10.764</f>
        <v>340.90664399999997</v>
      </c>
      <c r="E216" s="13">
        <v>0</v>
      </c>
      <c r="F216" s="13">
        <f>D216*(($F$130)+1)+(IF(E216&lt;101,E216,IF(E216&lt;201,E216/2,IF(E216&lt;=301,E216/3,E216/4))))</f>
        <v>511.35996599999999</v>
      </c>
      <c r="G216" s="64" t="str">
        <f t="shared" si="14"/>
        <v>2nd &amp; 4th Floor</v>
      </c>
      <c r="H216" s="65"/>
      <c r="I216" s="30"/>
    </row>
    <row r="217" spans="1:9" s="2" customFormat="1" ht="15.75" customHeight="1" x14ac:dyDescent="0.25">
      <c r="A217" s="64" t="str">
        <f ca="1">(SUMPRODUCT(MID(0&amp;(LEFT(A216,SUM(LEN(A216)-LEN(SUBSTITUTE(A216,{"0","1","2"},""))))), LARGE(INDEX(ISNUMBER(--MID((LEFT(A216,SUM(LEN(A216)-LEN(SUBSTITUTE(A216,{"0","1","2"},""))))), ROW(INDIRECT("1:"&amp;LEN((LEFT(A216,SUM(LEN(A216)-LEN(SUBSTITUTE(A216,{"0","1","2"},"")))))))), 1)) * ROW(INDIRECT("1:"&amp;LEN((LEFT(A216,SUM(LEN(A216)-LEN(SUBSTITUTE(A216,{"0","1","2"},"")))))))), 0), ROW(INDIRECT("1:"&amp;LEN((LEFT(A216,SUM(LEN(A216)-LEN(SUBSTITUTE(A216,{"0","1","2"},"")))))))))+1, 1) * 10^ROW(INDIRECT("1:"&amp;LEN((LEFT(A216,SUM(LEN(A216)-LEN(SUBSTITUTE(A216,{"0","1","2"},""))))))))/10))*1+1&amp;""&amp;" &amp; "&amp;""&amp;(SUMPRODUCT(MID(0&amp;(--TRIM(RIGHT(SUBSTITUTE(LEFT(A216,_xlfn.AGGREGATE(16,6,FIND({0,1,2,3,4,5,6,7,8,9},A216,ROW(INDIRECT("1:"&amp;LEN(A216)))),1))," ",REPT(" ",LEN(A216))),LEN(A216)))), LARGE(INDEX(ISNUMBER(--MID((--TRIM(RIGHT(SUBSTITUTE(LEFT(A216,_xlfn.AGGREGATE(16,6,FIND({0,1,2,3,4,5,6,7,8,9},A216,ROW(INDIRECT("1:"&amp;LEN(A216)))),1))," ",REPT(" ",LEN(A216))),LEN(A216)))), ROW(INDIRECT("1:"&amp;LEN((--TRIM(RIGHT(SUBSTITUTE(LEFT(A216,_xlfn.AGGREGATE(16,6,FIND({0,1,2,3,4,5,6,7,8,9},A216,ROW(INDIRECT("1:"&amp;LEN(A216)))),1))," ",REPT(" ",LEN(A216))),LEN(A216))))))), 1)) * ROW(INDIRECT("1:"&amp;LEN((--TRIM(RIGHT(SUBSTITUTE(LEFT(A216,_xlfn.AGGREGATE(16,6,FIND({0,1,2,3,4,5,6,7,8,9},A216,ROW(INDIRECT("1:"&amp;LEN(A216)))),1))," ",REPT(" ",LEN(A216))),LEN(A216))))))), 0), ROW(INDIRECT("1:"&amp;LEN((--TRIM(RIGHT(SUBSTITUTE(LEFT(A216,_xlfn.AGGREGATE(16,6,FIND({0,1,2,3,4,5,6,7,8,9},A216,ROW(INDIRECT("1:"&amp;LEN(A216)))),1))," ",REPT(" ",LEN(A216))),LEN(A216))))))))+1, 1) * 10^ROW(INDIRECT("1:"&amp;LEN((--TRIM(RIGHT(SUBSTITUTE(LEFT(A216,_xlfn.AGGREGATE(16,6,FIND({0,1,2,3,4,5,6,7,8,9},A216,ROW(INDIRECT("1:"&amp;LEN(A216)))),1))," ",REPT(" ",LEN(A216))),LEN(A216)))))))/10))*1+1</f>
        <v>209 &amp; 409</v>
      </c>
      <c r="B217" s="65"/>
      <c r="C217" s="13" t="s">
        <v>196</v>
      </c>
      <c r="D217" s="13">
        <f>(2.75*3.45+2.07*2.05+2.7*2.65+1.8*1.1+0.9*1.2+0.9*2.6+0.9*1.4+1.5*2.75)*10.764</f>
        <v>340.90664399999997</v>
      </c>
      <c r="E217" s="13">
        <v>0</v>
      </c>
      <c r="F217" s="13">
        <f>D217*(($F$130)+1)+(IF(E217&lt;101,E217,IF(E217&lt;201,E217/2,IF(E217&lt;=301,E217/3,E217/4))))</f>
        <v>511.35996599999999</v>
      </c>
      <c r="G217" s="64" t="str">
        <f t="shared" si="14"/>
        <v>2nd &amp; 4th Floor</v>
      </c>
      <c r="H217" s="65"/>
      <c r="I217" s="30"/>
    </row>
    <row r="218" spans="1:9" s="2" customFormat="1" ht="15.75" customHeight="1" x14ac:dyDescent="0.25">
      <c r="A218" s="64" t="str">
        <f ca="1">(SUMPRODUCT(MID(0&amp;(LEFT(A217,SUM(LEN(A217)-LEN(SUBSTITUTE(A217,{"0","1","2"},""))))), LARGE(INDEX(ISNUMBER(--MID((LEFT(A217,SUM(LEN(A217)-LEN(SUBSTITUTE(A217,{"0","1","2"},""))))), ROW(INDIRECT("1:"&amp;LEN((LEFT(A217,SUM(LEN(A217)-LEN(SUBSTITUTE(A217,{"0","1","2"},"")))))))), 1)) * ROW(INDIRECT("1:"&amp;LEN((LEFT(A217,SUM(LEN(A217)-LEN(SUBSTITUTE(A217,{"0","1","2"},"")))))))), 0), ROW(INDIRECT("1:"&amp;LEN((LEFT(A217,SUM(LEN(A217)-LEN(SUBSTITUTE(A217,{"0","1","2"},"")))))))))+1, 1) * 10^ROW(INDIRECT("1:"&amp;LEN((LEFT(A217,SUM(LEN(A217)-LEN(SUBSTITUTE(A217,{"0","1","2"},""))))))))/10))*1+1&amp;""&amp;" &amp; "&amp;""&amp;(SUMPRODUCT(MID(0&amp;(--TRIM(RIGHT(SUBSTITUTE(LEFT(A217,_xlfn.AGGREGATE(16,6,FIND({0,1,2,3,4,5,6,7,8,9},A217,ROW(INDIRECT("1:"&amp;LEN(A217)))),1))," ",REPT(" ",LEN(A217))),LEN(A217)))), LARGE(INDEX(ISNUMBER(--MID((--TRIM(RIGHT(SUBSTITUTE(LEFT(A217,_xlfn.AGGREGATE(16,6,FIND({0,1,2,3,4,5,6,7,8,9},A217,ROW(INDIRECT("1:"&amp;LEN(A217)))),1))," ",REPT(" ",LEN(A217))),LEN(A217)))), ROW(INDIRECT("1:"&amp;LEN((--TRIM(RIGHT(SUBSTITUTE(LEFT(A217,_xlfn.AGGREGATE(16,6,FIND({0,1,2,3,4,5,6,7,8,9},A217,ROW(INDIRECT("1:"&amp;LEN(A217)))),1))," ",REPT(" ",LEN(A217))),LEN(A217))))))), 1)) * ROW(INDIRECT("1:"&amp;LEN((--TRIM(RIGHT(SUBSTITUTE(LEFT(A217,_xlfn.AGGREGATE(16,6,FIND({0,1,2,3,4,5,6,7,8,9},A217,ROW(INDIRECT("1:"&amp;LEN(A217)))),1))," ",REPT(" ",LEN(A217))),LEN(A217))))))), 0), ROW(INDIRECT("1:"&amp;LEN((--TRIM(RIGHT(SUBSTITUTE(LEFT(A217,_xlfn.AGGREGATE(16,6,FIND({0,1,2,3,4,5,6,7,8,9},A217,ROW(INDIRECT("1:"&amp;LEN(A217)))),1))," ",REPT(" ",LEN(A217))),LEN(A217))))))))+1, 1) * 10^ROW(INDIRECT("1:"&amp;LEN((--TRIM(RIGHT(SUBSTITUTE(LEFT(A217,_xlfn.AGGREGATE(16,6,FIND({0,1,2,3,4,5,6,7,8,9},A217,ROW(INDIRECT("1:"&amp;LEN(A217)))),1))," ",REPT(" ",LEN(A217))),LEN(A217)))))))/10))*1+1</f>
        <v>210 &amp; 410</v>
      </c>
      <c r="B218" s="65"/>
      <c r="C218" s="13" t="s">
        <v>196</v>
      </c>
      <c r="D218" s="13">
        <f>(2.75*3.83+2.1*2.15+2.65*2.7+1.2*2.14+0.9*1.2+0.9*1.8+0.9*3+1.5*2.75+1.8*0.45)*10.764</f>
        <v>377.87560200000007</v>
      </c>
      <c r="E218" s="13">
        <v>0</v>
      </c>
      <c r="F218" s="13">
        <f>D218*(($F$130)+1)+(IF(E218&lt;101,E218,IF(E218&lt;201,E218/2,IF(E218&lt;=301,E218/3,E218/4))))</f>
        <v>566.81340300000011</v>
      </c>
      <c r="G218" s="64" t="str">
        <f t="shared" si="14"/>
        <v>2nd &amp; 4th Floor</v>
      </c>
      <c r="H218" s="65"/>
      <c r="I218" s="30"/>
    </row>
    <row r="219" spans="1:9" s="2" customFormat="1" ht="15.75" customHeight="1" x14ac:dyDescent="0.25">
      <c r="A219" s="64" t="str">
        <f ca="1">(SUMPRODUCT(MID(0&amp;(LEFT(A218,SUM(LEN(A218)-LEN(SUBSTITUTE(A218,{"0","1","2"},""))))), LARGE(INDEX(ISNUMBER(--MID((LEFT(A218,SUM(LEN(A218)-LEN(SUBSTITUTE(A218,{"0","1","2"},""))))), ROW(INDIRECT("1:"&amp;LEN((LEFT(A218,SUM(LEN(A218)-LEN(SUBSTITUTE(A218,{"0","1","2"},"")))))))), 1)) * ROW(INDIRECT("1:"&amp;LEN((LEFT(A218,SUM(LEN(A218)-LEN(SUBSTITUTE(A218,{"0","1","2"},"")))))))), 0), ROW(INDIRECT("1:"&amp;LEN((LEFT(A218,SUM(LEN(A218)-LEN(SUBSTITUTE(A218,{"0","1","2"},"")))))))))+1, 1) * 10^ROW(INDIRECT("1:"&amp;LEN((LEFT(A218,SUM(LEN(A218)-LEN(SUBSTITUTE(A218,{"0","1","2"},""))))))))/10))*1+1&amp;""&amp;" &amp; "&amp;""&amp;(SUMPRODUCT(MID(0&amp;(--TRIM(RIGHT(SUBSTITUTE(LEFT(A218,_xlfn.AGGREGATE(16,6,FIND({0,1,2,3,4,5,6,7,8,9},A218,ROW(INDIRECT("1:"&amp;LEN(A218)))),1))," ",REPT(" ",LEN(A218))),LEN(A218)))), LARGE(INDEX(ISNUMBER(--MID((--TRIM(RIGHT(SUBSTITUTE(LEFT(A218,_xlfn.AGGREGATE(16,6,FIND({0,1,2,3,4,5,6,7,8,9},A218,ROW(INDIRECT("1:"&amp;LEN(A218)))),1))," ",REPT(" ",LEN(A218))),LEN(A218)))), ROW(INDIRECT("1:"&amp;LEN((--TRIM(RIGHT(SUBSTITUTE(LEFT(A218,_xlfn.AGGREGATE(16,6,FIND({0,1,2,3,4,5,6,7,8,9},A218,ROW(INDIRECT("1:"&amp;LEN(A218)))),1))," ",REPT(" ",LEN(A218))),LEN(A218))))))), 1)) * ROW(INDIRECT("1:"&amp;LEN((--TRIM(RIGHT(SUBSTITUTE(LEFT(A218,_xlfn.AGGREGATE(16,6,FIND({0,1,2,3,4,5,6,7,8,9},A218,ROW(INDIRECT("1:"&amp;LEN(A218)))),1))," ",REPT(" ",LEN(A218))),LEN(A218))))))), 0), ROW(INDIRECT("1:"&amp;LEN((--TRIM(RIGHT(SUBSTITUTE(LEFT(A218,_xlfn.AGGREGATE(16,6,FIND({0,1,2,3,4,5,6,7,8,9},A218,ROW(INDIRECT("1:"&amp;LEN(A218)))),1))," ",REPT(" ",LEN(A218))),LEN(A218))))))))+1, 1) * 10^ROW(INDIRECT("1:"&amp;LEN((--TRIM(RIGHT(SUBSTITUTE(LEFT(A218,_xlfn.AGGREGATE(16,6,FIND({0,1,2,3,4,5,6,7,8,9},A218,ROW(INDIRECT("1:"&amp;LEN(A218)))),1))," ",REPT(" ",LEN(A218))),LEN(A218)))))))/10))*1+1</f>
        <v>211 &amp; 411</v>
      </c>
      <c r="B219" s="65"/>
      <c r="C219" s="13" t="s">
        <v>196</v>
      </c>
      <c r="D219" s="13">
        <f>(3.45*2.75+2.1*2.14+3.5*2.7+1.2*2.06+0.9*1.2+0.9*1.8+0.9*2.9+1.8*0.45+1.5*2.75)*10.764</f>
        <v>389.10245399999997</v>
      </c>
      <c r="E219" s="13">
        <v>0</v>
      </c>
      <c r="F219" s="13">
        <f>D219*(($F$130)+1)+(IF(E219&lt;101,E219,IF(E219&lt;201,E219/2,IF(E219&lt;=301,E219/3,E219/4))))</f>
        <v>583.65368100000001</v>
      </c>
      <c r="G219" s="64" t="str">
        <f t="shared" si="14"/>
        <v>2nd &amp; 4th Floor</v>
      </c>
      <c r="H219" s="65"/>
      <c r="I219" s="30"/>
    </row>
    <row r="220" spans="1:9" s="2" customFormat="1" ht="15.75" customHeight="1" x14ac:dyDescent="0.25">
      <c r="A220" s="64" t="str">
        <f ca="1">(SUMPRODUCT(MID(0&amp;(LEFT(A219,SUM(LEN(A219)-LEN(SUBSTITUTE(A219,{"0","1","2"},""))))), LARGE(INDEX(ISNUMBER(--MID((LEFT(A219,SUM(LEN(A219)-LEN(SUBSTITUTE(A219,{"0","1","2"},""))))), ROW(INDIRECT("1:"&amp;LEN((LEFT(A219,SUM(LEN(A219)-LEN(SUBSTITUTE(A219,{"0","1","2"},"")))))))), 1)) * ROW(INDIRECT("1:"&amp;LEN((LEFT(A219,SUM(LEN(A219)-LEN(SUBSTITUTE(A219,{"0","1","2"},"")))))))), 0), ROW(INDIRECT("1:"&amp;LEN((LEFT(A219,SUM(LEN(A219)-LEN(SUBSTITUTE(A219,{"0","1","2"},"")))))))))+1, 1) * 10^ROW(INDIRECT("1:"&amp;LEN((LEFT(A219,SUM(LEN(A219)-LEN(SUBSTITUTE(A219,{"0","1","2"},""))))))))/10))*1+1&amp;""&amp;" &amp; "&amp;""&amp;(SUMPRODUCT(MID(0&amp;(--TRIM(RIGHT(SUBSTITUTE(LEFT(A219,_xlfn.AGGREGATE(16,6,FIND({0,1,2,3,4,5,6,7,8,9},A219,ROW(INDIRECT("1:"&amp;LEN(A219)))),1))," ",REPT(" ",LEN(A219))),LEN(A219)))), LARGE(INDEX(ISNUMBER(--MID((--TRIM(RIGHT(SUBSTITUTE(LEFT(A219,_xlfn.AGGREGATE(16,6,FIND({0,1,2,3,4,5,6,7,8,9},A219,ROW(INDIRECT("1:"&amp;LEN(A219)))),1))," ",REPT(" ",LEN(A219))),LEN(A219)))), ROW(INDIRECT("1:"&amp;LEN((--TRIM(RIGHT(SUBSTITUTE(LEFT(A219,_xlfn.AGGREGATE(16,6,FIND({0,1,2,3,4,5,6,7,8,9},A219,ROW(INDIRECT("1:"&amp;LEN(A219)))),1))," ",REPT(" ",LEN(A219))),LEN(A219))))))), 1)) * ROW(INDIRECT("1:"&amp;LEN((--TRIM(RIGHT(SUBSTITUTE(LEFT(A219,_xlfn.AGGREGATE(16,6,FIND({0,1,2,3,4,5,6,7,8,9},A219,ROW(INDIRECT("1:"&amp;LEN(A219)))),1))," ",REPT(" ",LEN(A219))),LEN(A219))))))), 0), ROW(INDIRECT("1:"&amp;LEN((--TRIM(RIGHT(SUBSTITUTE(LEFT(A219,_xlfn.AGGREGATE(16,6,FIND({0,1,2,3,4,5,6,7,8,9},A219,ROW(INDIRECT("1:"&amp;LEN(A219)))),1))," ",REPT(" ",LEN(A219))),LEN(A219))))))))+1, 1) * 10^ROW(INDIRECT("1:"&amp;LEN((--TRIM(RIGHT(SUBSTITUTE(LEFT(A219,_xlfn.AGGREGATE(16,6,FIND({0,1,2,3,4,5,6,7,8,9},A219,ROW(INDIRECT("1:"&amp;LEN(A219)))),1))," ",REPT(" ",LEN(A219))),LEN(A219)))))))/10))*1+1</f>
        <v>212 &amp; 412</v>
      </c>
      <c r="B220" s="65"/>
      <c r="C220" s="13" t="s">
        <v>196</v>
      </c>
      <c r="D220" s="13">
        <f>(2.75*3.97+2.01*2.05+2.7*2.65+1.8*1+0.9*1.2+0.9*1.2+0.9*2.5+1.1*1.15+1.5*2.75)*10.764</f>
        <v>363.74785199999997</v>
      </c>
      <c r="E220" s="13">
        <v>0</v>
      </c>
      <c r="F220" s="13">
        <f t="shared" ref="F220" si="16">D220*(($F$130)+1)+(IF(E220&lt;101,E220,IF(E220&lt;201,E220/2,IF(E220&lt;=301,E220/3,E220/4))))</f>
        <v>545.62177799999995</v>
      </c>
      <c r="G220" s="64" t="str">
        <f t="shared" si="14"/>
        <v>2nd &amp; 4th Floor</v>
      </c>
      <c r="H220" s="65"/>
      <c r="I220" s="30"/>
    </row>
    <row r="221" spans="1:9" s="1" customFormat="1" x14ac:dyDescent="0.25">
      <c r="A221" s="177" t="s">
        <v>73</v>
      </c>
      <c r="B221" s="178"/>
      <c r="C221" s="178"/>
      <c r="D221" s="178"/>
      <c r="E221" s="178"/>
      <c r="F221" s="178"/>
      <c r="G221" s="178"/>
      <c r="H221" s="179"/>
    </row>
    <row r="222" spans="1:9" s="1" customFormat="1" ht="55.15" customHeight="1" x14ac:dyDescent="0.25">
      <c r="A222" s="42" t="s">
        <v>163</v>
      </c>
      <c r="B222" s="83" t="s">
        <v>215</v>
      </c>
      <c r="C222" s="84"/>
      <c r="D222" s="84"/>
      <c r="E222" s="84"/>
      <c r="F222" s="84"/>
      <c r="G222" s="84"/>
      <c r="H222" s="85"/>
      <c r="I222" s="55" t="s">
        <v>213</v>
      </c>
    </row>
    <row r="223" spans="1:9" s="1" customFormat="1" ht="15.75" customHeight="1" x14ac:dyDescent="0.25">
      <c r="A223" s="42" t="s">
        <v>163</v>
      </c>
      <c r="B223" s="83" t="str">
        <f>(IF(F129="Saleable area Loading :","We have considered Saleable area of Flats as per our Calculation.","We considered Saleable area of Flat as per Builder area Sheet."))</f>
        <v>We have considered Saleable area of Flats as per our Calculation.</v>
      </c>
      <c r="C223" s="84"/>
      <c r="D223" s="84"/>
      <c r="E223" s="84"/>
      <c r="F223" s="84"/>
      <c r="G223" s="84"/>
      <c r="H223" s="85"/>
    </row>
    <row r="224" spans="1:9" s="1" customFormat="1" ht="15.75" customHeight="1" x14ac:dyDescent="0.25">
      <c r="A224" s="42" t="s">
        <v>163</v>
      </c>
      <c r="B224" s="80" t="s">
        <v>132</v>
      </c>
      <c r="C224" s="81"/>
      <c r="D224" s="81"/>
      <c r="E224" s="81"/>
      <c r="F224" s="81"/>
      <c r="G224" s="81"/>
      <c r="H224" s="82"/>
    </row>
    <row r="225" spans="1:8" s="1" customFormat="1" ht="15.75" customHeight="1" x14ac:dyDescent="0.25">
      <c r="A225" s="42" t="s">
        <v>163</v>
      </c>
      <c r="B225" s="80" t="s">
        <v>198</v>
      </c>
      <c r="C225" s="81"/>
      <c r="D225" s="81"/>
      <c r="E225" s="81"/>
      <c r="F225" s="81"/>
      <c r="G225" s="81"/>
      <c r="H225" s="82"/>
    </row>
    <row r="226" spans="1:8" s="1" customFormat="1" ht="15.75" customHeight="1" x14ac:dyDescent="0.25">
      <c r="A226" s="42" t="s">
        <v>163</v>
      </c>
      <c r="B226" s="80" t="s">
        <v>162</v>
      </c>
      <c r="C226" s="81"/>
      <c r="D226" s="81"/>
      <c r="E226" s="81"/>
      <c r="F226" s="81"/>
      <c r="G226" s="81"/>
      <c r="H226" s="82"/>
    </row>
    <row r="227" spans="1:8" s="1" customFormat="1" ht="15.75" customHeight="1" x14ac:dyDescent="0.25">
      <c r="A227" s="42" t="s">
        <v>163</v>
      </c>
      <c r="B227" s="80" t="s">
        <v>133</v>
      </c>
      <c r="C227" s="81"/>
      <c r="D227" s="81"/>
      <c r="E227" s="81"/>
      <c r="F227" s="81"/>
      <c r="G227" s="81"/>
      <c r="H227" s="82"/>
    </row>
    <row r="228" spans="1:8" s="1" customFormat="1" ht="34.5" customHeight="1" x14ac:dyDescent="0.25">
      <c r="A228" s="42" t="s">
        <v>163</v>
      </c>
      <c r="B228" s="80" t="s">
        <v>165</v>
      </c>
      <c r="C228" s="81"/>
      <c r="D228" s="81"/>
      <c r="E228" s="81"/>
      <c r="F228" s="81"/>
      <c r="G228" s="81"/>
      <c r="H228" s="82"/>
    </row>
    <row r="229" spans="1:8" s="1" customFormat="1" ht="15.75" customHeight="1" x14ac:dyDescent="0.25">
      <c r="A229" s="42" t="s">
        <v>163</v>
      </c>
      <c r="B229" s="80" t="s">
        <v>134</v>
      </c>
      <c r="C229" s="81"/>
      <c r="D229" s="81"/>
      <c r="E229" s="81"/>
      <c r="F229" s="81"/>
      <c r="G229" s="81"/>
      <c r="H229" s="82"/>
    </row>
    <row r="230" spans="1:8" s="1" customFormat="1" ht="15.75" hidden="1" customHeight="1" x14ac:dyDescent="0.25">
      <c r="A230" s="42" t="s">
        <v>163</v>
      </c>
      <c r="B230" s="61" t="s">
        <v>205</v>
      </c>
      <c r="C230" s="62"/>
      <c r="D230" s="62"/>
      <c r="E230" s="62"/>
      <c r="F230" s="62"/>
      <c r="G230" s="62"/>
      <c r="H230" s="63"/>
    </row>
    <row r="231" spans="1:8" s="1" customFormat="1" ht="15.75" customHeight="1" x14ac:dyDescent="0.25">
      <c r="A231" s="42" t="s">
        <v>163</v>
      </c>
      <c r="B231" s="61" t="s">
        <v>201</v>
      </c>
      <c r="C231" s="62"/>
      <c r="D231" s="62"/>
      <c r="E231" s="62"/>
      <c r="F231" s="62"/>
      <c r="G231" s="62"/>
      <c r="H231" s="63"/>
    </row>
    <row r="232" spans="1:8" s="1" customFormat="1" ht="32.25" customHeight="1" x14ac:dyDescent="0.25">
      <c r="A232" s="42" t="s">
        <v>163</v>
      </c>
      <c r="B232" s="61" t="s">
        <v>211</v>
      </c>
      <c r="C232" s="62"/>
      <c r="D232" s="62"/>
      <c r="E232" s="62"/>
      <c r="F232" s="62"/>
      <c r="G232" s="62"/>
      <c r="H232" s="63"/>
    </row>
    <row r="233" spans="1:8" x14ac:dyDescent="0.25">
      <c r="A233" s="153" t="s">
        <v>66</v>
      </c>
      <c r="B233" s="154"/>
      <c r="C233" s="154"/>
      <c r="D233" s="154"/>
      <c r="E233" s="154"/>
      <c r="F233" s="154"/>
      <c r="G233" s="154"/>
      <c r="H233" s="155"/>
    </row>
    <row r="234" spans="1:8" x14ac:dyDescent="0.25">
      <c r="A234" s="74" t="s">
        <v>67</v>
      </c>
      <c r="B234" s="75"/>
      <c r="C234" s="75"/>
      <c r="D234" s="75"/>
      <c r="E234" s="75"/>
      <c r="F234" s="75"/>
      <c r="G234" s="75"/>
      <c r="H234" s="76"/>
    </row>
    <row r="235" spans="1:8" ht="15.75" customHeight="1" x14ac:dyDescent="0.25">
      <c r="A235" s="77" t="s">
        <v>68</v>
      </c>
      <c r="B235" s="78"/>
      <c r="C235" s="78"/>
      <c r="D235" s="78"/>
      <c r="E235" s="78"/>
      <c r="F235" s="78"/>
      <c r="G235" s="78"/>
      <c r="H235" s="79"/>
    </row>
    <row r="236" spans="1:8" x14ac:dyDescent="0.25">
      <c r="A236" s="74" t="s">
        <v>69</v>
      </c>
      <c r="B236" s="75"/>
      <c r="C236" s="75"/>
      <c r="D236" s="75"/>
      <c r="E236" s="75"/>
      <c r="F236" s="75"/>
      <c r="G236" s="75"/>
      <c r="H236" s="76"/>
    </row>
    <row r="237" spans="1:8" x14ac:dyDescent="0.25">
      <c r="A237" s="74" t="s">
        <v>70</v>
      </c>
      <c r="B237" s="75"/>
      <c r="C237" s="75"/>
      <c r="D237" s="75"/>
      <c r="E237" s="75"/>
      <c r="F237" s="75"/>
      <c r="G237" s="75"/>
      <c r="H237" s="76"/>
    </row>
    <row r="238" spans="1:8" x14ac:dyDescent="0.25">
      <c r="A238" s="74" t="s">
        <v>135</v>
      </c>
      <c r="B238" s="75"/>
      <c r="C238" s="75"/>
      <c r="D238" s="75"/>
      <c r="E238" s="75"/>
      <c r="F238" s="75"/>
      <c r="G238" s="75"/>
      <c r="H238" s="76"/>
    </row>
    <row r="239" spans="1:8" ht="35.25" customHeight="1" x14ac:dyDescent="0.25">
      <c r="A239" s="174" t="s">
        <v>136</v>
      </c>
      <c r="B239" s="175"/>
      <c r="C239" s="175"/>
      <c r="D239" s="175"/>
      <c r="E239" s="175"/>
      <c r="F239" s="175"/>
      <c r="G239" s="175"/>
      <c r="H239" s="176"/>
    </row>
    <row r="240" spans="1:8" x14ac:dyDescent="0.25">
      <c r="A240" s="167" t="s">
        <v>82</v>
      </c>
      <c r="B240" s="167"/>
      <c r="C240" s="167" t="s">
        <v>209</v>
      </c>
      <c r="D240" s="167"/>
      <c r="E240" s="168" t="s">
        <v>115</v>
      </c>
      <c r="F240" s="169"/>
      <c r="G240" s="167" t="s">
        <v>214</v>
      </c>
      <c r="H240" s="167"/>
    </row>
    <row r="241" spans="1:8" ht="15.75" customHeight="1" x14ac:dyDescent="0.25">
      <c r="A241" s="158" t="s">
        <v>84</v>
      </c>
      <c r="B241" s="159"/>
      <c r="C241" s="159"/>
      <c r="D241" s="159"/>
      <c r="E241" s="159"/>
      <c r="F241" s="159"/>
      <c r="G241" s="159"/>
      <c r="H241" s="160"/>
    </row>
    <row r="242" spans="1:8" x14ac:dyDescent="0.25">
      <c r="A242" s="161"/>
      <c r="B242" s="162"/>
      <c r="C242" s="162"/>
      <c r="D242" s="162"/>
      <c r="E242" s="162"/>
      <c r="F242" s="162"/>
      <c r="G242" s="162"/>
      <c r="H242" s="163"/>
    </row>
    <row r="243" spans="1:8" x14ac:dyDescent="0.25">
      <c r="A243" s="161"/>
      <c r="B243" s="162"/>
      <c r="C243" s="162"/>
      <c r="D243" s="162"/>
      <c r="E243" s="162"/>
      <c r="F243" s="162"/>
      <c r="G243" s="162"/>
      <c r="H243" s="163"/>
    </row>
    <row r="244" spans="1:8" x14ac:dyDescent="0.25">
      <c r="A244" s="164"/>
      <c r="B244" s="165"/>
      <c r="C244" s="165"/>
      <c r="D244" s="165"/>
      <c r="E244" s="165"/>
      <c r="F244" s="165"/>
      <c r="G244" s="165"/>
      <c r="H244" s="166"/>
    </row>
    <row r="245" spans="1:8" x14ac:dyDescent="0.25">
      <c r="A245" s="8" t="s">
        <v>71</v>
      </c>
      <c r="B245" s="9"/>
      <c r="C245" s="9"/>
      <c r="D245" s="8" t="str">
        <f>E8</f>
        <v>Renaissance Royal Phase 1</v>
      </c>
      <c r="F245" s="9"/>
      <c r="G245" s="9"/>
      <c r="H245" s="9"/>
    </row>
    <row r="246" spans="1:8" x14ac:dyDescent="0.25">
      <c r="A246" s="9"/>
      <c r="B246" s="9"/>
      <c r="C246" s="9"/>
      <c r="D246" s="9"/>
      <c r="E246" s="9"/>
      <c r="F246" s="9"/>
      <c r="G246" s="9"/>
      <c r="H246" s="9"/>
    </row>
    <row r="247" spans="1:8" x14ac:dyDescent="0.25">
      <c r="A247" s="9"/>
      <c r="B247" s="9"/>
      <c r="C247" s="9"/>
      <c r="D247" s="9"/>
      <c r="E247" s="9"/>
      <c r="F247" s="9"/>
      <c r="G247" s="9"/>
      <c r="H247" s="9"/>
    </row>
    <row r="248" spans="1:8" ht="15" customHeight="1" x14ac:dyDescent="0.25"/>
    <row r="288" spans="1:1" x14ac:dyDescent="0.25">
      <c r="A288" s="11" t="s">
        <v>72</v>
      </c>
    </row>
  </sheetData>
  <mergeCells count="443">
    <mergeCell ref="B232:H232"/>
    <mergeCell ref="B228:H228"/>
    <mergeCell ref="A46:B46"/>
    <mergeCell ref="C46:H46"/>
    <mergeCell ref="B226:H226"/>
    <mergeCell ref="A100:B100"/>
    <mergeCell ref="A101:B101"/>
    <mergeCell ref="G84:H93"/>
    <mergeCell ref="A85:B85"/>
    <mergeCell ref="A86:B86"/>
    <mergeCell ref="A87:B87"/>
    <mergeCell ref="G135:H135"/>
    <mergeCell ref="G212:H212"/>
    <mergeCell ref="G209:H209"/>
    <mergeCell ref="A111:E111"/>
    <mergeCell ref="A112:E112"/>
    <mergeCell ref="F117:H117"/>
    <mergeCell ref="G136:H136"/>
    <mergeCell ref="G134:H134"/>
    <mergeCell ref="A118:E118"/>
    <mergeCell ref="A82:B82"/>
    <mergeCell ref="C82:H82"/>
    <mergeCell ref="G83:H83"/>
    <mergeCell ref="A113:E113"/>
    <mergeCell ref="F113:H113"/>
    <mergeCell ref="A114:E114"/>
    <mergeCell ref="A116:E116"/>
    <mergeCell ref="A115:E115"/>
    <mergeCell ref="A102:B102"/>
    <mergeCell ref="A103:B103"/>
    <mergeCell ref="A104:B104"/>
    <mergeCell ref="A106:B106"/>
    <mergeCell ref="A107:B107"/>
    <mergeCell ref="G202:H202"/>
    <mergeCell ref="A158:B158"/>
    <mergeCell ref="A148:H148"/>
    <mergeCell ref="A149:B149"/>
    <mergeCell ref="G149:H149"/>
    <mergeCell ref="A150:B150"/>
    <mergeCell ref="G150:H150"/>
    <mergeCell ref="A162:B162"/>
    <mergeCell ref="G162:H162"/>
    <mergeCell ref="A163:H163"/>
    <mergeCell ref="A164:H164"/>
    <mergeCell ref="A165:B165"/>
    <mergeCell ref="G165:H165"/>
    <mergeCell ref="A166:B166"/>
    <mergeCell ref="G166:H166"/>
    <mergeCell ref="A167:B167"/>
    <mergeCell ref="G167:H167"/>
    <mergeCell ref="A168:B168"/>
    <mergeCell ref="G168:H168"/>
    <mergeCell ref="A169:B169"/>
    <mergeCell ref="G169:H169"/>
    <mergeCell ref="A170:B170"/>
    <mergeCell ref="G170:H170"/>
    <mergeCell ref="A171:B171"/>
    <mergeCell ref="A77:B77"/>
    <mergeCell ref="C123:D123"/>
    <mergeCell ref="E123:F123"/>
    <mergeCell ref="F114:H114"/>
    <mergeCell ref="A110:E110"/>
    <mergeCell ref="A95:B95"/>
    <mergeCell ref="C95:H95"/>
    <mergeCell ref="A84:B84"/>
    <mergeCell ref="E84:F93"/>
    <mergeCell ref="A91:B91"/>
    <mergeCell ref="A92:B92"/>
    <mergeCell ref="A93:B93"/>
    <mergeCell ref="A97:B97"/>
    <mergeCell ref="C97:H97"/>
    <mergeCell ref="A98:B98"/>
    <mergeCell ref="E98:F98"/>
    <mergeCell ref="G98:H98"/>
    <mergeCell ref="A99:B99"/>
    <mergeCell ref="E99:F108"/>
    <mergeCell ref="G99:H108"/>
    <mergeCell ref="F112:H112"/>
    <mergeCell ref="F111:H111"/>
    <mergeCell ref="A83:B83"/>
    <mergeCell ref="E83:F83"/>
    <mergeCell ref="A39:D39"/>
    <mergeCell ref="E39:H39"/>
    <mergeCell ref="F31:H31"/>
    <mergeCell ref="F32:H32"/>
    <mergeCell ref="C30:E30"/>
    <mergeCell ref="F33:H33"/>
    <mergeCell ref="F34:H34"/>
    <mergeCell ref="A36:B36"/>
    <mergeCell ref="F30:H30"/>
    <mergeCell ref="A31:B31"/>
    <mergeCell ref="A30:B30"/>
    <mergeCell ref="C31:E31"/>
    <mergeCell ref="A32:B32"/>
    <mergeCell ref="C32:E32"/>
    <mergeCell ref="A35:H35"/>
    <mergeCell ref="A34:B34"/>
    <mergeCell ref="A38:H38"/>
    <mergeCell ref="C34:E34"/>
    <mergeCell ref="A37:B37"/>
    <mergeCell ref="C37:H37"/>
    <mergeCell ref="C36:H36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9:D9"/>
    <mergeCell ref="E9:H9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59:C59"/>
    <mergeCell ref="A60:C60"/>
    <mergeCell ref="D59:H59"/>
    <mergeCell ref="E70:F79"/>
    <mergeCell ref="G70:H79"/>
    <mergeCell ref="A78:B78"/>
    <mergeCell ref="A79:B79"/>
    <mergeCell ref="D60:H60"/>
    <mergeCell ref="A41:D41"/>
    <mergeCell ref="E41:H41"/>
    <mergeCell ref="E42:H42"/>
    <mergeCell ref="E43:H43"/>
    <mergeCell ref="E44:H44"/>
    <mergeCell ref="A42:D42"/>
    <mergeCell ref="A43:D43"/>
    <mergeCell ref="A44:D44"/>
    <mergeCell ref="A45:H45"/>
    <mergeCell ref="D55:H55"/>
    <mergeCell ref="A55:C55"/>
    <mergeCell ref="G48:H48"/>
    <mergeCell ref="A49:B50"/>
    <mergeCell ref="A76:B76"/>
    <mergeCell ref="A69:B69"/>
    <mergeCell ref="A72:B72"/>
    <mergeCell ref="A64:C64"/>
    <mergeCell ref="D64:H64"/>
    <mergeCell ref="A70:B70"/>
    <mergeCell ref="G69:H69"/>
    <mergeCell ref="A68:B68"/>
    <mergeCell ref="A66:B66"/>
    <mergeCell ref="C66:H66"/>
    <mergeCell ref="A74:B74"/>
    <mergeCell ref="A61:C61"/>
    <mergeCell ref="D61:H61"/>
    <mergeCell ref="C68:H68"/>
    <mergeCell ref="A71:B71"/>
    <mergeCell ref="A73:B73"/>
    <mergeCell ref="E69:F69"/>
    <mergeCell ref="A62:C62"/>
    <mergeCell ref="D62:H62"/>
    <mergeCell ref="A65:C65"/>
    <mergeCell ref="A63:C63"/>
    <mergeCell ref="D63:H63"/>
    <mergeCell ref="D65:H65"/>
    <mergeCell ref="A241:H244"/>
    <mergeCell ref="A240:B240"/>
    <mergeCell ref="E240:F240"/>
    <mergeCell ref="C240:D240"/>
    <mergeCell ref="G240:H240"/>
    <mergeCell ref="A119:E119"/>
    <mergeCell ref="F119:H119"/>
    <mergeCell ref="A120:E120"/>
    <mergeCell ref="F120:H120"/>
    <mergeCell ref="A208:H208"/>
    <mergeCell ref="A123:B123"/>
    <mergeCell ref="A136:B136"/>
    <mergeCell ref="A236:H236"/>
    <mergeCell ref="A121:H121"/>
    <mergeCell ref="A239:H239"/>
    <mergeCell ref="A237:H237"/>
    <mergeCell ref="A221:H221"/>
    <mergeCell ref="B129:B130"/>
    <mergeCell ref="A133:H133"/>
    <mergeCell ref="A129:A130"/>
    <mergeCell ref="A213:B213"/>
    <mergeCell ref="A210:B210"/>
    <mergeCell ref="A211:B211"/>
    <mergeCell ref="A137:B137"/>
    <mergeCell ref="A233:H233"/>
    <mergeCell ref="A234:H234"/>
    <mergeCell ref="E122:F122"/>
    <mergeCell ref="A127:H127"/>
    <mergeCell ref="G211:H211"/>
    <mergeCell ref="F115:H115"/>
    <mergeCell ref="F118:H118"/>
    <mergeCell ref="F116:H116"/>
    <mergeCell ref="A135:B135"/>
    <mergeCell ref="A128:H128"/>
    <mergeCell ref="A117:E117"/>
    <mergeCell ref="G210:H210"/>
    <mergeCell ref="C129:C130"/>
    <mergeCell ref="B229:H229"/>
    <mergeCell ref="B230:H230"/>
    <mergeCell ref="A212:B212"/>
    <mergeCell ref="A139:B139"/>
    <mergeCell ref="G213:H213"/>
    <mergeCell ref="G138:H138"/>
    <mergeCell ref="G137:H137"/>
    <mergeCell ref="G139:H139"/>
    <mergeCell ref="A138:B138"/>
    <mergeCell ref="A134:B134"/>
    <mergeCell ref="G214:H214"/>
    <mergeCell ref="C49:E49"/>
    <mergeCell ref="A56:C58"/>
    <mergeCell ref="D56:H56"/>
    <mergeCell ref="D57:H57"/>
    <mergeCell ref="C48:E48"/>
    <mergeCell ref="A51:B51"/>
    <mergeCell ref="C51:E51"/>
    <mergeCell ref="A48:B48"/>
    <mergeCell ref="A52:H52"/>
    <mergeCell ref="A53:C53"/>
    <mergeCell ref="A54:C54"/>
    <mergeCell ref="D54:H54"/>
    <mergeCell ref="G51:H51"/>
    <mergeCell ref="D58:H58"/>
    <mergeCell ref="C50:H50"/>
    <mergeCell ref="A126:B126"/>
    <mergeCell ref="C126:D126"/>
    <mergeCell ref="E40:H40"/>
    <mergeCell ref="A40:D40"/>
    <mergeCell ref="A122:B122"/>
    <mergeCell ref="D129:D130"/>
    <mergeCell ref="E129:E130"/>
    <mergeCell ref="G129:H130"/>
    <mergeCell ref="A88:B88"/>
    <mergeCell ref="A89:B89"/>
    <mergeCell ref="A90:B90"/>
    <mergeCell ref="A80:B80"/>
    <mergeCell ref="C80:H80"/>
    <mergeCell ref="A105:B105"/>
    <mergeCell ref="A75:B75"/>
    <mergeCell ref="F110:H110"/>
    <mergeCell ref="A109:H109"/>
    <mergeCell ref="G123:H123"/>
    <mergeCell ref="A108:B108"/>
    <mergeCell ref="A47:B47"/>
    <mergeCell ref="C47:E47"/>
    <mergeCell ref="G47:H47"/>
    <mergeCell ref="G49:H49"/>
    <mergeCell ref="D53:H53"/>
    <mergeCell ref="G124:H124"/>
    <mergeCell ref="A125:B125"/>
    <mergeCell ref="C125:D125"/>
    <mergeCell ref="E125:F125"/>
    <mergeCell ref="G125:H125"/>
    <mergeCell ref="A124:B124"/>
    <mergeCell ref="C124:D124"/>
    <mergeCell ref="E124:F124"/>
    <mergeCell ref="C122:D122"/>
    <mergeCell ref="G122:H122"/>
    <mergeCell ref="G145:H145"/>
    <mergeCell ref="A146:B146"/>
    <mergeCell ref="A238:H238"/>
    <mergeCell ref="A235:H235"/>
    <mergeCell ref="B227:H227"/>
    <mergeCell ref="B225:H225"/>
    <mergeCell ref="B224:H224"/>
    <mergeCell ref="B223:H223"/>
    <mergeCell ref="B222:H222"/>
    <mergeCell ref="A152:B152"/>
    <mergeCell ref="G152:H152"/>
    <mergeCell ref="A153:B153"/>
    <mergeCell ref="G153:H153"/>
    <mergeCell ref="A154:B154"/>
    <mergeCell ref="G154:H154"/>
    <mergeCell ref="G146:H146"/>
    <mergeCell ref="A147:B147"/>
    <mergeCell ref="G147:H147"/>
    <mergeCell ref="A155:B155"/>
    <mergeCell ref="G155:H155"/>
    <mergeCell ref="A156:B156"/>
    <mergeCell ref="G156:H156"/>
    <mergeCell ref="A157:B157"/>
    <mergeCell ref="G157:H157"/>
    <mergeCell ref="E126:F126"/>
    <mergeCell ref="G126:H126"/>
    <mergeCell ref="G158:H158"/>
    <mergeCell ref="A159:B159"/>
    <mergeCell ref="G159:H159"/>
    <mergeCell ref="A160:B160"/>
    <mergeCell ref="G160:H160"/>
    <mergeCell ref="A161:B161"/>
    <mergeCell ref="G161:H161"/>
    <mergeCell ref="A132:H132"/>
    <mergeCell ref="A151:B151"/>
    <mergeCell ref="G151:H151"/>
    <mergeCell ref="A131:H131"/>
    <mergeCell ref="A140:B140"/>
    <mergeCell ref="G140:H140"/>
    <mergeCell ref="A141:B141"/>
    <mergeCell ref="G141:H141"/>
    <mergeCell ref="A142:B142"/>
    <mergeCell ref="G142:H142"/>
    <mergeCell ref="A143:B143"/>
    <mergeCell ref="G143:H143"/>
    <mergeCell ref="A144:B144"/>
    <mergeCell ref="G144:H144"/>
    <mergeCell ref="A145:B145"/>
    <mergeCell ref="G171:H171"/>
    <mergeCell ref="A172:B172"/>
    <mergeCell ref="G172:H172"/>
    <mergeCell ref="A173:B173"/>
    <mergeCell ref="G173:H173"/>
    <mergeCell ref="A174:B174"/>
    <mergeCell ref="G174:H174"/>
    <mergeCell ref="A175:B175"/>
    <mergeCell ref="G175:H175"/>
    <mergeCell ref="A176:B176"/>
    <mergeCell ref="G176:H176"/>
    <mergeCell ref="A177:B177"/>
    <mergeCell ref="G177:H177"/>
    <mergeCell ref="A178:B178"/>
    <mergeCell ref="G178:H178"/>
    <mergeCell ref="A179:H179"/>
    <mergeCell ref="A180:B180"/>
    <mergeCell ref="G180:H180"/>
    <mergeCell ref="A181:B181"/>
    <mergeCell ref="G181:H181"/>
    <mergeCell ref="A182:B182"/>
    <mergeCell ref="G182:H182"/>
    <mergeCell ref="A183:B183"/>
    <mergeCell ref="G183:H183"/>
    <mergeCell ref="A184:B184"/>
    <mergeCell ref="G184:H184"/>
    <mergeCell ref="G186:H186"/>
    <mergeCell ref="A185:B185"/>
    <mergeCell ref="G185:H185"/>
    <mergeCell ref="A186:B186"/>
    <mergeCell ref="A187:B187"/>
    <mergeCell ref="G187:H187"/>
    <mergeCell ref="A188:B188"/>
    <mergeCell ref="G188:H188"/>
    <mergeCell ref="A217:B217"/>
    <mergeCell ref="G217:H217"/>
    <mergeCell ref="A214:B214"/>
    <mergeCell ref="A209:B209"/>
    <mergeCell ref="A203:B203"/>
    <mergeCell ref="G203:H203"/>
    <mergeCell ref="A204:B204"/>
    <mergeCell ref="G204:H204"/>
    <mergeCell ref="A205:B205"/>
    <mergeCell ref="G205:H205"/>
    <mergeCell ref="A206:B206"/>
    <mergeCell ref="G206:H206"/>
    <mergeCell ref="A207:B207"/>
    <mergeCell ref="G207:H207"/>
    <mergeCell ref="A194:H194"/>
    <mergeCell ref="A189:B189"/>
    <mergeCell ref="G199:H199"/>
    <mergeCell ref="G196:H196"/>
    <mergeCell ref="A202:B202"/>
    <mergeCell ref="G201:H201"/>
    <mergeCell ref="A218:B218"/>
    <mergeCell ref="G218:H218"/>
    <mergeCell ref="A219:B219"/>
    <mergeCell ref="G219:H219"/>
    <mergeCell ref="A220:B220"/>
    <mergeCell ref="G220:H220"/>
    <mergeCell ref="A215:B215"/>
    <mergeCell ref="G215:H215"/>
    <mergeCell ref="A216:B216"/>
    <mergeCell ref="G216:H216"/>
    <mergeCell ref="A94:B94"/>
    <mergeCell ref="C94:D94"/>
    <mergeCell ref="E94:F94"/>
    <mergeCell ref="G94:H94"/>
    <mergeCell ref="B231:H231"/>
    <mergeCell ref="G189:H189"/>
    <mergeCell ref="A190:B190"/>
    <mergeCell ref="G190:H190"/>
    <mergeCell ref="A191:B191"/>
    <mergeCell ref="G191:H191"/>
    <mergeCell ref="A192:B192"/>
    <mergeCell ref="G192:H192"/>
    <mergeCell ref="A193:B193"/>
    <mergeCell ref="G193:H193"/>
    <mergeCell ref="A198:B198"/>
    <mergeCell ref="G198:H198"/>
    <mergeCell ref="G197:H197"/>
    <mergeCell ref="A195:H195"/>
    <mergeCell ref="A196:B196"/>
    <mergeCell ref="A197:B197"/>
    <mergeCell ref="A200:B200"/>
    <mergeCell ref="G200:H200"/>
    <mergeCell ref="A201:B201"/>
    <mergeCell ref="A199:B199"/>
  </mergeCells>
  <hyperlinks>
    <hyperlink ref="C37" r:id="rId1" xr:uid="{00000000-0004-0000-0000-000000000000}"/>
  </hyperlinks>
  <printOptions horizontalCentered="1"/>
  <pageMargins left="0.39370078740157483" right="0.39370078740157483" top="0.78740157480314965" bottom="0.78740157480314965" header="0.19685039370078741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37" max="16383" man="1"/>
    <brk id="244" max="16383" man="1"/>
    <brk id="287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7"/>
    <col min="2" max="2" width="22.140625" style="17" customWidth="1"/>
    <col min="3" max="3" width="37" style="17" customWidth="1"/>
    <col min="4" max="5" width="11.42578125" style="17" customWidth="1"/>
    <col min="6" max="6" width="14" style="17" customWidth="1"/>
    <col min="7" max="7" width="20" style="17" customWidth="1"/>
    <col min="8" max="8" width="16.42578125" style="17" customWidth="1"/>
    <col min="9" max="16384" width="8.7109375" style="17"/>
  </cols>
  <sheetData>
    <row r="1" spans="1:9" ht="15" customHeight="1" x14ac:dyDescent="0.25"/>
    <row r="2" spans="1:9" ht="15" customHeight="1" x14ac:dyDescent="0.25">
      <c r="A2" s="18"/>
      <c r="B2" s="18"/>
      <c r="C2" s="18"/>
      <c r="D2" s="18"/>
      <c r="E2" s="18"/>
      <c r="F2" s="18"/>
      <c r="G2" s="18"/>
      <c r="H2" s="18"/>
    </row>
    <row r="3" spans="1:9" ht="15.75" customHeight="1" x14ac:dyDescent="0.25">
      <c r="A3" s="18"/>
      <c r="B3" s="239" t="s">
        <v>116</v>
      </c>
      <c r="C3" s="239"/>
      <c r="D3" s="239"/>
      <c r="E3" s="239"/>
      <c r="F3" s="239"/>
      <c r="G3" s="239"/>
      <c r="H3" s="239"/>
    </row>
    <row r="4" spans="1:9" x14ac:dyDescent="0.25">
      <c r="A4" s="18"/>
      <c r="B4" s="19" t="s">
        <v>117</v>
      </c>
      <c r="C4" s="19" t="s">
        <v>118</v>
      </c>
      <c r="D4" s="19" t="s">
        <v>74</v>
      </c>
      <c r="E4" s="19" t="s">
        <v>119</v>
      </c>
      <c r="F4" s="19" t="s">
        <v>125</v>
      </c>
      <c r="G4" s="19" t="s">
        <v>126</v>
      </c>
      <c r="H4" s="19" t="s">
        <v>120</v>
      </c>
    </row>
    <row r="5" spans="1:9" ht="15" customHeight="1" x14ac:dyDescent="0.25">
      <c r="A5" s="18"/>
      <c r="B5" s="21" t="s">
        <v>121</v>
      </c>
      <c r="C5" s="22"/>
      <c r="D5" s="21"/>
      <c r="E5" s="21"/>
      <c r="F5" s="23">
        <f>E5*1.6</f>
        <v>0</v>
      </c>
      <c r="G5" s="23" t="e">
        <f>H5/F5</f>
        <v>#DIV/0!</v>
      </c>
      <c r="H5" s="24"/>
    </row>
    <row r="6" spans="1:9" x14ac:dyDescent="0.25">
      <c r="A6" s="18"/>
      <c r="B6" s="21" t="s">
        <v>121</v>
      </c>
      <c r="C6" s="25"/>
      <c r="D6" s="21"/>
      <c r="E6" s="21"/>
      <c r="F6" s="23">
        <f t="shared" ref="F6:F11" si="0">E6*1.6</f>
        <v>0</v>
      </c>
      <c r="G6" s="23" t="e">
        <f t="shared" ref="G6:G11" si="1">H6/F6</f>
        <v>#DIV/0!</v>
      </c>
      <c r="H6" s="24"/>
    </row>
    <row r="7" spans="1:9" ht="15" customHeight="1" x14ac:dyDescent="0.25">
      <c r="A7" s="18"/>
      <c r="B7" s="21" t="s">
        <v>121</v>
      </c>
      <c r="C7" s="22"/>
      <c r="D7" s="21"/>
      <c r="E7" s="21"/>
      <c r="F7" s="23">
        <f t="shared" si="0"/>
        <v>0</v>
      </c>
      <c r="G7" s="23" t="e">
        <f t="shared" si="1"/>
        <v>#DIV/0!</v>
      </c>
      <c r="H7" s="24"/>
    </row>
    <row r="8" spans="1:9" x14ac:dyDescent="0.25">
      <c r="A8" s="18"/>
      <c r="B8" s="21" t="s">
        <v>121</v>
      </c>
      <c r="C8" s="25"/>
      <c r="D8" s="21"/>
      <c r="E8" s="21"/>
      <c r="F8" s="23">
        <f t="shared" si="0"/>
        <v>0</v>
      </c>
      <c r="G8" s="23" t="e">
        <f t="shared" si="1"/>
        <v>#DIV/0!</v>
      </c>
      <c r="H8" s="24"/>
    </row>
    <row r="9" spans="1:9" ht="15" customHeight="1" x14ac:dyDescent="0.25">
      <c r="A9" s="18"/>
      <c r="B9" s="21" t="s">
        <v>121</v>
      </c>
      <c r="C9" s="25"/>
      <c r="D9" s="21"/>
      <c r="E9" s="21"/>
      <c r="F9" s="23">
        <f t="shared" si="0"/>
        <v>0</v>
      </c>
      <c r="G9" s="23" t="e">
        <f t="shared" si="1"/>
        <v>#DIV/0!</v>
      </c>
      <c r="H9" s="24"/>
    </row>
    <row r="10" spans="1:9" ht="15" customHeight="1" x14ac:dyDescent="0.25">
      <c r="A10" s="18"/>
      <c r="B10" s="21" t="s">
        <v>122</v>
      </c>
      <c r="C10" s="22"/>
      <c r="D10" s="21"/>
      <c r="E10" s="21"/>
      <c r="F10" s="23">
        <f t="shared" si="0"/>
        <v>0</v>
      </c>
      <c r="G10" s="23" t="e">
        <f t="shared" si="1"/>
        <v>#DIV/0!</v>
      </c>
      <c r="H10" s="24"/>
    </row>
    <row r="11" spans="1:9" ht="15" customHeight="1" x14ac:dyDescent="0.25">
      <c r="A11" s="18"/>
      <c r="B11" s="21" t="s">
        <v>122</v>
      </c>
      <c r="C11" s="22"/>
      <c r="D11" s="21"/>
      <c r="E11" s="21"/>
      <c r="F11" s="23">
        <f t="shared" si="0"/>
        <v>0</v>
      </c>
      <c r="G11" s="23" t="e">
        <f t="shared" si="1"/>
        <v>#DIV/0!</v>
      </c>
      <c r="H11" s="24"/>
    </row>
    <row r="12" spans="1:9" ht="15" customHeight="1" x14ac:dyDescent="0.25">
      <c r="A12" s="18"/>
      <c r="B12" s="26" t="s">
        <v>123</v>
      </c>
      <c r="C12" s="21"/>
      <c r="D12" s="21"/>
      <c r="E12" s="21"/>
      <c r="F12" s="21"/>
      <c r="G12" s="27" t="e">
        <f>AVERAGE(G5:G11)</f>
        <v>#DIV/0!</v>
      </c>
      <c r="H12" s="21"/>
    </row>
    <row r="13" spans="1:9" ht="15" customHeight="1" x14ac:dyDescent="0.25">
      <c r="B13" s="26" t="s">
        <v>124</v>
      </c>
      <c r="C13" s="21"/>
      <c r="D13" s="21"/>
      <c r="E13" s="21"/>
      <c r="F13" s="28"/>
      <c r="G13" s="26"/>
      <c r="H13" s="26"/>
      <c r="I13" s="20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G16" sqref="G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2025-09-11T13:01:08Z</cp:lastPrinted>
  <dcterms:created xsi:type="dcterms:W3CDTF">2019-07-16T09:29:46Z</dcterms:created>
  <dcterms:modified xsi:type="dcterms:W3CDTF">2025-09-11T13:06:00Z</dcterms:modified>
</cp:coreProperties>
</file>