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DUMP\"/>
    </mc:Choice>
  </mc:AlternateContent>
  <xr:revisionPtr revIDLastSave="0" documentId="13_ncr:1_{B16836E7-3E1B-438D-B5FB-52EA71323642}" xr6:coauthVersionLast="36" xr6:coauthVersionMax="47" xr10:uidLastSave="{00000000-0000-0000-0000-000000000000}"/>
  <bookViews>
    <workbookView xWindow="0" yWindow="0" windowWidth="20490" windowHeight="6825" tabRatio="725" xr2:uid="{00000000-000D-0000-FFFF-FFFF00000000}"/>
  </bookViews>
  <sheets>
    <sheet name="Report" sheetId="1" r:id="rId1"/>
    <sheet name="Cost Sheet" sheetId="6" r:id="rId2"/>
    <sheet name="valuation" sheetId="5" r:id="rId3"/>
    <sheet name="Note &amp; OV Report" sheetId="4" r:id="rId4"/>
  </sheets>
  <definedNames>
    <definedName name="_xlnm.Print_Area" localSheetId="0">Report!$A$1:$H$418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4" i="1" l="1"/>
  <c r="G48" i="1" l="1"/>
  <c r="J88" i="1" l="1"/>
  <c r="J87" i="1"/>
  <c r="J86" i="1"/>
  <c r="J85" i="1"/>
  <c r="G182" i="1" l="1"/>
  <c r="G183" i="1" s="1"/>
  <c r="G184" i="1" s="1"/>
  <c r="G178" i="1"/>
  <c r="G179" i="1" s="1"/>
  <c r="G180" i="1" s="1"/>
  <c r="G174" i="1"/>
  <c r="G175" i="1" s="1"/>
  <c r="G176" i="1" s="1"/>
  <c r="G170" i="1"/>
  <c r="G171" i="1" s="1"/>
  <c r="G172" i="1" s="1"/>
  <c r="G166" i="1"/>
  <c r="G167" i="1" s="1"/>
  <c r="G168" i="1" s="1"/>
  <c r="G162" i="1"/>
  <c r="G163" i="1" s="1"/>
  <c r="G164" i="1" s="1"/>
  <c r="D184" i="1"/>
  <c r="F184" i="1" s="1"/>
  <c r="D183" i="1"/>
  <c r="F183" i="1" s="1"/>
  <c r="D182" i="1"/>
  <c r="F182" i="1" s="1"/>
  <c r="P182" i="1"/>
  <c r="P183" i="1" s="1"/>
  <c r="P184" i="1" s="1"/>
  <c r="D180" i="1"/>
  <c r="F180" i="1" s="1"/>
  <c r="D179" i="1"/>
  <c r="F179" i="1" s="1"/>
  <c r="D178" i="1"/>
  <c r="F178" i="1" s="1"/>
  <c r="P178" i="1"/>
  <c r="P179" i="1" s="1"/>
  <c r="P180" i="1" s="1"/>
  <c r="D176" i="1"/>
  <c r="F176" i="1" s="1"/>
  <c r="D175" i="1"/>
  <c r="F175" i="1" s="1"/>
  <c r="D174" i="1"/>
  <c r="F174" i="1" s="1"/>
  <c r="P174" i="1"/>
  <c r="P175" i="1" s="1"/>
  <c r="P176" i="1" s="1"/>
  <c r="D172" i="1"/>
  <c r="F172" i="1" s="1"/>
  <c r="D171" i="1"/>
  <c r="F171" i="1" s="1"/>
  <c r="D170" i="1"/>
  <c r="F170" i="1" s="1"/>
  <c r="P170" i="1"/>
  <c r="P171" i="1" s="1"/>
  <c r="P172" i="1" s="1"/>
  <c r="D168" i="1"/>
  <c r="F168" i="1" s="1"/>
  <c r="D167" i="1"/>
  <c r="F167" i="1" s="1"/>
  <c r="D166" i="1"/>
  <c r="F166" i="1" s="1"/>
  <c r="P166" i="1"/>
  <c r="P167" i="1" s="1"/>
  <c r="P168" i="1" s="1"/>
  <c r="D164" i="1"/>
  <c r="F164" i="1" s="1"/>
  <c r="D163" i="1"/>
  <c r="F163" i="1" s="1"/>
  <c r="D162" i="1"/>
  <c r="F162" i="1" s="1"/>
  <c r="P162" i="1"/>
  <c r="P163" i="1" s="1"/>
  <c r="P164" i="1" s="1"/>
  <c r="G160" i="1"/>
  <c r="D160" i="1"/>
  <c r="J209" i="1"/>
  <c r="D157" i="1"/>
  <c r="F157" i="1" s="1"/>
  <c r="D156" i="1"/>
  <c r="F156" i="1" s="1"/>
  <c r="D155" i="1"/>
  <c r="F155" i="1" s="1"/>
  <c r="D220" i="1"/>
  <c r="F220" i="1" s="1"/>
  <c r="D219" i="1"/>
  <c r="F219" i="1" s="1"/>
  <c r="D218" i="1"/>
  <c r="F218" i="1" s="1"/>
  <c r="G217" i="1"/>
  <c r="G218" i="1" s="1"/>
  <c r="G219" i="1" s="1"/>
  <c r="G220" i="1" s="1"/>
  <c r="G155" i="1" s="1"/>
  <c r="G156" i="1" s="1"/>
  <c r="G157" i="1" s="1"/>
  <c r="D217" i="1"/>
  <c r="F217" i="1" s="1"/>
  <c r="D153" i="1"/>
  <c r="F153" i="1" s="1"/>
  <c r="D152" i="1"/>
  <c r="F152" i="1" s="1"/>
  <c r="D151" i="1"/>
  <c r="D215" i="1"/>
  <c r="F215" i="1" s="1"/>
  <c r="D214" i="1"/>
  <c r="F214" i="1" s="1"/>
  <c r="D213" i="1"/>
  <c r="F213" i="1" s="1"/>
  <c r="G212" i="1"/>
  <c r="G213" i="1" s="1"/>
  <c r="G214" i="1" s="1"/>
  <c r="G215" i="1" s="1"/>
  <c r="G151" i="1" s="1"/>
  <c r="G152" i="1" s="1"/>
  <c r="G153" i="1" s="1"/>
  <c r="D212" i="1"/>
  <c r="F212" i="1" s="1"/>
  <c r="P217" i="1"/>
  <c r="O217" i="1"/>
  <c r="O212" i="1"/>
  <c r="P212" i="1"/>
  <c r="F151" i="1" l="1"/>
  <c r="G112" i="1" s="1"/>
  <c r="C112" i="1"/>
  <c r="E112" i="1"/>
  <c r="F160" i="1"/>
  <c r="G110" i="1" s="1"/>
  <c r="C110" i="1"/>
  <c r="E110" i="1"/>
  <c r="P218" i="1"/>
  <c r="P219" i="1" s="1"/>
  <c r="P220" i="1" s="1"/>
  <c r="P155" i="1" s="1"/>
  <c r="P156" i="1" s="1"/>
  <c r="P157" i="1" s="1"/>
  <c r="O218" i="1"/>
  <c r="N217" i="1"/>
  <c r="N212" i="1"/>
  <c r="O213" i="1"/>
  <c r="P213" i="1"/>
  <c r="P214" i="1" s="1"/>
  <c r="P215" i="1" s="1"/>
  <c r="P151" i="1" s="1"/>
  <c r="P152" i="1" s="1"/>
  <c r="P153" i="1" s="1"/>
  <c r="C47" i="1"/>
  <c r="G47" i="1"/>
  <c r="E41" i="1"/>
  <c r="E42" i="1" s="1"/>
  <c r="D149" i="1"/>
  <c r="F149" i="1" s="1"/>
  <c r="D148" i="1"/>
  <c r="F148" i="1" s="1"/>
  <c r="D147" i="1"/>
  <c r="F147" i="1" s="1"/>
  <c r="D210" i="1"/>
  <c r="F210" i="1" s="1"/>
  <c r="D209" i="1"/>
  <c r="F209" i="1" s="1"/>
  <c r="D208" i="1"/>
  <c r="F208" i="1" s="1"/>
  <c r="G207" i="1"/>
  <c r="G208" i="1" s="1"/>
  <c r="G209" i="1" s="1"/>
  <c r="G210" i="1" s="1"/>
  <c r="G147" i="1" s="1"/>
  <c r="G148" i="1" s="1"/>
  <c r="G149" i="1" s="1"/>
  <c r="D207" i="1"/>
  <c r="F207" i="1" s="1"/>
  <c r="D145" i="1"/>
  <c r="F145" i="1" s="1"/>
  <c r="D144" i="1"/>
  <c r="F144" i="1" s="1"/>
  <c r="D143" i="1"/>
  <c r="F143" i="1" s="1"/>
  <c r="D205" i="1"/>
  <c r="F205" i="1" s="1"/>
  <c r="D204" i="1"/>
  <c r="F204" i="1" s="1"/>
  <c r="D203" i="1"/>
  <c r="F203" i="1" s="1"/>
  <c r="G202" i="1"/>
  <c r="G203" i="1" s="1"/>
  <c r="G204" i="1" s="1"/>
  <c r="G205" i="1" s="1"/>
  <c r="G143" i="1" s="1"/>
  <c r="G144" i="1" s="1"/>
  <c r="G145" i="1" s="1"/>
  <c r="D202" i="1"/>
  <c r="F202" i="1" s="1"/>
  <c r="D200" i="1"/>
  <c r="F200" i="1" s="1"/>
  <c r="D197" i="1"/>
  <c r="F197" i="1" s="1"/>
  <c r="D195" i="1"/>
  <c r="D192" i="1"/>
  <c r="D141" i="1"/>
  <c r="F141" i="1" s="1"/>
  <c r="D140" i="1"/>
  <c r="F140" i="1" s="1"/>
  <c r="J140" i="1" s="1"/>
  <c r="D139" i="1"/>
  <c r="F139" i="1" s="1"/>
  <c r="D199" i="1"/>
  <c r="F199" i="1" s="1"/>
  <c r="D198" i="1"/>
  <c r="F198" i="1" s="1"/>
  <c r="G197" i="1"/>
  <c r="G198" i="1" s="1"/>
  <c r="G199" i="1" s="1"/>
  <c r="G200" i="1" s="1"/>
  <c r="G139" i="1" s="1"/>
  <c r="G140" i="1" s="1"/>
  <c r="G141" i="1" s="1"/>
  <c r="D193" i="1"/>
  <c r="D194" i="1"/>
  <c r="D137" i="1"/>
  <c r="F137" i="1" s="1"/>
  <c r="J137" i="1" s="1"/>
  <c r="D136" i="1"/>
  <c r="D135" i="1"/>
  <c r="D133" i="1"/>
  <c r="D190" i="1"/>
  <c r="D189" i="1"/>
  <c r="D188" i="1"/>
  <c r="D187" i="1"/>
  <c r="E125" i="1"/>
  <c r="D125" i="1"/>
  <c r="D124" i="1"/>
  <c r="E126" i="1"/>
  <c r="D126" i="1"/>
  <c r="E127" i="1"/>
  <c r="D127" i="1"/>
  <c r="E124" i="1"/>
  <c r="E123" i="1"/>
  <c r="D123" i="1"/>
  <c r="E122" i="1"/>
  <c r="D122" i="1"/>
  <c r="E121" i="1"/>
  <c r="D121" i="1"/>
  <c r="E120" i="1"/>
  <c r="D120" i="1"/>
  <c r="P197" i="1"/>
  <c r="P207" i="1"/>
  <c r="O197" i="1"/>
  <c r="P202" i="1"/>
  <c r="O202" i="1"/>
  <c r="O207" i="1"/>
  <c r="E109" i="1" l="1"/>
  <c r="C109" i="1"/>
  <c r="E111" i="1"/>
  <c r="C111" i="1"/>
  <c r="C106" i="1"/>
  <c r="E106" i="1"/>
  <c r="F127" i="1"/>
  <c r="O219" i="1"/>
  <c r="N218" i="1"/>
  <c r="N213" i="1"/>
  <c r="O214" i="1"/>
  <c r="N207" i="1"/>
  <c r="O208" i="1"/>
  <c r="P208" i="1"/>
  <c r="P209" i="1" s="1"/>
  <c r="P210" i="1" s="1"/>
  <c r="P147" i="1" s="1"/>
  <c r="P148" i="1" s="1"/>
  <c r="P149" i="1" s="1"/>
  <c r="P203" i="1"/>
  <c r="P204" i="1" s="1"/>
  <c r="P205" i="1" s="1"/>
  <c r="P143" i="1" s="1"/>
  <c r="P144" i="1" s="1"/>
  <c r="P145" i="1" s="1"/>
  <c r="N202" i="1"/>
  <c r="O203" i="1"/>
  <c r="N197" i="1"/>
  <c r="O198" i="1"/>
  <c r="P198" i="1"/>
  <c r="P199" i="1" s="1"/>
  <c r="P200" i="1" s="1"/>
  <c r="P139" i="1" s="1"/>
  <c r="P140" i="1" s="1"/>
  <c r="P141" i="1" s="1"/>
  <c r="E3" i="1"/>
  <c r="E113" i="1" l="1"/>
  <c r="C113" i="1"/>
  <c r="J110" i="1"/>
  <c r="O182" i="1"/>
  <c r="O178" i="1"/>
  <c r="O162" i="1"/>
  <c r="O166" i="1"/>
  <c r="O170" i="1"/>
  <c r="O174" i="1"/>
  <c r="N219" i="1"/>
  <c r="O220" i="1"/>
  <c r="N214" i="1"/>
  <c r="O215" i="1"/>
  <c r="N208" i="1"/>
  <c r="O209" i="1"/>
  <c r="O204" i="1"/>
  <c r="N203" i="1"/>
  <c r="N198" i="1"/>
  <c r="O199" i="1"/>
  <c r="F193" i="1"/>
  <c r="F194" i="1"/>
  <c r="F195" i="1"/>
  <c r="F136" i="1"/>
  <c r="J136" i="1" s="1"/>
  <c r="F135" i="1"/>
  <c r="J135" i="1" s="1"/>
  <c r="F192" i="1"/>
  <c r="F133" i="1"/>
  <c r="F190" i="1"/>
  <c r="J190" i="1" s="1"/>
  <c r="F189" i="1"/>
  <c r="J189" i="1" s="1"/>
  <c r="F188" i="1"/>
  <c r="J188" i="1" s="1"/>
  <c r="F187" i="1"/>
  <c r="J187" i="1" s="1"/>
  <c r="F121" i="1"/>
  <c r="F122" i="1"/>
  <c r="F123" i="1"/>
  <c r="F124" i="1"/>
  <c r="F125" i="1"/>
  <c r="F126" i="1"/>
  <c r="F120" i="1"/>
  <c r="O192" i="1"/>
  <c r="P192" i="1"/>
  <c r="G111" i="1" l="1"/>
  <c r="G109" i="1"/>
  <c r="G113" i="1" s="1"/>
  <c r="N182" i="1"/>
  <c r="O183" i="1"/>
  <c r="N174" i="1"/>
  <c r="O175" i="1"/>
  <c r="N166" i="1"/>
  <c r="O167" i="1"/>
  <c r="N178" i="1"/>
  <c r="O179" i="1"/>
  <c r="N170" i="1"/>
  <c r="O171" i="1"/>
  <c r="N162" i="1"/>
  <c r="O163" i="1"/>
  <c r="G106" i="1"/>
  <c r="N220" i="1"/>
  <c r="O155" i="1"/>
  <c r="N215" i="1"/>
  <c r="O151" i="1"/>
  <c r="N209" i="1"/>
  <c r="O210" i="1"/>
  <c r="N204" i="1"/>
  <c r="O205" i="1"/>
  <c r="N199" i="1"/>
  <c r="O200" i="1"/>
  <c r="B225" i="1"/>
  <c r="B224" i="1"/>
  <c r="N171" i="1" l="1"/>
  <c r="O172" i="1"/>
  <c r="N172" i="1" s="1"/>
  <c r="N163" i="1"/>
  <c r="O164" i="1"/>
  <c r="N164" i="1" s="1"/>
  <c r="N179" i="1"/>
  <c r="O180" i="1"/>
  <c r="N180" i="1" s="1"/>
  <c r="N175" i="1"/>
  <c r="O176" i="1"/>
  <c r="N176" i="1" s="1"/>
  <c r="N167" i="1"/>
  <c r="O168" i="1"/>
  <c r="N168" i="1" s="1"/>
  <c r="N183" i="1"/>
  <c r="O184" i="1"/>
  <c r="N184" i="1" s="1"/>
  <c r="N155" i="1"/>
  <c r="O156" i="1"/>
  <c r="N151" i="1"/>
  <c r="O152" i="1"/>
  <c r="N210" i="1"/>
  <c r="O147" i="1"/>
  <c r="O143" i="1"/>
  <c r="N205" i="1"/>
  <c r="N200" i="1"/>
  <c r="O139" i="1"/>
  <c r="F11" i="5"/>
  <c r="G11" i="5" s="1"/>
  <c r="F10" i="5"/>
  <c r="G10" i="5" s="1"/>
  <c r="F9" i="5"/>
  <c r="G9" i="5" s="1"/>
  <c r="F8" i="5"/>
  <c r="G8" i="5" s="1"/>
  <c r="F7" i="5"/>
  <c r="G7" i="5" s="1"/>
  <c r="F6" i="5"/>
  <c r="G6" i="5" s="1"/>
  <c r="F5" i="5"/>
  <c r="G5" i="5" s="1"/>
  <c r="G12" i="5" s="1"/>
  <c r="D259" i="1"/>
  <c r="G192" i="1"/>
  <c r="G193" i="1" s="1"/>
  <c r="G194" i="1" s="1"/>
  <c r="G195" i="1" s="1"/>
  <c r="G135" i="1" s="1"/>
  <c r="G136" i="1" s="1"/>
  <c r="G137" i="1" s="1"/>
  <c r="G187" i="1"/>
  <c r="G188" i="1" s="1"/>
  <c r="G189" i="1" s="1"/>
  <c r="G190" i="1" s="1"/>
  <c r="G133" i="1" s="1"/>
  <c r="A188" i="1"/>
  <c r="A189" i="1" s="1"/>
  <c r="A190" i="1" s="1"/>
  <c r="A133" i="1" s="1"/>
  <c r="A121" i="1"/>
  <c r="A122" i="1" s="1"/>
  <c r="A123" i="1" s="1"/>
  <c r="A124" i="1" s="1"/>
  <c r="A125" i="1" s="1"/>
  <c r="A126" i="1" s="1"/>
  <c r="A127" i="1" s="1"/>
  <c r="G120" i="1"/>
  <c r="G121" i="1" s="1"/>
  <c r="G122" i="1" s="1"/>
  <c r="G123" i="1" s="1"/>
  <c r="G124" i="1" s="1"/>
  <c r="G125" i="1" s="1"/>
  <c r="G126" i="1" s="1"/>
  <c r="G127" i="1" s="1"/>
  <c r="F103" i="1"/>
  <c r="J74" i="1"/>
  <c r="J73" i="1"/>
  <c r="J72" i="1"/>
  <c r="J71" i="1"/>
  <c r="D57" i="1"/>
  <c r="D52" i="1"/>
  <c r="E25" i="1"/>
  <c r="E23" i="1"/>
  <c r="C14" i="1"/>
  <c r="E7" i="1"/>
  <c r="H64" i="1"/>
  <c r="N156" i="1" l="1"/>
  <c r="O157" i="1"/>
  <c r="N152" i="1"/>
  <c r="O153" i="1"/>
  <c r="N147" i="1"/>
  <c r="O148" i="1"/>
  <c r="N143" i="1"/>
  <c r="O144" i="1"/>
  <c r="N139" i="1"/>
  <c r="O140" i="1"/>
  <c r="J67" i="1"/>
  <c r="D76" i="1"/>
  <c r="D74" i="1"/>
  <c r="D72" i="1"/>
  <c r="D70" i="1"/>
  <c r="J68" i="1"/>
  <c r="C67" i="1" s="1"/>
  <c r="D67" i="1" s="1"/>
  <c r="J66" i="1"/>
  <c r="J69" i="1"/>
  <c r="J70" i="1" s="1"/>
  <c r="J75" i="1" s="1"/>
  <c r="J76" i="1" s="1"/>
  <c r="C68" i="1" s="1"/>
  <c r="D75" i="1"/>
  <c r="D71" i="1"/>
  <c r="D73" i="1"/>
  <c r="D69" i="1"/>
  <c r="N192" i="1"/>
  <c r="O193" i="1"/>
  <c r="P193" i="1"/>
  <c r="P194" i="1" s="1"/>
  <c r="P195" i="1" s="1"/>
  <c r="P135" i="1" s="1"/>
  <c r="P136" i="1" s="1"/>
  <c r="P137" i="1" s="1"/>
  <c r="H78" i="1"/>
  <c r="J83" i="1" l="1"/>
  <c r="J84" i="1" s="1"/>
  <c r="J89" i="1" s="1"/>
  <c r="J90" i="1" s="1"/>
  <c r="C82" i="1" s="1"/>
  <c r="D87" i="1"/>
  <c r="D83" i="1"/>
  <c r="J82" i="1"/>
  <c r="C81" i="1" s="1"/>
  <c r="D81" i="1" s="1"/>
  <c r="J80" i="1"/>
  <c r="D90" i="1"/>
  <c r="D86" i="1"/>
  <c r="D89" i="1"/>
  <c r="D85" i="1"/>
  <c r="J81" i="1"/>
  <c r="D88" i="1"/>
  <c r="D84" i="1"/>
  <c r="N157" i="1"/>
  <c r="N153" i="1"/>
  <c r="N148" i="1"/>
  <c r="O149" i="1"/>
  <c r="O145" i="1"/>
  <c r="N144" i="1"/>
  <c r="N140" i="1"/>
  <c r="O141" i="1"/>
  <c r="E67" i="1"/>
  <c r="I63" i="1" s="1"/>
  <c r="D68" i="1"/>
  <c r="N193" i="1"/>
  <c r="O194" i="1"/>
  <c r="G67" i="1"/>
  <c r="D61" i="1" s="1"/>
  <c r="E81" i="1" l="1"/>
  <c r="I77" i="1" s="1"/>
  <c r="C79" i="1" s="1"/>
  <c r="D82" i="1"/>
  <c r="G81" i="1"/>
  <c r="N149" i="1"/>
  <c r="N145" i="1"/>
  <c r="N141" i="1"/>
  <c r="C65" i="1"/>
  <c r="F62" i="1"/>
  <c r="D62" i="1"/>
  <c r="N194" i="1"/>
  <c r="O195" i="1"/>
  <c r="N195" i="1" l="1"/>
  <c r="O135" i="1"/>
  <c r="N135" i="1" l="1"/>
  <c r="O136" i="1"/>
  <c r="N136" i="1" l="1"/>
  <c r="O137" i="1"/>
  <c r="N137" i="1" l="1"/>
</calcChain>
</file>

<file path=xl/sharedStrings.xml><?xml version="1.0" encoding="utf-8"?>
<sst xmlns="http://schemas.openxmlformats.org/spreadsheetml/2006/main" count="471" uniqueCount="267">
  <si>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</si>
  <si>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</si>
  <si>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</si>
  <si>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</si>
  <si>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</si>
  <si>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</si>
  <si>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</si>
  <si>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</si>
  <si>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</si>
  <si>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</si>
  <si>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</si>
  <si>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</si>
  <si>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</si>
  <si>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</si>
  <si>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</si>
  <si>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</si>
  <si>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</si>
  <si>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</si>
  <si>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</si>
  <si>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</si>
  <si>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</si>
  <si>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</si>
  <si>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</si>
  <si>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</si>
  <si>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</si>
  <si>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</si>
  <si>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</si>
  <si>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</si>
  <si>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</si>
  <si>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</si>
  <si>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</si>
  <si>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</si>
  <si>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</si>
  <si>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</si>
  <si>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</si>
  <si>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</si>
  <si>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</si>
  <si>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</si>
  <si>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</si>
  <si>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</si>
  <si>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</si>
  <si>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</si>
  <si>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</si>
  <si>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</si>
  <si>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</si>
  <si>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</si>
  <si>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</si>
  <si>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</si>
  <si>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</si>
  <si>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</si>
  <si>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</si>
  <si>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</si>
  <si>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</si>
  <si>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</si>
  <si>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</si>
  <si>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</si>
  <si>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</si>
  <si>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</si>
  <si>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</si>
  <si>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</si>
  <si>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</si>
  <si>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</si>
  <si>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</si>
  <si>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</si>
  <si>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</si>
  <si>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</si>
  <si>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</si>
  <si>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</si>
  <si>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</si>
  <si>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</si>
  <si>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</si>
  <si>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</si>
  <si>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</si>
  <si>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</si>
  <si>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</si>
  <si>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</si>
  <si>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</si>
  <si>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</si>
  <si>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</si>
  <si>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</si>
  <si>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</si>
  <si>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</si>
  <si>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</si>
  <si>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</si>
  <si>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</si>
  <si>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</si>
  <si>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</si>
  <si>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</si>
  <si>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</si>
  <si>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</si>
  <si>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</si>
  <si>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</si>
  <si>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</si>
  <si>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</si>
  <si>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</si>
  <si>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</si>
  <si>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</si>
  <si>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</si>
  <si>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</si>
  <si>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</si>
  <si>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</si>
  <si>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</si>
  <si>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</si>
  <si>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</si>
  <si>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</si>
  <si>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</si>
  <si>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</si>
  <si>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</si>
  <si>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</si>
  <si>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</si>
  <si>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</si>
  <si>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</si>
  <si>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</si>
  <si>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</si>
  <si>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</si>
  <si>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</si>
  <si>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</si>
  <si>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</si>
  <si>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</si>
  <si>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</si>
  <si>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</si>
  <si>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</si>
  <si>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</si>
  <si>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</si>
  <si>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</si>
  <si>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</si>
  <si>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</si>
  <si>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</si>
  <si>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</si>
  <si>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</si>
  <si>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</si>
  <si>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</si>
  <si>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</si>
  <si>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</si>
  <si>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</si>
  <si>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</si>
  <si>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</si>
  <si>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</si>
  <si>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</si>
  <si>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</si>
  <si>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</si>
  <si>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</si>
  <si>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</si>
  <si>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</si>
  <si>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</si>
  <si>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</si>
  <si>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</si>
  <si>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</si>
  <si>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</si>
  <si>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</si>
  <si>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</si>
  <si>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</si>
  <si>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</si>
  <si>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</si>
  <si>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</si>
  <si>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</si>
  <si>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</si>
  <si>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</si>
  <si>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</si>
  <si>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</si>
  <si>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</si>
  <si>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</si>
  <si>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</si>
  <si>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</si>
  <si>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Vitrified tiles flooring, Kitchen Platform, Decorative</t>
  </si>
  <si>
    <t xml:space="preserve">Violations Observed if any : </t>
  </si>
  <si>
    <t>Saleable area Loading :</t>
  </si>
  <si>
    <t>Axis Sanpada</t>
  </si>
  <si>
    <t>P51700012995</t>
  </si>
  <si>
    <t>Shanti Luxuria</t>
  </si>
  <si>
    <t>Padle</t>
  </si>
  <si>
    <t xml:space="preserve">Survey No </t>
  </si>
  <si>
    <t>58 &amp; Hissa No 2</t>
  </si>
  <si>
    <t>Thane</t>
  </si>
  <si>
    <t>Diva</t>
  </si>
  <si>
    <t>A, B &amp; C Wing</t>
  </si>
  <si>
    <t>6.9 KM from Diva Junction Railway Station</t>
  </si>
  <si>
    <t>Bhoomi Lawns</t>
  </si>
  <si>
    <t>Internal Road</t>
  </si>
  <si>
    <t>Residential + Commercial</t>
  </si>
  <si>
    <t>50/-</t>
  </si>
  <si>
    <t>9000/-</t>
  </si>
  <si>
    <t>Kalyan Shill Road</t>
  </si>
  <si>
    <t>S11/0098/14Revised/TMC/TDD/3216/19</t>
  </si>
  <si>
    <t>3 Wings</t>
  </si>
  <si>
    <t>Location Link</t>
  </si>
  <si>
    <t>https://goo.gl/maps/JnNEchtBSjLQRPLE8?coh=178572&amp;entry=tt</t>
  </si>
  <si>
    <t>Clinic</t>
  </si>
  <si>
    <t>Deispensary</t>
  </si>
  <si>
    <t>Office</t>
  </si>
  <si>
    <t>1BHK</t>
  </si>
  <si>
    <t>2BHK</t>
  </si>
  <si>
    <t>1.5BHK</t>
  </si>
  <si>
    <t>1st Floor For Residential,  Swimming pool &amp; Fitness Center</t>
  </si>
  <si>
    <t>2nd to 7th &amp; 9th Floor</t>
  </si>
  <si>
    <t>8th Floor (Part Refuge Area)</t>
  </si>
  <si>
    <t>10th Floor (Part Refuge Area)</t>
  </si>
  <si>
    <t>M/s.RDP Realtores</t>
  </si>
  <si>
    <t>A, B &amp; C Wing = G + 1st to 30th Floor</t>
  </si>
  <si>
    <t>S11/0098/14TMC/TD-DP/4350/23</t>
  </si>
  <si>
    <t>Valid Up to:  Building A = G + 1st to 30th Floor</t>
  </si>
  <si>
    <t>Building A (A, B &amp; C Wing)</t>
  </si>
  <si>
    <t>Approved Plan &amp; CC</t>
  </si>
  <si>
    <t>11th to 28th Floor</t>
  </si>
  <si>
    <t>29th Floor</t>
  </si>
  <si>
    <t>Mhada</t>
  </si>
  <si>
    <t>Sale</t>
  </si>
  <si>
    <t>30th Floor</t>
  </si>
  <si>
    <t>Building A Mhada</t>
  </si>
  <si>
    <t>Sale Flats = 267, Mhada Flats = 19</t>
  </si>
  <si>
    <t>A Wing</t>
  </si>
  <si>
    <t>B Wing</t>
  </si>
  <si>
    <t>C Wing</t>
  </si>
  <si>
    <t>On Site, we meet Mr. Omkar - 9833796336.</t>
  </si>
  <si>
    <t>Wings</t>
  </si>
  <si>
    <t>Flat No As per approved plan</t>
  </si>
  <si>
    <t>Flat No As per sale plan</t>
  </si>
  <si>
    <t>A wing</t>
  </si>
  <si>
    <t>Flat No. 5</t>
  </si>
  <si>
    <t>Flat No.1</t>
  </si>
  <si>
    <t>Flat No. 6</t>
  </si>
  <si>
    <t>Flat No. 7</t>
  </si>
  <si>
    <t>Flat No.2</t>
  </si>
  <si>
    <t>Flat No.3</t>
  </si>
  <si>
    <t>B wing</t>
  </si>
  <si>
    <t>Flat No. 8</t>
  </si>
  <si>
    <t>Flat No. 9</t>
  </si>
  <si>
    <t>Flat No. 10</t>
  </si>
  <si>
    <t>C wing</t>
  </si>
  <si>
    <t>Flat No. 1</t>
  </si>
  <si>
    <t>Flat No. 2</t>
  </si>
  <si>
    <t>Flat No. 3</t>
  </si>
  <si>
    <t>Flat No. 4</t>
  </si>
  <si>
    <t>Flat No.4</t>
  </si>
  <si>
    <t>*</t>
  </si>
  <si>
    <t>We considered Gross carpet area = Net carpet + Enclose balcony + E.P Area.</t>
  </si>
  <si>
    <t xml:space="preserve">We have updated revised approved floor plan &amp; C.C (on 25/07/2023).
</t>
  </si>
  <si>
    <t xml:space="preserve"> A Wing Sale</t>
  </si>
  <si>
    <t>B Wing Sale</t>
  </si>
  <si>
    <t>C Wing Sale</t>
  </si>
  <si>
    <t>Total</t>
  </si>
  <si>
    <t>As per Approved Floor plan, 25 units are allotted to Mhada, out of which only 19 units are mentioned on the 29th and 30th Floor on approved plan and the remaining units, which should be considered Mhada or sale, are not mentioned on any other floors in the approved floor plan.</t>
  </si>
  <si>
    <t>Layout Plan</t>
  </si>
  <si>
    <t>Clerification Email &amp; Sale Plan</t>
  </si>
  <si>
    <t>3,00,000/-</t>
  </si>
  <si>
    <t>5500 to 6250</t>
  </si>
  <si>
    <t xml:space="preserve">&amp; 3L </t>
  </si>
  <si>
    <t>smith</t>
  </si>
  <si>
    <t>verbal</t>
  </si>
  <si>
    <t xml:space="preserve">Office No. 1031, Wing J, Akshar Business Park, Plot No. 03 Sector 25, Near APMC Market,
Vashi, Navi Mumbai, Maharashtra 400703 TEL: 022-46090378/79/80                                                                                                                                                    E mail : vsjcapf@gmail.com. Web site : www.vsjadon.com </t>
  </si>
  <si>
    <t>Site Meet Person Contact Details ( Name &amp; Contact No.)</t>
  </si>
  <si>
    <t>Advance Maintenance + Possession Charges</t>
  </si>
  <si>
    <t>2,00,000/-</t>
  </si>
  <si>
    <t>6350 to 6600&amp; OC</t>
  </si>
  <si>
    <t>sanjay</t>
  </si>
  <si>
    <t>6600 to 7000 Rushikesh</t>
  </si>
  <si>
    <t>Cost sheet</t>
  </si>
  <si>
    <t>Recommended Rates/Other Charges of the Property have been revised on 26/07/2023, 28/02/2024 &amp; 21/08/2024.</t>
  </si>
  <si>
    <t>Mr. Sayad 9653373603</t>
  </si>
  <si>
    <t>As per RERA - 31/12/2025</t>
  </si>
  <si>
    <t>A, B &amp; C Wing = G + 1st to 31st Floor</t>
  </si>
  <si>
    <t>B &amp; C Wing = G + 1st to 31st Floor</t>
  </si>
  <si>
    <t>Wing A, B &amp; C = G + 1st to 31st Floor</t>
  </si>
  <si>
    <t>As the construction work goes beyond the CC permission And Approved no of floors Please provide revised approved plans &amp; CC.</t>
  </si>
  <si>
    <t>Construction work is in process at the time of Visit. (Slow Speed)</t>
  </si>
  <si>
    <t>Gaurav Panchal</t>
  </si>
  <si>
    <t>Gangaram Parshuram Lambore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</si>
</sst>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color theme="1"/>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19" fillId="0" borderId="0"/>
    <xf numFmtId="9" fontId="20" fillId="0" borderId="0" applyFont="0" applyFill="0" applyBorder="0" applyAlignment="0" applyProtection="0"/>
    <xf numFmtId="0" fontId="24" fillId="0" borderId="0" applyNumberFormat="0" applyFill="0" applyBorder="0" applyAlignment="0" applyProtection="0"/>
  </cellStyleXfs>
  <cellXfs count="16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7"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8" xfId="8" applyFont="1" applyFill="1" applyBorder="1" applyAlignment="1" applyProtection="1">
      <alignment horizontal="center" vertical="top" wrapText="1"/>
      <protection locked="0"/>
    </xf>
    <xf numFmtId="0" fontId="7" fillId="0" borderId="10" xfId="1" applyFont="1" applyBorder="1" applyProtection="1">
      <protection hidden="1"/>
    </xf>
    <xf numFmtId="0" fontId="7" fillId="0" borderId="0" xfId="1" applyFont="1" applyProtection="1">
      <protection hidden="1"/>
    </xf>
    <xf numFmtId="0" fontId="7" fillId="0" borderId="3"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0" fontId="16" fillId="0" borderId="0" xfId="0" applyFont="1" applyProtection="1">
      <protection hidden="1"/>
    </xf>
    <xf numFmtId="0" fontId="16" fillId="0" borderId="13" xfId="0" applyFont="1" applyBorder="1" applyProtection="1">
      <protection hidden="1"/>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left" vertical="top"/>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1" fontId="7" fillId="0" borderId="0" xfId="1" applyNumberFormat="1" applyFont="1"/>
    <xf numFmtId="14" fontId="7" fillId="0" borderId="0" xfId="1" applyNumberFormat="1" applyFont="1"/>
    <xf numFmtId="0" fontId="22" fillId="0" borderId="0" xfId="1" applyFont="1"/>
    <xf numFmtId="0" fontId="7" fillId="0" borderId="11" xfId="1" applyFont="1" applyBorder="1" applyProtection="1">
      <protection hidden="1"/>
    </xf>
    <xf numFmtId="0" fontId="7" fillId="0" borderId="12" xfId="1" applyFont="1" applyBorder="1" applyProtection="1">
      <protection hidden="1"/>
    </xf>
    <xf numFmtId="0" fontId="7" fillId="0" borderId="12" xfId="1" applyFont="1" applyBorder="1"/>
    <xf numFmtId="0" fontId="7" fillId="0" borderId="1" xfId="1" applyFont="1" applyBorder="1" applyAlignment="1" applyProtection="1">
      <alignment horizontal="center" wrapText="1"/>
      <protection locked="0"/>
    </xf>
    <xf numFmtId="9" fontId="7" fillId="0" borderId="1" xfId="1" applyNumberFormat="1" applyFont="1" applyBorder="1" applyAlignment="1" applyProtection="1">
      <alignment horizontal="center" vertical="center" wrapText="1"/>
      <protection hidden="1"/>
    </xf>
    <xf numFmtId="0" fontId="16" fillId="0" borderId="12" xfId="0" applyFont="1" applyBorder="1" applyProtection="1">
      <protection hidden="1"/>
    </xf>
    <xf numFmtId="1" fontId="7" fillId="0" borderId="1" xfId="1" applyNumberFormat="1" applyFont="1" applyBorder="1" applyAlignment="1" applyProtection="1">
      <alignment horizontal="center" wrapText="1"/>
      <protection locked="0"/>
    </xf>
    <xf numFmtId="1" fontId="23" fillId="0" borderId="12" xfId="0" applyNumberFormat="1" applyFont="1" applyBorder="1"/>
    <xf numFmtId="1" fontId="23" fillId="0" borderId="12" xfId="0" applyNumberFormat="1" applyFont="1" applyBorder="1" applyAlignment="1">
      <alignment horizontal="right"/>
    </xf>
    <xf numFmtId="0" fontId="7" fillId="0" borderId="6" xfId="1" applyFont="1" applyBorder="1" applyAlignment="1" applyProtection="1">
      <alignment horizontal="center" wrapText="1"/>
      <protection locked="0"/>
    </xf>
    <xf numFmtId="9" fontId="7" fillId="0" borderId="6" xfId="1" applyNumberFormat="1" applyFont="1" applyBorder="1" applyAlignment="1" applyProtection="1">
      <alignment horizontal="center" vertical="center" wrapText="1"/>
      <protection hidden="1"/>
    </xf>
    <xf numFmtId="1" fontId="23" fillId="0" borderId="14" xfId="0" applyNumberFormat="1" applyFont="1" applyBorder="1"/>
    <xf numFmtId="0" fontId="16" fillId="0" borderId="0" xfId="1" applyFont="1"/>
    <xf numFmtId="0" fontId="6" fillId="0" borderId="0" xfId="2" applyFont="1"/>
    <xf numFmtId="0" fontId="7" fillId="0" borderId="0" xfId="0" applyFont="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10" fillId="0" borderId="0" xfId="0" applyFont="1" applyAlignment="1">
      <alignment horizontal="center" vertical="center"/>
    </xf>
    <xf numFmtId="1" fontId="7" fillId="0" borderId="0" xfId="0" applyNumberFormat="1" applyFont="1" applyAlignment="1">
      <alignment horizontal="center" vertical="center"/>
    </xf>
    <xf numFmtId="0" fontId="7" fillId="2" borderId="0" xfId="1" applyFont="1" applyFill="1"/>
    <xf numFmtId="14" fontId="7" fillId="2" borderId="0" xfId="1" applyNumberFormat="1" applyFont="1" applyFill="1"/>
    <xf numFmtId="1" fontId="6" fillId="0" borderId="0" xfId="2" applyNumberFormat="1" applyFont="1"/>
    <xf numFmtId="1" fontId="8" fillId="0" borderId="8" xfId="0" applyNumberFormat="1" applyFont="1" applyBorder="1" applyAlignment="1" applyProtection="1">
      <alignment vertical="top" wrapText="1"/>
      <protection locked="0"/>
    </xf>
    <xf numFmtId="1" fontId="8" fillId="0" borderId="23"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0" fillId="0" borderId="24"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10" fillId="0" borderId="25"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9" fontId="7" fillId="0" borderId="1" xfId="1" applyNumberFormat="1" applyFont="1" applyBorder="1" applyAlignment="1" applyProtection="1">
      <alignment horizontal="center" vertical="center" wrapText="1"/>
      <protection hidden="1"/>
    </xf>
    <xf numFmtId="9" fontId="7" fillId="0" borderId="6" xfId="1" applyNumberFormat="1" applyFont="1" applyBorder="1" applyAlignment="1" applyProtection="1">
      <alignment horizontal="center" vertical="center" wrapText="1"/>
      <protection hidden="1"/>
    </xf>
    <xf numFmtId="9" fontId="7" fillId="0" borderId="4" xfId="1" applyNumberFormat="1" applyFont="1" applyBorder="1" applyAlignment="1" applyProtection="1">
      <alignment horizontal="center" vertical="center" wrapText="1"/>
      <protection hidden="1"/>
    </xf>
    <xf numFmtId="9" fontId="7" fillId="0" borderId="7" xfId="1" applyNumberFormat="1" applyFont="1" applyBorder="1" applyAlignment="1" applyProtection="1">
      <alignment horizontal="center" vertical="center" wrapText="1"/>
      <protection hidden="1"/>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13" fillId="0" borderId="19" xfId="1" applyFont="1" applyBorder="1" applyAlignment="1" applyProtection="1">
      <alignment horizontal="center" vertical="center"/>
      <protection locked="0"/>
    </xf>
    <xf numFmtId="0" fontId="13" fillId="0" borderId="20" xfId="1" applyFont="1" applyBorder="1" applyAlignment="1" applyProtection="1">
      <alignment horizontal="center" vertical="center"/>
      <protection locked="0"/>
    </xf>
    <xf numFmtId="0" fontId="13" fillId="0" borderId="27" xfId="1" applyFont="1" applyBorder="1" applyAlignment="1" applyProtection="1">
      <alignment horizontal="center" vertical="center"/>
      <protection locked="0"/>
    </xf>
    <xf numFmtId="0" fontId="13" fillId="0" borderId="28" xfId="1" applyFont="1" applyBorder="1" applyAlignment="1" applyProtection="1">
      <alignment horizontal="center" vertical="center"/>
      <protection locked="0"/>
    </xf>
    <xf numFmtId="0" fontId="13" fillId="0" borderId="21" xfId="1" applyFont="1" applyBorder="1" applyAlignment="1" applyProtection="1">
      <alignment horizontal="center" vertical="center"/>
      <protection locked="0"/>
    </xf>
    <xf numFmtId="0" fontId="13" fillId="0" borderId="22"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24" fillId="0" borderId="8" xfId="9" applyFill="1" applyBorder="1" applyAlignment="1" applyProtection="1">
      <alignment horizontal="center"/>
      <protection locked="0"/>
    </xf>
    <xf numFmtId="0" fontId="7" fillId="0" borderId="23" xfId="1" applyFont="1" applyBorder="1" applyAlignment="1" applyProtection="1">
      <alignment horizontal="center"/>
      <protection locked="0"/>
    </xf>
    <xf numFmtId="0" fontId="7" fillId="0" borderId="9" xfId="1" applyFont="1" applyBorder="1" applyAlignment="1" applyProtection="1">
      <alignment horizontal="center"/>
      <protection locked="0"/>
    </xf>
    <xf numFmtId="0" fontId="6"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3"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8" fillId="0" borderId="2"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6" fillId="0" borderId="23"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center" wrapText="1"/>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167"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67" fontId="10" fillId="0" borderId="1"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67" fontId="7" fillId="0" borderId="1" xfId="1" applyNumberFormat="1" applyFont="1" applyBorder="1" applyAlignment="1" applyProtection="1">
      <alignment horizontal="left" vertical="top" wrapText="1"/>
      <protection locked="0"/>
    </xf>
    <xf numFmtId="0" fontId="9"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1</xdr:col>
      <xdr:colOff>41413</xdr:colOff>
      <xdr:row>377</xdr:row>
      <xdr:rowOff>39478</xdr:rowOff>
    </xdr:from>
    <xdr:to>
      <xdr:col>6</xdr:col>
      <xdr:colOff>776507</xdr:colOff>
      <xdr:row>395</xdr:row>
      <xdr:rowOff>167547</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60563" y="28566853"/>
          <a:ext cx="5230894" cy="3728519"/>
        </a:xfrm>
        <a:prstGeom prst="rect">
          <a:avLst/>
        </a:prstGeom>
        <a:ln>
          <a:solidFill>
            <a:schemeClr val="tx1"/>
          </a:solidFill>
        </a:ln>
      </xdr:spPr>
    </xdr:pic>
    <xdr:clientData/>
  </xdr:twoCellAnchor>
  <xdr:twoCellAnchor editAs="oneCell">
    <xdr:from>
      <xdr:col>1</xdr:col>
      <xdr:colOff>41413</xdr:colOff>
      <xdr:row>396</xdr:row>
      <xdr:rowOff>136661</xdr:rowOff>
    </xdr:from>
    <xdr:to>
      <xdr:col>6</xdr:col>
      <xdr:colOff>776507</xdr:colOff>
      <xdr:row>415</xdr:row>
      <xdr:rowOff>64704</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55870" y="33170465"/>
          <a:ext cx="5231998" cy="3600000"/>
        </a:xfrm>
        <a:prstGeom prst="rect">
          <a:avLst/>
        </a:prstGeom>
        <a:ln>
          <a:solidFill>
            <a:schemeClr val="tx1"/>
          </a:solidFill>
        </a:ln>
      </xdr:spPr>
    </xdr:pic>
    <xdr:clientData/>
  </xdr:twoCellAnchor>
  <xdr:twoCellAnchor editAs="oneCell">
    <xdr:from>
      <xdr:col>1</xdr:col>
      <xdr:colOff>44824</xdr:colOff>
      <xdr:row>302</xdr:row>
      <xdr:rowOff>123265</xdr:rowOff>
    </xdr:from>
    <xdr:to>
      <xdr:col>6</xdr:col>
      <xdr:colOff>363393</xdr:colOff>
      <xdr:row>324</xdr:row>
      <xdr:rowOff>109284</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862853" y="59256706"/>
          <a:ext cx="4789716" cy="4412343"/>
        </a:xfrm>
        <a:prstGeom prst="rect">
          <a:avLst/>
        </a:prstGeom>
        <a:ln>
          <a:solidFill>
            <a:schemeClr val="tx1"/>
          </a:solidFill>
        </a:ln>
      </xdr:spPr>
    </xdr:pic>
    <xdr:clientData/>
  </xdr:twoCellAnchor>
  <xdr:twoCellAnchor>
    <xdr:from>
      <xdr:col>3</xdr:col>
      <xdr:colOff>756546</xdr:colOff>
      <xdr:row>313</xdr:row>
      <xdr:rowOff>121878</xdr:rowOff>
    </xdr:from>
    <xdr:to>
      <xdr:col>5</xdr:col>
      <xdr:colOff>750891</xdr:colOff>
      <xdr:row>319</xdr:row>
      <xdr:rowOff>188900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rot="20987454">
          <a:off x="3356311" y="61462878"/>
          <a:ext cx="1843315" cy="1277257"/>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870666</xdr:colOff>
      <xdr:row>311</xdr:row>
      <xdr:rowOff>155957</xdr:rowOff>
    </xdr:from>
    <xdr:to>
      <xdr:col>5</xdr:col>
      <xdr:colOff>176179</xdr:colOff>
      <xdr:row>313</xdr:row>
      <xdr:rowOff>121877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3470431" y="61093545"/>
          <a:ext cx="1154483"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A</a:t>
          </a:r>
        </a:p>
      </xdr:txBody>
    </xdr:sp>
    <xdr:clientData/>
  </xdr:twoCellAnchor>
  <xdr:twoCellAnchor editAs="oneCell">
    <xdr:from>
      <xdr:col>0</xdr:col>
      <xdr:colOff>526676</xdr:colOff>
      <xdr:row>357</xdr:row>
      <xdr:rowOff>36714</xdr:rowOff>
    </xdr:from>
    <xdr:to>
      <xdr:col>7</xdr:col>
      <xdr:colOff>157058</xdr:colOff>
      <xdr:row>373</xdr:row>
      <xdr:rowOff>47845</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rot="16200000">
          <a:off x="1787464" y="71199544"/>
          <a:ext cx="3238424" cy="5760000"/>
        </a:xfrm>
        <a:prstGeom prst="rect">
          <a:avLst/>
        </a:prstGeom>
        <a:ln>
          <a:solidFill>
            <a:schemeClr val="tx1"/>
          </a:solidFill>
        </a:ln>
      </xdr:spPr>
    </xdr:pic>
    <xdr:clientData/>
  </xdr:twoCellAnchor>
  <xdr:twoCellAnchor editAs="oneCell">
    <xdr:from>
      <xdr:col>1</xdr:col>
      <xdr:colOff>208304</xdr:colOff>
      <xdr:row>335</xdr:row>
      <xdr:rowOff>123264</xdr:rowOff>
    </xdr:from>
    <xdr:to>
      <xdr:col>6</xdr:col>
      <xdr:colOff>497843</xdr:colOff>
      <xdr:row>356</xdr:row>
      <xdr:rowOff>64247</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026333" y="68120558"/>
          <a:ext cx="4760686" cy="4165601"/>
        </a:xfrm>
        <a:prstGeom prst="rect">
          <a:avLst/>
        </a:prstGeom>
        <a:ln>
          <a:solidFill>
            <a:schemeClr val="tx1"/>
          </a:solidFill>
        </a:ln>
      </xdr:spPr>
    </xdr:pic>
    <xdr:clientData/>
  </xdr:twoCellAnchor>
  <xdr:twoCellAnchor>
    <xdr:from>
      <xdr:col>10</xdr:col>
      <xdr:colOff>219075</xdr:colOff>
      <xdr:row>259</xdr:row>
      <xdr:rowOff>184150</xdr:rowOff>
    </xdr:from>
    <xdr:to>
      <xdr:col>18</xdr:col>
      <xdr:colOff>298441</xdr:colOff>
      <xdr:row>262</xdr:row>
      <xdr:rowOff>35960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9077325" y="50666650"/>
          <a:ext cx="3832216" cy="442360"/>
          <a:chOff x="2324100" y="54019450"/>
          <a:chExt cx="3832216" cy="442360"/>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24100" y="541972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A Wing</a:t>
            </a:r>
          </a:p>
        </xdr:txBody>
      </xdr:sp>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5329423" y="54019450"/>
            <a:ext cx="8268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solidFill>
                  <a:sysClr val="windowText" lastClr="000000"/>
                </a:solidFill>
              </a:rPr>
              <a:t>B &amp; C Wing</a:t>
            </a:r>
          </a:p>
        </xdr:txBody>
      </xdr:sp>
    </xdr:grpSp>
    <xdr:clientData/>
  </xdr:twoCellAnchor>
  <xdr:twoCellAnchor>
    <xdr:from>
      <xdr:col>8</xdr:col>
      <xdr:colOff>763905</xdr:colOff>
      <xdr:row>258</xdr:row>
      <xdr:rowOff>95250</xdr:rowOff>
    </xdr:from>
    <xdr:to>
      <xdr:col>19</xdr:col>
      <xdr:colOff>398846</xdr:colOff>
      <xdr:row>298</xdr:row>
      <xdr:rowOff>180974</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288530" y="50377725"/>
          <a:ext cx="6331016" cy="8077199"/>
          <a:chOff x="104775" y="53863875"/>
          <a:chExt cx="6374831" cy="8077199"/>
        </a:xfrm>
      </xdr:grpSpPr>
      <xdr:pic>
        <xdr:nvPicPr>
          <xdr:cNvPr id="29" name="Picture 28" descr="https://vsjcllp.vsjadon.com/upload/insp-220669-1525.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76600" y="59435999"/>
            <a:ext cx="1876850" cy="250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20669-845.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285875" y="59435999"/>
            <a:ext cx="1884678" cy="250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20669-844.jpg">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362450" y="56711850"/>
            <a:ext cx="1960186" cy="26163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20669-861.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314575" y="56711850"/>
            <a:ext cx="1960186" cy="26163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20669-860.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66700" y="56702325"/>
            <a:ext cx="1960186" cy="26163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20669-877.jp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257425" y="53863875"/>
            <a:ext cx="2069531" cy="2762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20669-940.jp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04775" y="53863875"/>
            <a:ext cx="2069531" cy="2762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20669-931.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410075" y="53863875"/>
            <a:ext cx="2069531" cy="2762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1047750</xdr:colOff>
      <xdr:row>259</xdr:row>
      <xdr:rowOff>108585</xdr:rowOff>
    </xdr:from>
    <xdr:to>
      <xdr:col>19</xdr:col>
      <xdr:colOff>232739</xdr:colOff>
      <xdr:row>297</xdr:row>
      <xdr:rowOff>40396</xdr:rowOff>
    </xdr:to>
    <xdr:grpSp>
      <xdr:nvGrpSpPr>
        <xdr:cNvPr id="5" name="Group 4">
          <a:extLst>
            <a:ext uri="{FF2B5EF4-FFF2-40B4-BE49-F238E27FC236}">
              <a16:creationId xmlns:a16="http://schemas.microsoft.com/office/drawing/2014/main" id="{7360DCF5-D713-3882-61F1-14687B7EC8CB}"/>
            </a:ext>
          </a:extLst>
        </xdr:cNvPr>
        <xdr:cNvGrpSpPr/>
      </xdr:nvGrpSpPr>
      <xdr:grpSpPr>
        <a:xfrm>
          <a:off x="7572375" y="50591085"/>
          <a:ext cx="5881064" cy="7523236"/>
          <a:chOff x="262752" y="181454"/>
          <a:chExt cx="6029654" cy="7454656"/>
        </a:xfrm>
      </xdr:grpSpPr>
      <xdr:pic>
        <xdr:nvPicPr>
          <xdr:cNvPr id="6" name="Picture 5">
            <a:extLst>
              <a:ext uri="{FF2B5EF4-FFF2-40B4-BE49-F238E27FC236}">
                <a16:creationId xmlns:a16="http://schemas.microsoft.com/office/drawing/2014/main" id="{53BD3A7E-7A9F-8585-7483-9051BA08001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404375" y="181454"/>
            <a:ext cx="1888031" cy="2520000"/>
          </a:xfrm>
          <a:prstGeom prst="rect">
            <a:avLst/>
          </a:prstGeom>
          <a:ln>
            <a:solidFill>
              <a:schemeClr val="tx1"/>
            </a:solidFill>
          </a:ln>
        </xdr:spPr>
      </xdr:pic>
      <xdr:pic>
        <xdr:nvPicPr>
          <xdr:cNvPr id="7" name="Picture 6">
            <a:extLst>
              <a:ext uri="{FF2B5EF4-FFF2-40B4-BE49-F238E27FC236}">
                <a16:creationId xmlns:a16="http://schemas.microsoft.com/office/drawing/2014/main" id="{519AD78B-C3FB-6807-7C22-C3546BE55F1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33564" y="181454"/>
            <a:ext cx="1888031" cy="2520000"/>
          </a:xfrm>
          <a:prstGeom prst="rect">
            <a:avLst/>
          </a:prstGeom>
          <a:ln>
            <a:solidFill>
              <a:schemeClr val="tx1"/>
            </a:solidFill>
          </a:ln>
        </xdr:spPr>
      </xdr:pic>
      <xdr:pic>
        <xdr:nvPicPr>
          <xdr:cNvPr id="8" name="Picture 7">
            <a:extLst>
              <a:ext uri="{FF2B5EF4-FFF2-40B4-BE49-F238E27FC236}">
                <a16:creationId xmlns:a16="http://schemas.microsoft.com/office/drawing/2014/main" id="{9E5F686A-A16C-717A-F1F1-573BFEA62FB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333564" y="2962906"/>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CA9C2F8C-A060-AAB1-157A-B97445DEAA7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62752" y="2962906"/>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38E5EAAD-CB9F-85AF-CE3F-27E13BCD557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62753" y="181454"/>
            <a:ext cx="188803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59A0AF60-B0C9-763E-5594-4CE2216D808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404375" y="2962906"/>
            <a:ext cx="1888031" cy="2520000"/>
          </a:xfrm>
          <a:prstGeom prst="rect">
            <a:avLst/>
          </a:prstGeom>
          <a:ln>
            <a:solidFill>
              <a:schemeClr val="tx1"/>
            </a:solidFill>
          </a:ln>
        </xdr:spPr>
      </xdr:pic>
      <xdr:grpSp>
        <xdr:nvGrpSpPr>
          <xdr:cNvPr id="14" name="Group 13">
            <a:extLst>
              <a:ext uri="{FF2B5EF4-FFF2-40B4-BE49-F238E27FC236}">
                <a16:creationId xmlns:a16="http://schemas.microsoft.com/office/drawing/2014/main" id="{27464D9F-A81D-32D0-69F2-9A86B728F65E}"/>
              </a:ext>
            </a:extLst>
          </xdr:cNvPr>
          <xdr:cNvGrpSpPr/>
        </xdr:nvGrpSpPr>
        <xdr:grpSpPr>
          <a:xfrm>
            <a:off x="573819" y="5744358"/>
            <a:ext cx="5223760" cy="1891752"/>
            <a:chOff x="573819" y="5744358"/>
            <a:chExt cx="5223760" cy="1891752"/>
          </a:xfrm>
        </xdr:grpSpPr>
        <xdr:pic>
          <xdr:nvPicPr>
            <xdr:cNvPr id="18" name="Picture 17">
              <a:extLst>
                <a:ext uri="{FF2B5EF4-FFF2-40B4-BE49-F238E27FC236}">
                  <a16:creationId xmlns:a16="http://schemas.microsoft.com/office/drawing/2014/main" id="{65350928-8B88-91B8-2962-713A3CEAE2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573819" y="5744358"/>
              <a:ext cx="2520000" cy="1891752"/>
            </a:xfrm>
            <a:prstGeom prst="rect">
              <a:avLst/>
            </a:prstGeom>
            <a:ln>
              <a:solidFill>
                <a:schemeClr val="tx1"/>
              </a:solidFill>
            </a:ln>
          </xdr:spPr>
        </xdr:pic>
        <xdr:pic>
          <xdr:nvPicPr>
            <xdr:cNvPr id="19" name="Picture 18">
              <a:extLst>
                <a:ext uri="{FF2B5EF4-FFF2-40B4-BE49-F238E27FC236}">
                  <a16:creationId xmlns:a16="http://schemas.microsoft.com/office/drawing/2014/main" id="{C8050CDA-1704-8CD9-B040-E22D26F521D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277579" y="5744358"/>
              <a:ext cx="2520000" cy="1891752"/>
            </a:xfrm>
            <a:prstGeom prst="rect">
              <a:avLst/>
            </a:prstGeom>
            <a:ln>
              <a:solidFill>
                <a:schemeClr val="tx1"/>
              </a:solidFill>
            </a:ln>
          </xdr:spPr>
        </xdr:pic>
      </xdr:grpSp>
      <xdr:sp macro="" textlink="">
        <xdr:nvSpPr>
          <xdr:cNvPr id="15" name="TextBox 19">
            <a:extLst>
              <a:ext uri="{FF2B5EF4-FFF2-40B4-BE49-F238E27FC236}">
                <a16:creationId xmlns:a16="http://schemas.microsoft.com/office/drawing/2014/main" id="{20D86332-E608-55EF-E631-798983FCE512}"/>
              </a:ext>
            </a:extLst>
          </xdr:cNvPr>
          <xdr:cNvSpPr txBox="1"/>
        </xdr:nvSpPr>
        <xdr:spPr>
          <a:xfrm>
            <a:off x="1309790" y="3046574"/>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Wing C</a:t>
            </a:r>
          </a:p>
        </xdr:txBody>
      </xdr:sp>
      <xdr:sp macro="" textlink="">
        <xdr:nvSpPr>
          <xdr:cNvPr id="16" name="TextBox 20">
            <a:extLst>
              <a:ext uri="{FF2B5EF4-FFF2-40B4-BE49-F238E27FC236}">
                <a16:creationId xmlns:a16="http://schemas.microsoft.com/office/drawing/2014/main" id="{23482713-0861-E8A2-D69E-D9ED7937FDE3}"/>
              </a:ext>
            </a:extLst>
          </xdr:cNvPr>
          <xdr:cNvSpPr txBox="1"/>
        </xdr:nvSpPr>
        <xdr:spPr>
          <a:xfrm>
            <a:off x="2839798" y="28178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Wing B</a:t>
            </a:r>
          </a:p>
        </xdr:txBody>
      </xdr:sp>
      <xdr:sp macro="" textlink="">
        <xdr:nvSpPr>
          <xdr:cNvPr id="17" name="TextBox 21">
            <a:extLst>
              <a:ext uri="{FF2B5EF4-FFF2-40B4-BE49-F238E27FC236}">
                <a16:creationId xmlns:a16="http://schemas.microsoft.com/office/drawing/2014/main" id="{27EB8EAD-18B7-AEA3-36EE-29AEB09927BF}"/>
              </a:ext>
            </a:extLst>
          </xdr:cNvPr>
          <xdr:cNvSpPr txBox="1"/>
        </xdr:nvSpPr>
        <xdr:spPr>
          <a:xfrm>
            <a:off x="262752" y="27074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Wing A</a:t>
            </a:r>
          </a:p>
        </xdr:txBody>
      </xdr:sp>
    </xdr:grpSp>
    <xdr:clientData/>
  </xdr:twoCellAnchor>
  <xdr:twoCellAnchor>
    <xdr:from>
      <xdr:col>0</xdr:col>
      <xdr:colOff>69499</xdr:colOff>
      <xdr:row>259</xdr:row>
      <xdr:rowOff>76200</xdr:rowOff>
    </xdr:from>
    <xdr:to>
      <xdr:col>7</xdr:col>
      <xdr:colOff>670576</xdr:colOff>
      <xdr:row>299</xdr:row>
      <xdr:rowOff>57151</xdr:rowOff>
    </xdr:to>
    <xdr:grpSp>
      <xdr:nvGrpSpPr>
        <xdr:cNvPr id="38" name="Group 37">
          <a:extLst>
            <a:ext uri="{FF2B5EF4-FFF2-40B4-BE49-F238E27FC236}">
              <a16:creationId xmlns:a16="http://schemas.microsoft.com/office/drawing/2014/main" id="{6D917CD7-F575-403D-A763-5751B1761542}"/>
            </a:ext>
          </a:extLst>
        </xdr:cNvPr>
        <xdr:cNvGrpSpPr/>
      </xdr:nvGrpSpPr>
      <xdr:grpSpPr>
        <a:xfrm>
          <a:off x="69499" y="50558700"/>
          <a:ext cx="6297027" cy="7972426"/>
          <a:chOff x="-80241" y="39600"/>
          <a:chExt cx="6886192" cy="9104400"/>
        </a:xfrm>
      </xdr:grpSpPr>
      <xdr:grpSp>
        <xdr:nvGrpSpPr>
          <xdr:cNvPr id="39" name="Group 38">
            <a:extLst>
              <a:ext uri="{FF2B5EF4-FFF2-40B4-BE49-F238E27FC236}">
                <a16:creationId xmlns:a16="http://schemas.microsoft.com/office/drawing/2014/main" id="{4440AC09-DDF4-4CE4-8F96-5277662F01A8}"/>
              </a:ext>
            </a:extLst>
          </xdr:cNvPr>
          <xdr:cNvGrpSpPr/>
        </xdr:nvGrpSpPr>
        <xdr:grpSpPr>
          <a:xfrm>
            <a:off x="0" y="39600"/>
            <a:ext cx="6805951" cy="9104400"/>
            <a:chOff x="52049" y="228600"/>
            <a:chExt cx="6805951" cy="9104400"/>
          </a:xfrm>
        </xdr:grpSpPr>
        <xdr:pic>
          <xdr:nvPicPr>
            <xdr:cNvPr id="48" name="Picture 47">
              <a:extLst>
                <a:ext uri="{FF2B5EF4-FFF2-40B4-BE49-F238E27FC236}">
                  <a16:creationId xmlns:a16="http://schemas.microsoft.com/office/drawing/2014/main" id="{70C0F8BB-FB36-458B-8ED7-140059131E2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376150" y="228600"/>
              <a:ext cx="2157749" cy="2880000"/>
            </a:xfrm>
            <a:prstGeom prst="rect">
              <a:avLst/>
            </a:prstGeom>
            <a:ln>
              <a:solidFill>
                <a:schemeClr val="tx1"/>
              </a:solidFill>
            </a:ln>
          </xdr:spPr>
        </xdr:pic>
        <xdr:pic>
          <xdr:nvPicPr>
            <xdr:cNvPr id="49" name="Picture 48">
              <a:extLst>
                <a:ext uri="{FF2B5EF4-FFF2-40B4-BE49-F238E27FC236}">
                  <a16:creationId xmlns:a16="http://schemas.microsoft.com/office/drawing/2014/main" id="{B276D9BC-F920-4A84-9372-4C0792AA713F}"/>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2049" y="228600"/>
              <a:ext cx="2157750" cy="2880000"/>
            </a:xfrm>
            <a:prstGeom prst="rect">
              <a:avLst/>
            </a:prstGeom>
            <a:ln>
              <a:solidFill>
                <a:schemeClr val="tx1"/>
              </a:solidFill>
            </a:ln>
          </xdr:spPr>
        </xdr:pic>
        <xdr:pic>
          <xdr:nvPicPr>
            <xdr:cNvPr id="50" name="Picture 49">
              <a:extLst>
                <a:ext uri="{FF2B5EF4-FFF2-40B4-BE49-F238E27FC236}">
                  <a16:creationId xmlns:a16="http://schemas.microsoft.com/office/drawing/2014/main" id="{530B0001-2A95-4934-9667-17E6E55BAE3C}"/>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700250" y="228600"/>
              <a:ext cx="2157750" cy="2880000"/>
            </a:xfrm>
            <a:prstGeom prst="rect">
              <a:avLst/>
            </a:prstGeom>
            <a:ln>
              <a:solidFill>
                <a:schemeClr val="tx1"/>
              </a:solidFill>
            </a:ln>
          </xdr:spPr>
        </xdr:pic>
        <xdr:pic>
          <xdr:nvPicPr>
            <xdr:cNvPr id="51" name="Picture 50">
              <a:extLst>
                <a:ext uri="{FF2B5EF4-FFF2-40B4-BE49-F238E27FC236}">
                  <a16:creationId xmlns:a16="http://schemas.microsoft.com/office/drawing/2014/main" id="{1F744481-4787-4314-9590-65B55A04F46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11489" y="3263400"/>
              <a:ext cx="1483453" cy="1980000"/>
            </a:xfrm>
            <a:prstGeom prst="rect">
              <a:avLst/>
            </a:prstGeom>
            <a:ln>
              <a:solidFill>
                <a:schemeClr val="tx1"/>
              </a:solidFill>
            </a:ln>
          </xdr:spPr>
        </xdr:pic>
        <xdr:pic>
          <xdr:nvPicPr>
            <xdr:cNvPr id="52" name="Picture 51">
              <a:extLst>
                <a:ext uri="{FF2B5EF4-FFF2-40B4-BE49-F238E27FC236}">
                  <a16:creationId xmlns:a16="http://schemas.microsoft.com/office/drawing/2014/main" id="{965BD2A9-E656-4297-BA66-10AAA81D9C8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1945547" y="3263400"/>
              <a:ext cx="1483453" cy="1980000"/>
            </a:xfrm>
            <a:prstGeom prst="rect">
              <a:avLst/>
            </a:prstGeom>
            <a:ln>
              <a:solidFill>
                <a:schemeClr val="tx1"/>
              </a:solidFill>
            </a:ln>
          </xdr:spPr>
        </xdr:pic>
        <xdr:pic>
          <xdr:nvPicPr>
            <xdr:cNvPr id="53" name="Picture 52">
              <a:extLst>
                <a:ext uri="{FF2B5EF4-FFF2-40B4-BE49-F238E27FC236}">
                  <a16:creationId xmlns:a16="http://schemas.microsoft.com/office/drawing/2014/main" id="{0F42498F-FDA3-46EF-85B3-8F9AA096419B}"/>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579605" y="3263400"/>
              <a:ext cx="1483453" cy="1980000"/>
            </a:xfrm>
            <a:prstGeom prst="rect">
              <a:avLst/>
            </a:prstGeom>
            <a:ln>
              <a:solidFill>
                <a:schemeClr val="tx1"/>
              </a:solidFill>
            </a:ln>
          </xdr:spPr>
        </xdr:pic>
        <xdr:pic>
          <xdr:nvPicPr>
            <xdr:cNvPr id="54" name="Picture 53">
              <a:extLst>
                <a:ext uri="{FF2B5EF4-FFF2-40B4-BE49-F238E27FC236}">
                  <a16:creationId xmlns:a16="http://schemas.microsoft.com/office/drawing/2014/main" id="{C5F189A3-7DD4-4044-B4D3-04A87D52284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5213663" y="3263400"/>
              <a:ext cx="1483453" cy="1980000"/>
            </a:xfrm>
            <a:prstGeom prst="rect">
              <a:avLst/>
            </a:prstGeom>
            <a:ln>
              <a:solidFill>
                <a:schemeClr val="tx1"/>
              </a:solidFill>
            </a:ln>
          </xdr:spPr>
        </xdr:pic>
        <xdr:pic>
          <xdr:nvPicPr>
            <xdr:cNvPr id="55" name="Picture 54">
              <a:extLst>
                <a:ext uri="{FF2B5EF4-FFF2-40B4-BE49-F238E27FC236}">
                  <a16:creationId xmlns:a16="http://schemas.microsoft.com/office/drawing/2014/main" id="{5C9FA5B7-2C82-4C2E-A2DC-0E3B1111E42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311488" y="5398200"/>
              <a:ext cx="1483453" cy="1980000"/>
            </a:xfrm>
            <a:prstGeom prst="rect">
              <a:avLst/>
            </a:prstGeom>
            <a:ln>
              <a:solidFill>
                <a:schemeClr val="tx1"/>
              </a:solidFill>
            </a:ln>
          </xdr:spPr>
        </xdr:pic>
        <xdr:pic>
          <xdr:nvPicPr>
            <xdr:cNvPr id="56" name="Picture 55">
              <a:extLst>
                <a:ext uri="{FF2B5EF4-FFF2-40B4-BE49-F238E27FC236}">
                  <a16:creationId xmlns:a16="http://schemas.microsoft.com/office/drawing/2014/main" id="{425DD2A8-4B15-4821-9612-7460920B70CD}"/>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1945546" y="5398200"/>
              <a:ext cx="1483453" cy="1980000"/>
            </a:xfrm>
            <a:prstGeom prst="rect">
              <a:avLst/>
            </a:prstGeom>
            <a:ln>
              <a:solidFill>
                <a:schemeClr val="tx1"/>
              </a:solidFill>
            </a:ln>
          </xdr:spPr>
        </xdr:pic>
        <xdr:pic>
          <xdr:nvPicPr>
            <xdr:cNvPr id="57" name="Picture 56">
              <a:extLst>
                <a:ext uri="{FF2B5EF4-FFF2-40B4-BE49-F238E27FC236}">
                  <a16:creationId xmlns:a16="http://schemas.microsoft.com/office/drawing/2014/main" id="{DE3AED5A-20BC-4D5A-B09D-3CDFA40AD6D5}"/>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3579605" y="5398200"/>
              <a:ext cx="1483453" cy="1980000"/>
            </a:xfrm>
            <a:prstGeom prst="rect">
              <a:avLst/>
            </a:prstGeom>
            <a:ln>
              <a:solidFill>
                <a:schemeClr val="tx1"/>
              </a:solidFill>
            </a:ln>
          </xdr:spPr>
        </xdr:pic>
        <xdr:pic>
          <xdr:nvPicPr>
            <xdr:cNvPr id="58" name="Picture 57">
              <a:extLst>
                <a:ext uri="{FF2B5EF4-FFF2-40B4-BE49-F238E27FC236}">
                  <a16:creationId xmlns:a16="http://schemas.microsoft.com/office/drawing/2014/main" id="{E829A8F3-0D2B-4D62-AC8A-4BFEFC61F8A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5213662" y="5398200"/>
              <a:ext cx="1483453" cy="1980000"/>
            </a:xfrm>
            <a:prstGeom prst="rect">
              <a:avLst/>
            </a:prstGeom>
            <a:ln>
              <a:solidFill>
                <a:schemeClr val="tx1"/>
              </a:solidFill>
            </a:ln>
          </xdr:spPr>
        </xdr:pic>
        <xdr:pic>
          <xdr:nvPicPr>
            <xdr:cNvPr id="59" name="Picture 58">
              <a:extLst>
                <a:ext uri="{FF2B5EF4-FFF2-40B4-BE49-F238E27FC236}">
                  <a16:creationId xmlns:a16="http://schemas.microsoft.com/office/drawing/2014/main" id="{4110B0B7-F048-4FAA-8578-8DA663CF49C5}"/>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2100805" y="7533000"/>
              <a:ext cx="1354219" cy="1800000"/>
            </a:xfrm>
            <a:prstGeom prst="rect">
              <a:avLst/>
            </a:prstGeom>
            <a:ln>
              <a:solidFill>
                <a:schemeClr val="tx1"/>
              </a:solidFill>
            </a:ln>
          </xdr:spPr>
        </xdr:pic>
        <xdr:pic>
          <xdr:nvPicPr>
            <xdr:cNvPr id="60" name="Picture 59">
              <a:extLst>
                <a:ext uri="{FF2B5EF4-FFF2-40B4-BE49-F238E27FC236}">
                  <a16:creationId xmlns:a16="http://schemas.microsoft.com/office/drawing/2014/main" id="{537A05AC-C69A-4DFC-A8CC-A3CE41F8F33F}"/>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3579605" y="7533000"/>
              <a:ext cx="1348594" cy="1800000"/>
            </a:xfrm>
            <a:prstGeom prst="rect">
              <a:avLst/>
            </a:prstGeom>
            <a:ln>
              <a:solidFill>
                <a:schemeClr val="tx1"/>
              </a:solidFill>
            </a:ln>
          </xdr:spPr>
        </xdr:pic>
      </xdr:grpSp>
      <xdr:sp macro="" textlink="">
        <xdr:nvSpPr>
          <xdr:cNvPr id="40" name="TextBox 49">
            <a:extLst>
              <a:ext uri="{FF2B5EF4-FFF2-40B4-BE49-F238E27FC236}">
                <a16:creationId xmlns:a16="http://schemas.microsoft.com/office/drawing/2014/main" id="{22FDA3F6-1FFE-44C1-9C78-8308E4CE1BBA}"/>
              </a:ext>
            </a:extLst>
          </xdr:cNvPr>
          <xdr:cNvSpPr txBox="1"/>
        </xdr:nvSpPr>
        <xdr:spPr>
          <a:xfrm>
            <a:off x="-80241" y="50477"/>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41" name="TextBox 50">
            <a:extLst>
              <a:ext uri="{FF2B5EF4-FFF2-40B4-BE49-F238E27FC236}">
                <a16:creationId xmlns:a16="http://schemas.microsoft.com/office/drawing/2014/main" id="{AF6DEA92-9DE4-4A14-8FCD-A0CADDF66E58}"/>
              </a:ext>
            </a:extLst>
          </xdr:cNvPr>
          <xdr:cNvSpPr txBox="1"/>
        </xdr:nvSpPr>
        <xdr:spPr>
          <a:xfrm>
            <a:off x="3406092" y="159002"/>
            <a:ext cx="973000" cy="4272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sp macro="" textlink="">
        <xdr:nvSpPr>
          <xdr:cNvPr id="42" name="TextBox 51">
            <a:extLst>
              <a:ext uri="{FF2B5EF4-FFF2-40B4-BE49-F238E27FC236}">
                <a16:creationId xmlns:a16="http://schemas.microsoft.com/office/drawing/2014/main" id="{4D3023EF-33AD-4C66-B05E-C43E78E8EE7F}"/>
              </a:ext>
            </a:extLst>
          </xdr:cNvPr>
          <xdr:cNvSpPr txBox="1"/>
        </xdr:nvSpPr>
        <xdr:spPr>
          <a:xfrm>
            <a:off x="4652234" y="61105"/>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C</a:t>
            </a:r>
            <a:endParaRPr lang="en-IN" b="1"/>
          </a:p>
        </xdr:txBody>
      </xdr:sp>
      <xdr:sp macro="" textlink="">
        <xdr:nvSpPr>
          <xdr:cNvPr id="43" name="TextBox 52">
            <a:extLst>
              <a:ext uri="{FF2B5EF4-FFF2-40B4-BE49-F238E27FC236}">
                <a16:creationId xmlns:a16="http://schemas.microsoft.com/office/drawing/2014/main" id="{37936B30-BA03-4DBF-9A09-698432FB653B}"/>
              </a:ext>
            </a:extLst>
          </xdr:cNvPr>
          <xdr:cNvSpPr txBox="1"/>
        </xdr:nvSpPr>
        <xdr:spPr>
          <a:xfrm>
            <a:off x="645903" y="6586966"/>
            <a:ext cx="979022" cy="4272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sp macro="" textlink="">
        <xdr:nvSpPr>
          <xdr:cNvPr id="44" name="TextBox 53">
            <a:extLst>
              <a:ext uri="{FF2B5EF4-FFF2-40B4-BE49-F238E27FC236}">
                <a16:creationId xmlns:a16="http://schemas.microsoft.com/office/drawing/2014/main" id="{6AF91F54-9958-4C5B-89F8-50C9369C697A}"/>
              </a:ext>
            </a:extLst>
          </xdr:cNvPr>
          <xdr:cNvSpPr txBox="1"/>
        </xdr:nvSpPr>
        <xdr:spPr>
          <a:xfrm>
            <a:off x="2292893" y="6771632"/>
            <a:ext cx="977788" cy="4272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sp macro="" textlink="">
        <xdr:nvSpPr>
          <xdr:cNvPr id="45" name="TextBox 54">
            <a:extLst>
              <a:ext uri="{FF2B5EF4-FFF2-40B4-BE49-F238E27FC236}">
                <a16:creationId xmlns:a16="http://schemas.microsoft.com/office/drawing/2014/main" id="{C02784B1-BD25-4D31-8C22-B72970EC2D0F}"/>
              </a:ext>
            </a:extLst>
          </xdr:cNvPr>
          <xdr:cNvSpPr txBox="1"/>
        </xdr:nvSpPr>
        <xdr:spPr>
          <a:xfrm>
            <a:off x="3656080" y="3713269"/>
            <a:ext cx="988362" cy="4272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46" name="TextBox 55">
            <a:extLst>
              <a:ext uri="{FF2B5EF4-FFF2-40B4-BE49-F238E27FC236}">
                <a16:creationId xmlns:a16="http://schemas.microsoft.com/office/drawing/2014/main" id="{E01CCC12-5D4C-4B11-95D0-3D84435FE783}"/>
              </a:ext>
            </a:extLst>
          </xdr:cNvPr>
          <xdr:cNvSpPr txBox="1"/>
        </xdr:nvSpPr>
        <xdr:spPr>
          <a:xfrm>
            <a:off x="5583074" y="3651558"/>
            <a:ext cx="1039281" cy="4272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47" name="TextBox 56">
            <a:extLst>
              <a:ext uri="{FF2B5EF4-FFF2-40B4-BE49-F238E27FC236}">
                <a16:creationId xmlns:a16="http://schemas.microsoft.com/office/drawing/2014/main" id="{1279713C-C6C3-4897-A2B2-B144EA5754CF}"/>
              </a:ext>
            </a:extLst>
          </xdr:cNvPr>
          <xdr:cNvSpPr txBox="1"/>
        </xdr:nvSpPr>
        <xdr:spPr>
          <a:xfrm>
            <a:off x="3981401" y="5842452"/>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C</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2</xdr:row>
      <xdr:rowOff>66675</xdr:rowOff>
    </xdr:from>
    <xdr:to>
      <xdr:col>6</xdr:col>
      <xdr:colOff>523875</xdr:colOff>
      <xdr:row>21</xdr:row>
      <xdr:rowOff>47175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10120" r="22758"/>
        <a:stretch/>
      </xdr:blipFill>
      <xdr:spPr>
        <a:xfrm>
          <a:off x="200025" y="447675"/>
          <a:ext cx="429577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JnNEchtBSjLQRPLE8?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6"/>
  <sheetViews>
    <sheetView tabSelected="1" view="pageBreakPreview" topLeftCell="A43" zoomScaleNormal="100" zoomScaleSheetLayoutView="100" zoomScalePageLayoutView="130" workbookViewId="0">
      <selection activeCell="J114" sqref="J114"/>
    </sheetView>
  </sheetViews>
  <sheetFormatPr defaultColWidth="9.140625" defaultRowHeight="15.75" x14ac:dyDescent="0.25"/>
  <cols>
    <col min="1" max="1" width="11.42578125" style="54" customWidth="1"/>
    <col min="2" max="2" width="12" style="54" customWidth="1"/>
    <col min="3" max="3" width="12.7109375" style="54" customWidth="1"/>
    <col min="4" max="4" width="14.140625" style="54" customWidth="1"/>
    <col min="5" max="7" width="11.7109375" style="54" customWidth="1"/>
    <col min="8" max="8" width="12.42578125" style="54" customWidth="1"/>
    <col min="9" max="9" width="17.42578125" style="28" customWidth="1"/>
    <col min="10" max="10" width="17.5703125" style="28" customWidth="1"/>
    <col min="11" max="11" width="14.28515625" style="28" customWidth="1"/>
    <col min="12" max="13" width="11.85546875" style="28" customWidth="1"/>
    <col min="14" max="14" width="12.5703125" style="28" hidden="1" customWidth="1"/>
    <col min="15" max="15" width="9.85546875" style="28" hidden="1" customWidth="1"/>
    <col min="16" max="16" width="11.7109375" style="28" hidden="1" customWidth="1"/>
    <col min="17" max="247" width="9.140625" style="28"/>
    <col min="248" max="248" width="8.7109375" style="28" customWidth="1"/>
    <col min="249" max="249" width="9.85546875" style="28" customWidth="1"/>
    <col min="250" max="250" width="14.42578125" style="28" customWidth="1"/>
    <col min="251" max="251" width="7.28515625" style="28" customWidth="1"/>
    <col min="252" max="252" width="5.5703125" style="28" customWidth="1"/>
    <col min="253" max="253" width="9" style="28" customWidth="1"/>
    <col min="254" max="255" width="9.85546875" style="28" customWidth="1"/>
    <col min="256" max="256" width="11.140625" style="28" customWidth="1"/>
    <col min="257" max="257" width="2.85546875" style="28" customWidth="1"/>
    <col min="258" max="258" width="3.5703125" style="28" customWidth="1"/>
    <col min="259" max="503" width="9.140625" style="28"/>
    <col min="504" max="504" width="8.7109375" style="28" customWidth="1"/>
    <col min="505" max="505" width="9.85546875" style="28" customWidth="1"/>
    <col min="506" max="506" width="14.42578125" style="28" customWidth="1"/>
    <col min="507" max="507" width="7.28515625" style="28" customWidth="1"/>
    <col min="508" max="508" width="5.5703125" style="28" customWidth="1"/>
    <col min="509" max="509" width="9" style="28" customWidth="1"/>
    <col min="510" max="511" width="9.85546875" style="28" customWidth="1"/>
    <col min="512" max="512" width="11.140625" style="28" customWidth="1"/>
    <col min="513" max="513" width="2.85546875" style="28" customWidth="1"/>
    <col min="514" max="514" width="3.5703125" style="28" customWidth="1"/>
    <col min="515" max="759" width="9.140625" style="28"/>
    <col min="760" max="760" width="8.7109375" style="28" customWidth="1"/>
    <col min="761" max="761" width="9.85546875" style="28" customWidth="1"/>
    <col min="762" max="762" width="14.42578125" style="28" customWidth="1"/>
    <col min="763" max="763" width="7.28515625" style="28" customWidth="1"/>
    <col min="764" max="764" width="5.5703125" style="28" customWidth="1"/>
    <col min="765" max="765" width="9" style="28" customWidth="1"/>
    <col min="766" max="767" width="9.85546875" style="28" customWidth="1"/>
    <col min="768" max="768" width="11.140625" style="28" customWidth="1"/>
    <col min="769" max="769" width="2.85546875" style="28" customWidth="1"/>
    <col min="770" max="770" width="3.5703125" style="28" customWidth="1"/>
    <col min="771" max="1015" width="9.140625" style="28"/>
    <col min="1016" max="1016" width="8.7109375" style="28" customWidth="1"/>
    <col min="1017" max="1017" width="9.85546875" style="28" customWidth="1"/>
    <col min="1018" max="1018" width="14.42578125" style="28" customWidth="1"/>
    <col min="1019" max="1019" width="7.28515625" style="28" customWidth="1"/>
    <col min="1020" max="1020" width="5.5703125" style="28" customWidth="1"/>
    <col min="1021" max="1021" width="9" style="28" customWidth="1"/>
    <col min="1022" max="1023" width="9.85546875" style="28" customWidth="1"/>
    <col min="1024" max="1024" width="11.140625" style="28" customWidth="1"/>
    <col min="1025" max="1025" width="2.85546875" style="28" customWidth="1"/>
    <col min="1026" max="1026" width="3.5703125" style="28" customWidth="1"/>
    <col min="1027" max="1271" width="9.140625" style="28"/>
    <col min="1272" max="1272" width="8.7109375" style="28" customWidth="1"/>
    <col min="1273" max="1273" width="9.85546875" style="28" customWidth="1"/>
    <col min="1274" max="1274" width="14.42578125" style="28" customWidth="1"/>
    <col min="1275" max="1275" width="7.28515625" style="28" customWidth="1"/>
    <col min="1276" max="1276" width="5.5703125" style="28" customWidth="1"/>
    <col min="1277" max="1277" width="9" style="28" customWidth="1"/>
    <col min="1278" max="1279" width="9.85546875" style="28" customWidth="1"/>
    <col min="1280" max="1280" width="11.140625" style="28" customWidth="1"/>
    <col min="1281" max="1281" width="2.85546875" style="28" customWidth="1"/>
    <col min="1282" max="1282" width="3.5703125" style="28" customWidth="1"/>
    <col min="1283" max="1527" width="9.140625" style="28"/>
    <col min="1528" max="1528" width="8.7109375" style="28" customWidth="1"/>
    <col min="1529" max="1529" width="9.85546875" style="28" customWidth="1"/>
    <col min="1530" max="1530" width="14.42578125" style="28" customWidth="1"/>
    <col min="1531" max="1531" width="7.28515625" style="28" customWidth="1"/>
    <col min="1532" max="1532" width="5.5703125" style="28" customWidth="1"/>
    <col min="1533" max="1533" width="9" style="28" customWidth="1"/>
    <col min="1534" max="1535" width="9.85546875" style="28" customWidth="1"/>
    <col min="1536" max="1536" width="11.140625" style="28" customWidth="1"/>
    <col min="1537" max="1537" width="2.85546875" style="28" customWidth="1"/>
    <col min="1538" max="1538" width="3.5703125" style="28" customWidth="1"/>
    <col min="1539" max="1783" width="9.140625" style="28"/>
    <col min="1784" max="1784" width="8.7109375" style="28" customWidth="1"/>
    <col min="1785" max="1785" width="9.85546875" style="28" customWidth="1"/>
    <col min="1786" max="1786" width="14.42578125" style="28" customWidth="1"/>
    <col min="1787" max="1787" width="7.28515625" style="28" customWidth="1"/>
    <col min="1788" max="1788" width="5.5703125" style="28" customWidth="1"/>
    <col min="1789" max="1789" width="9" style="28" customWidth="1"/>
    <col min="1790" max="1791" width="9.85546875" style="28" customWidth="1"/>
    <col min="1792" max="1792" width="11.140625" style="28" customWidth="1"/>
    <col min="1793" max="1793" width="2.85546875" style="28" customWidth="1"/>
    <col min="1794" max="1794" width="3.5703125" style="28" customWidth="1"/>
    <col min="1795" max="2039" width="9.140625" style="28"/>
    <col min="2040" max="2040" width="8.7109375" style="28" customWidth="1"/>
    <col min="2041" max="2041" width="9.85546875" style="28" customWidth="1"/>
    <col min="2042" max="2042" width="14.42578125" style="28" customWidth="1"/>
    <col min="2043" max="2043" width="7.28515625" style="28" customWidth="1"/>
    <col min="2044" max="2044" width="5.5703125" style="28" customWidth="1"/>
    <col min="2045" max="2045" width="9" style="28" customWidth="1"/>
    <col min="2046" max="2047" width="9.85546875" style="28" customWidth="1"/>
    <col min="2048" max="2048" width="11.140625" style="28" customWidth="1"/>
    <col min="2049" max="2049" width="2.85546875" style="28" customWidth="1"/>
    <col min="2050" max="2050" width="3.5703125" style="28" customWidth="1"/>
    <col min="2051" max="2295" width="9.140625" style="28"/>
    <col min="2296" max="2296" width="8.7109375" style="28" customWidth="1"/>
    <col min="2297" max="2297" width="9.85546875" style="28" customWidth="1"/>
    <col min="2298" max="2298" width="14.42578125" style="28" customWidth="1"/>
    <col min="2299" max="2299" width="7.28515625" style="28" customWidth="1"/>
    <col min="2300" max="2300" width="5.5703125" style="28" customWidth="1"/>
    <col min="2301" max="2301" width="9" style="28" customWidth="1"/>
    <col min="2302" max="2303" width="9.85546875" style="28" customWidth="1"/>
    <col min="2304" max="2304" width="11.140625" style="28" customWidth="1"/>
    <col min="2305" max="2305" width="2.85546875" style="28" customWidth="1"/>
    <col min="2306" max="2306" width="3.5703125" style="28" customWidth="1"/>
    <col min="2307" max="2551" width="9.140625" style="28"/>
    <col min="2552" max="2552" width="8.7109375" style="28" customWidth="1"/>
    <col min="2553" max="2553" width="9.85546875" style="28" customWidth="1"/>
    <col min="2554" max="2554" width="14.42578125" style="28" customWidth="1"/>
    <col min="2555" max="2555" width="7.28515625" style="28" customWidth="1"/>
    <col min="2556" max="2556" width="5.5703125" style="28" customWidth="1"/>
    <col min="2557" max="2557" width="9" style="28" customWidth="1"/>
    <col min="2558" max="2559" width="9.85546875" style="28" customWidth="1"/>
    <col min="2560" max="2560" width="11.140625" style="28" customWidth="1"/>
    <col min="2561" max="2561" width="2.85546875" style="28" customWidth="1"/>
    <col min="2562" max="2562" width="3.5703125" style="28" customWidth="1"/>
    <col min="2563" max="2807" width="9.140625" style="28"/>
    <col min="2808" max="2808" width="8.7109375" style="28" customWidth="1"/>
    <col min="2809" max="2809" width="9.85546875" style="28" customWidth="1"/>
    <col min="2810" max="2810" width="14.42578125" style="28" customWidth="1"/>
    <col min="2811" max="2811" width="7.28515625" style="28" customWidth="1"/>
    <col min="2812" max="2812" width="5.5703125" style="28" customWidth="1"/>
    <col min="2813" max="2813" width="9" style="28" customWidth="1"/>
    <col min="2814" max="2815" width="9.85546875" style="28" customWidth="1"/>
    <col min="2816" max="2816" width="11.140625" style="28" customWidth="1"/>
    <col min="2817" max="2817" width="2.85546875" style="28" customWidth="1"/>
    <col min="2818" max="2818" width="3.5703125" style="28" customWidth="1"/>
    <col min="2819" max="3063" width="9.140625" style="28"/>
    <col min="3064" max="3064" width="8.7109375" style="28" customWidth="1"/>
    <col min="3065" max="3065" width="9.85546875" style="28" customWidth="1"/>
    <col min="3066" max="3066" width="14.42578125" style="28" customWidth="1"/>
    <col min="3067" max="3067" width="7.28515625" style="28" customWidth="1"/>
    <col min="3068" max="3068" width="5.5703125" style="28" customWidth="1"/>
    <col min="3069" max="3069" width="9" style="28" customWidth="1"/>
    <col min="3070" max="3071" width="9.85546875" style="28" customWidth="1"/>
    <col min="3072" max="3072" width="11.140625" style="28" customWidth="1"/>
    <col min="3073" max="3073" width="2.85546875" style="28" customWidth="1"/>
    <col min="3074" max="3074" width="3.5703125" style="28" customWidth="1"/>
    <col min="3075" max="3319" width="9.140625" style="28"/>
    <col min="3320" max="3320" width="8.7109375" style="28" customWidth="1"/>
    <col min="3321" max="3321" width="9.85546875" style="28" customWidth="1"/>
    <col min="3322" max="3322" width="14.42578125" style="28" customWidth="1"/>
    <col min="3323" max="3323" width="7.28515625" style="28" customWidth="1"/>
    <col min="3324" max="3324" width="5.5703125" style="28" customWidth="1"/>
    <col min="3325" max="3325" width="9" style="28" customWidth="1"/>
    <col min="3326" max="3327" width="9.85546875" style="28" customWidth="1"/>
    <col min="3328" max="3328" width="11.140625" style="28" customWidth="1"/>
    <col min="3329" max="3329" width="2.85546875" style="28" customWidth="1"/>
    <col min="3330" max="3330" width="3.5703125" style="28" customWidth="1"/>
    <col min="3331" max="3575" width="9.140625" style="28"/>
    <col min="3576" max="3576" width="8.7109375" style="28" customWidth="1"/>
    <col min="3577" max="3577" width="9.85546875" style="28" customWidth="1"/>
    <col min="3578" max="3578" width="14.42578125" style="28" customWidth="1"/>
    <col min="3579" max="3579" width="7.28515625" style="28" customWidth="1"/>
    <col min="3580" max="3580" width="5.5703125" style="28" customWidth="1"/>
    <col min="3581" max="3581" width="9" style="28" customWidth="1"/>
    <col min="3582" max="3583" width="9.85546875" style="28" customWidth="1"/>
    <col min="3584" max="3584" width="11.140625" style="28" customWidth="1"/>
    <col min="3585" max="3585" width="2.85546875" style="28" customWidth="1"/>
    <col min="3586" max="3586" width="3.5703125" style="28" customWidth="1"/>
    <col min="3587" max="3831" width="9.140625" style="28"/>
    <col min="3832" max="3832" width="8.7109375" style="28" customWidth="1"/>
    <col min="3833" max="3833" width="9.85546875" style="28" customWidth="1"/>
    <col min="3834" max="3834" width="14.42578125" style="28" customWidth="1"/>
    <col min="3835" max="3835" width="7.28515625" style="28" customWidth="1"/>
    <col min="3836" max="3836" width="5.5703125" style="28" customWidth="1"/>
    <col min="3837" max="3837" width="9" style="28" customWidth="1"/>
    <col min="3838" max="3839" width="9.85546875" style="28" customWidth="1"/>
    <col min="3840" max="3840" width="11.140625" style="28" customWidth="1"/>
    <col min="3841" max="3841" width="2.85546875" style="28" customWidth="1"/>
    <col min="3842" max="3842" width="3.5703125" style="28" customWidth="1"/>
    <col min="3843" max="4087" width="9.140625" style="28"/>
    <col min="4088" max="4088" width="8.7109375" style="28" customWidth="1"/>
    <col min="4089" max="4089" width="9.85546875" style="28" customWidth="1"/>
    <col min="4090" max="4090" width="14.42578125" style="28" customWidth="1"/>
    <col min="4091" max="4091" width="7.28515625" style="28" customWidth="1"/>
    <col min="4092" max="4092" width="5.5703125" style="28" customWidth="1"/>
    <col min="4093" max="4093" width="9" style="28" customWidth="1"/>
    <col min="4094" max="4095" width="9.85546875" style="28" customWidth="1"/>
    <col min="4096" max="4096" width="11.140625" style="28" customWidth="1"/>
    <col min="4097" max="4097" width="2.85546875" style="28" customWidth="1"/>
    <col min="4098" max="4098" width="3.5703125" style="28" customWidth="1"/>
    <col min="4099" max="4343" width="9.140625" style="28"/>
    <col min="4344" max="4344" width="8.7109375" style="28" customWidth="1"/>
    <col min="4345" max="4345" width="9.85546875" style="28" customWidth="1"/>
    <col min="4346" max="4346" width="14.42578125" style="28" customWidth="1"/>
    <col min="4347" max="4347" width="7.28515625" style="28" customWidth="1"/>
    <col min="4348" max="4348" width="5.5703125" style="28" customWidth="1"/>
    <col min="4349" max="4349" width="9" style="28" customWidth="1"/>
    <col min="4350" max="4351" width="9.85546875" style="28" customWidth="1"/>
    <col min="4352" max="4352" width="11.140625" style="28" customWidth="1"/>
    <col min="4353" max="4353" width="2.85546875" style="28" customWidth="1"/>
    <col min="4354" max="4354" width="3.5703125" style="28" customWidth="1"/>
    <col min="4355" max="4599" width="9.140625" style="28"/>
    <col min="4600" max="4600" width="8.7109375" style="28" customWidth="1"/>
    <col min="4601" max="4601" width="9.85546875" style="28" customWidth="1"/>
    <col min="4602" max="4602" width="14.42578125" style="28" customWidth="1"/>
    <col min="4603" max="4603" width="7.28515625" style="28" customWidth="1"/>
    <col min="4604" max="4604" width="5.5703125" style="28" customWidth="1"/>
    <col min="4605" max="4605" width="9" style="28" customWidth="1"/>
    <col min="4606" max="4607" width="9.85546875" style="28" customWidth="1"/>
    <col min="4608" max="4608" width="11.140625" style="28" customWidth="1"/>
    <col min="4609" max="4609" width="2.85546875" style="28" customWidth="1"/>
    <col min="4610" max="4610" width="3.5703125" style="28" customWidth="1"/>
    <col min="4611" max="4855" width="9.140625" style="28"/>
    <col min="4856" max="4856" width="8.7109375" style="28" customWidth="1"/>
    <col min="4857" max="4857" width="9.85546875" style="28" customWidth="1"/>
    <col min="4858" max="4858" width="14.42578125" style="28" customWidth="1"/>
    <col min="4859" max="4859" width="7.28515625" style="28" customWidth="1"/>
    <col min="4860" max="4860" width="5.5703125" style="28" customWidth="1"/>
    <col min="4861" max="4861" width="9" style="28" customWidth="1"/>
    <col min="4862" max="4863" width="9.85546875" style="28" customWidth="1"/>
    <col min="4864" max="4864" width="11.140625" style="28" customWidth="1"/>
    <col min="4865" max="4865" width="2.85546875" style="28" customWidth="1"/>
    <col min="4866" max="4866" width="3.5703125" style="28" customWidth="1"/>
    <col min="4867" max="5111" width="9.140625" style="28"/>
    <col min="5112" max="5112" width="8.7109375" style="28" customWidth="1"/>
    <col min="5113" max="5113" width="9.85546875" style="28" customWidth="1"/>
    <col min="5114" max="5114" width="14.42578125" style="28" customWidth="1"/>
    <col min="5115" max="5115" width="7.28515625" style="28" customWidth="1"/>
    <col min="5116" max="5116" width="5.5703125" style="28" customWidth="1"/>
    <col min="5117" max="5117" width="9" style="28" customWidth="1"/>
    <col min="5118" max="5119" width="9.85546875" style="28" customWidth="1"/>
    <col min="5120" max="5120" width="11.140625" style="28" customWidth="1"/>
    <col min="5121" max="5121" width="2.85546875" style="28" customWidth="1"/>
    <col min="5122" max="5122" width="3.5703125" style="28" customWidth="1"/>
    <col min="5123" max="5367" width="9.140625" style="28"/>
    <col min="5368" max="5368" width="8.7109375" style="28" customWidth="1"/>
    <col min="5369" max="5369" width="9.85546875" style="28" customWidth="1"/>
    <col min="5370" max="5370" width="14.42578125" style="28" customWidth="1"/>
    <col min="5371" max="5371" width="7.28515625" style="28" customWidth="1"/>
    <col min="5372" max="5372" width="5.5703125" style="28" customWidth="1"/>
    <col min="5373" max="5373" width="9" style="28" customWidth="1"/>
    <col min="5374" max="5375" width="9.85546875" style="28" customWidth="1"/>
    <col min="5376" max="5376" width="11.140625" style="28" customWidth="1"/>
    <col min="5377" max="5377" width="2.85546875" style="28" customWidth="1"/>
    <col min="5378" max="5378" width="3.5703125" style="28" customWidth="1"/>
    <col min="5379" max="5623" width="9.140625" style="28"/>
    <col min="5624" max="5624" width="8.7109375" style="28" customWidth="1"/>
    <col min="5625" max="5625" width="9.85546875" style="28" customWidth="1"/>
    <col min="5626" max="5626" width="14.42578125" style="28" customWidth="1"/>
    <col min="5627" max="5627" width="7.28515625" style="28" customWidth="1"/>
    <col min="5628" max="5628" width="5.5703125" style="28" customWidth="1"/>
    <col min="5629" max="5629" width="9" style="28" customWidth="1"/>
    <col min="5630" max="5631" width="9.85546875" style="28" customWidth="1"/>
    <col min="5632" max="5632" width="11.140625" style="28" customWidth="1"/>
    <col min="5633" max="5633" width="2.85546875" style="28" customWidth="1"/>
    <col min="5634" max="5634" width="3.5703125" style="28" customWidth="1"/>
    <col min="5635" max="5879" width="9.140625" style="28"/>
    <col min="5880" max="5880" width="8.7109375" style="28" customWidth="1"/>
    <col min="5881" max="5881" width="9.85546875" style="28" customWidth="1"/>
    <col min="5882" max="5882" width="14.42578125" style="28" customWidth="1"/>
    <col min="5883" max="5883" width="7.28515625" style="28" customWidth="1"/>
    <col min="5884" max="5884" width="5.5703125" style="28" customWidth="1"/>
    <col min="5885" max="5885" width="9" style="28" customWidth="1"/>
    <col min="5886" max="5887" width="9.85546875" style="28" customWidth="1"/>
    <col min="5888" max="5888" width="11.140625" style="28" customWidth="1"/>
    <col min="5889" max="5889" width="2.85546875" style="28" customWidth="1"/>
    <col min="5890" max="5890" width="3.5703125" style="28" customWidth="1"/>
    <col min="5891" max="6135" width="9.140625" style="28"/>
    <col min="6136" max="6136" width="8.7109375" style="28" customWidth="1"/>
    <col min="6137" max="6137" width="9.85546875" style="28" customWidth="1"/>
    <col min="6138" max="6138" width="14.42578125" style="28" customWidth="1"/>
    <col min="6139" max="6139" width="7.28515625" style="28" customWidth="1"/>
    <col min="6140" max="6140" width="5.5703125" style="28" customWidth="1"/>
    <col min="6141" max="6141" width="9" style="28" customWidth="1"/>
    <col min="6142" max="6143" width="9.85546875" style="28" customWidth="1"/>
    <col min="6144" max="6144" width="11.140625" style="28" customWidth="1"/>
    <col min="6145" max="6145" width="2.85546875" style="28" customWidth="1"/>
    <col min="6146" max="6146" width="3.5703125" style="28" customWidth="1"/>
    <col min="6147" max="6391" width="9.140625" style="28"/>
    <col min="6392" max="6392" width="8.7109375" style="28" customWidth="1"/>
    <col min="6393" max="6393" width="9.85546875" style="28" customWidth="1"/>
    <col min="6394" max="6394" width="14.42578125" style="28" customWidth="1"/>
    <col min="6395" max="6395" width="7.28515625" style="28" customWidth="1"/>
    <col min="6396" max="6396" width="5.5703125" style="28" customWidth="1"/>
    <col min="6397" max="6397" width="9" style="28" customWidth="1"/>
    <col min="6398" max="6399" width="9.85546875" style="28" customWidth="1"/>
    <col min="6400" max="6400" width="11.140625" style="28" customWidth="1"/>
    <col min="6401" max="6401" width="2.85546875" style="28" customWidth="1"/>
    <col min="6402" max="6402" width="3.5703125" style="28" customWidth="1"/>
    <col min="6403" max="6647" width="9.140625" style="28"/>
    <col min="6648" max="6648" width="8.7109375" style="28" customWidth="1"/>
    <col min="6649" max="6649" width="9.85546875" style="28" customWidth="1"/>
    <col min="6650" max="6650" width="14.42578125" style="28" customWidth="1"/>
    <col min="6651" max="6651" width="7.28515625" style="28" customWidth="1"/>
    <col min="6652" max="6652" width="5.5703125" style="28" customWidth="1"/>
    <col min="6653" max="6653" width="9" style="28" customWidth="1"/>
    <col min="6654" max="6655" width="9.85546875" style="28" customWidth="1"/>
    <col min="6656" max="6656" width="11.140625" style="28" customWidth="1"/>
    <col min="6657" max="6657" width="2.85546875" style="28" customWidth="1"/>
    <col min="6658" max="6658" width="3.5703125" style="28" customWidth="1"/>
    <col min="6659" max="6903" width="9.140625" style="28"/>
    <col min="6904" max="6904" width="8.7109375" style="28" customWidth="1"/>
    <col min="6905" max="6905" width="9.85546875" style="28" customWidth="1"/>
    <col min="6906" max="6906" width="14.42578125" style="28" customWidth="1"/>
    <col min="6907" max="6907" width="7.28515625" style="28" customWidth="1"/>
    <col min="6908" max="6908" width="5.5703125" style="28" customWidth="1"/>
    <col min="6909" max="6909" width="9" style="28" customWidth="1"/>
    <col min="6910" max="6911" width="9.85546875" style="28" customWidth="1"/>
    <col min="6912" max="6912" width="11.140625" style="28" customWidth="1"/>
    <col min="6913" max="6913" width="2.85546875" style="28" customWidth="1"/>
    <col min="6914" max="6914" width="3.5703125" style="28" customWidth="1"/>
    <col min="6915" max="7159" width="9.140625" style="28"/>
    <col min="7160" max="7160" width="8.7109375" style="28" customWidth="1"/>
    <col min="7161" max="7161" width="9.85546875" style="28" customWidth="1"/>
    <col min="7162" max="7162" width="14.42578125" style="28" customWidth="1"/>
    <col min="7163" max="7163" width="7.28515625" style="28" customWidth="1"/>
    <col min="7164" max="7164" width="5.5703125" style="28" customWidth="1"/>
    <col min="7165" max="7165" width="9" style="28" customWidth="1"/>
    <col min="7166" max="7167" width="9.85546875" style="28" customWidth="1"/>
    <col min="7168" max="7168" width="11.140625" style="28" customWidth="1"/>
    <col min="7169" max="7169" width="2.85546875" style="28" customWidth="1"/>
    <col min="7170" max="7170" width="3.5703125" style="28" customWidth="1"/>
    <col min="7171" max="7415" width="9.140625" style="28"/>
    <col min="7416" max="7416" width="8.7109375" style="28" customWidth="1"/>
    <col min="7417" max="7417" width="9.85546875" style="28" customWidth="1"/>
    <col min="7418" max="7418" width="14.42578125" style="28" customWidth="1"/>
    <col min="7419" max="7419" width="7.28515625" style="28" customWidth="1"/>
    <col min="7420" max="7420" width="5.5703125" style="28" customWidth="1"/>
    <col min="7421" max="7421" width="9" style="28" customWidth="1"/>
    <col min="7422" max="7423" width="9.85546875" style="28" customWidth="1"/>
    <col min="7424" max="7424" width="11.140625" style="28" customWidth="1"/>
    <col min="7425" max="7425" width="2.85546875" style="28" customWidth="1"/>
    <col min="7426" max="7426" width="3.5703125" style="28" customWidth="1"/>
    <col min="7427" max="7671" width="9.140625" style="28"/>
    <col min="7672" max="7672" width="8.7109375" style="28" customWidth="1"/>
    <col min="7673" max="7673" width="9.85546875" style="28" customWidth="1"/>
    <col min="7674" max="7674" width="14.42578125" style="28" customWidth="1"/>
    <col min="7675" max="7675" width="7.28515625" style="28" customWidth="1"/>
    <col min="7676" max="7676" width="5.5703125" style="28" customWidth="1"/>
    <col min="7677" max="7677" width="9" style="28" customWidth="1"/>
    <col min="7678" max="7679" width="9.85546875" style="28" customWidth="1"/>
    <col min="7680" max="7680" width="11.140625" style="28" customWidth="1"/>
    <col min="7681" max="7681" width="2.85546875" style="28" customWidth="1"/>
    <col min="7682" max="7682" width="3.5703125" style="28" customWidth="1"/>
    <col min="7683" max="7927" width="9.140625" style="28"/>
    <col min="7928" max="7928" width="8.7109375" style="28" customWidth="1"/>
    <col min="7929" max="7929" width="9.85546875" style="28" customWidth="1"/>
    <col min="7930" max="7930" width="14.42578125" style="28" customWidth="1"/>
    <col min="7931" max="7931" width="7.28515625" style="28" customWidth="1"/>
    <col min="7932" max="7932" width="5.5703125" style="28" customWidth="1"/>
    <col min="7933" max="7933" width="9" style="28" customWidth="1"/>
    <col min="7934" max="7935" width="9.85546875" style="28" customWidth="1"/>
    <col min="7936" max="7936" width="11.140625" style="28" customWidth="1"/>
    <col min="7937" max="7937" width="2.85546875" style="28" customWidth="1"/>
    <col min="7938" max="7938" width="3.5703125" style="28" customWidth="1"/>
    <col min="7939" max="8183" width="9.140625" style="28"/>
    <col min="8184" max="8184" width="8.7109375" style="28" customWidth="1"/>
    <col min="8185" max="8185" width="9.85546875" style="28" customWidth="1"/>
    <col min="8186" max="8186" width="14.42578125" style="28" customWidth="1"/>
    <col min="8187" max="8187" width="7.28515625" style="28" customWidth="1"/>
    <col min="8188" max="8188" width="5.5703125" style="28" customWidth="1"/>
    <col min="8189" max="8189" width="9" style="28" customWidth="1"/>
    <col min="8190" max="8191" width="9.85546875" style="28" customWidth="1"/>
    <col min="8192" max="8192" width="11.140625" style="28" customWidth="1"/>
    <col min="8193" max="8193" width="2.85546875" style="28" customWidth="1"/>
    <col min="8194" max="8194" width="3.5703125" style="28" customWidth="1"/>
    <col min="8195" max="8439" width="9.140625" style="28"/>
    <col min="8440" max="8440" width="8.7109375" style="28" customWidth="1"/>
    <col min="8441" max="8441" width="9.85546875" style="28" customWidth="1"/>
    <col min="8442" max="8442" width="14.42578125" style="28" customWidth="1"/>
    <col min="8443" max="8443" width="7.28515625" style="28" customWidth="1"/>
    <col min="8444" max="8444" width="5.5703125" style="28" customWidth="1"/>
    <col min="8445" max="8445" width="9" style="28" customWidth="1"/>
    <col min="8446" max="8447" width="9.85546875" style="28" customWidth="1"/>
    <col min="8448" max="8448" width="11.140625" style="28" customWidth="1"/>
    <col min="8449" max="8449" width="2.85546875" style="28" customWidth="1"/>
    <col min="8450" max="8450" width="3.5703125" style="28" customWidth="1"/>
    <col min="8451" max="8695" width="9.140625" style="28"/>
    <col min="8696" max="8696" width="8.7109375" style="28" customWidth="1"/>
    <col min="8697" max="8697" width="9.85546875" style="28" customWidth="1"/>
    <col min="8698" max="8698" width="14.42578125" style="28" customWidth="1"/>
    <col min="8699" max="8699" width="7.28515625" style="28" customWidth="1"/>
    <col min="8700" max="8700" width="5.5703125" style="28" customWidth="1"/>
    <col min="8701" max="8701" width="9" style="28" customWidth="1"/>
    <col min="8702" max="8703" width="9.85546875" style="28" customWidth="1"/>
    <col min="8704" max="8704" width="11.140625" style="28" customWidth="1"/>
    <col min="8705" max="8705" width="2.85546875" style="28" customWidth="1"/>
    <col min="8706" max="8706" width="3.5703125" style="28" customWidth="1"/>
    <col min="8707" max="8951" width="9.140625" style="28"/>
    <col min="8952" max="8952" width="8.7109375" style="28" customWidth="1"/>
    <col min="8953" max="8953" width="9.85546875" style="28" customWidth="1"/>
    <col min="8954" max="8954" width="14.42578125" style="28" customWidth="1"/>
    <col min="8955" max="8955" width="7.28515625" style="28" customWidth="1"/>
    <col min="8956" max="8956" width="5.5703125" style="28" customWidth="1"/>
    <col min="8957" max="8957" width="9" style="28" customWidth="1"/>
    <col min="8958" max="8959" width="9.85546875" style="28" customWidth="1"/>
    <col min="8960" max="8960" width="11.140625" style="28" customWidth="1"/>
    <col min="8961" max="8961" width="2.85546875" style="28" customWidth="1"/>
    <col min="8962" max="8962" width="3.5703125" style="28" customWidth="1"/>
    <col min="8963" max="9207" width="9.140625" style="28"/>
    <col min="9208" max="9208" width="8.7109375" style="28" customWidth="1"/>
    <col min="9209" max="9209" width="9.85546875" style="28" customWidth="1"/>
    <col min="9210" max="9210" width="14.42578125" style="28" customWidth="1"/>
    <col min="9211" max="9211" width="7.28515625" style="28" customWidth="1"/>
    <col min="9212" max="9212" width="5.5703125" style="28" customWidth="1"/>
    <col min="9213" max="9213" width="9" style="28" customWidth="1"/>
    <col min="9214" max="9215" width="9.85546875" style="28" customWidth="1"/>
    <col min="9216" max="9216" width="11.140625" style="28" customWidth="1"/>
    <col min="9217" max="9217" width="2.85546875" style="28" customWidth="1"/>
    <col min="9218" max="9218" width="3.5703125" style="28" customWidth="1"/>
    <col min="9219" max="9463" width="9.140625" style="28"/>
    <col min="9464" max="9464" width="8.7109375" style="28" customWidth="1"/>
    <col min="9465" max="9465" width="9.85546875" style="28" customWidth="1"/>
    <col min="9466" max="9466" width="14.42578125" style="28" customWidth="1"/>
    <col min="9467" max="9467" width="7.28515625" style="28" customWidth="1"/>
    <col min="9468" max="9468" width="5.5703125" style="28" customWidth="1"/>
    <col min="9469" max="9469" width="9" style="28" customWidth="1"/>
    <col min="9470" max="9471" width="9.85546875" style="28" customWidth="1"/>
    <col min="9472" max="9472" width="11.140625" style="28" customWidth="1"/>
    <col min="9473" max="9473" width="2.85546875" style="28" customWidth="1"/>
    <col min="9474" max="9474" width="3.5703125" style="28" customWidth="1"/>
    <col min="9475" max="9719" width="9.140625" style="28"/>
    <col min="9720" max="9720" width="8.7109375" style="28" customWidth="1"/>
    <col min="9721" max="9721" width="9.85546875" style="28" customWidth="1"/>
    <col min="9722" max="9722" width="14.42578125" style="28" customWidth="1"/>
    <col min="9723" max="9723" width="7.28515625" style="28" customWidth="1"/>
    <col min="9724" max="9724" width="5.5703125" style="28" customWidth="1"/>
    <col min="9725" max="9725" width="9" style="28" customWidth="1"/>
    <col min="9726" max="9727" width="9.85546875" style="28" customWidth="1"/>
    <col min="9728" max="9728" width="11.140625" style="28" customWidth="1"/>
    <col min="9729" max="9729" width="2.85546875" style="28" customWidth="1"/>
    <col min="9730" max="9730" width="3.5703125" style="28" customWidth="1"/>
    <col min="9731" max="9975" width="9.140625" style="28"/>
    <col min="9976" max="9976" width="8.7109375" style="28" customWidth="1"/>
    <col min="9977" max="9977" width="9.85546875" style="28" customWidth="1"/>
    <col min="9978" max="9978" width="14.42578125" style="28" customWidth="1"/>
    <col min="9979" max="9979" width="7.28515625" style="28" customWidth="1"/>
    <col min="9980" max="9980" width="5.5703125" style="28" customWidth="1"/>
    <col min="9981" max="9981" width="9" style="28" customWidth="1"/>
    <col min="9982" max="9983" width="9.85546875" style="28" customWidth="1"/>
    <col min="9984" max="9984" width="11.140625" style="28" customWidth="1"/>
    <col min="9985" max="9985" width="2.85546875" style="28" customWidth="1"/>
    <col min="9986" max="9986" width="3.5703125" style="28" customWidth="1"/>
    <col min="9987" max="10231" width="9.140625" style="28"/>
    <col min="10232" max="10232" width="8.7109375" style="28" customWidth="1"/>
    <col min="10233" max="10233" width="9.85546875" style="28" customWidth="1"/>
    <col min="10234" max="10234" width="14.42578125" style="28" customWidth="1"/>
    <col min="10235" max="10235" width="7.28515625" style="28" customWidth="1"/>
    <col min="10236" max="10236" width="5.5703125" style="28" customWidth="1"/>
    <col min="10237" max="10237" width="9" style="28" customWidth="1"/>
    <col min="10238" max="10239" width="9.85546875" style="28" customWidth="1"/>
    <col min="10240" max="10240" width="11.140625" style="28" customWidth="1"/>
    <col min="10241" max="10241" width="2.85546875" style="28" customWidth="1"/>
    <col min="10242" max="10242" width="3.5703125" style="28" customWidth="1"/>
    <col min="10243" max="10487" width="9.140625" style="28"/>
    <col min="10488" max="10488" width="8.7109375" style="28" customWidth="1"/>
    <col min="10489" max="10489" width="9.85546875" style="28" customWidth="1"/>
    <col min="10490" max="10490" width="14.42578125" style="28" customWidth="1"/>
    <col min="10491" max="10491" width="7.28515625" style="28" customWidth="1"/>
    <col min="10492" max="10492" width="5.5703125" style="28" customWidth="1"/>
    <col min="10493" max="10493" width="9" style="28" customWidth="1"/>
    <col min="10494" max="10495" width="9.85546875" style="28" customWidth="1"/>
    <col min="10496" max="10496" width="11.140625" style="28" customWidth="1"/>
    <col min="10497" max="10497" width="2.85546875" style="28" customWidth="1"/>
    <col min="10498" max="10498" width="3.5703125" style="28" customWidth="1"/>
    <col min="10499" max="10743" width="9.140625" style="28"/>
    <col min="10744" max="10744" width="8.7109375" style="28" customWidth="1"/>
    <col min="10745" max="10745" width="9.85546875" style="28" customWidth="1"/>
    <col min="10746" max="10746" width="14.42578125" style="28" customWidth="1"/>
    <col min="10747" max="10747" width="7.28515625" style="28" customWidth="1"/>
    <col min="10748" max="10748" width="5.5703125" style="28" customWidth="1"/>
    <col min="10749" max="10749" width="9" style="28" customWidth="1"/>
    <col min="10750" max="10751" width="9.85546875" style="28" customWidth="1"/>
    <col min="10752" max="10752" width="11.140625" style="28" customWidth="1"/>
    <col min="10753" max="10753" width="2.85546875" style="28" customWidth="1"/>
    <col min="10754" max="10754" width="3.5703125" style="28" customWidth="1"/>
    <col min="10755" max="10999" width="9.140625" style="28"/>
    <col min="11000" max="11000" width="8.7109375" style="28" customWidth="1"/>
    <col min="11001" max="11001" width="9.85546875" style="28" customWidth="1"/>
    <col min="11002" max="11002" width="14.42578125" style="28" customWidth="1"/>
    <col min="11003" max="11003" width="7.28515625" style="28" customWidth="1"/>
    <col min="11004" max="11004" width="5.5703125" style="28" customWidth="1"/>
    <col min="11005" max="11005" width="9" style="28" customWidth="1"/>
    <col min="11006" max="11007" width="9.85546875" style="28" customWidth="1"/>
    <col min="11008" max="11008" width="11.140625" style="28" customWidth="1"/>
    <col min="11009" max="11009" width="2.85546875" style="28" customWidth="1"/>
    <col min="11010" max="11010" width="3.5703125" style="28" customWidth="1"/>
    <col min="11011" max="11255" width="9.140625" style="28"/>
    <col min="11256" max="11256" width="8.7109375" style="28" customWidth="1"/>
    <col min="11257" max="11257" width="9.85546875" style="28" customWidth="1"/>
    <col min="11258" max="11258" width="14.42578125" style="28" customWidth="1"/>
    <col min="11259" max="11259" width="7.28515625" style="28" customWidth="1"/>
    <col min="11260" max="11260" width="5.5703125" style="28" customWidth="1"/>
    <col min="11261" max="11261" width="9" style="28" customWidth="1"/>
    <col min="11262" max="11263" width="9.85546875" style="28" customWidth="1"/>
    <col min="11264" max="11264" width="11.140625" style="28" customWidth="1"/>
    <col min="11265" max="11265" width="2.85546875" style="28" customWidth="1"/>
    <col min="11266" max="11266" width="3.5703125" style="28" customWidth="1"/>
    <col min="11267" max="11511" width="9.140625" style="28"/>
    <col min="11512" max="11512" width="8.7109375" style="28" customWidth="1"/>
    <col min="11513" max="11513" width="9.85546875" style="28" customWidth="1"/>
    <col min="11514" max="11514" width="14.42578125" style="28" customWidth="1"/>
    <col min="11515" max="11515" width="7.28515625" style="28" customWidth="1"/>
    <col min="11516" max="11516" width="5.5703125" style="28" customWidth="1"/>
    <col min="11517" max="11517" width="9" style="28" customWidth="1"/>
    <col min="11518" max="11519" width="9.85546875" style="28" customWidth="1"/>
    <col min="11520" max="11520" width="11.140625" style="28" customWidth="1"/>
    <col min="11521" max="11521" width="2.85546875" style="28" customWidth="1"/>
    <col min="11522" max="11522" width="3.5703125" style="28" customWidth="1"/>
    <col min="11523" max="11767" width="9.140625" style="28"/>
    <col min="11768" max="11768" width="8.7109375" style="28" customWidth="1"/>
    <col min="11769" max="11769" width="9.85546875" style="28" customWidth="1"/>
    <col min="11770" max="11770" width="14.42578125" style="28" customWidth="1"/>
    <col min="11771" max="11771" width="7.28515625" style="28" customWidth="1"/>
    <col min="11772" max="11772" width="5.5703125" style="28" customWidth="1"/>
    <col min="11773" max="11773" width="9" style="28" customWidth="1"/>
    <col min="11774" max="11775" width="9.85546875" style="28" customWidth="1"/>
    <col min="11776" max="11776" width="11.140625" style="28" customWidth="1"/>
    <col min="11777" max="11777" width="2.85546875" style="28" customWidth="1"/>
    <col min="11778" max="11778" width="3.5703125" style="28" customWidth="1"/>
    <col min="11779" max="12023" width="9.140625" style="28"/>
    <col min="12024" max="12024" width="8.7109375" style="28" customWidth="1"/>
    <col min="12025" max="12025" width="9.85546875" style="28" customWidth="1"/>
    <col min="12026" max="12026" width="14.42578125" style="28" customWidth="1"/>
    <col min="12027" max="12027" width="7.28515625" style="28" customWidth="1"/>
    <col min="12028" max="12028" width="5.5703125" style="28" customWidth="1"/>
    <col min="12029" max="12029" width="9" style="28" customWidth="1"/>
    <col min="12030" max="12031" width="9.85546875" style="28" customWidth="1"/>
    <col min="12032" max="12032" width="11.140625" style="28" customWidth="1"/>
    <col min="12033" max="12033" width="2.85546875" style="28" customWidth="1"/>
    <col min="12034" max="12034" width="3.5703125" style="28" customWidth="1"/>
    <col min="12035" max="12279" width="9.140625" style="28"/>
    <col min="12280" max="12280" width="8.7109375" style="28" customWidth="1"/>
    <col min="12281" max="12281" width="9.85546875" style="28" customWidth="1"/>
    <col min="12282" max="12282" width="14.42578125" style="28" customWidth="1"/>
    <col min="12283" max="12283" width="7.28515625" style="28" customWidth="1"/>
    <col min="12284" max="12284" width="5.5703125" style="28" customWidth="1"/>
    <col min="12285" max="12285" width="9" style="28" customWidth="1"/>
    <col min="12286" max="12287" width="9.85546875" style="28" customWidth="1"/>
    <col min="12288" max="12288" width="11.140625" style="28" customWidth="1"/>
    <col min="12289" max="12289" width="2.85546875" style="28" customWidth="1"/>
    <col min="12290" max="12290" width="3.5703125" style="28" customWidth="1"/>
    <col min="12291" max="12535" width="9.140625" style="28"/>
    <col min="12536" max="12536" width="8.7109375" style="28" customWidth="1"/>
    <col min="12537" max="12537" width="9.85546875" style="28" customWidth="1"/>
    <col min="12538" max="12538" width="14.42578125" style="28" customWidth="1"/>
    <col min="12539" max="12539" width="7.28515625" style="28" customWidth="1"/>
    <col min="12540" max="12540" width="5.5703125" style="28" customWidth="1"/>
    <col min="12541" max="12541" width="9" style="28" customWidth="1"/>
    <col min="12542" max="12543" width="9.85546875" style="28" customWidth="1"/>
    <col min="12544" max="12544" width="11.140625" style="28" customWidth="1"/>
    <col min="12545" max="12545" width="2.85546875" style="28" customWidth="1"/>
    <col min="12546" max="12546" width="3.5703125" style="28" customWidth="1"/>
    <col min="12547" max="12791" width="9.140625" style="28"/>
    <col min="12792" max="12792" width="8.7109375" style="28" customWidth="1"/>
    <col min="12793" max="12793" width="9.85546875" style="28" customWidth="1"/>
    <col min="12794" max="12794" width="14.42578125" style="28" customWidth="1"/>
    <col min="12795" max="12795" width="7.28515625" style="28" customWidth="1"/>
    <col min="12796" max="12796" width="5.5703125" style="28" customWidth="1"/>
    <col min="12797" max="12797" width="9" style="28" customWidth="1"/>
    <col min="12798" max="12799" width="9.85546875" style="28" customWidth="1"/>
    <col min="12800" max="12800" width="11.140625" style="28" customWidth="1"/>
    <col min="12801" max="12801" width="2.85546875" style="28" customWidth="1"/>
    <col min="12802" max="12802" width="3.5703125" style="28" customWidth="1"/>
    <col min="12803" max="13047" width="9.140625" style="28"/>
    <col min="13048" max="13048" width="8.7109375" style="28" customWidth="1"/>
    <col min="13049" max="13049" width="9.85546875" style="28" customWidth="1"/>
    <col min="13050" max="13050" width="14.42578125" style="28" customWidth="1"/>
    <col min="13051" max="13051" width="7.28515625" style="28" customWidth="1"/>
    <col min="13052" max="13052" width="5.5703125" style="28" customWidth="1"/>
    <col min="13053" max="13053" width="9" style="28" customWidth="1"/>
    <col min="13054" max="13055" width="9.85546875" style="28" customWidth="1"/>
    <col min="13056" max="13056" width="11.140625" style="28" customWidth="1"/>
    <col min="13057" max="13057" width="2.85546875" style="28" customWidth="1"/>
    <col min="13058" max="13058" width="3.5703125" style="28" customWidth="1"/>
    <col min="13059" max="13303" width="9.140625" style="28"/>
    <col min="13304" max="13304" width="8.7109375" style="28" customWidth="1"/>
    <col min="13305" max="13305" width="9.85546875" style="28" customWidth="1"/>
    <col min="13306" max="13306" width="14.42578125" style="28" customWidth="1"/>
    <col min="13307" max="13307" width="7.28515625" style="28" customWidth="1"/>
    <col min="13308" max="13308" width="5.5703125" style="28" customWidth="1"/>
    <col min="13309" max="13309" width="9" style="28" customWidth="1"/>
    <col min="13310" max="13311" width="9.85546875" style="28" customWidth="1"/>
    <col min="13312" max="13312" width="11.140625" style="28" customWidth="1"/>
    <col min="13313" max="13313" width="2.85546875" style="28" customWidth="1"/>
    <col min="13314" max="13314" width="3.5703125" style="28" customWidth="1"/>
    <col min="13315" max="13559" width="9.140625" style="28"/>
    <col min="13560" max="13560" width="8.7109375" style="28" customWidth="1"/>
    <col min="13561" max="13561" width="9.85546875" style="28" customWidth="1"/>
    <col min="13562" max="13562" width="14.42578125" style="28" customWidth="1"/>
    <col min="13563" max="13563" width="7.28515625" style="28" customWidth="1"/>
    <col min="13564" max="13564" width="5.5703125" style="28" customWidth="1"/>
    <col min="13565" max="13565" width="9" style="28" customWidth="1"/>
    <col min="13566" max="13567" width="9.85546875" style="28" customWidth="1"/>
    <col min="13568" max="13568" width="11.140625" style="28" customWidth="1"/>
    <col min="13569" max="13569" width="2.85546875" style="28" customWidth="1"/>
    <col min="13570" max="13570" width="3.5703125" style="28" customWidth="1"/>
    <col min="13571" max="13815" width="9.140625" style="28"/>
    <col min="13816" max="13816" width="8.7109375" style="28" customWidth="1"/>
    <col min="13817" max="13817" width="9.85546875" style="28" customWidth="1"/>
    <col min="13818" max="13818" width="14.42578125" style="28" customWidth="1"/>
    <col min="13819" max="13819" width="7.28515625" style="28" customWidth="1"/>
    <col min="13820" max="13820" width="5.5703125" style="28" customWidth="1"/>
    <col min="13821" max="13821" width="9" style="28" customWidth="1"/>
    <col min="13822" max="13823" width="9.85546875" style="28" customWidth="1"/>
    <col min="13824" max="13824" width="11.140625" style="28" customWidth="1"/>
    <col min="13825" max="13825" width="2.85546875" style="28" customWidth="1"/>
    <col min="13826" max="13826" width="3.5703125" style="28" customWidth="1"/>
    <col min="13827" max="14071" width="9.140625" style="28"/>
    <col min="14072" max="14072" width="8.7109375" style="28" customWidth="1"/>
    <col min="14073" max="14073" width="9.85546875" style="28" customWidth="1"/>
    <col min="14074" max="14074" width="14.42578125" style="28" customWidth="1"/>
    <col min="14075" max="14075" width="7.28515625" style="28" customWidth="1"/>
    <col min="14076" max="14076" width="5.5703125" style="28" customWidth="1"/>
    <col min="14077" max="14077" width="9" style="28" customWidth="1"/>
    <col min="14078" max="14079" width="9.85546875" style="28" customWidth="1"/>
    <col min="14080" max="14080" width="11.140625" style="28" customWidth="1"/>
    <col min="14081" max="14081" width="2.85546875" style="28" customWidth="1"/>
    <col min="14082" max="14082" width="3.5703125" style="28" customWidth="1"/>
    <col min="14083" max="14327" width="9.140625" style="28"/>
    <col min="14328" max="14328" width="8.7109375" style="28" customWidth="1"/>
    <col min="14329" max="14329" width="9.85546875" style="28" customWidth="1"/>
    <col min="14330" max="14330" width="14.42578125" style="28" customWidth="1"/>
    <col min="14331" max="14331" width="7.28515625" style="28" customWidth="1"/>
    <col min="14332" max="14332" width="5.5703125" style="28" customWidth="1"/>
    <col min="14333" max="14333" width="9" style="28" customWidth="1"/>
    <col min="14334" max="14335" width="9.85546875" style="28" customWidth="1"/>
    <col min="14336" max="14336" width="11.140625" style="28" customWidth="1"/>
    <col min="14337" max="14337" width="2.85546875" style="28" customWidth="1"/>
    <col min="14338" max="14338" width="3.5703125" style="28" customWidth="1"/>
    <col min="14339" max="14583" width="9.140625" style="28"/>
    <col min="14584" max="14584" width="8.7109375" style="28" customWidth="1"/>
    <col min="14585" max="14585" width="9.85546875" style="28" customWidth="1"/>
    <col min="14586" max="14586" width="14.42578125" style="28" customWidth="1"/>
    <col min="14587" max="14587" width="7.28515625" style="28" customWidth="1"/>
    <col min="14588" max="14588" width="5.5703125" style="28" customWidth="1"/>
    <col min="14589" max="14589" width="9" style="28" customWidth="1"/>
    <col min="14590" max="14591" width="9.85546875" style="28" customWidth="1"/>
    <col min="14592" max="14592" width="11.140625" style="28" customWidth="1"/>
    <col min="14593" max="14593" width="2.85546875" style="28" customWidth="1"/>
    <col min="14594" max="14594" width="3.5703125" style="28" customWidth="1"/>
    <col min="14595" max="14839" width="9.140625" style="28"/>
    <col min="14840" max="14840" width="8.7109375" style="28" customWidth="1"/>
    <col min="14841" max="14841" width="9.85546875" style="28" customWidth="1"/>
    <col min="14842" max="14842" width="14.42578125" style="28" customWidth="1"/>
    <col min="14843" max="14843" width="7.28515625" style="28" customWidth="1"/>
    <col min="14844" max="14844" width="5.5703125" style="28" customWidth="1"/>
    <col min="14845" max="14845" width="9" style="28" customWidth="1"/>
    <col min="14846" max="14847" width="9.85546875" style="28" customWidth="1"/>
    <col min="14848" max="14848" width="11.140625" style="28" customWidth="1"/>
    <col min="14849" max="14849" width="2.85546875" style="28" customWidth="1"/>
    <col min="14850" max="14850" width="3.5703125" style="28" customWidth="1"/>
    <col min="14851" max="15095" width="9.140625" style="28"/>
    <col min="15096" max="15096" width="8.7109375" style="28" customWidth="1"/>
    <col min="15097" max="15097" width="9.85546875" style="28" customWidth="1"/>
    <col min="15098" max="15098" width="14.42578125" style="28" customWidth="1"/>
    <col min="15099" max="15099" width="7.28515625" style="28" customWidth="1"/>
    <col min="15100" max="15100" width="5.5703125" style="28" customWidth="1"/>
    <col min="15101" max="15101" width="9" style="28" customWidth="1"/>
    <col min="15102" max="15103" width="9.85546875" style="28" customWidth="1"/>
    <col min="15104" max="15104" width="11.140625" style="28" customWidth="1"/>
    <col min="15105" max="15105" width="2.85546875" style="28" customWidth="1"/>
    <col min="15106" max="15106" width="3.5703125" style="28" customWidth="1"/>
    <col min="15107" max="15351" width="9.140625" style="28"/>
    <col min="15352" max="15352" width="8.7109375" style="28" customWidth="1"/>
    <col min="15353" max="15353" width="9.85546875" style="28" customWidth="1"/>
    <col min="15354" max="15354" width="14.42578125" style="28" customWidth="1"/>
    <col min="15355" max="15355" width="7.28515625" style="28" customWidth="1"/>
    <col min="15356" max="15356" width="5.5703125" style="28" customWidth="1"/>
    <col min="15357" max="15357" width="9" style="28" customWidth="1"/>
    <col min="15358" max="15359" width="9.85546875" style="28" customWidth="1"/>
    <col min="15360" max="15360" width="11.140625" style="28" customWidth="1"/>
    <col min="15361" max="15361" width="2.85546875" style="28" customWidth="1"/>
    <col min="15362" max="15362" width="3.5703125" style="28" customWidth="1"/>
    <col min="15363" max="15607" width="9.140625" style="28"/>
    <col min="15608" max="15608" width="8.7109375" style="28" customWidth="1"/>
    <col min="15609" max="15609" width="9.85546875" style="28" customWidth="1"/>
    <col min="15610" max="15610" width="14.42578125" style="28" customWidth="1"/>
    <col min="15611" max="15611" width="7.28515625" style="28" customWidth="1"/>
    <col min="15612" max="15612" width="5.5703125" style="28" customWidth="1"/>
    <col min="15613" max="15613" width="9" style="28" customWidth="1"/>
    <col min="15614" max="15615" width="9.85546875" style="28" customWidth="1"/>
    <col min="15616" max="15616" width="11.140625" style="28" customWidth="1"/>
    <col min="15617" max="15617" width="2.85546875" style="28" customWidth="1"/>
    <col min="15618" max="15618" width="3.5703125" style="28" customWidth="1"/>
    <col min="15619" max="15863" width="9.140625" style="28"/>
    <col min="15864" max="15864" width="8.7109375" style="28" customWidth="1"/>
    <col min="15865" max="15865" width="9.85546875" style="28" customWidth="1"/>
    <col min="15866" max="15866" width="14.42578125" style="28" customWidth="1"/>
    <col min="15867" max="15867" width="7.28515625" style="28" customWidth="1"/>
    <col min="15868" max="15868" width="5.5703125" style="28" customWidth="1"/>
    <col min="15869" max="15869" width="9" style="28" customWidth="1"/>
    <col min="15870" max="15871" width="9.85546875" style="28" customWidth="1"/>
    <col min="15872" max="15872" width="11.140625" style="28" customWidth="1"/>
    <col min="15873" max="15873" width="2.85546875" style="28" customWidth="1"/>
    <col min="15874" max="15874" width="3.5703125" style="28" customWidth="1"/>
    <col min="15875" max="16119" width="9.140625" style="28"/>
    <col min="16120" max="16120" width="8.7109375" style="28" customWidth="1"/>
    <col min="16121" max="16121" width="9.85546875" style="28" customWidth="1"/>
    <col min="16122" max="16122" width="14.42578125" style="28" customWidth="1"/>
    <col min="16123" max="16123" width="7.28515625" style="28" customWidth="1"/>
    <col min="16124" max="16124" width="5.5703125" style="28" customWidth="1"/>
    <col min="16125" max="16125" width="9" style="28" customWidth="1"/>
    <col min="16126" max="16127" width="9.85546875" style="28" customWidth="1"/>
    <col min="16128" max="16128" width="11.140625" style="28" customWidth="1"/>
    <col min="16129" max="16129" width="2.85546875" style="28" customWidth="1"/>
    <col min="16130" max="16130" width="3.5703125" style="28" customWidth="1"/>
    <col min="16131" max="16384" width="9.140625" style="28"/>
  </cols>
  <sheetData>
    <row r="1" spans="1:12" ht="46.5" customHeight="1" x14ac:dyDescent="0.25">
      <c r="A1" s="146" t="s">
        <v>249</v>
      </c>
      <c r="B1" s="146"/>
      <c r="C1" s="146"/>
      <c r="D1" s="146"/>
      <c r="E1" s="146"/>
      <c r="F1" s="146"/>
      <c r="G1" s="146"/>
      <c r="H1" s="146"/>
    </row>
    <row r="2" spans="1:12" ht="16.5" customHeight="1" x14ac:dyDescent="0.25">
      <c r="A2" s="123" t="s">
        <v>0</v>
      </c>
      <c r="B2" s="123"/>
      <c r="C2" s="123"/>
      <c r="D2" s="123"/>
      <c r="E2" s="123"/>
      <c r="F2" s="123"/>
      <c r="G2" s="123"/>
      <c r="H2" s="123"/>
    </row>
    <row r="3" spans="1:12" x14ac:dyDescent="0.25">
      <c r="A3" s="113" t="s">
        <v>1</v>
      </c>
      <c r="B3" s="113"/>
      <c r="C3" s="113"/>
      <c r="D3" s="113"/>
      <c r="E3" s="147" t="str">
        <f ca="1">TEXT(TODAY(),"DD/MM/YYYY")</f>
        <v>11/09/2025</v>
      </c>
      <c r="F3" s="147"/>
      <c r="G3" s="147"/>
      <c r="H3" s="147"/>
    </row>
    <row r="4" spans="1:12" ht="15" customHeight="1" x14ac:dyDescent="0.25">
      <c r="A4" s="113" t="s">
        <v>2</v>
      </c>
      <c r="B4" s="113"/>
      <c r="C4" s="113"/>
      <c r="D4" s="113"/>
      <c r="E4" s="148" t="s">
        <v>167</v>
      </c>
      <c r="F4" s="148"/>
      <c r="G4" s="148"/>
      <c r="H4" s="148"/>
    </row>
    <row r="5" spans="1:12" x14ac:dyDescent="0.25">
      <c r="A5" s="113" t="s">
        <v>3</v>
      </c>
      <c r="B5" s="113"/>
      <c r="C5" s="113"/>
      <c r="D5" s="113"/>
      <c r="E5" s="147">
        <v>45906</v>
      </c>
      <c r="F5" s="147"/>
      <c r="G5" s="147"/>
      <c r="H5" s="147"/>
    </row>
    <row r="6" spans="1:12" ht="16.5" customHeight="1" x14ac:dyDescent="0.25">
      <c r="A6" s="113" t="s">
        <v>4</v>
      </c>
      <c r="B6" s="113"/>
      <c r="C6" s="113"/>
      <c r="D6" s="113"/>
      <c r="E6" s="142" t="s">
        <v>197</v>
      </c>
      <c r="F6" s="142"/>
      <c r="G6" s="142"/>
      <c r="H6" s="142"/>
    </row>
    <row r="7" spans="1:12" ht="15" customHeight="1" x14ac:dyDescent="0.25">
      <c r="A7" s="113" t="s">
        <v>5</v>
      </c>
      <c r="B7" s="113"/>
      <c r="C7" s="113"/>
      <c r="D7" s="113"/>
      <c r="E7" s="142" t="str">
        <f>E6</f>
        <v>M/s.RDP Realtores</v>
      </c>
      <c r="F7" s="142"/>
      <c r="G7" s="142"/>
      <c r="H7" s="142"/>
    </row>
    <row r="8" spans="1:12" x14ac:dyDescent="0.25">
      <c r="A8" s="113" t="s">
        <v>6</v>
      </c>
      <c r="B8" s="113"/>
      <c r="C8" s="113"/>
      <c r="D8" s="113"/>
      <c r="E8" s="114" t="s">
        <v>169</v>
      </c>
      <c r="F8" s="114"/>
      <c r="G8" s="114"/>
      <c r="H8" s="114"/>
    </row>
    <row r="9" spans="1:12" x14ac:dyDescent="0.25">
      <c r="A9" s="113" t="s">
        <v>137</v>
      </c>
      <c r="B9" s="113"/>
      <c r="C9" s="113"/>
      <c r="D9" s="113"/>
      <c r="E9" s="113" t="s">
        <v>30</v>
      </c>
      <c r="F9" s="113"/>
      <c r="G9" s="113"/>
      <c r="H9" s="113"/>
    </row>
    <row r="10" spans="1:12" x14ac:dyDescent="0.25">
      <c r="A10" s="113" t="s">
        <v>250</v>
      </c>
      <c r="B10" s="113"/>
      <c r="C10" s="113"/>
      <c r="D10" s="113"/>
      <c r="E10" s="113" t="s">
        <v>30</v>
      </c>
      <c r="F10" s="113"/>
      <c r="G10" s="113"/>
      <c r="H10" s="113"/>
      <c r="I10" s="113" t="s">
        <v>258</v>
      </c>
      <c r="J10" s="113"/>
      <c r="K10" s="113"/>
      <c r="L10" s="113"/>
    </row>
    <row r="11" spans="1:12" x14ac:dyDescent="0.25">
      <c r="A11" s="109" t="s">
        <v>7</v>
      </c>
      <c r="B11" s="109"/>
      <c r="C11" s="109"/>
      <c r="D11" s="109"/>
      <c r="E11" s="109" t="s">
        <v>201</v>
      </c>
      <c r="F11" s="109"/>
      <c r="G11" s="109"/>
      <c r="H11" s="109"/>
    </row>
    <row r="12" spans="1:12" ht="16.5" customHeight="1" x14ac:dyDescent="0.25">
      <c r="A12" s="113" t="s">
        <v>8</v>
      </c>
      <c r="B12" s="113"/>
      <c r="C12" s="113"/>
      <c r="D12" s="113"/>
      <c r="E12" s="144" t="s">
        <v>202</v>
      </c>
      <c r="F12" s="144"/>
      <c r="G12" s="144"/>
      <c r="H12" s="144"/>
    </row>
    <row r="13" spans="1:12" x14ac:dyDescent="0.25">
      <c r="A13" s="113" t="s">
        <v>9</v>
      </c>
      <c r="B13" s="113"/>
      <c r="C13" s="113"/>
      <c r="D13" s="113"/>
      <c r="E13" s="144" t="s">
        <v>168</v>
      </c>
      <c r="F13" s="128"/>
      <c r="G13" s="128"/>
      <c r="H13" s="128"/>
    </row>
    <row r="14" spans="1:12" ht="33" customHeight="1" x14ac:dyDescent="0.25">
      <c r="A14" s="142" t="s">
        <v>10</v>
      </c>
      <c r="B14" s="142"/>
      <c r="C14" s="142" t="str">
        <f>CONCATENATE((IF(OR(E8="",E8="NA"),"",E8)),", ",(IF(OR(A15="",A15="NA"),"",A15)),".",(IF(OR(C15="",C15="NA"),"",C15)),", near ",(IF(OR(C19="",C19="NA"),"",C19)),", ",(IF(OR(C16="",C16="NA"),"",C16)),", ",(IF(OR(G16="",G16="NA"),"",G16)),", ",(IF(OR(C17="",C17="NA"),"",C17)),", ",(IF(OR(C18="",C18="NA"),"",C18)),", ",(IF(OR(G17="",G17="NA"),"",G17)),".")</f>
        <v>Shanti Luxuria, Survey No .58 &amp; Hissa No 2, near Bhoomi Lawns, Kalyan Shill Road, Padle, Diva, Thane, Thane.</v>
      </c>
      <c r="D14" s="142"/>
      <c r="E14" s="142"/>
      <c r="F14" s="142"/>
      <c r="G14" s="142"/>
      <c r="H14" s="142"/>
    </row>
    <row r="15" spans="1:12" x14ac:dyDescent="0.25">
      <c r="A15" s="144" t="s">
        <v>171</v>
      </c>
      <c r="B15" s="144"/>
      <c r="C15" s="124" t="s">
        <v>172</v>
      </c>
      <c r="D15" s="124"/>
      <c r="E15" s="124"/>
      <c r="F15" s="124"/>
      <c r="G15" s="124"/>
      <c r="H15" s="124"/>
    </row>
    <row r="16" spans="1:12" ht="15.75" customHeight="1" x14ac:dyDescent="0.25">
      <c r="A16" s="142" t="s">
        <v>11</v>
      </c>
      <c r="B16" s="142"/>
      <c r="C16" s="109" t="s">
        <v>182</v>
      </c>
      <c r="D16" s="109"/>
      <c r="E16" s="142" t="s">
        <v>80</v>
      </c>
      <c r="F16" s="142"/>
      <c r="G16" s="124" t="s">
        <v>170</v>
      </c>
      <c r="H16" s="124"/>
    </row>
    <row r="17" spans="1:8" x14ac:dyDescent="0.25">
      <c r="A17" s="113" t="s">
        <v>13</v>
      </c>
      <c r="B17" s="113"/>
      <c r="C17" s="124" t="s">
        <v>174</v>
      </c>
      <c r="D17" s="124"/>
      <c r="E17" s="142" t="s">
        <v>12</v>
      </c>
      <c r="F17" s="142"/>
      <c r="G17" s="145" t="s">
        <v>173</v>
      </c>
      <c r="H17" s="145"/>
    </row>
    <row r="18" spans="1:8" x14ac:dyDescent="0.25">
      <c r="A18" s="113" t="s">
        <v>81</v>
      </c>
      <c r="B18" s="113"/>
      <c r="C18" s="124" t="s">
        <v>173</v>
      </c>
      <c r="D18" s="124"/>
      <c r="E18" s="142" t="s">
        <v>14</v>
      </c>
      <c r="F18" s="142"/>
      <c r="G18" s="124">
        <v>421204</v>
      </c>
      <c r="H18" s="124"/>
    </row>
    <row r="19" spans="1:8" ht="32.25" customHeight="1" x14ac:dyDescent="0.25">
      <c r="A19" s="113" t="s">
        <v>138</v>
      </c>
      <c r="B19" s="113"/>
      <c r="C19" s="142" t="s">
        <v>177</v>
      </c>
      <c r="D19" s="142"/>
      <c r="E19" s="142" t="s">
        <v>15</v>
      </c>
      <c r="F19" s="142"/>
      <c r="G19" s="144" t="s">
        <v>176</v>
      </c>
      <c r="H19" s="144"/>
    </row>
    <row r="20" spans="1:8" ht="15" customHeight="1" x14ac:dyDescent="0.25">
      <c r="A20" s="142" t="s">
        <v>85</v>
      </c>
      <c r="B20" s="142"/>
      <c r="C20" s="142"/>
      <c r="D20" s="142"/>
      <c r="E20" s="109" t="s">
        <v>16</v>
      </c>
      <c r="F20" s="109"/>
      <c r="G20" s="109"/>
      <c r="H20" s="109"/>
    </row>
    <row r="21" spans="1:8" ht="18.75" customHeight="1" x14ac:dyDescent="0.25">
      <c r="A21" s="142"/>
      <c r="B21" s="142"/>
      <c r="C21" s="142"/>
      <c r="D21" s="142"/>
      <c r="E21" s="109"/>
      <c r="F21" s="109"/>
      <c r="G21" s="109"/>
      <c r="H21" s="109"/>
    </row>
    <row r="22" spans="1:8" ht="15" customHeight="1" x14ac:dyDescent="0.25">
      <c r="A22" s="142" t="s">
        <v>17</v>
      </c>
      <c r="B22" s="142"/>
      <c r="C22" s="142"/>
      <c r="D22" s="142"/>
      <c r="E22" s="124" t="s">
        <v>18</v>
      </c>
      <c r="F22" s="124"/>
      <c r="G22" s="124"/>
      <c r="H22" s="124"/>
    </row>
    <row r="23" spans="1:8" ht="15" customHeight="1" x14ac:dyDescent="0.25">
      <c r="A23" s="113" t="s">
        <v>19</v>
      </c>
      <c r="B23" s="113"/>
      <c r="C23" s="113"/>
      <c r="D23" s="113"/>
      <c r="E23" s="124" t="str">
        <f>IF(AND(G17="Mumbai"),"Upper Class","Middle Class")</f>
        <v>Middle Class</v>
      </c>
      <c r="F23" s="124"/>
      <c r="G23" s="124"/>
      <c r="H23" s="124"/>
    </row>
    <row r="24" spans="1:8" x14ac:dyDescent="0.25">
      <c r="A24" s="113" t="s">
        <v>20</v>
      </c>
      <c r="B24" s="113"/>
      <c r="C24" s="113"/>
      <c r="D24" s="113"/>
      <c r="E24" s="124" t="s">
        <v>21</v>
      </c>
      <c r="F24" s="124"/>
      <c r="G24" s="124"/>
      <c r="H24" s="124"/>
    </row>
    <row r="25" spans="1:8" ht="15.75" customHeight="1" x14ac:dyDescent="0.25">
      <c r="A25" s="113" t="s">
        <v>22</v>
      </c>
      <c r="B25" s="113"/>
      <c r="C25" s="113"/>
      <c r="D25" s="113"/>
      <c r="E25" s="124" t="str">
        <f>IF(AND(G17="Mumbai"),"Developed","Developing")</f>
        <v>Developing</v>
      </c>
      <c r="F25" s="124"/>
      <c r="G25" s="124"/>
      <c r="H25" s="124"/>
    </row>
    <row r="26" spans="1:8" x14ac:dyDescent="0.25">
      <c r="A26" s="113" t="s">
        <v>23</v>
      </c>
      <c r="B26" s="113"/>
      <c r="C26" s="113"/>
      <c r="D26" s="113"/>
      <c r="E26" s="124" t="s">
        <v>24</v>
      </c>
      <c r="F26" s="124"/>
      <c r="G26" s="124"/>
      <c r="H26" s="124"/>
    </row>
    <row r="27" spans="1:8" x14ac:dyDescent="0.25">
      <c r="A27" s="113" t="s">
        <v>91</v>
      </c>
      <c r="B27" s="113"/>
      <c r="C27" s="113"/>
      <c r="D27" s="113"/>
      <c r="E27" s="124" t="s">
        <v>92</v>
      </c>
      <c r="F27" s="124"/>
      <c r="G27" s="124"/>
      <c r="H27" s="124"/>
    </row>
    <row r="28" spans="1:8" ht="15" customHeight="1" x14ac:dyDescent="0.25">
      <c r="A28" s="142" t="s">
        <v>35</v>
      </c>
      <c r="B28" s="142"/>
      <c r="C28" s="142"/>
      <c r="D28" s="142"/>
      <c r="E28" s="143" t="s">
        <v>179</v>
      </c>
      <c r="F28" s="143"/>
      <c r="G28" s="143"/>
      <c r="H28" s="143"/>
    </row>
    <row r="29" spans="1:8" x14ac:dyDescent="0.25">
      <c r="A29" s="142" t="s">
        <v>103</v>
      </c>
      <c r="B29" s="142"/>
      <c r="C29" s="142"/>
      <c r="D29" s="142"/>
      <c r="E29" s="142" t="s">
        <v>36</v>
      </c>
      <c r="F29" s="142"/>
      <c r="G29" s="142"/>
      <c r="H29" s="142"/>
    </row>
    <row r="30" spans="1:8" s="29" customFormat="1" x14ac:dyDescent="0.25">
      <c r="A30" s="104" t="s">
        <v>104</v>
      </c>
      <c r="B30" s="104"/>
      <c r="C30" s="105" t="s">
        <v>29</v>
      </c>
      <c r="D30" s="105"/>
      <c r="E30" s="105"/>
      <c r="F30" s="105" t="s">
        <v>31</v>
      </c>
      <c r="G30" s="105"/>
      <c r="H30" s="105"/>
    </row>
    <row r="31" spans="1:8" s="29" customFormat="1" x14ac:dyDescent="0.25">
      <c r="A31" s="141" t="s">
        <v>25</v>
      </c>
      <c r="B31" s="141" t="s">
        <v>30</v>
      </c>
      <c r="C31" s="97" t="s">
        <v>30</v>
      </c>
      <c r="D31" s="97"/>
      <c r="E31" s="97"/>
      <c r="F31" s="97" t="s">
        <v>178</v>
      </c>
      <c r="G31" s="97"/>
      <c r="H31" s="97"/>
    </row>
    <row r="32" spans="1:8" x14ac:dyDescent="0.25">
      <c r="A32" s="141" t="s">
        <v>26</v>
      </c>
      <c r="B32" s="141" t="s">
        <v>30</v>
      </c>
      <c r="C32" s="97" t="s">
        <v>30</v>
      </c>
      <c r="D32" s="97"/>
      <c r="E32" s="97"/>
      <c r="F32" s="97" t="s">
        <v>178</v>
      </c>
      <c r="G32" s="97"/>
      <c r="H32" s="97"/>
    </row>
    <row r="33" spans="1:8" s="29" customFormat="1" x14ac:dyDescent="0.25">
      <c r="A33" s="141" t="s">
        <v>28</v>
      </c>
      <c r="B33" s="141" t="s">
        <v>30</v>
      </c>
      <c r="C33" s="97" t="s">
        <v>30</v>
      </c>
      <c r="D33" s="97"/>
      <c r="E33" s="97"/>
      <c r="F33" s="97" t="s">
        <v>178</v>
      </c>
      <c r="G33" s="97"/>
      <c r="H33" s="97"/>
    </row>
    <row r="34" spans="1:8" x14ac:dyDescent="0.25">
      <c r="A34" s="141" t="s">
        <v>27</v>
      </c>
      <c r="B34" s="141" t="s">
        <v>30</v>
      </c>
      <c r="C34" s="97" t="s">
        <v>30</v>
      </c>
      <c r="D34" s="97"/>
      <c r="E34" s="97"/>
      <c r="F34" s="97" t="s">
        <v>177</v>
      </c>
      <c r="G34" s="97"/>
      <c r="H34" s="97"/>
    </row>
    <row r="35" spans="1:8" x14ac:dyDescent="0.25">
      <c r="A35" s="113" t="s">
        <v>32</v>
      </c>
      <c r="B35" s="113"/>
      <c r="C35" s="113"/>
      <c r="D35" s="113"/>
      <c r="E35" s="113"/>
      <c r="F35" s="113"/>
      <c r="G35" s="113"/>
      <c r="H35" s="113"/>
    </row>
    <row r="36" spans="1:8" ht="15.75" customHeight="1" x14ac:dyDescent="0.25">
      <c r="A36" s="123" t="s">
        <v>33</v>
      </c>
      <c r="B36" s="123"/>
      <c r="C36" s="139">
        <v>19.1517573</v>
      </c>
      <c r="D36" s="139"/>
      <c r="E36" s="123" t="s">
        <v>34</v>
      </c>
      <c r="F36" s="123"/>
      <c r="G36" s="140">
        <v>73.051550599999999</v>
      </c>
      <c r="H36" s="140"/>
    </row>
    <row r="37" spans="1:8" ht="15.75" customHeight="1" x14ac:dyDescent="0.25">
      <c r="A37" s="123" t="s">
        <v>185</v>
      </c>
      <c r="B37" s="123"/>
      <c r="C37" s="110" t="s">
        <v>186</v>
      </c>
      <c r="D37" s="111"/>
      <c r="E37" s="111"/>
      <c r="F37" s="111"/>
      <c r="G37" s="111"/>
      <c r="H37" s="112"/>
    </row>
    <row r="38" spans="1:8" x14ac:dyDescent="0.25">
      <c r="A38" s="114" t="s">
        <v>37</v>
      </c>
      <c r="B38" s="114"/>
      <c r="C38" s="114"/>
      <c r="D38" s="114"/>
      <c r="E38" s="114"/>
      <c r="F38" s="114"/>
      <c r="G38" s="114"/>
      <c r="H38" s="114"/>
    </row>
    <row r="39" spans="1:8" x14ac:dyDescent="0.25">
      <c r="A39" s="113" t="s">
        <v>38</v>
      </c>
      <c r="B39" s="113"/>
      <c r="C39" s="113"/>
      <c r="D39" s="113"/>
      <c r="E39" s="122">
        <v>8477.61</v>
      </c>
      <c r="F39" s="122"/>
      <c r="G39" s="122"/>
      <c r="H39" s="122"/>
    </row>
    <row r="40" spans="1:8" x14ac:dyDescent="0.25">
      <c r="A40" s="113" t="s">
        <v>39</v>
      </c>
      <c r="B40" s="113"/>
      <c r="C40" s="113"/>
      <c r="D40" s="113"/>
      <c r="E40" s="126">
        <v>1.1000000000000001</v>
      </c>
      <c r="F40" s="126"/>
      <c r="G40" s="126"/>
      <c r="H40" s="126"/>
    </row>
    <row r="41" spans="1:8" x14ac:dyDescent="0.25">
      <c r="A41" s="113" t="s">
        <v>40</v>
      </c>
      <c r="B41" s="113"/>
      <c r="C41" s="113"/>
      <c r="D41" s="113"/>
      <c r="E41" s="126">
        <f>E43/E39-E40</f>
        <v>0.87849393873980985</v>
      </c>
      <c r="F41" s="126"/>
      <c r="G41" s="126"/>
      <c r="H41" s="126"/>
    </row>
    <row r="42" spans="1:8" x14ac:dyDescent="0.25">
      <c r="A42" s="113" t="s">
        <v>41</v>
      </c>
      <c r="B42" s="113"/>
      <c r="C42" s="113"/>
      <c r="D42" s="113"/>
      <c r="E42" s="126">
        <f>E40+E41</f>
        <v>1.9784939387398099</v>
      </c>
      <c r="F42" s="126"/>
      <c r="G42" s="126"/>
      <c r="H42" s="126"/>
    </row>
    <row r="43" spans="1:8" x14ac:dyDescent="0.25">
      <c r="A43" s="113" t="s">
        <v>102</v>
      </c>
      <c r="B43" s="113"/>
      <c r="C43" s="113"/>
      <c r="D43" s="113"/>
      <c r="E43" s="127">
        <v>16772.900000000001</v>
      </c>
      <c r="F43" s="127"/>
      <c r="G43" s="127"/>
      <c r="H43" s="127"/>
    </row>
    <row r="44" spans="1:8" x14ac:dyDescent="0.25">
      <c r="A44" s="109" t="s">
        <v>42</v>
      </c>
      <c r="B44" s="109"/>
      <c r="C44" s="109"/>
      <c r="D44" s="109"/>
      <c r="E44" s="128" t="s">
        <v>184</v>
      </c>
      <c r="F44" s="128"/>
      <c r="G44" s="128"/>
      <c r="H44" s="128"/>
    </row>
    <row r="45" spans="1:8" x14ac:dyDescent="0.25">
      <c r="A45" s="114" t="s">
        <v>43</v>
      </c>
      <c r="B45" s="114"/>
      <c r="C45" s="114"/>
      <c r="D45" s="114"/>
      <c r="E45" s="114"/>
      <c r="F45" s="114"/>
      <c r="G45" s="114"/>
      <c r="H45" s="114"/>
    </row>
    <row r="46" spans="1:8" x14ac:dyDescent="0.25">
      <c r="A46" s="144" t="s">
        <v>44</v>
      </c>
      <c r="B46" s="144"/>
      <c r="C46" s="144" t="s">
        <v>199</v>
      </c>
      <c r="D46" s="144"/>
      <c r="E46" s="144"/>
      <c r="F46" s="24" t="s">
        <v>45</v>
      </c>
      <c r="G46" s="165">
        <v>45016</v>
      </c>
      <c r="H46" s="165"/>
    </row>
    <row r="47" spans="1:8" x14ac:dyDescent="0.25">
      <c r="A47" s="128" t="s">
        <v>46</v>
      </c>
      <c r="B47" s="128"/>
      <c r="C47" s="124" t="str">
        <f>C46</f>
        <v>S11/0098/14TMC/TD-DP/4350/23</v>
      </c>
      <c r="D47" s="124"/>
      <c r="E47" s="124"/>
      <c r="F47" s="25" t="s">
        <v>45</v>
      </c>
      <c r="G47" s="163">
        <f>G46</f>
        <v>45016</v>
      </c>
      <c r="H47" s="163"/>
    </row>
    <row r="48" spans="1:8" s="31" customFormat="1" ht="15.75" customHeight="1" x14ac:dyDescent="0.25">
      <c r="A48" s="124" t="s">
        <v>47</v>
      </c>
      <c r="B48" s="124"/>
      <c r="C48" s="124" t="s">
        <v>183</v>
      </c>
      <c r="D48" s="109"/>
      <c r="E48" s="109"/>
      <c r="F48" s="30" t="s">
        <v>45</v>
      </c>
      <c r="G48" s="163">
        <f>G46</f>
        <v>45016</v>
      </c>
      <c r="H48" s="163"/>
    </row>
    <row r="49" spans="1:14" s="31" customFormat="1" ht="15.75" customHeight="1" x14ac:dyDescent="0.25">
      <c r="A49" s="124"/>
      <c r="B49" s="124"/>
      <c r="C49" s="160" t="s">
        <v>200</v>
      </c>
      <c r="D49" s="161"/>
      <c r="E49" s="161"/>
      <c r="F49" s="161"/>
      <c r="G49" s="161"/>
      <c r="H49" s="162"/>
    </row>
    <row r="50" spans="1:14" x14ac:dyDescent="0.25">
      <c r="A50" s="71" t="s">
        <v>48</v>
      </c>
      <c r="B50" s="71"/>
      <c r="C50" s="71" t="s">
        <v>118</v>
      </c>
      <c r="D50" s="70"/>
      <c r="E50" s="70" t="s">
        <v>49</v>
      </c>
      <c r="F50" s="27" t="s">
        <v>45</v>
      </c>
      <c r="G50" s="159" t="s">
        <v>30</v>
      </c>
      <c r="H50" s="159"/>
    </row>
    <row r="51" spans="1:14" x14ac:dyDescent="0.25">
      <c r="A51" s="152" t="s">
        <v>51</v>
      </c>
      <c r="B51" s="152"/>
      <c r="C51" s="152"/>
      <c r="D51" s="152"/>
      <c r="E51" s="152"/>
      <c r="F51" s="152"/>
      <c r="G51" s="152"/>
      <c r="H51" s="152"/>
    </row>
    <row r="52" spans="1:14" x14ac:dyDescent="0.25">
      <c r="A52" s="142" t="s">
        <v>101</v>
      </c>
      <c r="B52" s="142"/>
      <c r="C52" s="142"/>
      <c r="D52" s="113">
        <f>E43</f>
        <v>16772.900000000001</v>
      </c>
      <c r="E52" s="113"/>
      <c r="F52" s="113"/>
      <c r="G52" s="113"/>
      <c r="H52" s="113"/>
    </row>
    <row r="53" spans="1:14" x14ac:dyDescent="0.25">
      <c r="A53" s="124" t="s">
        <v>52</v>
      </c>
      <c r="B53" s="109"/>
      <c r="C53" s="109"/>
      <c r="D53" s="128" t="s">
        <v>209</v>
      </c>
      <c r="E53" s="128"/>
      <c r="F53" s="128"/>
      <c r="G53" s="128"/>
      <c r="H53" s="128"/>
      <c r="I53" s="32"/>
    </row>
    <row r="54" spans="1:14" ht="15.75" customHeight="1" x14ac:dyDescent="0.25">
      <c r="A54" s="116" t="s">
        <v>53</v>
      </c>
      <c r="B54" s="117"/>
      <c r="C54" s="118"/>
      <c r="D54" s="115" t="s">
        <v>198</v>
      </c>
      <c r="E54" s="115"/>
      <c r="F54" s="115"/>
      <c r="G54" s="115"/>
      <c r="H54" s="115"/>
    </row>
    <row r="55" spans="1:14" ht="15.75" customHeight="1" x14ac:dyDescent="0.25">
      <c r="A55" s="116" t="s">
        <v>99</v>
      </c>
      <c r="B55" s="117"/>
      <c r="C55" s="117"/>
      <c r="D55" s="156" t="s">
        <v>260</v>
      </c>
      <c r="E55" s="157"/>
      <c r="F55" s="157"/>
      <c r="G55" s="157"/>
      <c r="H55" s="158"/>
    </row>
    <row r="56" spans="1:14" ht="15.75" customHeight="1" x14ac:dyDescent="0.25">
      <c r="A56" s="113" t="s">
        <v>50</v>
      </c>
      <c r="B56" s="113"/>
      <c r="C56" s="113"/>
      <c r="D56" s="124" t="s">
        <v>259</v>
      </c>
      <c r="E56" s="124"/>
      <c r="F56" s="124"/>
      <c r="G56" s="124"/>
      <c r="H56" s="124"/>
      <c r="J56" s="33"/>
      <c r="K56" s="32"/>
      <c r="N56" s="32"/>
    </row>
    <row r="57" spans="1:14" ht="15.75" customHeight="1" x14ac:dyDescent="0.25">
      <c r="A57" s="113" t="s">
        <v>97</v>
      </c>
      <c r="B57" s="113"/>
      <c r="C57" s="113"/>
      <c r="D57" s="125" t="str">
        <f>(IF(G50="NA","60 Years After Completion",IF(G50&lt;&gt;"NA",""&amp;60-ROUNDDOWN((E3-G50)/360,0)&amp;" Years"," ")))</f>
        <v>60 Years After Completion</v>
      </c>
      <c r="E57" s="125"/>
      <c r="F57" s="125"/>
      <c r="G57" s="125"/>
      <c r="H57" s="125"/>
      <c r="N57" s="32"/>
    </row>
    <row r="58" spans="1:14" ht="15.75" customHeight="1" x14ac:dyDescent="0.25">
      <c r="A58" s="113" t="s">
        <v>98</v>
      </c>
      <c r="B58" s="113"/>
      <c r="C58" s="113"/>
      <c r="D58" s="142" t="s">
        <v>24</v>
      </c>
      <c r="E58" s="142"/>
      <c r="F58" s="142"/>
      <c r="G58" s="142"/>
      <c r="H58" s="142"/>
      <c r="J58" s="15"/>
      <c r="K58" s="15"/>
    </row>
    <row r="59" spans="1:14" ht="15" hidden="1" customHeight="1" x14ac:dyDescent="0.25">
      <c r="A59" s="113" t="s">
        <v>82</v>
      </c>
      <c r="B59" s="113"/>
      <c r="C59" s="113"/>
      <c r="D59" s="124" t="s">
        <v>164</v>
      </c>
      <c r="E59" s="142"/>
      <c r="F59" s="142"/>
      <c r="G59" s="142"/>
      <c r="H59" s="142"/>
    </row>
    <row r="60" spans="1:14" x14ac:dyDescent="0.25">
      <c r="A60" s="142" t="s">
        <v>165</v>
      </c>
      <c r="B60" s="142"/>
      <c r="C60" s="142"/>
      <c r="D60" s="142" t="s">
        <v>30</v>
      </c>
      <c r="E60" s="142"/>
      <c r="F60" s="142"/>
      <c r="G60" s="142"/>
      <c r="H60" s="142"/>
      <c r="I60" s="34"/>
      <c r="J60" s="34"/>
      <c r="K60" s="34"/>
      <c r="L60" s="34"/>
      <c r="M60" s="34"/>
      <c r="N60" s="34"/>
    </row>
    <row r="61" spans="1:14" ht="15.75" customHeight="1" x14ac:dyDescent="0.25">
      <c r="A61" s="153" t="s">
        <v>96</v>
      </c>
      <c r="B61" s="153"/>
      <c r="C61" s="153"/>
      <c r="D61" s="154" t="str">
        <f ca="1">(IF(G67&gt;95%,"Nothing",IF(G67&gt;0%,"Cement, Aggregate, Steel, etc",IF(G67=0%,"Work not yet Started"))))</f>
        <v>Cement, Aggregate, Steel, etc</v>
      </c>
      <c r="E61" s="154"/>
      <c r="F61" s="154"/>
      <c r="G61" s="154"/>
      <c r="H61" s="154"/>
      <c r="J61" s="15"/>
    </row>
    <row r="62" spans="1:14" ht="33.75" customHeight="1" thickBot="1" x14ac:dyDescent="0.3">
      <c r="A62" s="155" t="s">
        <v>131</v>
      </c>
      <c r="B62" s="155"/>
      <c r="C62" s="155"/>
      <c r="D62" s="154" t="str">
        <f ca="1">(IF(D61="Nothing","Yes",IF(D61="Cement, Aggregate, Steel, etc","Under Construction",IF(D61="Work not yet Started","Work not yet Started"))))</f>
        <v>Under Construction</v>
      </c>
      <c r="E62" s="154"/>
      <c r="F62" s="154" t="str">
        <f ca="1">(IF(D61="Nothing","Yes",IF(D61="Cement, Aggregate, Steel, etc","Under Construction",IF(D61="Work not yet Started","Work not yet Started"))))</f>
        <v>Under Construction</v>
      </c>
      <c r="G62" s="154"/>
      <c r="H62" s="154"/>
    </row>
    <row r="63" spans="1:14" ht="15.75" customHeight="1" x14ac:dyDescent="0.25">
      <c r="A63" s="64" t="s">
        <v>156</v>
      </c>
      <c r="B63" s="65"/>
      <c r="C63" s="66" t="s">
        <v>262</v>
      </c>
      <c r="D63" s="67"/>
      <c r="E63" s="67"/>
      <c r="F63" s="67"/>
      <c r="G63" s="67"/>
      <c r="H63" s="68"/>
      <c r="I63" s="14"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 Completed",IF(C69&gt;0,", RCC upto "&amp;C69&amp;" Slab Completed",""))&amp;(IF(C70=H64,", Brickwork Completed",IF(C70&gt;0,", Brickwork upto "&amp;C70&amp;" Floor Completed",""))&amp;(IF(C71=H64,", Internal Plaster Completed",IF(C71&gt;0,", Internal Plaster upto "&amp;C71&amp;" Floor Completed",""))&amp;(IF(C72=H64,", External Plaster Completed",IF(C72&gt;0,", External Plaster upto "&amp;C72&amp;" Floor Completed",""))&amp;(IF(C73=H64,", Flooring Completed",IF(C73&gt;0,", Flooring upto "&amp;C73&amp;" Floor Completed",""))&amp;(IF(C74=H64,", Painting Completed",IF(C74&gt;0,", Painting upto "&amp;C74&amp;" Floor Completed",""))&amp;(IF(C75&gt;0,", Finishing upto "&amp;C75&amp;" Floor Completed","")&amp;(IF(C69&gt;0.5,".",""))))))))))))))</f>
        <v>Plinth, RCC, Brick, Plaster, Flooring, Painting work Completed. Finishing work is in process.</v>
      </c>
      <c r="J63" s="35"/>
    </row>
    <row r="64" spans="1:14" x14ac:dyDescent="0.25">
      <c r="A64" s="16" t="s">
        <v>158</v>
      </c>
      <c r="B64" s="17">
        <v>0</v>
      </c>
      <c r="C64" s="17" t="s">
        <v>79</v>
      </c>
      <c r="D64" s="17">
        <v>1</v>
      </c>
      <c r="E64" s="17" t="s">
        <v>78</v>
      </c>
      <c r="F64" s="17">
        <v>0</v>
      </c>
      <c r="G64" s="17" t="s">
        <v>90</v>
      </c>
      <c r="H64" s="18">
        <f ca="1">--TRIM(RIGHT(SUBSTITUTE(LEFT(C63,_xlfn.AGGREGATE(16,6,FIND({0,1,2,3,4,5,6,7,8,9},C63,ROW(INDIRECT("1:"&amp;LEN(C63)))),1))," ",REPT(" ",LEN(C63))),LEN(C63)))</f>
        <v>31</v>
      </c>
      <c r="I64" s="15"/>
      <c r="J64" s="36"/>
    </row>
    <row r="65" spans="1:10" ht="33" customHeight="1" x14ac:dyDescent="0.25">
      <c r="A65" s="69" t="s">
        <v>100</v>
      </c>
      <c r="B65" s="70"/>
      <c r="C65" s="71" t="str">
        <f ca="1">I63</f>
        <v>Plinth, RCC, Brick, Plaster, Flooring, Painting work Completed. Finishing work is in process.</v>
      </c>
      <c r="D65" s="71"/>
      <c r="E65" s="71"/>
      <c r="F65" s="71"/>
      <c r="G65" s="71"/>
      <c r="H65" s="72"/>
      <c r="I65" s="15" t="s">
        <v>117</v>
      </c>
      <c r="J65" s="36"/>
    </row>
    <row r="66" spans="1:10" ht="15.75" customHeight="1" x14ac:dyDescent="0.25">
      <c r="A66" s="73" t="s">
        <v>54</v>
      </c>
      <c r="B66" s="74"/>
      <c r="C66" s="23" t="s">
        <v>155</v>
      </c>
      <c r="D66" s="23" t="s">
        <v>93</v>
      </c>
      <c r="E66" s="74" t="s">
        <v>95</v>
      </c>
      <c r="F66" s="74"/>
      <c r="G66" s="74" t="s">
        <v>94</v>
      </c>
      <c r="H66" s="75"/>
      <c r="I66" s="19" t="s">
        <v>157</v>
      </c>
      <c r="J66" s="37">
        <f ca="1">H64*25%</f>
        <v>7.75</v>
      </c>
    </row>
    <row r="67" spans="1:10" x14ac:dyDescent="0.25">
      <c r="A67" s="73" t="s">
        <v>144</v>
      </c>
      <c r="B67" s="74"/>
      <c r="C67" s="38">
        <f ca="1">J68</f>
        <v>31</v>
      </c>
      <c r="D67" s="39">
        <f ca="1">((100/H64)*C67)/100</f>
        <v>1</v>
      </c>
      <c r="E67" s="76">
        <f ca="1">(((C68/H64*10)+(40/(D64+F64+H64)*C69)+(7.5/(H64)*C70)+(7.5/(H64)*C71)+(10/H64*C72)+(10/H64*C73)+(5/H64*C74)+(5/H64*C75)+(5/H64*C76))/100)</f>
        <v>0.91935483870967749</v>
      </c>
      <c r="F67" s="76"/>
      <c r="G67" s="76">
        <f ca="1">((((C67/H64)*20)+((C68/H64)*25)+(30/(H64+F64+D64)*C69)+(5/H64*C70)+(5/H64*C71)+(5/H64*C72)+(5/H64*C73)+(0/H64*C74)+(0/H64*C75)+(5/H64*C76))/100)</f>
        <v>0.95</v>
      </c>
      <c r="H67" s="78"/>
      <c r="I67" s="19" t="s">
        <v>112</v>
      </c>
      <c r="J67" s="40">
        <f ca="1">H64*50%</f>
        <v>15.5</v>
      </c>
    </row>
    <row r="68" spans="1:10" x14ac:dyDescent="0.25">
      <c r="A68" s="73" t="s">
        <v>55</v>
      </c>
      <c r="B68" s="74"/>
      <c r="C68" s="41">
        <f ca="1">J76</f>
        <v>31</v>
      </c>
      <c r="D68" s="39">
        <f ca="1">((100/H64)*C68)/100</f>
        <v>1</v>
      </c>
      <c r="E68" s="76"/>
      <c r="F68" s="76"/>
      <c r="G68" s="76"/>
      <c r="H68" s="78"/>
      <c r="I68" s="19" t="s">
        <v>113</v>
      </c>
      <c r="J68" s="40">
        <f ca="1">H64</f>
        <v>31</v>
      </c>
    </row>
    <row r="69" spans="1:10" ht="15.75" customHeight="1" x14ac:dyDescent="0.25">
      <c r="A69" s="73" t="s">
        <v>145</v>
      </c>
      <c r="B69" s="74"/>
      <c r="C69" s="41">
        <v>32</v>
      </c>
      <c r="D69" s="39">
        <f ca="1">((100/(D64+F64+H64))*C69)/100</f>
        <v>1</v>
      </c>
      <c r="E69" s="76"/>
      <c r="F69" s="76"/>
      <c r="G69" s="76"/>
      <c r="H69" s="78"/>
      <c r="I69" s="19" t="s">
        <v>114</v>
      </c>
      <c r="J69" s="42">
        <f ca="1">(IF(B64&gt;1,(H64/(B64+2)),H64/4))</f>
        <v>7.75</v>
      </c>
    </row>
    <row r="70" spans="1:10" ht="15.75" customHeight="1" x14ac:dyDescent="0.25">
      <c r="A70" s="73" t="s">
        <v>152</v>
      </c>
      <c r="B70" s="74" t="s">
        <v>146</v>
      </c>
      <c r="C70" s="38">
        <v>31</v>
      </c>
      <c r="D70" s="39">
        <f ca="1">((100/H64)*C70)/100</f>
        <v>1</v>
      </c>
      <c r="E70" s="76"/>
      <c r="F70" s="76"/>
      <c r="G70" s="76"/>
      <c r="H70" s="78"/>
      <c r="I70" s="19" t="s">
        <v>115</v>
      </c>
      <c r="J70" s="42">
        <f ca="1">(IF(B64&gt;1,(H64/(B64+2)+J69),H64/4+J69))</f>
        <v>15.5</v>
      </c>
    </row>
    <row r="71" spans="1:10" ht="15.75" customHeight="1" x14ac:dyDescent="0.25">
      <c r="A71" s="73" t="s">
        <v>153</v>
      </c>
      <c r="B71" s="74" t="s">
        <v>146</v>
      </c>
      <c r="C71" s="38">
        <v>31</v>
      </c>
      <c r="D71" s="39">
        <f ca="1">((100/H64)*C71)/100</f>
        <v>1</v>
      </c>
      <c r="E71" s="76"/>
      <c r="F71" s="76"/>
      <c r="G71" s="76"/>
      <c r="H71" s="78"/>
      <c r="I71" s="19" t="s">
        <v>162</v>
      </c>
      <c r="J71" s="42">
        <f>(IF(B64&gt;1,(H64/(B64+2)+J70),0))</f>
        <v>0</v>
      </c>
    </row>
    <row r="72" spans="1:10" ht="15" customHeight="1" x14ac:dyDescent="0.25">
      <c r="A72" s="73" t="s">
        <v>151</v>
      </c>
      <c r="B72" s="74" t="s">
        <v>148</v>
      </c>
      <c r="C72" s="38">
        <v>31</v>
      </c>
      <c r="D72" s="39">
        <f ca="1">((100/(H64))*C72)/100</f>
        <v>1</v>
      </c>
      <c r="E72" s="76"/>
      <c r="F72" s="76"/>
      <c r="G72" s="76"/>
      <c r="H72" s="78"/>
      <c r="I72" s="19" t="s">
        <v>159</v>
      </c>
      <c r="J72" s="42">
        <f>(IF(B64&gt;2,(H64/(B64+2)+J71),0))</f>
        <v>0</v>
      </c>
    </row>
    <row r="73" spans="1:10" ht="15.75" customHeight="1" x14ac:dyDescent="0.25">
      <c r="A73" s="73" t="s">
        <v>147</v>
      </c>
      <c r="B73" s="74" t="s">
        <v>147</v>
      </c>
      <c r="C73" s="38">
        <v>31</v>
      </c>
      <c r="D73" s="39">
        <f ca="1">((100/H64)*C73)/100</f>
        <v>1</v>
      </c>
      <c r="E73" s="76"/>
      <c r="F73" s="76"/>
      <c r="G73" s="76"/>
      <c r="H73" s="78"/>
      <c r="I73" s="19" t="s">
        <v>160</v>
      </c>
      <c r="J73" s="43">
        <f>(IF(B64&gt;3,(H64/(B64+2)+J72),0))</f>
        <v>0</v>
      </c>
    </row>
    <row r="74" spans="1:10" ht="15.75" customHeight="1" x14ac:dyDescent="0.25">
      <c r="A74" s="73" t="s">
        <v>154</v>
      </c>
      <c r="B74" s="74"/>
      <c r="C74" s="38">
        <v>28</v>
      </c>
      <c r="D74" s="39">
        <f ca="1">((100/H64)*C74)/100</f>
        <v>0.90322580645161277</v>
      </c>
      <c r="E74" s="76"/>
      <c r="F74" s="76"/>
      <c r="G74" s="76"/>
      <c r="H74" s="78"/>
      <c r="I74" s="19" t="s">
        <v>161</v>
      </c>
      <c r="J74" s="42">
        <f>(IF(B64&gt;4,(H64/(B64+2)+J73),0))</f>
        <v>0</v>
      </c>
    </row>
    <row r="75" spans="1:10" ht="15.75" customHeight="1" x14ac:dyDescent="0.25">
      <c r="A75" s="73" t="s">
        <v>149</v>
      </c>
      <c r="B75" s="74" t="s">
        <v>149</v>
      </c>
      <c r="C75" s="38">
        <v>15</v>
      </c>
      <c r="D75" s="39">
        <f ca="1">((100/(H64))*C75)/100</f>
        <v>0.48387096774193544</v>
      </c>
      <c r="E75" s="76"/>
      <c r="F75" s="76"/>
      <c r="G75" s="76"/>
      <c r="H75" s="78"/>
      <c r="I75" s="19" t="s">
        <v>163</v>
      </c>
      <c r="J75" s="42">
        <f ca="1">(IF(B64=1,(H64/(B64+3)+J70),IF(B64=0,(H64/4+J70),IF(B64&gt;1,0))))</f>
        <v>23.25</v>
      </c>
    </row>
    <row r="76" spans="1:10" ht="16.5" thickBot="1" x14ac:dyDescent="0.3">
      <c r="A76" s="80" t="s">
        <v>150</v>
      </c>
      <c r="B76" s="81"/>
      <c r="C76" s="44">
        <v>0</v>
      </c>
      <c r="D76" s="45">
        <f ca="1">((100/(H64))*C76)/100</f>
        <v>0</v>
      </c>
      <c r="E76" s="77"/>
      <c r="F76" s="77"/>
      <c r="G76" s="77"/>
      <c r="H76" s="79"/>
      <c r="I76" s="20" t="s">
        <v>116</v>
      </c>
      <c r="J76" s="46">
        <f ca="1">(IF(B64&gt;1.5,(H64/(B64+2)+J70+MAX(0,J71-J70)+MAX(0,J72-J71)+MAX(0,J73-J72)+MAX(0,J74-J73)+MAX(0,J75-J74)),IF(B64=1,(H64/(B64+3)+J75),IF(B64=0,H64/4+J75))))</f>
        <v>31</v>
      </c>
    </row>
    <row r="77" spans="1:10" ht="15.75" hidden="1" customHeight="1" x14ac:dyDescent="0.25">
      <c r="A77" s="64" t="s">
        <v>156</v>
      </c>
      <c r="B77" s="65"/>
      <c r="C77" s="66" t="s">
        <v>261</v>
      </c>
      <c r="D77" s="67"/>
      <c r="E77" s="67"/>
      <c r="F77" s="67"/>
      <c r="G77" s="67"/>
      <c r="H77" s="68"/>
      <c r="I77" s="14" t="str">
        <f ca="1">(IF(E81&gt;99%,"All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","0")))&amp;(IF(C82=0%,"",IF(C82=J83,"Footing work is process",IF(C82=J84,"Footing work Completed",IF(C82=J85,"1st Basement Completed",IF(C82=J86,"1st &amp; 2nd Basement Completed",IF(C82=J87,"1st to 3rd Basement Completed",IF(C82=J88,"1st to 4th Basement Completed",IF(C82=J89,"Plinth work is process",IF(C82=J90,"Plinth work completed","0")))))))))))&amp;(IF(C83=(D78+F78+H78),", RCC Slab Completed",IF(C83&gt;0,", RCC upto "&amp;C83&amp;" Slab Completed",""))&amp;(IF(C84=H78,", Brickwork Completed",IF(C84&gt;0,", Brickwork upto "&amp;C84&amp;" Floor Completed",""))&amp;(IF(C85=H78,", Internal Plaster Completed",IF(C85&gt;0,", Internal Plaster upto "&amp;C85&amp;" Floor Completed",""))&amp;(IF(C86=H78,", External Plaster Completed",IF(C86&gt;0,", External Plaster upto "&amp;C86&amp;" Floor Completed",""))&amp;(IF(C87=H78,", Flooring Completed",IF(C87&gt;0,", Flooring upto "&amp;C87&amp;" Floor Completed",""))&amp;(IF(C88=H78,", Painting Completed",IF(C88&gt;0,", Painting upto "&amp;C88&amp;" Floor Completed",""))&amp;(IF(C89&gt;0,", Finishing upto "&amp;C89&amp;" Floor Completed","")&amp;(IF(C83&gt;0.5,".",""))))))))))))))</f>
        <v>Excavation work Completed. Plinth work completed, RCC upto 31 Slab Completed, Brickwork upto 30 Floor Completed, Internal Plaster upto 30 Floor Completed, External Plaster upto 30 Floor Completed, Flooring upto 22 Floor Completed, Painting upto 15 Floor Completed.</v>
      </c>
      <c r="J77" s="35"/>
    </row>
    <row r="78" spans="1:10" hidden="1" x14ac:dyDescent="0.25">
      <c r="A78" s="16" t="s">
        <v>158</v>
      </c>
      <c r="B78" s="17">
        <v>0</v>
      </c>
      <c r="C78" s="17" t="s">
        <v>79</v>
      </c>
      <c r="D78" s="17">
        <v>1</v>
      </c>
      <c r="E78" s="17" t="s">
        <v>78</v>
      </c>
      <c r="F78" s="17">
        <v>0</v>
      </c>
      <c r="G78" s="17" t="s">
        <v>90</v>
      </c>
      <c r="H78" s="18">
        <f ca="1">--TRIM(RIGHT(SUBSTITUTE(LEFT(C77,_xlfn.AGGREGATE(16,6,FIND({0,1,2,3,4,5,6,7,8,9},C77,ROW(INDIRECT("1:"&amp;LEN(C77)))),1))," ",REPT(" ",LEN(C77))),LEN(C77)))</f>
        <v>31</v>
      </c>
      <c r="I78" s="15"/>
      <c r="J78" s="36"/>
    </row>
    <row r="79" spans="1:10" ht="63" hidden="1" customHeight="1" x14ac:dyDescent="0.25">
      <c r="A79" s="69" t="s">
        <v>100</v>
      </c>
      <c r="B79" s="70"/>
      <c r="C79" s="71" t="str">
        <f ca="1">I77</f>
        <v>Excavation work Completed. Plinth work completed, RCC upto 31 Slab Completed, Brickwork upto 30 Floor Completed, Internal Plaster upto 30 Floor Completed, External Plaster upto 30 Floor Completed, Flooring upto 22 Floor Completed, Painting upto 15 Floor Completed.</v>
      </c>
      <c r="D79" s="71"/>
      <c r="E79" s="71"/>
      <c r="F79" s="71"/>
      <c r="G79" s="71"/>
      <c r="H79" s="72"/>
      <c r="I79" s="15" t="s">
        <v>117</v>
      </c>
      <c r="J79" s="36"/>
    </row>
    <row r="80" spans="1:10" ht="15.75" hidden="1" customHeight="1" x14ac:dyDescent="0.25">
      <c r="A80" s="73" t="s">
        <v>54</v>
      </c>
      <c r="B80" s="74"/>
      <c r="C80" s="23" t="s">
        <v>155</v>
      </c>
      <c r="D80" s="23" t="s">
        <v>93</v>
      </c>
      <c r="E80" s="74" t="s">
        <v>95</v>
      </c>
      <c r="F80" s="74"/>
      <c r="G80" s="74" t="s">
        <v>94</v>
      </c>
      <c r="H80" s="75"/>
      <c r="I80" s="19" t="s">
        <v>157</v>
      </c>
      <c r="J80" s="37">
        <f ca="1">H78*25%</f>
        <v>7.75</v>
      </c>
    </row>
    <row r="81" spans="1:17" hidden="1" x14ac:dyDescent="0.25">
      <c r="A81" s="73" t="s">
        <v>144</v>
      </c>
      <c r="B81" s="74"/>
      <c r="C81" s="38">
        <f ca="1">J82</f>
        <v>31</v>
      </c>
      <c r="D81" s="39">
        <f ca="1">((100/H78)*C81)/100</f>
        <v>1</v>
      </c>
      <c r="E81" s="76">
        <f ca="1">(((C82/H78*10)+(40/(D78+F78+H78)*C83)+(7.5/(H78)*C84)+(7.5/(H78)*C85)+(10/H78*C86)+(10/H78*C87)+(5/H78*C88)+(5/H78*C89)+(5/H78*C90))/100)</f>
        <v>0.82459677419354838</v>
      </c>
      <c r="F81" s="76"/>
      <c r="G81" s="76">
        <f ca="1">((((C81/H78)*20)+((C82/H78)*25)+(30/(H78+F78+D78)*C83)+(5/H78*C84)+(5/H78*C85)+(5/H78*C86)+(5/H78*C87)+(0/H78*C88)+(0/H78*C89)+(5/H78*C90))/100)</f>
        <v>0.92127016129032269</v>
      </c>
      <c r="H81" s="78"/>
      <c r="I81" s="19" t="s">
        <v>112</v>
      </c>
      <c r="J81" s="40">
        <f ca="1">H78*50%</f>
        <v>15.5</v>
      </c>
    </row>
    <row r="82" spans="1:17" hidden="1" x14ac:dyDescent="0.25">
      <c r="A82" s="73" t="s">
        <v>55</v>
      </c>
      <c r="B82" s="74"/>
      <c r="C82" s="41">
        <f ca="1">J90</f>
        <v>31</v>
      </c>
      <c r="D82" s="39">
        <f ca="1">((100/H78)*C82)/100</f>
        <v>1</v>
      </c>
      <c r="E82" s="76"/>
      <c r="F82" s="76"/>
      <c r="G82" s="76"/>
      <c r="H82" s="78"/>
      <c r="I82" s="19" t="s">
        <v>113</v>
      </c>
      <c r="J82" s="40">
        <f ca="1">H78</f>
        <v>31</v>
      </c>
    </row>
    <row r="83" spans="1:17" ht="15.75" hidden="1" customHeight="1" x14ac:dyDescent="0.25">
      <c r="A83" s="73" t="s">
        <v>145</v>
      </c>
      <c r="B83" s="74"/>
      <c r="C83" s="41">
        <v>31</v>
      </c>
      <c r="D83" s="39">
        <f ca="1">((100/(D78+F78+H78))*C83)/100</f>
        <v>0.96875</v>
      </c>
      <c r="E83" s="76"/>
      <c r="F83" s="76"/>
      <c r="G83" s="76"/>
      <c r="H83" s="78"/>
      <c r="I83" s="19" t="s">
        <v>114</v>
      </c>
      <c r="J83" s="42">
        <f ca="1">(IF(B78&gt;1,(H78/(B78+2)),H78/4))</f>
        <v>7.75</v>
      </c>
    </row>
    <row r="84" spans="1:17" ht="15.75" hidden="1" customHeight="1" x14ac:dyDescent="0.25">
      <c r="A84" s="73" t="s">
        <v>152</v>
      </c>
      <c r="B84" s="74" t="s">
        <v>146</v>
      </c>
      <c r="C84" s="38">
        <v>30</v>
      </c>
      <c r="D84" s="39">
        <f ca="1">((100/H78)*C84)/100</f>
        <v>0.96774193548387089</v>
      </c>
      <c r="E84" s="76"/>
      <c r="F84" s="76"/>
      <c r="G84" s="76"/>
      <c r="H84" s="78"/>
      <c r="I84" s="19" t="s">
        <v>115</v>
      </c>
      <c r="J84" s="42">
        <f ca="1">(IF(B78&gt;1,(H78/(B78+2)+J83),H78/4+J83))</f>
        <v>15.5</v>
      </c>
    </row>
    <row r="85" spans="1:17" ht="15.75" hidden="1" customHeight="1" x14ac:dyDescent="0.25">
      <c r="A85" s="73" t="s">
        <v>153</v>
      </c>
      <c r="B85" s="74" t="s">
        <v>146</v>
      </c>
      <c r="C85" s="38">
        <v>30</v>
      </c>
      <c r="D85" s="39">
        <f ca="1">((100/H78)*C85)/100</f>
        <v>0.96774193548387089</v>
      </c>
      <c r="E85" s="76"/>
      <c r="F85" s="76"/>
      <c r="G85" s="76"/>
      <c r="H85" s="78"/>
      <c r="I85" s="19" t="s">
        <v>162</v>
      </c>
      <c r="J85" s="42">
        <f>(IF(B78&gt;1,(H78/(B78+2)+J84),0))</f>
        <v>0</v>
      </c>
    </row>
    <row r="86" spans="1:17" ht="15" hidden="1" customHeight="1" x14ac:dyDescent="0.25">
      <c r="A86" s="73" t="s">
        <v>151</v>
      </c>
      <c r="B86" s="74" t="s">
        <v>148</v>
      </c>
      <c r="C86" s="38">
        <v>30</v>
      </c>
      <c r="D86" s="39">
        <f ca="1">((100/(H78))*C86)/100</f>
        <v>0.96774193548387089</v>
      </c>
      <c r="E86" s="76"/>
      <c r="F86" s="76"/>
      <c r="G86" s="76"/>
      <c r="H86" s="78"/>
      <c r="I86" s="19" t="s">
        <v>159</v>
      </c>
      <c r="J86" s="42">
        <f>(IF(B78&gt;2,(H78/(B78+2)+J85),0))</f>
        <v>0</v>
      </c>
    </row>
    <row r="87" spans="1:17" ht="15.75" hidden="1" customHeight="1" x14ac:dyDescent="0.25">
      <c r="A87" s="73" t="s">
        <v>147</v>
      </c>
      <c r="B87" s="74" t="s">
        <v>147</v>
      </c>
      <c r="C87" s="38">
        <v>22</v>
      </c>
      <c r="D87" s="39">
        <f ca="1">((100/H78)*C87)/100</f>
        <v>0.70967741935483875</v>
      </c>
      <c r="E87" s="76"/>
      <c r="F87" s="76"/>
      <c r="G87" s="76"/>
      <c r="H87" s="78"/>
      <c r="I87" s="19" t="s">
        <v>160</v>
      </c>
      <c r="J87" s="43">
        <f>(IF(B78&gt;3,(H78/(B78+2)+J86),0))</f>
        <v>0</v>
      </c>
    </row>
    <row r="88" spans="1:17" ht="15.75" hidden="1" customHeight="1" x14ac:dyDescent="0.25">
      <c r="A88" s="73" t="s">
        <v>154</v>
      </c>
      <c r="B88" s="74"/>
      <c r="C88" s="38">
        <v>15</v>
      </c>
      <c r="D88" s="39">
        <f ca="1">((100/H78)*C88)/100</f>
        <v>0.48387096774193544</v>
      </c>
      <c r="E88" s="76"/>
      <c r="F88" s="76"/>
      <c r="G88" s="76"/>
      <c r="H88" s="78"/>
      <c r="I88" s="19" t="s">
        <v>161</v>
      </c>
      <c r="J88" s="42">
        <f>(IF(B78&gt;4,(H78/(B78+2)+J87),0))</f>
        <v>0</v>
      </c>
    </row>
    <row r="89" spans="1:17" ht="15.75" hidden="1" customHeight="1" x14ac:dyDescent="0.25">
      <c r="A89" s="73" t="s">
        <v>149</v>
      </c>
      <c r="B89" s="74" t="s">
        <v>149</v>
      </c>
      <c r="C89" s="38">
        <v>0</v>
      </c>
      <c r="D89" s="39">
        <f ca="1">((100/(H78))*C89)/100</f>
        <v>0</v>
      </c>
      <c r="E89" s="76"/>
      <c r="F89" s="76"/>
      <c r="G89" s="76"/>
      <c r="H89" s="78"/>
      <c r="I89" s="19" t="s">
        <v>163</v>
      </c>
      <c r="J89" s="42">
        <f ca="1">(IF(B78=1,(H78/(B78+3)+J84),IF(B78=0,(H78/4+J84),IF(B78&gt;1,0))))</f>
        <v>23.25</v>
      </c>
    </row>
    <row r="90" spans="1:17" ht="16.5" hidden="1" thickBot="1" x14ac:dyDescent="0.3">
      <c r="A90" s="80" t="s">
        <v>150</v>
      </c>
      <c r="B90" s="81"/>
      <c r="C90" s="44">
        <v>0</v>
      </c>
      <c r="D90" s="45">
        <f ca="1">((100/(H78))*C90)/100</f>
        <v>0</v>
      </c>
      <c r="E90" s="77"/>
      <c r="F90" s="77"/>
      <c r="G90" s="77"/>
      <c r="H90" s="79"/>
      <c r="I90" s="20" t="s">
        <v>116</v>
      </c>
      <c r="J90" s="46">
        <f ca="1">(IF(B78&gt;1.5,(H78/(B78+2)+J84+MAX(0,J85-J84)+MAX(0,J86-J85)+MAX(0,J87-J86)+MAX(0,J88-J87)+MAX(0,J89-J88)),IF(B78=1,(H78/(B78+3)+J89),IF(B78=0,H78/4+J89))))</f>
        <v>31</v>
      </c>
    </row>
    <row r="91" spans="1:17" x14ac:dyDescent="0.25">
      <c r="A91" s="114" t="s">
        <v>56</v>
      </c>
      <c r="B91" s="114"/>
      <c r="C91" s="114"/>
      <c r="D91" s="114"/>
      <c r="E91" s="114"/>
      <c r="F91" s="114"/>
      <c r="G91" s="114"/>
      <c r="H91" s="114"/>
      <c r="I91" s="58" t="s">
        <v>245</v>
      </c>
      <c r="J91" s="58" t="s">
        <v>246</v>
      </c>
      <c r="K91" s="59">
        <v>45133</v>
      </c>
      <c r="L91" s="58" t="s">
        <v>247</v>
      </c>
      <c r="M91" s="28" t="s">
        <v>248</v>
      </c>
    </row>
    <row r="92" spans="1:17" x14ac:dyDescent="0.25">
      <c r="A92" s="113" t="s">
        <v>83</v>
      </c>
      <c r="B92" s="113"/>
      <c r="C92" s="113"/>
      <c r="D92" s="113"/>
      <c r="E92" s="113"/>
      <c r="F92" s="109">
        <v>7000</v>
      </c>
      <c r="G92" s="109"/>
      <c r="H92" s="109"/>
      <c r="I92" s="28" t="s">
        <v>253</v>
      </c>
      <c r="J92" s="28" t="s">
        <v>254</v>
      </c>
      <c r="K92" s="33">
        <v>45350</v>
      </c>
      <c r="M92" s="58"/>
      <c r="N92" s="58"/>
      <c r="O92" s="58"/>
      <c r="P92" s="58"/>
      <c r="Q92" s="58"/>
    </row>
    <row r="93" spans="1:17" x14ac:dyDescent="0.25">
      <c r="A93" s="113" t="s">
        <v>89</v>
      </c>
      <c r="B93" s="113"/>
      <c r="C93" s="113"/>
      <c r="D93" s="113"/>
      <c r="E93" s="113"/>
      <c r="F93" s="109" t="s">
        <v>181</v>
      </c>
      <c r="G93" s="109"/>
      <c r="H93" s="109"/>
      <c r="I93" s="28" t="s">
        <v>255</v>
      </c>
      <c r="K93" s="33">
        <v>45525</v>
      </c>
      <c r="L93" s="28" t="s">
        <v>256</v>
      </c>
    </row>
    <row r="94" spans="1:17" s="47" customFormat="1" hidden="1" x14ac:dyDescent="0.25">
      <c r="A94" s="113" t="s">
        <v>105</v>
      </c>
      <c r="B94" s="113"/>
      <c r="C94" s="113"/>
      <c r="D94" s="113"/>
      <c r="E94" s="113"/>
      <c r="F94" s="109" t="s">
        <v>180</v>
      </c>
      <c r="G94" s="109"/>
      <c r="H94" s="109"/>
    </row>
    <row r="95" spans="1:17" s="47" customFormat="1" hidden="1" x14ac:dyDescent="0.25">
      <c r="A95" s="113" t="s">
        <v>106</v>
      </c>
      <c r="B95" s="113"/>
      <c r="C95" s="113"/>
      <c r="D95" s="113"/>
      <c r="E95" s="113"/>
      <c r="F95" s="109" t="s">
        <v>30</v>
      </c>
      <c r="G95" s="109"/>
      <c r="H95" s="109"/>
    </row>
    <row r="96" spans="1:17" s="47" customFormat="1" hidden="1" x14ac:dyDescent="0.25">
      <c r="A96" s="113" t="s">
        <v>107</v>
      </c>
      <c r="B96" s="113"/>
      <c r="C96" s="113"/>
      <c r="D96" s="113"/>
      <c r="E96" s="113"/>
      <c r="F96" s="109" t="s">
        <v>30</v>
      </c>
      <c r="G96" s="109"/>
      <c r="H96" s="109"/>
    </row>
    <row r="97" spans="1:10" s="47" customFormat="1" hidden="1" x14ac:dyDescent="0.25">
      <c r="A97" s="113" t="s">
        <v>108</v>
      </c>
      <c r="B97" s="113"/>
      <c r="C97" s="113"/>
      <c r="D97" s="113"/>
      <c r="E97" s="113"/>
      <c r="F97" s="109" t="s">
        <v>30</v>
      </c>
      <c r="G97" s="109"/>
      <c r="H97" s="109"/>
    </row>
    <row r="98" spans="1:10" s="47" customFormat="1" hidden="1" x14ac:dyDescent="0.25">
      <c r="A98" s="113" t="s">
        <v>109</v>
      </c>
      <c r="B98" s="113"/>
      <c r="C98" s="113"/>
      <c r="D98" s="113"/>
      <c r="E98" s="113"/>
      <c r="F98" s="109" t="s">
        <v>30</v>
      </c>
      <c r="G98" s="109"/>
      <c r="H98" s="109"/>
    </row>
    <row r="99" spans="1:10" s="47" customFormat="1" hidden="1" x14ac:dyDescent="0.25">
      <c r="A99" s="113" t="s">
        <v>110</v>
      </c>
      <c r="B99" s="113"/>
      <c r="C99" s="113"/>
      <c r="D99" s="113"/>
      <c r="E99" s="113"/>
      <c r="F99" s="109" t="s">
        <v>30</v>
      </c>
      <c r="G99" s="109"/>
      <c r="H99" s="109"/>
    </row>
    <row r="100" spans="1:10" s="47" customFormat="1" hidden="1" x14ac:dyDescent="0.25">
      <c r="A100" s="113" t="s">
        <v>111</v>
      </c>
      <c r="B100" s="113"/>
      <c r="C100" s="113"/>
      <c r="D100" s="113"/>
      <c r="E100" s="113"/>
      <c r="F100" s="109" t="s">
        <v>30</v>
      </c>
      <c r="G100" s="109"/>
      <c r="H100" s="109"/>
    </row>
    <row r="101" spans="1:10" s="47" customFormat="1" x14ac:dyDescent="0.25">
      <c r="A101" s="113" t="s">
        <v>251</v>
      </c>
      <c r="B101" s="113"/>
      <c r="C101" s="113"/>
      <c r="D101" s="113"/>
      <c r="E101" s="113"/>
      <c r="F101" s="109" t="s">
        <v>252</v>
      </c>
      <c r="G101" s="109"/>
      <c r="H101" s="109"/>
    </row>
    <row r="102" spans="1:10" x14ac:dyDescent="0.25">
      <c r="A102" s="113" t="s">
        <v>57</v>
      </c>
      <c r="B102" s="113"/>
      <c r="C102" s="113"/>
      <c r="D102" s="113"/>
      <c r="E102" s="113"/>
      <c r="F102" s="124" t="s">
        <v>244</v>
      </c>
      <c r="G102" s="124"/>
      <c r="H102" s="124"/>
    </row>
    <row r="103" spans="1:10" s="48" customFormat="1" x14ac:dyDescent="0.25">
      <c r="A103" s="114" t="s">
        <v>58</v>
      </c>
      <c r="B103" s="114"/>
      <c r="C103" s="114"/>
      <c r="D103" s="114"/>
      <c r="E103" s="114"/>
      <c r="F103" s="109">
        <f>F92*0.8</f>
        <v>5600</v>
      </c>
      <c r="G103" s="109"/>
      <c r="H103" s="109"/>
    </row>
    <row r="104" spans="1:10" s="49" customFormat="1" ht="15.75" customHeight="1" x14ac:dyDescent="0.25">
      <c r="A104" s="89" t="s">
        <v>84</v>
      </c>
      <c r="B104" s="89"/>
      <c r="C104" s="89"/>
      <c r="D104" s="89"/>
      <c r="E104" s="89"/>
      <c r="F104" s="89"/>
      <c r="G104" s="89"/>
      <c r="H104" s="89"/>
    </row>
    <row r="105" spans="1:10" s="49" customFormat="1" ht="15.75" customHeight="1" x14ac:dyDescent="0.25">
      <c r="A105" s="138" t="s">
        <v>59</v>
      </c>
      <c r="B105" s="138"/>
      <c r="C105" s="91" t="s">
        <v>87</v>
      </c>
      <c r="D105" s="91"/>
      <c r="E105" s="93" t="s">
        <v>60</v>
      </c>
      <c r="F105" s="93"/>
      <c r="G105" s="138" t="s">
        <v>61</v>
      </c>
      <c r="H105" s="138"/>
    </row>
    <row r="106" spans="1:10" s="49" customFormat="1" x14ac:dyDescent="0.25">
      <c r="A106" s="82" t="s">
        <v>175</v>
      </c>
      <c r="B106" s="82"/>
      <c r="C106" s="88">
        <f>COUNT(D120:D127)</f>
        <v>8</v>
      </c>
      <c r="D106" s="85"/>
      <c r="E106" s="86">
        <f>SUM(D120:D127)</f>
        <v>9836.9235899999985</v>
      </c>
      <c r="F106" s="87"/>
      <c r="G106" s="86">
        <f>SUM(F120:F127)</f>
        <v>16154.187905699999</v>
      </c>
      <c r="H106" s="87"/>
    </row>
    <row r="107" spans="1:10" s="49" customFormat="1" x14ac:dyDescent="0.25">
      <c r="A107" s="89" t="s">
        <v>77</v>
      </c>
      <c r="B107" s="89"/>
      <c r="C107" s="89"/>
      <c r="D107" s="89"/>
      <c r="E107" s="89"/>
      <c r="F107" s="89"/>
      <c r="G107" s="89"/>
      <c r="H107" s="89"/>
    </row>
    <row r="108" spans="1:10" s="49" customFormat="1" ht="15.75" customHeight="1" x14ac:dyDescent="0.25">
      <c r="A108" s="138" t="s">
        <v>59</v>
      </c>
      <c r="B108" s="138"/>
      <c r="C108" s="91" t="s">
        <v>87</v>
      </c>
      <c r="D108" s="91"/>
      <c r="E108" s="93" t="s">
        <v>60</v>
      </c>
      <c r="F108" s="93"/>
      <c r="G108" s="138" t="s">
        <v>61</v>
      </c>
      <c r="H108" s="138"/>
    </row>
    <row r="109" spans="1:10" s="49" customFormat="1" x14ac:dyDescent="0.25">
      <c r="A109" s="82" t="s">
        <v>237</v>
      </c>
      <c r="B109" s="82"/>
      <c r="C109" s="85">
        <f>COUNT(D133:D133)+COUNT(D135:D137)*7+COUNT(D139:D141)+COUNT(D143:D145)+COUNT(D147:D149)*17+COUNT(D152)</f>
        <v>80</v>
      </c>
      <c r="D109" s="85"/>
      <c r="E109" s="86">
        <f>SUM(D133:D133)+SUM(D135:D137)*7+SUM(D139:D141)+SUM(D143:D145)+SUM(D147:D149)*17+SUM(D152)</f>
        <v>42733.913133599992</v>
      </c>
      <c r="F109" s="87"/>
      <c r="G109" s="86">
        <f>SUM(F133:F133)+SUM(F135:F137)*7+SUM(F139:F141)+SUM(F143:F145)+SUM(F147:F149)*17+SUM(F152)</f>
        <v>66237.565357079977</v>
      </c>
      <c r="H109" s="87"/>
    </row>
    <row r="110" spans="1:10" s="49" customFormat="1" x14ac:dyDescent="0.25">
      <c r="A110" s="82" t="s">
        <v>238</v>
      </c>
      <c r="B110" s="82"/>
      <c r="C110" s="88">
        <f>COUNT(D160)+COUNT(D162:D164)*7+COUNT(D166:D168)+COUNT(D170:D172)+COUNT(D174:D176)*17</f>
        <v>79</v>
      </c>
      <c r="D110" s="85"/>
      <c r="E110" s="86">
        <f>SUM(D160)+SUM(D162:D164)*7+SUM(D166:D168)+SUM(D170:D172)+SUM(D174:D176)*17</f>
        <v>42155.932618799983</v>
      </c>
      <c r="F110" s="87"/>
      <c r="G110" s="86">
        <f>SUM(F160)+SUM(F162:F164)*7+SUM(F166:F168)+SUM(F170:F172)+SUM(F174:F176)*17</f>
        <v>65341.695559139982</v>
      </c>
      <c r="H110" s="87"/>
      <c r="J110" s="57">
        <f>C109+C110+C111</f>
        <v>267</v>
      </c>
    </row>
    <row r="111" spans="1:10" s="49" customFormat="1" x14ac:dyDescent="0.25">
      <c r="A111" s="82" t="s">
        <v>239</v>
      </c>
      <c r="B111" s="82"/>
      <c r="C111" s="85">
        <f>COUNT(D187:D190)+COUNT(D192:D195)*7+COUNT(D197:D200)+COUNT(D202:D205)+COUNT(D207:D210)*17</f>
        <v>108</v>
      </c>
      <c r="D111" s="85"/>
      <c r="E111" s="86">
        <f>SUM(D187:D190)+SUM(D192:D195)*7+SUM(D197:D200)+SUM(D202:D205)+SUM(D207:D210)*17</f>
        <v>43857.973972799991</v>
      </c>
      <c r="F111" s="87"/>
      <c r="G111" s="86">
        <f>SUM(F187:F190)+SUM(F192:F195)*7+SUM(F197:F200)+SUM(F202:F205)+SUM(F207:F210)*17</f>
        <v>67979.859657839988</v>
      </c>
      <c r="H111" s="87"/>
    </row>
    <row r="112" spans="1:10" s="49" customFormat="1" x14ac:dyDescent="0.25">
      <c r="A112" s="82" t="s">
        <v>208</v>
      </c>
      <c r="B112" s="82"/>
      <c r="C112" s="88">
        <f>COUNT(D151,D153,D178:D180,D212:D215)+COUNT(D155:D157,D182:D184,D217:D220)</f>
        <v>19</v>
      </c>
      <c r="D112" s="85"/>
      <c r="E112" s="86">
        <f t="shared" ref="E112" si="0">SUM(D151,D153,D178:D180,D212:D215)+SUM(D155:D157,D182:D184,D217:D220)</f>
        <v>9080.9097443999963</v>
      </c>
      <c r="F112" s="87"/>
      <c r="G112" s="86">
        <f>SUM(F151,F153,F178:F180,F212:F215)+SUM(F155:F157,F182:F184,F217:F220)</f>
        <v>14075.410103819997</v>
      </c>
      <c r="H112" s="87"/>
    </row>
    <row r="113" spans="1:14" s="56" customFormat="1" x14ac:dyDescent="0.25">
      <c r="A113" s="89" t="s">
        <v>240</v>
      </c>
      <c r="B113" s="89"/>
      <c r="C113" s="90">
        <f>SUM(C109:D112)</f>
        <v>286</v>
      </c>
      <c r="D113" s="91"/>
      <c r="E113" s="92">
        <f>SUM(E109:F112)</f>
        <v>137828.72946959996</v>
      </c>
      <c r="F113" s="93"/>
      <c r="G113" s="92">
        <f>SUM(G109:H112)</f>
        <v>213634.53067787996</v>
      </c>
      <c r="H113" s="93"/>
    </row>
    <row r="114" spans="1:14" s="48" customFormat="1" x14ac:dyDescent="0.25">
      <c r="A114" s="123" t="s">
        <v>62</v>
      </c>
      <c r="B114" s="123"/>
      <c r="C114" s="123"/>
      <c r="D114" s="123"/>
      <c r="E114" s="123"/>
      <c r="F114" s="123"/>
      <c r="G114" s="123"/>
      <c r="H114" s="123"/>
      <c r="J114" s="60">
        <f>G106+G113</f>
        <v>229788.71858357996</v>
      </c>
    </row>
    <row r="115" spans="1:14" x14ac:dyDescent="0.25">
      <c r="A115" s="123" t="s">
        <v>63</v>
      </c>
      <c r="B115" s="123"/>
      <c r="C115" s="123"/>
      <c r="D115" s="123"/>
      <c r="E115" s="123"/>
      <c r="F115" s="123"/>
      <c r="G115" s="123"/>
      <c r="H115" s="123"/>
    </row>
    <row r="116" spans="1:14" ht="47.25" customHeight="1" x14ac:dyDescent="0.25">
      <c r="A116" s="129" t="s">
        <v>134</v>
      </c>
      <c r="B116" s="129" t="s">
        <v>133</v>
      </c>
      <c r="C116" s="129" t="s">
        <v>64</v>
      </c>
      <c r="D116" s="129" t="s">
        <v>65</v>
      </c>
      <c r="E116" s="134" t="s">
        <v>66</v>
      </c>
      <c r="F116" s="22" t="s">
        <v>166</v>
      </c>
      <c r="G116" s="132" t="s">
        <v>67</v>
      </c>
      <c r="H116" s="136"/>
    </row>
    <row r="117" spans="1:14" s="50" customFormat="1" x14ac:dyDescent="0.25">
      <c r="A117" s="130"/>
      <c r="B117" s="130"/>
      <c r="C117" s="130"/>
      <c r="D117" s="130"/>
      <c r="E117" s="135"/>
      <c r="F117" s="13">
        <v>0.55000000000000004</v>
      </c>
      <c r="G117" s="133"/>
      <c r="H117" s="137"/>
    </row>
    <row r="118" spans="1:14" s="50" customFormat="1" x14ac:dyDescent="0.25">
      <c r="A118" s="94" t="s">
        <v>175</v>
      </c>
      <c r="B118" s="95"/>
      <c r="C118" s="95"/>
      <c r="D118" s="95"/>
      <c r="E118" s="95"/>
      <c r="F118" s="95"/>
      <c r="G118" s="95"/>
      <c r="H118" s="96"/>
      <c r="J118" s="51"/>
    </row>
    <row r="119" spans="1:14" s="50" customFormat="1" x14ac:dyDescent="0.25">
      <c r="A119" s="94" t="s">
        <v>132</v>
      </c>
      <c r="B119" s="95"/>
      <c r="C119" s="95"/>
      <c r="D119" s="95"/>
      <c r="E119" s="95"/>
      <c r="F119" s="95"/>
      <c r="G119" s="95"/>
      <c r="H119" s="96"/>
      <c r="J119" s="51"/>
    </row>
    <row r="120" spans="1:14" s="50" customFormat="1" x14ac:dyDescent="0.25">
      <c r="A120" s="83">
        <v>1</v>
      </c>
      <c r="B120" s="84"/>
      <c r="C120" s="21" t="s">
        <v>187</v>
      </c>
      <c r="D120" s="21">
        <f>7.15*15.35*10.764</f>
        <v>1181.37591</v>
      </c>
      <c r="E120" s="21">
        <f>5.29*7.2*10.764</f>
        <v>409.97923199999997</v>
      </c>
      <c r="F120" s="21">
        <f>D120*(($F$117)+1)+(IF(E120&lt;101,E120,IF(E120&lt;201,E120/2,IF(E120&lt;=301,E120/3,E120/4))))</f>
        <v>1933.6274684999998</v>
      </c>
      <c r="G120" s="83" t="str">
        <f>A119</f>
        <v>Ground Floor</v>
      </c>
      <c r="H120" s="84"/>
      <c r="I120" s="51"/>
      <c r="L120" s="107"/>
      <c r="M120" s="107"/>
      <c r="N120" s="51"/>
    </row>
    <row r="121" spans="1:14" s="50" customFormat="1" x14ac:dyDescent="0.25">
      <c r="A121" s="83">
        <f t="shared" ref="A121:A127" si="1">A120+1</f>
        <v>2</v>
      </c>
      <c r="B121" s="84"/>
      <c r="C121" s="21" t="s">
        <v>188</v>
      </c>
      <c r="D121" s="21">
        <f>13.71*15.35*10.764</f>
        <v>2265.2676539999998</v>
      </c>
      <c r="E121" s="21">
        <f>5.29*13.71*10.764</f>
        <v>780.66878759999997</v>
      </c>
      <c r="F121" s="21">
        <f t="shared" ref="F121:F126" si="2">D121*(($F$117)+1)+(IF(E121&lt;101,E121,IF(E121&lt;201,E121/2,IF(E121&lt;=301,E121/3,E121/4))))</f>
        <v>3706.3320605999997</v>
      </c>
      <c r="G121" s="83" t="str">
        <f t="shared" ref="G121:G127" si="3">G120</f>
        <v>Ground Floor</v>
      </c>
      <c r="H121" s="84"/>
      <c r="I121" s="51"/>
      <c r="L121" s="107"/>
      <c r="M121" s="107"/>
      <c r="N121" s="51"/>
    </row>
    <row r="122" spans="1:14" s="50" customFormat="1" x14ac:dyDescent="0.25">
      <c r="A122" s="83">
        <f t="shared" si="1"/>
        <v>3</v>
      </c>
      <c r="B122" s="84"/>
      <c r="C122" s="21" t="s">
        <v>187</v>
      </c>
      <c r="D122" s="21">
        <f>5.95*15.35*10.764</f>
        <v>983.10302999999988</v>
      </c>
      <c r="E122" s="21">
        <f>5.29*5.95*10.764</f>
        <v>338.80228199999999</v>
      </c>
      <c r="F122" s="21">
        <f t="shared" si="2"/>
        <v>1608.5102669999997</v>
      </c>
      <c r="G122" s="83" t="str">
        <f t="shared" si="3"/>
        <v>Ground Floor</v>
      </c>
      <c r="H122" s="84"/>
      <c r="I122" s="51"/>
      <c r="L122" s="107"/>
      <c r="M122" s="107"/>
      <c r="N122" s="51"/>
    </row>
    <row r="123" spans="1:14" s="50" customFormat="1" x14ac:dyDescent="0.25">
      <c r="A123" s="83">
        <f t="shared" si="1"/>
        <v>4</v>
      </c>
      <c r="B123" s="84"/>
      <c r="C123" s="21" t="s">
        <v>189</v>
      </c>
      <c r="D123" s="21">
        <f>10.46*15.35*10.764</f>
        <v>1728.2786039999999</v>
      </c>
      <c r="E123" s="21">
        <f>5.29*10.46*10.764</f>
        <v>595.60871759999998</v>
      </c>
      <c r="F123" s="21">
        <f t="shared" si="2"/>
        <v>2827.7340156</v>
      </c>
      <c r="G123" s="83" t="str">
        <f t="shared" si="3"/>
        <v>Ground Floor</v>
      </c>
      <c r="H123" s="84"/>
      <c r="I123" s="51"/>
      <c r="L123" s="107"/>
      <c r="M123" s="107"/>
      <c r="N123" s="51"/>
    </row>
    <row r="124" spans="1:14" s="50" customFormat="1" x14ac:dyDescent="0.25">
      <c r="A124" s="83">
        <f t="shared" si="1"/>
        <v>5</v>
      </c>
      <c r="B124" s="84"/>
      <c r="C124" s="21" t="s">
        <v>189</v>
      </c>
      <c r="D124" s="21">
        <f>7.2*15.35*10.764</f>
        <v>1189.6372799999999</v>
      </c>
      <c r="E124" s="21">
        <f>5.29*7.2*10.764</f>
        <v>409.97923199999997</v>
      </c>
      <c r="F124" s="21">
        <f t="shared" si="2"/>
        <v>1946.4325919999999</v>
      </c>
      <c r="G124" s="83" t="str">
        <f t="shared" si="3"/>
        <v>Ground Floor</v>
      </c>
      <c r="H124" s="84"/>
      <c r="I124" s="51"/>
      <c r="L124" s="107"/>
      <c r="M124" s="107"/>
      <c r="N124" s="51"/>
    </row>
    <row r="125" spans="1:14" s="50" customFormat="1" x14ac:dyDescent="0.25">
      <c r="A125" s="83">
        <f t="shared" si="1"/>
        <v>6</v>
      </c>
      <c r="B125" s="84"/>
      <c r="C125" s="21" t="s">
        <v>187</v>
      </c>
      <c r="D125" s="21">
        <f>6.57*12.88*10.764</f>
        <v>910.86690240000007</v>
      </c>
      <c r="E125" s="21">
        <f>4.89*6.57*10.764</f>
        <v>345.81825719999995</v>
      </c>
      <c r="F125" s="21">
        <f t="shared" si="2"/>
        <v>1498.2982630200001</v>
      </c>
      <c r="G125" s="83" t="str">
        <f t="shared" si="3"/>
        <v>Ground Floor</v>
      </c>
      <c r="H125" s="84"/>
      <c r="I125" s="51"/>
      <c r="L125" s="107"/>
      <c r="M125" s="107"/>
      <c r="N125" s="51"/>
    </row>
    <row r="126" spans="1:14" s="50" customFormat="1" x14ac:dyDescent="0.25">
      <c r="A126" s="83">
        <f t="shared" si="1"/>
        <v>7</v>
      </c>
      <c r="B126" s="84"/>
      <c r="C126" s="21" t="s">
        <v>189</v>
      </c>
      <c r="D126" s="21">
        <f>6.17*10.48*10.764</f>
        <v>696.0174624</v>
      </c>
      <c r="E126" s="21">
        <f>4.5*6.17*10.764</f>
        <v>298.86246</v>
      </c>
      <c r="F126" s="21">
        <f t="shared" si="2"/>
        <v>1178.44788672</v>
      </c>
      <c r="G126" s="83" t="str">
        <f t="shared" si="3"/>
        <v>Ground Floor</v>
      </c>
      <c r="H126" s="84"/>
      <c r="I126" s="51"/>
      <c r="L126" s="107"/>
      <c r="M126" s="107"/>
      <c r="N126" s="51"/>
    </row>
    <row r="127" spans="1:14" s="50" customFormat="1" x14ac:dyDescent="0.25">
      <c r="A127" s="83">
        <f t="shared" si="1"/>
        <v>8</v>
      </c>
      <c r="B127" s="84"/>
      <c r="C127" s="21" t="s">
        <v>188</v>
      </c>
      <c r="D127" s="21">
        <f>9.19*8.92*10.764</f>
        <v>882.37674719999995</v>
      </c>
      <c r="E127" s="21">
        <f>9.33*3.47*10.764</f>
        <v>348.48557640000001</v>
      </c>
      <c r="F127" s="21">
        <f t="shared" ref="F127" si="4">D127*(($F$117)+1)+(IF(E127&lt;101,E127,IF(E127&lt;201,E127/2,IF(E127&lt;=301,E127/3,E127/4))))</f>
        <v>1454.8053522600001</v>
      </c>
      <c r="G127" s="83" t="str">
        <f t="shared" si="3"/>
        <v>Ground Floor</v>
      </c>
      <c r="H127" s="84"/>
      <c r="I127" s="51"/>
      <c r="L127" s="107"/>
      <c r="M127" s="107"/>
      <c r="N127" s="51"/>
    </row>
    <row r="128" spans="1:14" s="50" customFormat="1" x14ac:dyDescent="0.25">
      <c r="A128" s="83"/>
      <c r="B128" s="131"/>
      <c r="C128" s="131"/>
      <c r="D128" s="131"/>
      <c r="E128" s="131"/>
      <c r="F128" s="131"/>
      <c r="G128" s="131"/>
      <c r="H128" s="84"/>
      <c r="I128" s="51"/>
      <c r="N128" s="51"/>
    </row>
    <row r="129" spans="1:16" ht="47.25" customHeight="1" x14ac:dyDescent="0.25">
      <c r="A129" s="132" t="s">
        <v>135</v>
      </c>
      <c r="B129" s="132" t="s">
        <v>136</v>
      </c>
      <c r="C129" s="129" t="s">
        <v>64</v>
      </c>
      <c r="D129" s="129" t="s">
        <v>65</v>
      </c>
      <c r="E129" s="134" t="s">
        <v>66</v>
      </c>
      <c r="F129" s="22" t="s">
        <v>166</v>
      </c>
      <c r="G129" s="132" t="s">
        <v>67</v>
      </c>
      <c r="H129" s="136"/>
      <c r="I129" s="51"/>
    </row>
    <row r="130" spans="1:16" s="50" customFormat="1" x14ac:dyDescent="0.25">
      <c r="A130" s="133"/>
      <c r="B130" s="133"/>
      <c r="C130" s="130"/>
      <c r="D130" s="130"/>
      <c r="E130" s="135"/>
      <c r="F130" s="13">
        <v>0.55000000000000004</v>
      </c>
      <c r="G130" s="133"/>
      <c r="H130" s="137"/>
      <c r="I130" s="51"/>
    </row>
    <row r="131" spans="1:16" s="50" customFormat="1" x14ac:dyDescent="0.25">
      <c r="A131" s="106" t="s">
        <v>210</v>
      </c>
      <c r="B131" s="106"/>
      <c r="C131" s="106"/>
      <c r="D131" s="106"/>
      <c r="E131" s="106"/>
      <c r="F131" s="106"/>
      <c r="G131" s="106"/>
      <c r="H131" s="106"/>
      <c r="I131" s="51"/>
      <c r="L131" s="107"/>
      <c r="M131" s="107"/>
    </row>
    <row r="132" spans="1:16" s="50" customFormat="1" x14ac:dyDescent="0.25">
      <c r="A132" s="106" t="s">
        <v>193</v>
      </c>
      <c r="B132" s="106"/>
      <c r="C132" s="106"/>
      <c r="D132" s="106"/>
      <c r="E132" s="106"/>
      <c r="F132" s="106"/>
      <c r="G132" s="106"/>
      <c r="H132" s="106"/>
      <c r="I132" s="51"/>
      <c r="L132" s="107"/>
      <c r="M132" s="107"/>
    </row>
    <row r="133" spans="1:16" s="50" customFormat="1" x14ac:dyDescent="0.25">
      <c r="A133" s="108">
        <f>A190+1</f>
        <v>5</v>
      </c>
      <c r="B133" s="108"/>
      <c r="C133" s="21" t="s">
        <v>192</v>
      </c>
      <c r="D133" s="21">
        <f>(3.05*3.87+2.44*2.5+3.05*2.52+2.14*2.44+1.22*2.13+1.22*2.13+1.68*0.6+1.98*0.6+1*3.05+0.75*2.14+1.22*0.6+0.9*2.14)*10.764</f>
        <v>489.94821719999993</v>
      </c>
      <c r="E133" s="21">
        <v>0</v>
      </c>
      <c r="F133" s="21">
        <f t="shared" ref="F133" si="5">D133*(($F$117)+1)+(IF(E133&lt;101,E133,IF(E133&lt;201,E133/2,IF(E133&lt;=301,E133/3,E133/4))))</f>
        <v>759.4197366599999</v>
      </c>
      <c r="G133" s="108" t="str">
        <f>G190</f>
        <v>1st Floor For Residential,  Swimming pool &amp; Fitness Center</v>
      </c>
      <c r="H133" s="108"/>
      <c r="I133" s="51"/>
      <c r="N133" s="51"/>
    </row>
    <row r="134" spans="1:16" s="50" customFormat="1" ht="15.75" customHeight="1" x14ac:dyDescent="0.25">
      <c r="A134" s="94" t="s">
        <v>194</v>
      </c>
      <c r="B134" s="95"/>
      <c r="C134" s="95"/>
      <c r="D134" s="95"/>
      <c r="E134" s="95"/>
      <c r="F134" s="95"/>
      <c r="G134" s="95"/>
      <c r="H134" s="96"/>
      <c r="I134" s="51"/>
    </row>
    <row r="135" spans="1:16" s="50" customFormat="1" x14ac:dyDescent="0.25">
      <c r="A135" s="83">
        <v>5</v>
      </c>
      <c r="B135" s="84"/>
      <c r="C135" s="21" t="s">
        <v>192</v>
      </c>
      <c r="D135" s="21">
        <f>(3.05*3.87+2.44*2.5+3.05*2.52+2.14*2.44+1.22*2.13+1.22*2.13+1.68*0.6+1.98*0.6+1*3.05+0.75*2.14+1.22*0.6+0.9*2.14)*10.764</f>
        <v>489.94821719999993</v>
      </c>
      <c r="E135" s="21">
        <v>0</v>
      </c>
      <c r="F135" s="21">
        <f t="shared" ref="F135:F136" si="6">D135*(($F$117)+1)+(IF(E135&lt;101,E135,IF(E135&lt;201,E135/2,IF(E135&lt;=301,E135/3,E135/4))))</f>
        <v>759.4197366599999</v>
      </c>
      <c r="G135" s="83" t="str">
        <f>G195</f>
        <v>2nd to 7th &amp; 9th Floor</v>
      </c>
      <c r="H135" s="84"/>
      <c r="I135" s="51"/>
      <c r="J135" s="50">
        <f>5500*F135</f>
        <v>4176808.5516299997</v>
      </c>
      <c r="N135" s="50" t="str">
        <f t="shared" ref="N135:N136" ca="1" si="7">O135&amp;""&amp;",..,"&amp;""&amp;P135</f>
        <v>205,..,905</v>
      </c>
      <c r="O135" s="50">
        <f ca="1">O195+1</f>
        <v>205</v>
      </c>
      <c r="P135" s="50">
        <f ca="1">P195+1</f>
        <v>905</v>
      </c>
    </row>
    <row r="136" spans="1:16" s="50" customFormat="1" x14ac:dyDescent="0.25">
      <c r="A136" s="83">
        <v>6</v>
      </c>
      <c r="B136" s="84"/>
      <c r="C136" s="21" t="s">
        <v>191</v>
      </c>
      <c r="D136" s="21">
        <f>(3.89*3.07+2.13*2.9+2.75*2.9+3.35*3.58+1.22*2.21+2.21*1.22+1*1.22+1*2.21+2.15*0.6+1.91*0.6+1.5*2.9)*10.764</f>
        <v>577.98051479999992</v>
      </c>
      <c r="E136" s="21">
        <v>0</v>
      </c>
      <c r="F136" s="21">
        <f t="shared" si="6"/>
        <v>895.8697979399999</v>
      </c>
      <c r="G136" s="83" t="str">
        <f>G135</f>
        <v>2nd to 7th &amp; 9th Floor</v>
      </c>
      <c r="H136" s="84"/>
      <c r="I136" s="51"/>
      <c r="J136" s="50">
        <f t="shared" ref="J136:J137" si="8">5500*F136</f>
        <v>4927283.8886699993</v>
      </c>
      <c r="N136" s="50" t="str">
        <f t="shared" ca="1" si="7"/>
        <v>206,..,906</v>
      </c>
      <c r="O136" s="50">
        <f ca="1">O135+1</f>
        <v>206</v>
      </c>
      <c r="P136" s="50">
        <f ca="1">P135+1</f>
        <v>906</v>
      </c>
    </row>
    <row r="137" spans="1:16" s="50" customFormat="1" x14ac:dyDescent="0.25">
      <c r="A137" s="83">
        <v>7</v>
      </c>
      <c r="B137" s="84"/>
      <c r="C137" s="21" t="s">
        <v>192</v>
      </c>
      <c r="D137" s="21">
        <f>(2.44*2.9+3.05*3.27+2.13*2.44+3.05*2.5+1.68*0.6+1.98*0.6+1.22*2.13+2.13*1.22+2.13*0.9+0.6*1.22+1*3.05+1*3.05+2.44*0.75+0.75*2.43)*10.764</f>
        <v>534.60912959999973</v>
      </c>
      <c r="E137" s="21">
        <v>0</v>
      </c>
      <c r="F137" s="21">
        <f>D137*(($F$117)+1)+(IF(E137&lt;101,E137,IF(E137&lt;201,E137/2,IF(E137&lt;=301,E137/3,E137/4))))</f>
        <v>828.64415087999964</v>
      </c>
      <c r="G137" s="83" t="str">
        <f>G136</f>
        <v>2nd to 7th &amp; 9th Floor</v>
      </c>
      <c r="H137" s="84"/>
      <c r="I137" s="51"/>
      <c r="J137" s="50">
        <f t="shared" si="8"/>
        <v>4557542.8298399979</v>
      </c>
      <c r="N137" s="50" t="str">
        <f t="shared" ref="N137" ca="1" si="9">O137&amp;""&amp;",..,"&amp;""&amp;P137</f>
        <v>207,..,907</v>
      </c>
      <c r="O137" s="50">
        <f t="shared" ref="O137:P137" ca="1" si="10">O136+1</f>
        <v>207</v>
      </c>
      <c r="P137" s="50">
        <f t="shared" ca="1" si="10"/>
        <v>907</v>
      </c>
    </row>
    <row r="138" spans="1:16" s="50" customFormat="1" ht="16.5" customHeight="1" x14ac:dyDescent="0.25">
      <c r="A138" s="94" t="s">
        <v>195</v>
      </c>
      <c r="B138" s="95"/>
      <c r="C138" s="95"/>
      <c r="D138" s="95"/>
      <c r="E138" s="95"/>
      <c r="F138" s="95"/>
      <c r="G138" s="95"/>
      <c r="H138" s="96"/>
      <c r="I138" s="51"/>
    </row>
    <row r="139" spans="1:16" s="50" customFormat="1" x14ac:dyDescent="0.25">
      <c r="A139" s="83">
        <v>5</v>
      </c>
      <c r="B139" s="84"/>
      <c r="C139" s="21" t="s">
        <v>192</v>
      </c>
      <c r="D139" s="21">
        <f>(3.05*3.87+2.44*2.5+3.05*2.52+2.14*2.44+1.22*2.13+1.22*2.13+1.68*0.6+1.98*0.6+1*3.05+0.75*2.14+1.22*0.6+0.9*2.14)*10.764</f>
        <v>489.94821719999993</v>
      </c>
      <c r="E139" s="21">
        <v>0</v>
      </c>
      <c r="F139" s="21">
        <f>D139*(($F$117)+1)+(IF(E139&lt;101,E139,IF(E139&lt;201,E139/2,IF(E139&lt;=301,E139/3,E139/4))))</f>
        <v>759.4197366599999</v>
      </c>
      <c r="G139" s="83" t="str">
        <f>G200</f>
        <v>8th Floor (Part Refuge Area)</v>
      </c>
      <c r="H139" s="84"/>
      <c r="I139" s="51"/>
      <c r="N139" s="50" t="e">
        <f t="shared" ref="N139:N141" ca="1" si="11">O139&amp;""&amp;",..,"&amp;""&amp;P139</f>
        <v>#REF!</v>
      </c>
      <c r="O139" s="50" t="e">
        <f ca="1">O200+1</f>
        <v>#REF!</v>
      </c>
      <c r="P139" s="50">
        <f ca="1">P200+1</f>
        <v>805</v>
      </c>
    </row>
    <row r="140" spans="1:16" s="50" customFormat="1" x14ac:dyDescent="0.25">
      <c r="A140" s="83">
        <v>6</v>
      </c>
      <c r="B140" s="84"/>
      <c r="C140" s="21" t="s">
        <v>191</v>
      </c>
      <c r="D140" s="21">
        <f>(3.89*3.07+2.13*2.9+2.75*2.9+3.35*3.58+1.22*2.21+2.21*1.22+1*1.22+1*2.21+2.15*0.6+1.91*0.6+1.5*2.9)*10.764</f>
        <v>577.98051479999992</v>
      </c>
      <c r="E140" s="21">
        <v>0</v>
      </c>
      <c r="F140" s="21">
        <f>D140*(($F$117)+1)+(IF(E140&lt;101,E140,IF(E140&lt;201,E140/2,IF(E140&lt;=301,E140/3,E140/4))))</f>
        <v>895.8697979399999</v>
      </c>
      <c r="G140" s="83" t="str">
        <f>G139</f>
        <v>8th Floor (Part Refuge Area)</v>
      </c>
      <c r="H140" s="84"/>
      <c r="I140" s="51"/>
      <c r="J140" s="50">
        <f>6500000/F140</f>
        <v>7255.5186199449618</v>
      </c>
      <c r="N140" s="50" t="e">
        <f t="shared" ca="1" si="11"/>
        <v>#REF!</v>
      </c>
      <c r="O140" s="50" t="e">
        <f ca="1">O139+1</f>
        <v>#REF!</v>
      </c>
      <c r="P140" s="50">
        <f ca="1">P139+1</f>
        <v>806</v>
      </c>
    </row>
    <row r="141" spans="1:16" s="50" customFormat="1" x14ac:dyDescent="0.25">
      <c r="A141" s="83">
        <v>7</v>
      </c>
      <c r="B141" s="84"/>
      <c r="C141" s="21" t="s">
        <v>192</v>
      </c>
      <c r="D141" s="21">
        <f>(2.44*2.9+3.05*3.27+2.13*2.44+3.05*2.5+1.68*0.6+1.98*0.6+1.22*2.13+2.13*1.22+2.13*0.9+0.6*1.22+1*3.05+1*3.05+2.44*0.75+0.75*2.43)*10.764</f>
        <v>534.60912959999973</v>
      </c>
      <c r="E141" s="21">
        <v>0</v>
      </c>
      <c r="F141" s="21">
        <f>D141*(($F$117)+1)+(IF(E141&lt;101,E141,IF(E141&lt;201,E141/2,IF(E141&lt;=301,E141/3,E141/4))))</f>
        <v>828.64415087999964</v>
      </c>
      <c r="G141" s="83" t="str">
        <f>G140</f>
        <v>8th Floor (Part Refuge Area)</v>
      </c>
      <c r="H141" s="84"/>
      <c r="I141" s="51"/>
      <c r="N141" s="50" t="e">
        <f t="shared" ca="1" si="11"/>
        <v>#REF!</v>
      </c>
      <c r="O141" s="50" t="e">
        <f t="shared" ref="O141:P141" ca="1" si="12">O140+1</f>
        <v>#REF!</v>
      </c>
      <c r="P141" s="50">
        <f t="shared" ca="1" si="12"/>
        <v>807</v>
      </c>
    </row>
    <row r="142" spans="1:16" s="50" customFormat="1" ht="15.75" customHeight="1" x14ac:dyDescent="0.25">
      <c r="A142" s="94" t="s">
        <v>196</v>
      </c>
      <c r="B142" s="95"/>
      <c r="C142" s="95"/>
      <c r="D142" s="95"/>
      <c r="E142" s="95"/>
      <c r="F142" s="95"/>
      <c r="G142" s="95"/>
      <c r="H142" s="96"/>
      <c r="I142" s="51"/>
    </row>
    <row r="143" spans="1:16" s="50" customFormat="1" x14ac:dyDescent="0.25">
      <c r="A143" s="83">
        <v>5</v>
      </c>
      <c r="B143" s="84"/>
      <c r="C143" s="21" t="s">
        <v>192</v>
      </c>
      <c r="D143" s="21">
        <f>(3.05*3.87+2.44*2.5+3.05*2.52+2.14*2.44+1.22*2.13+1.22*2.13+1.68*0.6+1.98*0.6+1*3.05+0.75*2.14+1.22*0.6+0.9*2.14)*10.764</f>
        <v>489.94821719999993</v>
      </c>
      <c r="E143" s="21">
        <v>0</v>
      </c>
      <c r="F143" s="21">
        <f>D143*(($F$117)+1)+(IF(E143&lt;101,E143,IF(E143&lt;201,E143/2,IF(E143&lt;=301,E143/3,E143/4))))</f>
        <v>759.4197366599999</v>
      </c>
      <c r="G143" s="83" t="str">
        <f>G205</f>
        <v>10th Floor (Part Refuge Area)</v>
      </c>
      <c r="H143" s="84"/>
      <c r="I143" s="51"/>
      <c r="N143" s="50" t="str">
        <f t="shared" ref="N143:N145" ca="1" si="13">O143&amp;""&amp;",..,"&amp;""&amp;P143</f>
        <v>1005,..,1005</v>
      </c>
      <c r="O143" s="50">
        <f ca="1">O205+1</f>
        <v>1005</v>
      </c>
      <c r="P143" s="50">
        <f ca="1">P205+1</f>
        <v>1005</v>
      </c>
    </row>
    <row r="144" spans="1:16" s="50" customFormat="1" x14ac:dyDescent="0.25">
      <c r="A144" s="83">
        <v>6</v>
      </c>
      <c r="B144" s="84"/>
      <c r="C144" s="21" t="s">
        <v>191</v>
      </c>
      <c r="D144" s="21">
        <f>(3.89*3.07+2.13*2.9+2.75*2.9+3.35*3.58+1.22*2.21+2.21*1.22+1*1.22+1*2.21+2.15*0.6+1.91*0.6+1.5*2.9)*10.764</f>
        <v>577.98051479999992</v>
      </c>
      <c r="E144" s="21">
        <v>0</v>
      </c>
      <c r="F144" s="21">
        <f>D144*(($F$117)+1)+(IF(E144&lt;101,E144,IF(E144&lt;201,E144/2,IF(E144&lt;=301,E144/3,E144/4))))</f>
        <v>895.8697979399999</v>
      </c>
      <c r="G144" s="83" t="str">
        <f>G143</f>
        <v>10th Floor (Part Refuge Area)</v>
      </c>
      <c r="H144" s="84"/>
      <c r="I144" s="51"/>
      <c r="N144" s="50" t="str">
        <f t="shared" ca="1" si="13"/>
        <v>1006,..,1006</v>
      </c>
      <c r="O144" s="50">
        <f ca="1">O143+1</f>
        <v>1006</v>
      </c>
      <c r="P144" s="50">
        <f ca="1">P143+1</f>
        <v>1006</v>
      </c>
    </row>
    <row r="145" spans="1:16" s="50" customFormat="1" x14ac:dyDescent="0.25">
      <c r="A145" s="83">
        <v>7</v>
      </c>
      <c r="B145" s="84"/>
      <c r="C145" s="21" t="s">
        <v>192</v>
      </c>
      <c r="D145" s="21">
        <f>(2.44*2.9+3.05*3.27+2.13*2.44+3.05*2.5+1.68*0.6+1.98*0.6+1.22*2.13+2.13*1.22+2.13*0.9+0.6*1.22+1*3.05+1*3.05+2.44*0.75+0.75*2.43)*10.764</f>
        <v>534.60912959999973</v>
      </c>
      <c r="E145" s="21">
        <v>0</v>
      </c>
      <c r="F145" s="21">
        <f>D145*(($F$117)+1)+(IF(E145&lt;101,E145,IF(E145&lt;201,E145/2,IF(E145&lt;=301,E145/3,E145/4))))</f>
        <v>828.64415087999964</v>
      </c>
      <c r="G145" s="83" t="str">
        <f>G144</f>
        <v>10th Floor (Part Refuge Area)</v>
      </c>
      <c r="H145" s="84"/>
      <c r="I145" s="51"/>
      <c r="N145" s="50" t="str">
        <f t="shared" ca="1" si="13"/>
        <v>1007,..,1007</v>
      </c>
      <c r="O145" s="50">
        <f t="shared" ref="O145:P145" ca="1" si="14">O144+1</f>
        <v>1007</v>
      </c>
      <c r="P145" s="50">
        <f t="shared" ca="1" si="14"/>
        <v>1007</v>
      </c>
    </row>
    <row r="146" spans="1:16" s="50" customFormat="1" ht="15.75" customHeight="1" x14ac:dyDescent="0.25">
      <c r="A146" s="94" t="s">
        <v>203</v>
      </c>
      <c r="B146" s="95"/>
      <c r="C146" s="95"/>
      <c r="D146" s="95"/>
      <c r="E146" s="95"/>
      <c r="F146" s="95"/>
      <c r="G146" s="95"/>
      <c r="H146" s="96"/>
      <c r="I146" s="51"/>
    </row>
    <row r="147" spans="1:16" s="50" customFormat="1" x14ac:dyDescent="0.25">
      <c r="A147" s="83">
        <v>5</v>
      </c>
      <c r="B147" s="84"/>
      <c r="C147" s="21" t="s">
        <v>192</v>
      </c>
      <c r="D147" s="21">
        <f>(3.05*3.87+2.44*2.5+3.05*2.52+2.14*2.44+1.22*2.13+1.22*2.13+1.68*0.6+1.98*0.6+1*3.05+0.75*2.14+1.22*0.6+0.9*2.14)*10.764</f>
        <v>489.94821719999993</v>
      </c>
      <c r="E147" s="21">
        <v>0</v>
      </c>
      <c r="F147" s="21">
        <f>D147*(($F$117)+1)+(IF(E147&lt;101,E147,IF(E147&lt;201,E147/2,IF(E147&lt;=301,E147/3,E147/4))))</f>
        <v>759.4197366599999</v>
      </c>
      <c r="G147" s="83" t="str">
        <f>G210</f>
        <v>11th to 28th Floor</v>
      </c>
      <c r="H147" s="84"/>
      <c r="I147" s="51"/>
      <c r="N147" s="50" t="str">
        <f t="shared" ref="N147:N149" ca="1" si="15">O147&amp;""&amp;",..,"&amp;""&amp;P147</f>
        <v>1105,..,2805</v>
      </c>
      <c r="O147" s="50">
        <f ca="1">O210+1</f>
        <v>1105</v>
      </c>
      <c r="P147" s="50">
        <f ca="1">P210+1</f>
        <v>2805</v>
      </c>
    </row>
    <row r="148" spans="1:16" s="50" customFormat="1" x14ac:dyDescent="0.25">
      <c r="A148" s="83">
        <v>6</v>
      </c>
      <c r="B148" s="84"/>
      <c r="C148" s="21" t="s">
        <v>191</v>
      </c>
      <c r="D148" s="21">
        <f>(3.89*3.07+2.13*2.9+2.75*2.9+3.35*3.58+1.22*2.21+2.21*1.22+1*1.22+1*2.21+2.15*0.6+1.91*0.6+1.5*2.9)*10.764</f>
        <v>577.98051479999992</v>
      </c>
      <c r="E148" s="21">
        <v>0</v>
      </c>
      <c r="F148" s="21">
        <f>D148*(($F$117)+1)+(IF(E148&lt;101,E148,IF(E148&lt;201,E148/2,IF(E148&lt;=301,E148/3,E148/4))))</f>
        <v>895.8697979399999</v>
      </c>
      <c r="G148" s="83" t="str">
        <f>G147</f>
        <v>11th to 28th Floor</v>
      </c>
      <c r="H148" s="84"/>
      <c r="I148" s="51"/>
      <c r="N148" s="50" t="str">
        <f t="shared" ca="1" si="15"/>
        <v>1106,..,2806</v>
      </c>
      <c r="O148" s="50">
        <f ca="1">O147+1</f>
        <v>1106</v>
      </c>
      <c r="P148" s="50">
        <f ca="1">P147+1</f>
        <v>2806</v>
      </c>
    </row>
    <row r="149" spans="1:16" s="50" customFormat="1" x14ac:dyDescent="0.25">
      <c r="A149" s="83">
        <v>7</v>
      </c>
      <c r="B149" s="84"/>
      <c r="C149" s="21" t="s">
        <v>192</v>
      </c>
      <c r="D149" s="21">
        <f>(2.44*2.9+3.05*3.27+2.13*2.44+3.05*2.5+1.68*0.6+1.98*0.6+1.22*2.13+2.13*1.22+2.13*0.9+0.6*1.22+1*3.05+1*3.05+2.44*0.75+0.75*2.43)*10.764</f>
        <v>534.60912959999973</v>
      </c>
      <c r="E149" s="21">
        <v>0</v>
      </c>
      <c r="F149" s="21">
        <f>D149*(($F$117)+1)+(IF(E149&lt;101,E149,IF(E149&lt;201,E149/2,IF(E149&lt;=301,E149/3,E149/4))))</f>
        <v>828.64415087999964</v>
      </c>
      <c r="G149" s="83" t="str">
        <f>G148</f>
        <v>11th to 28th Floor</v>
      </c>
      <c r="H149" s="84"/>
      <c r="I149" s="51"/>
      <c r="N149" s="50" t="str">
        <f t="shared" ca="1" si="15"/>
        <v>1107,..,2807</v>
      </c>
      <c r="O149" s="50">
        <f t="shared" ref="O149:P149" ca="1" si="16">O148+1</f>
        <v>1107</v>
      </c>
      <c r="P149" s="50">
        <f t="shared" ca="1" si="16"/>
        <v>2807</v>
      </c>
    </row>
    <row r="150" spans="1:16" s="50" customFormat="1" ht="15.75" customHeight="1" x14ac:dyDescent="0.25">
      <c r="A150" s="94" t="s">
        <v>204</v>
      </c>
      <c r="B150" s="95"/>
      <c r="C150" s="95"/>
      <c r="D150" s="95"/>
      <c r="E150" s="95"/>
      <c r="F150" s="95"/>
      <c r="G150" s="95"/>
      <c r="H150" s="96"/>
      <c r="I150" s="51"/>
    </row>
    <row r="151" spans="1:16" s="50" customFormat="1" x14ac:dyDescent="0.25">
      <c r="A151" s="21">
        <v>5</v>
      </c>
      <c r="B151" s="21" t="s">
        <v>205</v>
      </c>
      <c r="C151" s="21" t="s">
        <v>192</v>
      </c>
      <c r="D151" s="21">
        <f>(3.05*3.87+2.44*2.5+3.05*2.52+2.14*2.44+1.22*2.13+1.22*2.13+1.68*0.6+1.98*0.6+1*3.05+0.75*2.14+1.22*0.6+0.9*2.14)*10.764</f>
        <v>489.94821719999993</v>
      </c>
      <c r="E151" s="21">
        <v>0</v>
      </c>
      <c r="F151" s="21">
        <f>D151*(($F$117)+1)+(IF(E151&lt;101,E151,IF(E151&lt;201,E151/2,IF(E151&lt;=301,E151/3,E151/4))))</f>
        <v>759.4197366599999</v>
      </c>
      <c r="G151" s="83" t="str">
        <f>G215</f>
        <v>29th Floor</v>
      </c>
      <c r="H151" s="84"/>
      <c r="I151" s="51"/>
      <c r="N151" s="50" t="str">
        <f t="shared" ref="N151:N153" ca="1" si="17">O151&amp;""&amp;",..,"&amp;""&amp;P151</f>
        <v>205,..,2905</v>
      </c>
      <c r="O151" s="50">
        <f ca="1">O215+1</f>
        <v>205</v>
      </c>
      <c r="P151" s="50">
        <f ca="1">P215+1</f>
        <v>2905</v>
      </c>
    </row>
    <row r="152" spans="1:16" s="50" customFormat="1" x14ac:dyDescent="0.25">
      <c r="A152" s="21">
        <v>6</v>
      </c>
      <c r="B152" s="21" t="s">
        <v>206</v>
      </c>
      <c r="C152" s="21" t="s">
        <v>191</v>
      </c>
      <c r="D152" s="21">
        <f>(3.89*3.07+2.13*2.9+2.75*2.9+3.35*3.58+1.22*2.21+2.21*1.22+1*1.22+1*2.21+2.15*0.6+1.91*0.6+1.5*2.9)*10.764</f>
        <v>577.98051479999992</v>
      </c>
      <c r="E152" s="21">
        <v>0</v>
      </c>
      <c r="F152" s="21">
        <f>D152*(($F$117)+1)+(IF(E152&lt;101,E152,IF(E152&lt;201,E152/2,IF(E152&lt;=301,E152/3,E152/4))))</f>
        <v>895.8697979399999</v>
      </c>
      <c r="G152" s="83" t="str">
        <f>G151</f>
        <v>29th Floor</v>
      </c>
      <c r="H152" s="84"/>
      <c r="I152" s="51"/>
      <c r="N152" s="50" t="str">
        <f t="shared" ca="1" si="17"/>
        <v>206,..,2906</v>
      </c>
      <c r="O152" s="50">
        <f ca="1">O151+1</f>
        <v>206</v>
      </c>
      <c r="P152" s="50">
        <f ca="1">P151+1</f>
        <v>2906</v>
      </c>
    </row>
    <row r="153" spans="1:16" s="50" customFormat="1" x14ac:dyDescent="0.25">
      <c r="A153" s="21">
        <v>7</v>
      </c>
      <c r="B153" s="21" t="s">
        <v>205</v>
      </c>
      <c r="C153" s="21" t="s">
        <v>192</v>
      </c>
      <c r="D153" s="21">
        <f>(2.44*2.9+3.05*3.27+2.13*2.44+3.05*2.5+1.68*0.6+1.98*0.6+1.22*2.13+2.13*1.22+2.13*0.9+0.6*1.22+1*3.05+1*3.05+2.44*0.75+0.75*2.43)*10.764</f>
        <v>534.60912959999973</v>
      </c>
      <c r="E153" s="21">
        <v>0</v>
      </c>
      <c r="F153" s="21">
        <f>D153*(($F$117)+1)+(IF(E153&lt;101,E153,IF(E153&lt;201,E153/2,IF(E153&lt;=301,E153/3,E153/4))))</f>
        <v>828.64415087999964</v>
      </c>
      <c r="G153" s="83" t="str">
        <f>G152</f>
        <v>29th Floor</v>
      </c>
      <c r="H153" s="84"/>
      <c r="I153" s="51"/>
      <c r="N153" s="50" t="str">
        <f t="shared" ca="1" si="17"/>
        <v>207,..,2907</v>
      </c>
      <c r="O153" s="50">
        <f t="shared" ref="O153:P153" ca="1" si="18">O152+1</f>
        <v>207</v>
      </c>
      <c r="P153" s="50">
        <f t="shared" ca="1" si="18"/>
        <v>2907</v>
      </c>
    </row>
    <row r="154" spans="1:16" s="50" customFormat="1" ht="15.75" customHeight="1" x14ac:dyDescent="0.25">
      <c r="A154" s="94" t="s">
        <v>207</v>
      </c>
      <c r="B154" s="95"/>
      <c r="C154" s="95"/>
      <c r="D154" s="95"/>
      <c r="E154" s="95"/>
      <c r="F154" s="95"/>
      <c r="G154" s="95"/>
      <c r="H154" s="96"/>
      <c r="I154" s="51"/>
    </row>
    <row r="155" spans="1:16" s="50" customFormat="1" x14ac:dyDescent="0.25">
      <c r="A155" s="21">
        <v>5</v>
      </c>
      <c r="B155" s="21" t="s">
        <v>205</v>
      </c>
      <c r="C155" s="21" t="s">
        <v>192</v>
      </c>
      <c r="D155" s="21">
        <f>(3.05*3.87+2.44*2.5+3.05*2.52+2.14*2.44+1.22*2.13+1.22*2.13+1.68*0.6+1.98*0.6+1*3.05+0.75*2.14+1.22*0.6+0.9*2.14)*10.764</f>
        <v>489.94821719999993</v>
      </c>
      <c r="E155" s="21">
        <v>0</v>
      </c>
      <c r="F155" s="21">
        <f>D155*(($F$117)+1)+(IF(E155&lt;101,E155,IF(E155&lt;201,E155/2,IF(E155&lt;=301,E155/3,E155/4))))</f>
        <v>759.4197366599999</v>
      </c>
      <c r="G155" s="83" t="str">
        <f>G220</f>
        <v>30th Floor</v>
      </c>
      <c r="H155" s="84"/>
      <c r="I155" s="51"/>
      <c r="N155" s="50" t="str">
        <f t="shared" ref="N155:N157" ca="1" si="19">O155&amp;""&amp;",..,"&amp;""&amp;P155</f>
        <v>305,..,3005</v>
      </c>
      <c r="O155" s="50">
        <f ca="1">O220+1</f>
        <v>305</v>
      </c>
      <c r="P155" s="50">
        <f ca="1">P220+1</f>
        <v>3005</v>
      </c>
    </row>
    <row r="156" spans="1:16" s="50" customFormat="1" x14ac:dyDescent="0.25">
      <c r="A156" s="21">
        <v>6</v>
      </c>
      <c r="B156" s="21" t="s">
        <v>205</v>
      </c>
      <c r="C156" s="21" t="s">
        <v>191</v>
      </c>
      <c r="D156" s="21">
        <f>(3.89*3.07+2.13*2.9+2.75*2.9+3.35*3.58+1.22*2.21+2.21*1.22+1*1.22+1*2.21+2.15*0.6+1.91*0.6+1.5*2.9)*10.764</f>
        <v>577.98051479999992</v>
      </c>
      <c r="E156" s="21">
        <v>0</v>
      </c>
      <c r="F156" s="21">
        <f>D156*(($F$117)+1)+(IF(E156&lt;101,E156,IF(E156&lt;201,E156/2,IF(E156&lt;=301,E156/3,E156/4))))</f>
        <v>895.8697979399999</v>
      </c>
      <c r="G156" s="83" t="str">
        <f>G155</f>
        <v>30th Floor</v>
      </c>
      <c r="H156" s="84"/>
      <c r="I156" s="51"/>
      <c r="N156" s="50" t="str">
        <f t="shared" ca="1" si="19"/>
        <v>306,..,3006</v>
      </c>
      <c r="O156" s="50">
        <f ca="1">O155+1</f>
        <v>306</v>
      </c>
      <c r="P156" s="50">
        <f ca="1">P155+1</f>
        <v>3006</v>
      </c>
    </row>
    <row r="157" spans="1:16" s="50" customFormat="1" x14ac:dyDescent="0.25">
      <c r="A157" s="21">
        <v>7</v>
      </c>
      <c r="B157" s="21" t="s">
        <v>205</v>
      </c>
      <c r="C157" s="21" t="s">
        <v>192</v>
      </c>
      <c r="D157" s="21">
        <f>(2.44*2.9+3.05*3.27+2.13*2.44+3.05*2.5+1.68*0.6+1.98*0.6+1.22*2.13+2.13*1.22+2.13*0.9+0.6*1.22+1*3.05+1*3.05+2.44*0.75+0.75*2.43)*10.764</f>
        <v>534.60912959999973</v>
      </c>
      <c r="E157" s="21">
        <v>0</v>
      </c>
      <c r="F157" s="21">
        <f>D157*(($F$117)+1)+(IF(E157&lt;101,E157,IF(E157&lt;201,E157/2,IF(E157&lt;=301,E157/3,E157/4))))</f>
        <v>828.64415087999964</v>
      </c>
      <c r="G157" s="83" t="str">
        <f>G156</f>
        <v>30th Floor</v>
      </c>
      <c r="H157" s="84"/>
      <c r="I157" s="51"/>
      <c r="N157" s="50" t="str">
        <f t="shared" ca="1" si="19"/>
        <v>307,..,3007</v>
      </c>
      <c r="O157" s="50">
        <f t="shared" ref="O157:P157" ca="1" si="20">O156+1</f>
        <v>307</v>
      </c>
      <c r="P157" s="50">
        <f t="shared" ca="1" si="20"/>
        <v>3007</v>
      </c>
    </row>
    <row r="158" spans="1:16" s="50" customFormat="1" x14ac:dyDescent="0.25">
      <c r="A158" s="106" t="s">
        <v>211</v>
      </c>
      <c r="B158" s="106"/>
      <c r="C158" s="106"/>
      <c r="D158" s="106"/>
      <c r="E158" s="106"/>
      <c r="F158" s="106"/>
      <c r="G158" s="106"/>
      <c r="H158" s="106"/>
      <c r="I158" s="51"/>
      <c r="L158" s="107"/>
      <c r="M158" s="107"/>
    </row>
    <row r="159" spans="1:16" s="50" customFormat="1" x14ac:dyDescent="0.25">
      <c r="A159" s="106" t="s">
        <v>193</v>
      </c>
      <c r="B159" s="106"/>
      <c r="C159" s="106"/>
      <c r="D159" s="106"/>
      <c r="E159" s="106"/>
      <c r="F159" s="106"/>
      <c r="G159" s="106"/>
      <c r="H159" s="106"/>
      <c r="I159" s="51"/>
      <c r="L159" s="107"/>
      <c r="M159" s="107"/>
    </row>
    <row r="160" spans="1:16" s="50" customFormat="1" x14ac:dyDescent="0.25">
      <c r="A160" s="108">
        <v>6</v>
      </c>
      <c r="B160" s="108"/>
      <c r="C160" s="21" t="s">
        <v>192</v>
      </c>
      <c r="D160" s="21">
        <f>(3.05*3.87+2.44*2.5+3.05*2.52+2.14*2.44+1.22*2.13+1.22*2.13+1.68*0.6+1.98*0.6+1*3.05+0.75*2.14+1.22*0.6+0.9*2.14)*10.764</f>
        <v>489.94821719999993</v>
      </c>
      <c r="E160" s="21">
        <v>0</v>
      </c>
      <c r="F160" s="21">
        <f t="shared" ref="F160" si="21">D160*(($F$117)+1)+(IF(E160&lt;101,E160,IF(E160&lt;201,E160/2,IF(E160&lt;=301,E160/3,E160/4))))</f>
        <v>759.4197366599999</v>
      </c>
      <c r="G160" s="108" t="str">
        <f>A159</f>
        <v>1st Floor For Residential,  Swimming pool &amp; Fitness Center</v>
      </c>
      <c r="H160" s="108"/>
      <c r="I160" s="51"/>
      <c r="N160" s="51"/>
    </row>
    <row r="161" spans="1:16" s="50" customFormat="1" ht="15.75" customHeight="1" x14ac:dyDescent="0.25">
      <c r="A161" s="94" t="s">
        <v>194</v>
      </c>
      <c r="B161" s="95"/>
      <c r="C161" s="95"/>
      <c r="D161" s="95"/>
      <c r="E161" s="95"/>
      <c r="F161" s="95"/>
      <c r="G161" s="95"/>
      <c r="H161" s="96"/>
      <c r="I161" s="51"/>
    </row>
    <row r="162" spans="1:16" s="50" customFormat="1" x14ac:dyDescent="0.25">
      <c r="A162" s="83">
        <v>8</v>
      </c>
      <c r="B162" s="84"/>
      <c r="C162" s="21" t="s">
        <v>192</v>
      </c>
      <c r="D162" s="21">
        <f>(2.44*2.9+3.05*3.27+2.13*2.44+3.05*2.5+1.68*0.6+1.98*0.6+1.22*2.13+2.13*1.22+2.13*0.9+0.6*1.22+1*3.05+1*3.05+2.44*0.75+0.75*2.43)*10.764</f>
        <v>534.60912959999973</v>
      </c>
      <c r="E162" s="21">
        <v>0</v>
      </c>
      <c r="F162" s="21">
        <f t="shared" ref="F162:F164" si="22">D162*(($F$117)+1)+(IF(E162&lt;101,E162,IF(E162&lt;201,E162/2,IF(E162&lt;=301,E162/3,E162/4))))</f>
        <v>828.64415087999964</v>
      </c>
      <c r="G162" s="83" t="str">
        <f>A161</f>
        <v>2nd to 7th &amp; 9th Floor</v>
      </c>
      <c r="H162" s="84"/>
      <c r="I162" s="51"/>
      <c r="N162" s="50" t="e">
        <f t="shared" ref="N162:N164" si="23">O162&amp;""&amp;",..,"&amp;""&amp;P162</f>
        <v>#REF!</v>
      </c>
      <c r="O162" s="50" t="e">
        <f>#REF!+1</f>
        <v>#REF!</v>
      </c>
      <c r="P162" s="50" t="e">
        <f>#REF!+1</f>
        <v>#REF!</v>
      </c>
    </row>
    <row r="163" spans="1:16" s="50" customFormat="1" x14ac:dyDescent="0.25">
      <c r="A163" s="83">
        <v>9</v>
      </c>
      <c r="B163" s="84"/>
      <c r="C163" s="21" t="s">
        <v>191</v>
      </c>
      <c r="D163" s="21">
        <f>(3.89*3.07+2.13*2.9+2.75*2.9+3.35*3.58+1.22*2.21+2.21*1.22+1*1.22+1*2.21+2.15*0.6+1.91*0.6+1.5*2.9)*10.764</f>
        <v>577.98051479999992</v>
      </c>
      <c r="E163" s="21">
        <v>0</v>
      </c>
      <c r="F163" s="21">
        <f t="shared" si="22"/>
        <v>895.8697979399999</v>
      </c>
      <c r="G163" s="83" t="str">
        <f>G162</f>
        <v>2nd to 7th &amp; 9th Floor</v>
      </c>
      <c r="H163" s="84"/>
      <c r="I163" s="51"/>
      <c r="N163" s="50" t="e">
        <f t="shared" si="23"/>
        <v>#REF!</v>
      </c>
      <c r="O163" s="50" t="e">
        <f t="shared" ref="O163:P163" si="24">O162+1</f>
        <v>#REF!</v>
      </c>
      <c r="P163" s="50" t="e">
        <f t="shared" si="24"/>
        <v>#REF!</v>
      </c>
    </row>
    <row r="164" spans="1:16" s="50" customFormat="1" x14ac:dyDescent="0.25">
      <c r="A164" s="83">
        <v>10</v>
      </c>
      <c r="B164" s="84"/>
      <c r="C164" s="21" t="s">
        <v>192</v>
      </c>
      <c r="D164" s="21">
        <f>(3.05*3.87+2.44*2.5+3.05*2.52+2.14*2.44+1.22*2.13+1.22*2.13+1.68*0.6+1.98*0.6+1*3.05+0.75*2.14+1.22*0.6+0.9*2.14)*10.764</f>
        <v>489.94821719999993</v>
      </c>
      <c r="E164" s="21">
        <v>0</v>
      </c>
      <c r="F164" s="21">
        <f t="shared" si="22"/>
        <v>759.4197366599999</v>
      </c>
      <c r="G164" s="83" t="str">
        <f>G163</f>
        <v>2nd to 7th &amp; 9th Floor</v>
      </c>
      <c r="H164" s="84"/>
      <c r="I164" s="51"/>
      <c r="N164" s="50" t="e">
        <f t="shared" si="23"/>
        <v>#REF!</v>
      </c>
      <c r="O164" s="50" t="e">
        <f>O163+1</f>
        <v>#REF!</v>
      </c>
      <c r="P164" s="50" t="e">
        <f>P163+1</f>
        <v>#REF!</v>
      </c>
    </row>
    <row r="165" spans="1:16" s="50" customFormat="1" ht="16.5" customHeight="1" x14ac:dyDescent="0.25">
      <c r="A165" s="94" t="s">
        <v>195</v>
      </c>
      <c r="B165" s="95"/>
      <c r="C165" s="95"/>
      <c r="D165" s="95"/>
      <c r="E165" s="95"/>
      <c r="F165" s="95"/>
      <c r="G165" s="95"/>
      <c r="H165" s="96"/>
      <c r="I165" s="51"/>
    </row>
    <row r="166" spans="1:16" s="50" customFormat="1" x14ac:dyDescent="0.25">
      <c r="A166" s="83">
        <v>8</v>
      </c>
      <c r="B166" s="84"/>
      <c r="C166" s="21" t="s">
        <v>192</v>
      </c>
      <c r="D166" s="21">
        <f>(2.44*2.9+3.05*3.27+2.13*2.44+3.05*2.5+1.68*0.6+1.98*0.6+1.22*2.13+2.13*1.22+2.13*0.9+0.6*1.22+1*3.05+1*3.05+2.44*0.75+0.75*2.43)*10.764</f>
        <v>534.60912959999973</v>
      </c>
      <c r="E166" s="21">
        <v>0</v>
      </c>
      <c r="F166" s="21">
        <f t="shared" ref="F166:F168" si="25">D166*(($F$117)+1)+(IF(E166&lt;101,E166,IF(E166&lt;201,E166/2,IF(E166&lt;=301,E166/3,E166/4))))</f>
        <v>828.64415087999964</v>
      </c>
      <c r="G166" s="83" t="str">
        <f>A165</f>
        <v>8th Floor (Part Refuge Area)</v>
      </c>
      <c r="H166" s="84"/>
      <c r="I166" s="51"/>
      <c r="N166" s="50" t="e">
        <f t="shared" ref="N166:N168" si="26">O166&amp;""&amp;",..,"&amp;""&amp;P166</f>
        <v>#REF!</v>
      </c>
      <c r="O166" s="50" t="e">
        <f>#REF!+1</f>
        <v>#REF!</v>
      </c>
      <c r="P166" s="50" t="e">
        <f>#REF!+1</f>
        <v>#REF!</v>
      </c>
    </row>
    <row r="167" spans="1:16" s="50" customFormat="1" x14ac:dyDescent="0.25">
      <c r="A167" s="83">
        <v>9</v>
      </c>
      <c r="B167" s="84"/>
      <c r="C167" s="21" t="s">
        <v>191</v>
      </c>
      <c r="D167" s="21">
        <f>(3.89*3.07+2.13*2.9+2.75*2.9+3.35*3.58+1.22*2.21+2.21*1.22+1*1.22+1*2.21+2.15*0.6+1.91*0.6+1.5*2.9)*10.764</f>
        <v>577.98051479999992</v>
      </c>
      <c r="E167" s="21">
        <v>0</v>
      </c>
      <c r="F167" s="21">
        <f t="shared" si="25"/>
        <v>895.8697979399999</v>
      </c>
      <c r="G167" s="83" t="str">
        <f>G166</f>
        <v>8th Floor (Part Refuge Area)</v>
      </c>
      <c r="H167" s="84"/>
      <c r="I167" s="51"/>
      <c r="N167" s="50" t="e">
        <f t="shared" si="26"/>
        <v>#REF!</v>
      </c>
      <c r="O167" s="50" t="e">
        <f t="shared" ref="O167:P167" si="27">O166+1</f>
        <v>#REF!</v>
      </c>
      <c r="P167" s="50" t="e">
        <f t="shared" si="27"/>
        <v>#REF!</v>
      </c>
    </row>
    <row r="168" spans="1:16" s="50" customFormat="1" x14ac:dyDescent="0.25">
      <c r="A168" s="83">
        <v>10</v>
      </c>
      <c r="B168" s="84"/>
      <c r="C168" s="21" t="s">
        <v>192</v>
      </c>
      <c r="D168" s="21">
        <f>(3.05*3.87+2.44*2.5+3.05*2.52+2.14*2.44+1.22*2.13+1.22*2.13+1.68*0.6+1.98*0.6+1*3.05+0.75*2.14+1.22*0.6+0.9*2.14)*10.764</f>
        <v>489.94821719999993</v>
      </c>
      <c r="E168" s="21">
        <v>0</v>
      </c>
      <c r="F168" s="21">
        <f t="shared" si="25"/>
        <v>759.4197366599999</v>
      </c>
      <c r="G168" s="83" t="str">
        <f>G167</f>
        <v>8th Floor (Part Refuge Area)</v>
      </c>
      <c r="H168" s="84"/>
      <c r="I168" s="51"/>
      <c r="N168" s="50" t="e">
        <f t="shared" si="26"/>
        <v>#REF!</v>
      </c>
      <c r="O168" s="50" t="e">
        <f>O167+1</f>
        <v>#REF!</v>
      </c>
      <c r="P168" s="50" t="e">
        <f>P167+1</f>
        <v>#REF!</v>
      </c>
    </row>
    <row r="169" spans="1:16" s="50" customFormat="1" ht="15.75" customHeight="1" x14ac:dyDescent="0.25">
      <c r="A169" s="94" t="s">
        <v>196</v>
      </c>
      <c r="B169" s="95"/>
      <c r="C169" s="95"/>
      <c r="D169" s="95"/>
      <c r="E169" s="95"/>
      <c r="F169" s="95"/>
      <c r="G169" s="95"/>
      <c r="H169" s="96"/>
      <c r="I169" s="51"/>
    </row>
    <row r="170" spans="1:16" s="50" customFormat="1" x14ac:dyDescent="0.25">
      <c r="A170" s="83">
        <v>8</v>
      </c>
      <c r="B170" s="84"/>
      <c r="C170" s="21" t="s">
        <v>192</v>
      </c>
      <c r="D170" s="21">
        <f>(2.44*2.9+3.05*3.27+2.13*2.44+3.05*2.5+1.68*0.6+1.98*0.6+1.22*2.13+2.13*1.22+2.13*0.9+0.6*1.22+1*3.05+1*3.05+2.44*0.75+0.75*2.43)*10.764</f>
        <v>534.60912959999973</v>
      </c>
      <c r="E170" s="21">
        <v>0</v>
      </c>
      <c r="F170" s="21">
        <f t="shared" ref="F170:F172" si="28">D170*(($F$117)+1)+(IF(E170&lt;101,E170,IF(E170&lt;201,E170/2,IF(E170&lt;=301,E170/3,E170/4))))</f>
        <v>828.64415087999964</v>
      </c>
      <c r="G170" s="83" t="str">
        <f>A169</f>
        <v>10th Floor (Part Refuge Area)</v>
      </c>
      <c r="H170" s="84"/>
      <c r="I170" s="51"/>
      <c r="N170" s="50" t="e">
        <f t="shared" ref="N170:N172" si="29">O170&amp;""&amp;",..,"&amp;""&amp;P170</f>
        <v>#REF!</v>
      </c>
      <c r="O170" s="50" t="e">
        <f>#REF!+1</f>
        <v>#REF!</v>
      </c>
      <c r="P170" s="50" t="e">
        <f>#REF!+1</f>
        <v>#REF!</v>
      </c>
    </row>
    <row r="171" spans="1:16" s="50" customFormat="1" x14ac:dyDescent="0.25">
      <c r="A171" s="83">
        <v>9</v>
      </c>
      <c r="B171" s="84"/>
      <c r="C171" s="21" t="s">
        <v>191</v>
      </c>
      <c r="D171" s="21">
        <f>(3.89*3.07+2.13*2.9+2.75*2.9+3.35*3.58+1.22*2.21+2.21*1.22+1*1.22+1*2.21+2.15*0.6+1.91*0.6+1.5*2.9)*10.764</f>
        <v>577.98051479999992</v>
      </c>
      <c r="E171" s="21">
        <v>0</v>
      </c>
      <c r="F171" s="21">
        <f t="shared" si="28"/>
        <v>895.8697979399999</v>
      </c>
      <c r="G171" s="83" t="str">
        <f>G170</f>
        <v>10th Floor (Part Refuge Area)</v>
      </c>
      <c r="H171" s="84"/>
      <c r="I171" s="51"/>
      <c r="N171" s="50" t="e">
        <f t="shared" si="29"/>
        <v>#REF!</v>
      </c>
      <c r="O171" s="50" t="e">
        <f t="shared" ref="O171:P171" si="30">O170+1</f>
        <v>#REF!</v>
      </c>
      <c r="P171" s="50" t="e">
        <f t="shared" si="30"/>
        <v>#REF!</v>
      </c>
    </row>
    <row r="172" spans="1:16" s="50" customFormat="1" x14ac:dyDescent="0.25">
      <c r="A172" s="83">
        <v>10</v>
      </c>
      <c r="B172" s="84"/>
      <c r="C172" s="21" t="s">
        <v>192</v>
      </c>
      <c r="D172" s="21">
        <f>(3.05*3.87+2.44*2.5+3.05*2.52+2.14*2.44+1.22*2.13+1.22*2.13+1.68*0.6+1.98*0.6+1*3.05+0.75*2.14+1.22*0.6+0.9*2.14)*10.764</f>
        <v>489.94821719999993</v>
      </c>
      <c r="E172" s="21">
        <v>0</v>
      </c>
      <c r="F172" s="21">
        <f t="shared" si="28"/>
        <v>759.4197366599999</v>
      </c>
      <c r="G172" s="83" t="str">
        <f>G171</f>
        <v>10th Floor (Part Refuge Area)</v>
      </c>
      <c r="H172" s="84"/>
      <c r="I172" s="51"/>
      <c r="N172" s="50" t="e">
        <f t="shared" si="29"/>
        <v>#REF!</v>
      </c>
      <c r="O172" s="50" t="e">
        <f>O171+1</f>
        <v>#REF!</v>
      </c>
      <c r="P172" s="50" t="e">
        <f>P171+1</f>
        <v>#REF!</v>
      </c>
    </row>
    <row r="173" spans="1:16" s="50" customFormat="1" ht="15.75" customHeight="1" x14ac:dyDescent="0.25">
      <c r="A173" s="94" t="s">
        <v>203</v>
      </c>
      <c r="B173" s="95"/>
      <c r="C173" s="95"/>
      <c r="D173" s="95"/>
      <c r="E173" s="95"/>
      <c r="F173" s="95"/>
      <c r="G173" s="95"/>
      <c r="H173" s="96"/>
      <c r="I173" s="51"/>
    </row>
    <row r="174" spans="1:16" s="50" customFormat="1" x14ac:dyDescent="0.25">
      <c r="A174" s="83">
        <v>8</v>
      </c>
      <c r="B174" s="84"/>
      <c r="C174" s="21" t="s">
        <v>192</v>
      </c>
      <c r="D174" s="21">
        <f>(2.44*2.9+3.05*3.27+2.13*2.44+3.05*2.5+1.68*0.6+1.98*0.6+1.22*2.13+2.13*1.22+2.13*0.9+0.6*1.22+1*3.05+1*3.05+2.44*0.75+0.75*2.43)*10.764</f>
        <v>534.60912959999973</v>
      </c>
      <c r="E174" s="21">
        <v>0</v>
      </c>
      <c r="F174" s="21">
        <f t="shared" ref="F174:F176" si="31">D174*(($F$117)+1)+(IF(E174&lt;101,E174,IF(E174&lt;201,E174/2,IF(E174&lt;=301,E174/3,E174/4))))</f>
        <v>828.64415087999964</v>
      </c>
      <c r="G174" s="83" t="str">
        <f>A173</f>
        <v>11th to 28th Floor</v>
      </c>
      <c r="H174" s="84"/>
      <c r="I174" s="51"/>
      <c r="N174" s="50" t="e">
        <f t="shared" ref="N174:N176" si="32">O174&amp;""&amp;",..,"&amp;""&amp;P174</f>
        <v>#REF!</v>
      </c>
      <c r="O174" s="50" t="e">
        <f>#REF!+1</f>
        <v>#REF!</v>
      </c>
      <c r="P174" s="50" t="e">
        <f>#REF!+1</f>
        <v>#REF!</v>
      </c>
    </row>
    <row r="175" spans="1:16" s="50" customFormat="1" x14ac:dyDescent="0.25">
      <c r="A175" s="83">
        <v>9</v>
      </c>
      <c r="B175" s="84"/>
      <c r="C175" s="21" t="s">
        <v>191</v>
      </c>
      <c r="D175" s="21">
        <f>(3.89*3.07+2.13*2.9+2.75*2.9+3.35*3.58+1.22*2.21+2.21*1.22+1*1.22+1*2.21+2.15*0.6+1.91*0.6+1.5*2.9)*10.764</f>
        <v>577.98051479999992</v>
      </c>
      <c r="E175" s="21">
        <v>0</v>
      </c>
      <c r="F175" s="21">
        <f t="shared" si="31"/>
        <v>895.8697979399999</v>
      </c>
      <c r="G175" s="83" t="str">
        <f>G174</f>
        <v>11th to 28th Floor</v>
      </c>
      <c r="H175" s="84"/>
      <c r="I175" s="51"/>
      <c r="N175" s="50" t="e">
        <f t="shared" si="32"/>
        <v>#REF!</v>
      </c>
      <c r="O175" s="50" t="e">
        <f t="shared" ref="O175:P175" si="33">O174+1</f>
        <v>#REF!</v>
      </c>
      <c r="P175" s="50" t="e">
        <f t="shared" si="33"/>
        <v>#REF!</v>
      </c>
    </row>
    <row r="176" spans="1:16" s="50" customFormat="1" x14ac:dyDescent="0.25">
      <c r="A176" s="83">
        <v>10</v>
      </c>
      <c r="B176" s="84"/>
      <c r="C176" s="21" t="s">
        <v>192</v>
      </c>
      <c r="D176" s="21">
        <f>(3.05*3.87+2.44*2.5+3.05*2.52+2.14*2.44+1.22*2.13+1.22*2.13+1.68*0.6+1.98*0.6+1*3.05+0.75*2.14+1.22*0.6+0.9*2.14)*10.764</f>
        <v>489.94821719999993</v>
      </c>
      <c r="E176" s="21">
        <v>0</v>
      </c>
      <c r="F176" s="21">
        <f t="shared" si="31"/>
        <v>759.4197366599999</v>
      </c>
      <c r="G176" s="83" t="str">
        <f>G175</f>
        <v>11th to 28th Floor</v>
      </c>
      <c r="H176" s="84"/>
      <c r="I176" s="51"/>
      <c r="N176" s="50" t="e">
        <f t="shared" si="32"/>
        <v>#REF!</v>
      </c>
      <c r="O176" s="50" t="e">
        <f>O175+1</f>
        <v>#REF!</v>
      </c>
      <c r="P176" s="50" t="e">
        <f>P175+1</f>
        <v>#REF!</v>
      </c>
    </row>
    <row r="177" spans="1:16" s="50" customFormat="1" ht="15.75" customHeight="1" x14ac:dyDescent="0.25">
      <c r="A177" s="94" t="s">
        <v>204</v>
      </c>
      <c r="B177" s="95"/>
      <c r="C177" s="95"/>
      <c r="D177" s="95"/>
      <c r="E177" s="95"/>
      <c r="F177" s="95"/>
      <c r="G177" s="95"/>
      <c r="H177" s="96"/>
      <c r="I177" s="51"/>
    </row>
    <row r="178" spans="1:16" s="50" customFormat="1" x14ac:dyDescent="0.25">
      <c r="A178" s="21">
        <v>8</v>
      </c>
      <c r="B178" s="21" t="s">
        <v>205</v>
      </c>
      <c r="C178" s="21" t="s">
        <v>192</v>
      </c>
      <c r="D178" s="21">
        <f>(2.44*2.9+3.05*3.27+2.13*2.44+3.05*2.5+1.68*0.6+1.98*0.6+1.22*2.13+2.13*1.22+2.13*0.9+0.6*1.22+1*3.05+1*3.05+2.44*0.75+0.75*2.43)*10.764</f>
        <v>534.60912959999973</v>
      </c>
      <c r="E178" s="21">
        <v>0</v>
      </c>
      <c r="F178" s="21">
        <f>D178*(($F$117)+1)+(IF(E178&lt;101,E178,IF(E178&lt;201,E178/2,IF(E178&lt;=301,E178/3,E178/4))))</f>
        <v>828.64415087999964</v>
      </c>
      <c r="G178" s="83" t="str">
        <f>A177</f>
        <v>29th Floor</v>
      </c>
      <c r="H178" s="84"/>
      <c r="I178" s="51"/>
      <c r="N178" s="50" t="e">
        <f t="shared" ref="N178:N180" si="34">O178&amp;""&amp;",..,"&amp;""&amp;P178</f>
        <v>#REF!</v>
      </c>
      <c r="O178" s="50" t="e">
        <f>#REF!+1</f>
        <v>#REF!</v>
      </c>
      <c r="P178" s="50" t="e">
        <f>#REF!+1</f>
        <v>#REF!</v>
      </c>
    </row>
    <row r="179" spans="1:16" s="50" customFormat="1" x14ac:dyDescent="0.25">
      <c r="A179" s="21">
        <v>9</v>
      </c>
      <c r="B179" s="21" t="s">
        <v>205</v>
      </c>
      <c r="C179" s="21" t="s">
        <v>191</v>
      </c>
      <c r="D179" s="21">
        <f>(3.89*3.07+2.13*2.9+2.75*2.9+3.35*3.58+1.22*2.21+2.21*1.22+1*1.22+1*2.21+2.15*0.6+1.91*0.6+1.5*2.9)*10.764</f>
        <v>577.98051479999992</v>
      </c>
      <c r="E179" s="21">
        <v>0</v>
      </c>
      <c r="F179" s="21">
        <f>D179*(($F$117)+1)+(IF(E179&lt;101,E179,IF(E179&lt;201,E179/2,IF(E179&lt;=301,E179/3,E179/4))))</f>
        <v>895.8697979399999</v>
      </c>
      <c r="G179" s="83" t="str">
        <f>G178</f>
        <v>29th Floor</v>
      </c>
      <c r="H179" s="84"/>
      <c r="I179" s="51"/>
      <c r="N179" s="50" t="e">
        <f t="shared" si="34"/>
        <v>#REF!</v>
      </c>
      <c r="O179" s="50" t="e">
        <f t="shared" ref="O179:P179" si="35">O178+1</f>
        <v>#REF!</v>
      </c>
      <c r="P179" s="50" t="e">
        <f t="shared" si="35"/>
        <v>#REF!</v>
      </c>
    </row>
    <row r="180" spans="1:16" s="50" customFormat="1" x14ac:dyDescent="0.25">
      <c r="A180" s="21">
        <v>10</v>
      </c>
      <c r="B180" s="21" t="s">
        <v>205</v>
      </c>
      <c r="C180" s="21" t="s">
        <v>192</v>
      </c>
      <c r="D180" s="21">
        <f>(3.05*3.87+2.44*2.5+3.05*2.52+2.14*2.44+1.22*2.13+1.22*2.13+1.68*0.6+1.98*0.6+1*3.05+0.75*2.14+1.22*0.6+0.9*2.14)*10.764</f>
        <v>489.94821719999993</v>
      </c>
      <c r="E180" s="21">
        <v>0</v>
      </c>
      <c r="F180" s="21">
        <f>D180*(($F$117)+1)+(IF(E180&lt;101,E180,IF(E180&lt;201,E180/2,IF(E180&lt;=301,E180/3,E180/4))))</f>
        <v>759.4197366599999</v>
      </c>
      <c r="G180" s="83" t="str">
        <f>G179</f>
        <v>29th Floor</v>
      </c>
      <c r="H180" s="84"/>
      <c r="I180" s="51"/>
      <c r="N180" s="50" t="e">
        <f t="shared" si="34"/>
        <v>#REF!</v>
      </c>
      <c r="O180" s="50" t="e">
        <f>O179+1</f>
        <v>#REF!</v>
      </c>
      <c r="P180" s="50" t="e">
        <f>P179+1</f>
        <v>#REF!</v>
      </c>
    </row>
    <row r="181" spans="1:16" s="50" customFormat="1" ht="16.5" customHeight="1" x14ac:dyDescent="0.25">
      <c r="A181" s="94" t="s">
        <v>207</v>
      </c>
      <c r="B181" s="95"/>
      <c r="C181" s="95"/>
      <c r="D181" s="95"/>
      <c r="E181" s="95"/>
      <c r="F181" s="95"/>
      <c r="G181" s="95"/>
      <c r="H181" s="96"/>
      <c r="I181" s="51"/>
    </row>
    <row r="182" spans="1:16" s="50" customFormat="1" x14ac:dyDescent="0.25">
      <c r="A182" s="21">
        <v>8</v>
      </c>
      <c r="B182" s="21" t="s">
        <v>205</v>
      </c>
      <c r="C182" s="21" t="s">
        <v>192</v>
      </c>
      <c r="D182" s="21">
        <f>(2.44*2.9+3.05*3.27+2.13*2.44+3.05*2.5+1.68*0.6+1.98*0.6+1.22*2.13+2.13*1.22+2.13*0.9+0.6*1.22+1*3.05+1*3.05+2.44*0.75+0.75*2.43)*10.764</f>
        <v>534.60912959999973</v>
      </c>
      <c r="E182" s="21">
        <v>0</v>
      </c>
      <c r="F182" s="21">
        <f>D182*(($F$117)+1)+(IF(E182&lt;101,E182,IF(E182&lt;201,E182/2,IF(E182&lt;=301,E182/3,E182/4))))</f>
        <v>828.64415087999964</v>
      </c>
      <c r="G182" s="83" t="str">
        <f>A181</f>
        <v>30th Floor</v>
      </c>
      <c r="H182" s="84"/>
      <c r="I182" s="51"/>
      <c r="N182" s="50" t="e">
        <f t="shared" ref="N182:N184" si="36">O182&amp;""&amp;",..,"&amp;""&amp;P182</f>
        <v>#REF!</v>
      </c>
      <c r="O182" s="50" t="e">
        <f>#REF!+1</f>
        <v>#REF!</v>
      </c>
      <c r="P182" s="50" t="e">
        <f>#REF!+1</f>
        <v>#REF!</v>
      </c>
    </row>
    <row r="183" spans="1:16" s="50" customFormat="1" x14ac:dyDescent="0.25">
      <c r="A183" s="21">
        <v>9</v>
      </c>
      <c r="B183" s="21" t="s">
        <v>205</v>
      </c>
      <c r="C183" s="21" t="s">
        <v>191</v>
      </c>
      <c r="D183" s="21">
        <f>(3.89*3.07+2.13*2.9+2.75*2.9+3.35*3.58+1.22*2.21+2.21*1.22+1*1.22+1*2.21+2.15*0.6+1.91*0.6+1.5*2.9)*10.764</f>
        <v>577.98051479999992</v>
      </c>
      <c r="E183" s="21">
        <v>0</v>
      </c>
      <c r="F183" s="21">
        <f>D183*(($F$117)+1)+(IF(E183&lt;101,E183,IF(E183&lt;201,E183/2,IF(E183&lt;=301,E183/3,E183/4))))</f>
        <v>895.8697979399999</v>
      </c>
      <c r="G183" s="83" t="str">
        <f>G182</f>
        <v>30th Floor</v>
      </c>
      <c r="H183" s="84"/>
      <c r="I183" s="51"/>
      <c r="N183" s="50" t="e">
        <f t="shared" si="36"/>
        <v>#REF!</v>
      </c>
      <c r="O183" s="50" t="e">
        <f t="shared" ref="O183:P183" si="37">O182+1</f>
        <v>#REF!</v>
      </c>
      <c r="P183" s="50" t="e">
        <f t="shared" si="37"/>
        <v>#REF!</v>
      </c>
    </row>
    <row r="184" spans="1:16" s="50" customFormat="1" x14ac:dyDescent="0.25">
      <c r="A184" s="21">
        <v>10</v>
      </c>
      <c r="B184" s="21" t="s">
        <v>205</v>
      </c>
      <c r="C184" s="21" t="s">
        <v>192</v>
      </c>
      <c r="D184" s="21">
        <f>(3.05*3.87+2.44*2.5+3.05*2.52+2.14*2.44+1.22*2.13+1.22*2.13+1.68*0.6+1.98*0.6+1*3.05+0.75*2.14+1.22*0.6+0.9*2.14)*10.764</f>
        <v>489.94821719999993</v>
      </c>
      <c r="E184" s="21">
        <v>0</v>
      </c>
      <c r="F184" s="21">
        <f>D184*(($F$117)+1)+(IF(E184&lt;101,E184,IF(E184&lt;201,E184/2,IF(E184&lt;=301,E184/3,E184/4))))</f>
        <v>759.4197366599999</v>
      </c>
      <c r="G184" s="83" t="str">
        <f>G183</f>
        <v>30th Floor</v>
      </c>
      <c r="H184" s="84"/>
      <c r="I184" s="51"/>
      <c r="N184" s="50" t="e">
        <f t="shared" si="36"/>
        <v>#REF!</v>
      </c>
      <c r="O184" s="50" t="e">
        <f>O183+1</f>
        <v>#REF!</v>
      </c>
      <c r="P184" s="50" t="e">
        <f>P183+1</f>
        <v>#REF!</v>
      </c>
    </row>
    <row r="185" spans="1:16" s="50" customFormat="1" x14ac:dyDescent="0.25">
      <c r="A185" s="106" t="s">
        <v>212</v>
      </c>
      <c r="B185" s="106"/>
      <c r="C185" s="106"/>
      <c r="D185" s="106"/>
      <c r="E185" s="106"/>
      <c r="F185" s="106"/>
      <c r="G185" s="106"/>
      <c r="H185" s="106"/>
      <c r="I185" s="51"/>
      <c r="L185" s="107"/>
      <c r="M185" s="107"/>
    </row>
    <row r="186" spans="1:16" s="50" customFormat="1" x14ac:dyDescent="0.25">
      <c r="A186" s="106" t="s">
        <v>193</v>
      </c>
      <c r="B186" s="106"/>
      <c r="C186" s="106"/>
      <c r="D186" s="106"/>
      <c r="E186" s="106"/>
      <c r="F186" s="106"/>
      <c r="G186" s="106"/>
      <c r="H186" s="106"/>
      <c r="I186" s="51"/>
      <c r="L186" s="107"/>
      <c r="M186" s="107"/>
    </row>
    <row r="187" spans="1:16" s="50" customFormat="1" x14ac:dyDescent="0.25">
      <c r="A187" s="108">
        <v>1</v>
      </c>
      <c r="B187" s="108"/>
      <c r="C187" s="21" t="s">
        <v>190</v>
      </c>
      <c r="D187" s="21">
        <f>(3.12*2.9+1.83*1.22+2.13*2.59+3.2*2.82+1.22*1.83+0.9*2.59+0.6*1.22+1*2.9+5.71*0.75)*10.764</f>
        <v>412.25474159999993</v>
      </c>
      <c r="E187" s="21">
        <v>0</v>
      </c>
      <c r="F187" s="21">
        <f>D187*(($F$117)+1)+(IF(E187&lt;101,E187,IF(E187&lt;201,E187/2,IF(E187&lt;=301,E187/3,E187/4))))</f>
        <v>638.99484947999986</v>
      </c>
      <c r="G187" s="108" t="str">
        <f>A186</f>
        <v>1st Floor For Residential,  Swimming pool &amp; Fitness Center</v>
      </c>
      <c r="H187" s="108"/>
      <c r="I187" s="51"/>
      <c r="J187" s="50">
        <f>5500*F187</f>
        <v>3514471.672139999</v>
      </c>
      <c r="N187" s="51"/>
    </row>
    <row r="188" spans="1:16" s="50" customFormat="1" x14ac:dyDescent="0.25">
      <c r="A188" s="108">
        <f>A187+1</f>
        <v>2</v>
      </c>
      <c r="B188" s="108"/>
      <c r="C188" s="21" t="s">
        <v>190</v>
      </c>
      <c r="D188" s="21">
        <f>(2.9*4.11+2.13*2.15+2.82*2.21+1.22*1.83+1.22*1.83+1.76*0.6+1.41*0.6+1.2*1.22+1*2.82+0.75*2.9+0.75*2.13)*10.764</f>
        <v>399.9299615999999</v>
      </c>
      <c r="E188" s="21">
        <v>0</v>
      </c>
      <c r="F188" s="21">
        <f>D188*(($F$117)+1)+(IF(E188&lt;101,E188,IF(E188&lt;201,E188/2,IF(E188&lt;=301,E188/3,E188/4))))</f>
        <v>619.89144047999991</v>
      </c>
      <c r="G188" s="108" t="str">
        <f>G187</f>
        <v>1st Floor For Residential,  Swimming pool &amp; Fitness Center</v>
      </c>
      <c r="H188" s="108"/>
      <c r="I188" s="51"/>
      <c r="J188" s="50">
        <f t="shared" ref="J188:J189" si="38">5500*F188</f>
        <v>3409402.9226399995</v>
      </c>
      <c r="N188" s="51"/>
    </row>
    <row r="189" spans="1:16" s="50" customFormat="1" x14ac:dyDescent="0.25">
      <c r="A189" s="108">
        <f>A188+1</f>
        <v>3</v>
      </c>
      <c r="B189" s="108"/>
      <c r="C189" s="21" t="s">
        <v>190</v>
      </c>
      <c r="D189" s="21">
        <f>(2.9*4.11+2.13*2.15+2.82*2.21+1.22*1.83+1.22*1.83+1.76*0.6+1.41*0.6+1.2*1.22+1*2.82+0.75*2.9+0.75*2.13)*10.764</f>
        <v>399.9299615999999</v>
      </c>
      <c r="E189" s="21">
        <v>0</v>
      </c>
      <c r="F189" s="21">
        <f>D189*(($F$117)+1)+(IF(E189&lt;101,E189,IF(E189&lt;201,E189/2,IF(E189&lt;=301,E189/3,E189/4))))</f>
        <v>619.89144047999991</v>
      </c>
      <c r="G189" s="108" t="str">
        <f>G188</f>
        <v>1st Floor For Residential,  Swimming pool &amp; Fitness Center</v>
      </c>
      <c r="H189" s="108"/>
      <c r="I189" s="51"/>
      <c r="J189" s="50">
        <f t="shared" si="38"/>
        <v>3409402.9226399995</v>
      </c>
      <c r="N189" s="51"/>
    </row>
    <row r="190" spans="1:16" s="50" customFormat="1" x14ac:dyDescent="0.25">
      <c r="A190" s="108">
        <f>A189+1</f>
        <v>4</v>
      </c>
      <c r="B190" s="108"/>
      <c r="C190" s="21" t="s">
        <v>190</v>
      </c>
      <c r="D190" s="21">
        <f>(3.12*2.9+1.83*1.22+2.13*2.59+3.2*2.82+1.22*1.83+0.9*2.59+0.6*1.22+1*2.9+5.71*0.75)*10.764</f>
        <v>412.25474159999993</v>
      </c>
      <c r="E190" s="21">
        <v>0</v>
      </c>
      <c r="F190" s="21">
        <f>D190*(($F$117)+1)+(IF(E190&lt;101,E190,IF(E190&lt;201,E190/2,IF(E190&lt;=301,E190/3,E190/4))))</f>
        <v>638.99484947999986</v>
      </c>
      <c r="G190" s="108" t="str">
        <f>G189</f>
        <v>1st Floor For Residential,  Swimming pool &amp; Fitness Center</v>
      </c>
      <c r="H190" s="108"/>
      <c r="I190" s="51"/>
      <c r="J190" s="50">
        <f>5500*F190</f>
        <v>3514471.672139999</v>
      </c>
      <c r="N190" s="51"/>
    </row>
    <row r="191" spans="1:16" s="50" customFormat="1" ht="15.75" customHeight="1" x14ac:dyDescent="0.25">
      <c r="A191" s="94" t="s">
        <v>194</v>
      </c>
      <c r="B191" s="95"/>
      <c r="C191" s="95"/>
      <c r="D191" s="95"/>
      <c r="E191" s="95"/>
      <c r="F191" s="95"/>
      <c r="G191" s="95"/>
      <c r="H191" s="96"/>
      <c r="I191" s="51"/>
    </row>
    <row r="192" spans="1:16" s="50" customFormat="1" x14ac:dyDescent="0.25">
      <c r="A192" s="83">
        <v>1</v>
      </c>
      <c r="B192" s="84"/>
      <c r="C192" s="21" t="s">
        <v>190</v>
      </c>
      <c r="D192" s="21">
        <f>(4.12*2.9+1.83*1.22+2.13*2.59+3.2*2.82+1.22*1.83+0.9*2.59+0.6*1.22+5.71*0.75)*10.764</f>
        <v>412.25474159999993</v>
      </c>
      <c r="E192" s="21">
        <v>0</v>
      </c>
      <c r="F192" s="21">
        <f>D192*(($F$117)+1)+(IF(E192&lt;101,E192,IF(E192&lt;201,E192/2,IF(E192&lt;=301,E192/3,E192/4))))</f>
        <v>638.99484947999986</v>
      </c>
      <c r="G192" s="83" t="str">
        <f>A191</f>
        <v>2nd to 7th &amp; 9th Floor</v>
      </c>
      <c r="H192" s="84"/>
      <c r="I192" s="51"/>
      <c r="N192" s="50" t="str">
        <f ca="1">O192&amp;""&amp;",..,"&amp;""&amp;P192</f>
        <v>201,..,901</v>
      </c>
      <c r="O192" s="50">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10^ROW(INDIRECT("1:"&amp;LEN((LEFT(A191,SUM(LEN(A191)-LEN(SUBSTITUTE(A191,{0,1,2},""))))))))/10))*100+1</f>
        <v>201</v>
      </c>
      <c r="P192" s="50">
        <f ca="1">(SUMPRODUCT(MID(0&amp;(--TRIM(RIGHT(SUBSTITUTE(LEFT(A191,_xlfn.AGGREGATE(16,6,FIND({0,1,2,3,4,5,6,7,8,9},A191,ROW(INDIRECT("1:"&amp;LEN(A191)))),1)),"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",LEN(A191))),LEN(A191)))))))/10))*100+1</f>
        <v>901</v>
      </c>
    </row>
    <row r="193" spans="1:16" s="50" customFormat="1" x14ac:dyDescent="0.25">
      <c r="A193" s="83">
        <v>2</v>
      </c>
      <c r="B193" s="84"/>
      <c r="C193" s="21" t="s">
        <v>190</v>
      </c>
      <c r="D193" s="21">
        <f>(2.9*4.11+2.13*2.15+2.82*2.21+1.22*1.83+1.22*1.83+1.76*0.6+1.41*0.6+1.2*1.22+1*2.82+0.75*2.9+0.75*2.13)*10.764</f>
        <v>399.9299615999999</v>
      </c>
      <c r="E193" s="21">
        <v>0</v>
      </c>
      <c r="F193" s="21">
        <f>D193*(($F$117)+1)+(IF(E193&lt;101,E193,IF(E193&lt;201,E193/2,IF(E193&lt;=301,E193/3,E193/4))))</f>
        <v>619.89144047999991</v>
      </c>
      <c r="G193" s="83" t="str">
        <f>G192</f>
        <v>2nd to 7th &amp; 9th Floor</v>
      </c>
      <c r="H193" s="84"/>
      <c r="I193" s="51"/>
      <c r="N193" s="50" t="str">
        <f ca="1">O193&amp;""&amp;",..,"&amp;""&amp;P193</f>
        <v>202,..,902</v>
      </c>
      <c r="O193" s="50">
        <f t="shared" ref="O193:P195" ca="1" si="39">O192+1</f>
        <v>202</v>
      </c>
      <c r="P193" s="50">
        <f t="shared" ca="1" si="39"/>
        <v>902</v>
      </c>
    </row>
    <row r="194" spans="1:16" s="50" customFormat="1" x14ac:dyDescent="0.25">
      <c r="A194" s="83">
        <v>3</v>
      </c>
      <c r="B194" s="84"/>
      <c r="C194" s="21" t="s">
        <v>190</v>
      </c>
      <c r="D194" s="21">
        <f>(2.9*4.11+2.13*2.15+2.82*2.21+1.22*1.83+1.22*1.83+1.76*0.6+1.41*0.6+1.2*1.22+1*2.82+0.75*2.9+0.75*2.13)*10.764</f>
        <v>399.9299615999999</v>
      </c>
      <c r="E194" s="21">
        <v>0</v>
      </c>
      <c r="F194" s="21">
        <f>D194*(($F$117)+1)+(IF(E194&lt;101,E194,IF(E194&lt;201,E194/2,IF(E194&lt;=301,E194/3,E194/4))))</f>
        <v>619.89144047999991</v>
      </c>
      <c r="G194" s="83" t="str">
        <f>G193</f>
        <v>2nd to 7th &amp; 9th Floor</v>
      </c>
      <c r="H194" s="84"/>
      <c r="I194" s="51"/>
      <c r="N194" s="50" t="str">
        <f ca="1">O194&amp;""&amp;",..,"&amp;""&amp;P194</f>
        <v>203,..,903</v>
      </c>
      <c r="O194" s="50">
        <f t="shared" ca="1" si="39"/>
        <v>203</v>
      </c>
      <c r="P194" s="50">
        <f t="shared" ca="1" si="39"/>
        <v>903</v>
      </c>
    </row>
    <row r="195" spans="1:16" s="50" customFormat="1" x14ac:dyDescent="0.25">
      <c r="A195" s="83">
        <v>4</v>
      </c>
      <c r="B195" s="84"/>
      <c r="C195" s="21" t="s">
        <v>190</v>
      </c>
      <c r="D195" s="21">
        <f>(4.12*2.9+1.83*1.22+2.13*2.59+3.2*2.82+1.22*1.83+0.9*2.59+0.6*1.22+5.71*0.75)*10.764</f>
        <v>412.25474159999993</v>
      </c>
      <c r="E195" s="21">
        <v>0</v>
      </c>
      <c r="F195" s="21">
        <f>D195*(($F$117)+1)+(IF(E195&lt;101,E195,IF(E195&lt;201,E195/2,IF(E195&lt;=301,E195/3,E195/4))))</f>
        <v>638.99484947999986</v>
      </c>
      <c r="G195" s="83" t="str">
        <f>G194</f>
        <v>2nd to 7th &amp; 9th Floor</v>
      </c>
      <c r="H195" s="84"/>
      <c r="I195" s="51"/>
      <c r="N195" s="50" t="str">
        <f ca="1">O195&amp;""&amp;",..,"&amp;""&amp;P195</f>
        <v>204,..,904</v>
      </c>
      <c r="O195" s="50">
        <f t="shared" ca="1" si="39"/>
        <v>204</v>
      </c>
      <c r="P195" s="50">
        <f t="shared" ca="1" si="39"/>
        <v>904</v>
      </c>
    </row>
    <row r="196" spans="1:16" s="50" customFormat="1" ht="16.5" customHeight="1" x14ac:dyDescent="0.25">
      <c r="A196" s="94" t="s">
        <v>195</v>
      </c>
      <c r="B196" s="95"/>
      <c r="C196" s="95"/>
      <c r="D196" s="95"/>
      <c r="E196" s="95"/>
      <c r="F196" s="95"/>
      <c r="G196" s="95"/>
      <c r="H196" s="96"/>
      <c r="I196" s="51"/>
    </row>
    <row r="197" spans="1:16" s="50" customFormat="1" x14ac:dyDescent="0.25">
      <c r="A197" s="83">
        <v>1</v>
      </c>
      <c r="B197" s="84"/>
      <c r="C197" s="21" t="s">
        <v>190</v>
      </c>
      <c r="D197" s="21">
        <f>(4.12*2.9+1.83*1.22+2.13*2.59+3.2*2.82+1.22*1.83+0.9*2.59+0.6*1.22+5.71*0.75)*10.764</f>
        <v>412.25474159999993</v>
      </c>
      <c r="E197" s="21">
        <v>0</v>
      </c>
      <c r="F197" s="21">
        <f>D197*(($F$117)+1)+(IF(E197&lt;101,E197,IF(E197&lt;201,E197/2,IF(E197&lt;=301,E197/3,E197/4))))</f>
        <v>638.99484947999986</v>
      </c>
      <c r="G197" s="83" t="str">
        <f>A196</f>
        <v>8th Floor (Part Refuge Area)</v>
      </c>
      <c r="H197" s="84"/>
      <c r="I197" s="51"/>
      <c r="N197" s="50" t="e">
        <f ca="1">O197&amp;""&amp;",..,"&amp;""&amp;P197</f>
        <v>#REF!</v>
      </c>
      <c r="O197" s="50" t="e">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10^ROW(INDIRECT("1:"&amp;LEN((LEFT(A196,SUM(LEN(A196)-LEN(SUBSTITUTE(A196,{0,1,2},""))))))))/10))*100+1</f>
        <v>#REF!</v>
      </c>
      <c r="P197" s="50">
        <f ca="1">(SUMPRODUCT(MID(0&amp;(--TRIM(RIGHT(SUBSTITUTE(LEFT(A196,_xlfn.AGGREGATE(16,6,FIND({0,1,2,3,4,5,6,7,8,9},A196,ROW(INDIRECT("1:"&amp;LEN(A196)))),1)),"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",LEN(A196))),LEN(A196)))))))/10))*100+1</f>
        <v>801</v>
      </c>
    </row>
    <row r="198" spans="1:16" s="50" customFormat="1" x14ac:dyDescent="0.25">
      <c r="A198" s="83">
        <v>2</v>
      </c>
      <c r="B198" s="84"/>
      <c r="C198" s="21" t="s">
        <v>190</v>
      </c>
      <c r="D198" s="21">
        <f>(2.9*4.11+2.13*2.15+2.82*2.21+1.22*1.83+1.22*1.83+1.76*0.6+1.41*0.6+1.2*1.22+1*2.82+0.75*2.9+0.75*2.13)*10.764</f>
        <v>399.9299615999999</v>
      </c>
      <c r="E198" s="21">
        <v>0</v>
      </c>
      <c r="F198" s="21">
        <f>D198*(($F$117)+1)+(IF(E198&lt;101,E198,IF(E198&lt;201,E198/2,IF(E198&lt;=301,E198/3,E198/4))))</f>
        <v>619.89144047999991</v>
      </c>
      <c r="G198" s="83" t="str">
        <f>G197</f>
        <v>8th Floor (Part Refuge Area)</v>
      </c>
      <c r="H198" s="84"/>
      <c r="I198" s="51"/>
      <c r="N198" s="50" t="e">
        <f ca="1">O198&amp;""&amp;",..,"&amp;""&amp;P198</f>
        <v>#REF!</v>
      </c>
      <c r="O198" s="50" t="e">
        <f t="shared" ref="O198:P198" ca="1" si="40">O197+1</f>
        <v>#REF!</v>
      </c>
      <c r="P198" s="50">
        <f t="shared" ca="1" si="40"/>
        <v>802</v>
      </c>
    </row>
    <row r="199" spans="1:16" s="50" customFormat="1" x14ac:dyDescent="0.25">
      <c r="A199" s="83">
        <v>3</v>
      </c>
      <c r="B199" s="84"/>
      <c r="C199" s="21" t="s">
        <v>190</v>
      </c>
      <c r="D199" s="21">
        <f>(2.9*4.11+2.13*2.15+2.82*2.21+1.22*1.83+1.22*1.83+1.76*0.6+1.41*0.6+1.2*1.22+1*2.82+0.75*2.9+0.75*2.13)*10.764</f>
        <v>399.9299615999999</v>
      </c>
      <c r="E199" s="21">
        <v>0</v>
      </c>
      <c r="F199" s="21">
        <f>D199*(($F$117)+1)+(IF(E199&lt;101,E199,IF(E199&lt;201,E199/2,IF(E199&lt;=301,E199/3,E199/4))))</f>
        <v>619.89144047999991</v>
      </c>
      <c r="G199" s="83" t="str">
        <f>G198</f>
        <v>8th Floor (Part Refuge Area)</v>
      </c>
      <c r="H199" s="84"/>
      <c r="I199" s="51"/>
      <c r="N199" s="50" t="e">
        <f ca="1">O199&amp;""&amp;",..,"&amp;""&amp;P199</f>
        <v>#REF!</v>
      </c>
      <c r="O199" s="50" t="e">
        <f t="shared" ref="O199:P199" ca="1" si="41">O198+1</f>
        <v>#REF!</v>
      </c>
      <c r="P199" s="50">
        <f t="shared" ca="1" si="41"/>
        <v>803</v>
      </c>
    </row>
    <row r="200" spans="1:16" s="50" customFormat="1" x14ac:dyDescent="0.25">
      <c r="A200" s="83">
        <v>4</v>
      </c>
      <c r="B200" s="84"/>
      <c r="C200" s="21" t="s">
        <v>190</v>
      </c>
      <c r="D200" s="21">
        <f>(4.12*2.9+1.83*1.22+2.13*2.59+3.2*2.82+1.22*1.83+0.9*2.59+0.6*1.22+5.71*0.75)*10.764</f>
        <v>412.25474159999993</v>
      </c>
      <c r="E200" s="21">
        <v>0</v>
      </c>
      <c r="F200" s="21">
        <f>D200*(($F$117)+1)+(IF(E200&lt;101,E200,IF(E200&lt;201,E200/2,IF(E200&lt;=301,E200/3,E200/4))))</f>
        <v>638.99484947999986</v>
      </c>
      <c r="G200" s="83" t="str">
        <f>G199</f>
        <v>8th Floor (Part Refuge Area)</v>
      </c>
      <c r="H200" s="84"/>
      <c r="I200" s="51"/>
      <c r="N200" s="50" t="e">
        <f ca="1">O200&amp;""&amp;",..,"&amp;""&amp;P200</f>
        <v>#REF!</v>
      </c>
      <c r="O200" s="50" t="e">
        <f t="shared" ref="O200:P200" ca="1" si="42">O199+1</f>
        <v>#REF!</v>
      </c>
      <c r="P200" s="50">
        <f t="shared" ca="1" si="42"/>
        <v>804</v>
      </c>
    </row>
    <row r="201" spans="1:16" s="50" customFormat="1" ht="15.75" customHeight="1" x14ac:dyDescent="0.25">
      <c r="A201" s="94" t="s">
        <v>196</v>
      </c>
      <c r="B201" s="95"/>
      <c r="C201" s="95"/>
      <c r="D201" s="95"/>
      <c r="E201" s="95"/>
      <c r="F201" s="95"/>
      <c r="G201" s="95"/>
      <c r="H201" s="96"/>
      <c r="I201" s="51"/>
    </row>
    <row r="202" spans="1:16" s="50" customFormat="1" x14ac:dyDescent="0.25">
      <c r="A202" s="83">
        <v>1</v>
      </c>
      <c r="B202" s="84"/>
      <c r="C202" s="21" t="s">
        <v>190</v>
      </c>
      <c r="D202" s="21">
        <f>(4.12*2.9+1.83*1.22+2.13*2.59+3.2*2.82+1.22*1.83+0.9*2.59+0.6*1.22+5.71*0.75)*10.764</f>
        <v>412.25474159999993</v>
      </c>
      <c r="E202" s="21">
        <v>0</v>
      </c>
      <c r="F202" s="21">
        <f>D202*(($F$117)+1)+(IF(E202&lt;101,E202,IF(E202&lt;201,E202/2,IF(E202&lt;=301,E202/3,E202/4))))</f>
        <v>638.99484947999986</v>
      </c>
      <c r="G202" s="83" t="str">
        <f>A201</f>
        <v>10th Floor (Part Refuge Area)</v>
      </c>
      <c r="H202" s="84"/>
      <c r="I202" s="51"/>
      <c r="N202" s="50" t="str">
        <f ca="1">O202&amp;""&amp;",..,"&amp;""&amp;P202</f>
        <v>1001,..,1001</v>
      </c>
      <c r="O202" s="50">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10^ROW(INDIRECT("1:"&amp;LEN((LEFT(A201,SUM(LEN(A201)-LEN(SUBSTITUTE(A201,{0,1,2},""))))))))/10))*100+1</f>
        <v>1001</v>
      </c>
      <c r="P202" s="50">
        <f ca="1">(SUMPRODUCT(MID(0&amp;(--TRIM(RIGHT(SUBSTITUTE(LEFT(A201,_xlfn.AGGREGATE(16,6,FIND({0,1,2,3,4,5,6,7,8,9},A201,ROW(INDIRECT("1:"&amp;LEN(A201)))),1)),"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",LEN(A201))),LEN(A201)))))))/10))*100+1</f>
        <v>1001</v>
      </c>
    </row>
    <row r="203" spans="1:16" s="50" customFormat="1" x14ac:dyDescent="0.25">
      <c r="A203" s="83">
        <v>2</v>
      </c>
      <c r="B203" s="84"/>
      <c r="C203" s="21" t="s">
        <v>190</v>
      </c>
      <c r="D203" s="21">
        <f>(2.9*4.11+2.13*2.15+2.82*2.21+1.22*1.83+1.22*1.83+1.76*0.6+1.41*0.6+1.2*1.22+1*2.82+0.75*2.9+0.75*2.13)*10.764</f>
        <v>399.9299615999999</v>
      </c>
      <c r="E203" s="21">
        <v>0</v>
      </c>
      <c r="F203" s="21">
        <f>D203*(($F$117)+1)+(IF(E203&lt;101,E203,IF(E203&lt;201,E203/2,IF(E203&lt;=301,E203/3,E203/4))))</f>
        <v>619.89144047999991</v>
      </c>
      <c r="G203" s="83" t="str">
        <f>G202</f>
        <v>10th Floor (Part Refuge Area)</v>
      </c>
      <c r="H203" s="84"/>
      <c r="I203" s="51"/>
      <c r="N203" s="50" t="str">
        <f ca="1">O203&amp;""&amp;",..,"&amp;""&amp;P203</f>
        <v>1002,..,1002</v>
      </c>
      <c r="O203" s="50">
        <f t="shared" ref="O203:P203" ca="1" si="43">O202+1</f>
        <v>1002</v>
      </c>
      <c r="P203" s="50">
        <f t="shared" ca="1" si="43"/>
        <v>1002</v>
      </c>
    </row>
    <row r="204" spans="1:16" s="50" customFormat="1" x14ac:dyDescent="0.25">
      <c r="A204" s="83">
        <v>3</v>
      </c>
      <c r="B204" s="84"/>
      <c r="C204" s="21" t="s">
        <v>190</v>
      </c>
      <c r="D204" s="21">
        <f>(2.9*4.11+2.13*2.15+2.82*2.21+1.22*1.83+1.22*1.83+1.76*0.6+1.41*0.6+1.2*1.22+1*2.82+0.75*2.9+0.75*2.13)*10.764</f>
        <v>399.9299615999999</v>
      </c>
      <c r="E204" s="21">
        <v>0</v>
      </c>
      <c r="F204" s="21">
        <f>D204*(($F$117)+1)+(IF(E204&lt;101,E204,IF(E204&lt;201,E204/2,IF(E204&lt;=301,E204/3,E204/4))))</f>
        <v>619.89144047999991</v>
      </c>
      <c r="G204" s="83" t="str">
        <f>G203</f>
        <v>10th Floor (Part Refuge Area)</v>
      </c>
      <c r="H204" s="84"/>
      <c r="I204" s="51"/>
      <c r="N204" s="50" t="str">
        <f ca="1">O204&amp;""&amp;",..,"&amp;""&amp;P204</f>
        <v>1003,..,1003</v>
      </c>
      <c r="O204" s="50">
        <f t="shared" ref="O204:P204" ca="1" si="44">O203+1</f>
        <v>1003</v>
      </c>
      <c r="P204" s="50">
        <f t="shared" ca="1" si="44"/>
        <v>1003</v>
      </c>
    </row>
    <row r="205" spans="1:16" s="50" customFormat="1" x14ac:dyDescent="0.25">
      <c r="A205" s="83">
        <v>4</v>
      </c>
      <c r="B205" s="84"/>
      <c r="C205" s="21" t="s">
        <v>190</v>
      </c>
      <c r="D205" s="21">
        <f>(4.12*2.9+1.83*1.22+2.13*2.59+3.2*2.82+1.22*1.83+0.9*2.59+0.6*1.22+5.71*0.75)*10.764</f>
        <v>412.25474159999993</v>
      </c>
      <c r="E205" s="21">
        <v>0</v>
      </c>
      <c r="F205" s="21">
        <f>D205*(($F$117)+1)+(IF(E205&lt;101,E205,IF(E205&lt;201,E205/2,IF(E205&lt;=301,E205/3,E205/4))))</f>
        <v>638.99484947999986</v>
      </c>
      <c r="G205" s="83" t="str">
        <f>G204</f>
        <v>10th Floor (Part Refuge Area)</v>
      </c>
      <c r="H205" s="84"/>
      <c r="I205" s="51"/>
      <c r="N205" s="50" t="str">
        <f ca="1">O205&amp;""&amp;",..,"&amp;""&amp;P205</f>
        <v>1004,..,1004</v>
      </c>
      <c r="O205" s="50">
        <f t="shared" ref="O205:P205" ca="1" si="45">O204+1</f>
        <v>1004</v>
      </c>
      <c r="P205" s="50">
        <f t="shared" ca="1" si="45"/>
        <v>1004</v>
      </c>
    </row>
    <row r="206" spans="1:16" s="50" customFormat="1" ht="15.75" customHeight="1" x14ac:dyDescent="0.25">
      <c r="A206" s="94" t="s">
        <v>203</v>
      </c>
      <c r="B206" s="95"/>
      <c r="C206" s="95"/>
      <c r="D206" s="95"/>
      <c r="E206" s="95"/>
      <c r="F206" s="95"/>
      <c r="G206" s="95"/>
      <c r="H206" s="96"/>
      <c r="I206" s="51"/>
    </row>
    <row r="207" spans="1:16" s="50" customFormat="1" x14ac:dyDescent="0.25">
      <c r="A207" s="83">
        <v>1</v>
      </c>
      <c r="B207" s="84"/>
      <c r="C207" s="21" t="s">
        <v>190</v>
      </c>
      <c r="D207" s="21">
        <f>(4.12*2.9+1.83*1.22+2.13*2.59+3.2*2.82+1.22*1.83+0.9*2.59+0.6*1.22+5.71*0.75)*10.764</f>
        <v>412.25474159999993</v>
      </c>
      <c r="E207" s="21">
        <v>0</v>
      </c>
      <c r="F207" s="21">
        <f>D207*(($F$117)+1)+(IF(E207&lt;101,E207,IF(E207&lt;201,E207/2,IF(E207&lt;=301,E207/3,E207/4))))</f>
        <v>638.99484947999986</v>
      </c>
      <c r="G207" s="83" t="str">
        <f>A206</f>
        <v>11th to 28th Floor</v>
      </c>
      <c r="H207" s="84"/>
      <c r="I207" s="51"/>
      <c r="N207" s="50" t="str">
        <f ca="1">O207&amp;""&amp;",..,"&amp;""&amp;P207</f>
        <v>1101,..,2801</v>
      </c>
      <c r="O207" s="50">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10^ROW(INDIRECT("1:"&amp;LEN((LEFT(A206,SUM(LEN(A206)-LEN(SUBSTITUTE(A206,{0,1,2},""))))))))/10))*100+1</f>
        <v>1101</v>
      </c>
      <c r="P207" s="50">
        <f ca="1">(SUMPRODUCT(MID(0&amp;(--TRIM(RIGHT(SUBSTITUTE(LEFT(A206,_xlfn.AGGREGATE(16,6,FIND({0,1,2,3,4,5,6,7,8,9},A206,ROW(INDIRECT("1:"&amp;LEN(A206)))),1)),"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",LEN(A206))),LEN(A206)))))))/10))*100+1</f>
        <v>2801</v>
      </c>
    </row>
    <row r="208" spans="1:16" s="50" customFormat="1" x14ac:dyDescent="0.25">
      <c r="A208" s="83">
        <v>2</v>
      </c>
      <c r="B208" s="84"/>
      <c r="C208" s="21" t="s">
        <v>190</v>
      </c>
      <c r="D208" s="21">
        <f>(2.9*4.11+2.13*2.15+2.82*2.21+1.22*1.83+1.22*1.83+1.76*0.6+1.41*0.6+1.2*1.22+1*2.82+0.75*2.9+0.75*2.13)*10.764</f>
        <v>399.9299615999999</v>
      </c>
      <c r="E208" s="21">
        <v>0</v>
      </c>
      <c r="F208" s="21">
        <f>D208*(($F$117)+1)+(IF(E208&lt;101,E208,IF(E208&lt;201,E208/2,IF(E208&lt;=301,E208/3,E208/4))))</f>
        <v>619.89144047999991</v>
      </c>
      <c r="G208" s="83" t="str">
        <f>G207</f>
        <v>11th to 28th Floor</v>
      </c>
      <c r="H208" s="84"/>
      <c r="I208" s="51"/>
      <c r="N208" s="50" t="str">
        <f ca="1">O208&amp;""&amp;",..,"&amp;""&amp;P208</f>
        <v>1102,..,2802</v>
      </c>
      <c r="O208" s="50">
        <f t="shared" ref="O208:P208" ca="1" si="46">O207+1</f>
        <v>1102</v>
      </c>
      <c r="P208" s="50">
        <f t="shared" ca="1" si="46"/>
        <v>2802</v>
      </c>
    </row>
    <row r="209" spans="1:16" s="50" customFormat="1" x14ac:dyDescent="0.25">
      <c r="A209" s="83">
        <v>3</v>
      </c>
      <c r="B209" s="84"/>
      <c r="C209" s="21" t="s">
        <v>190</v>
      </c>
      <c r="D209" s="21">
        <f>(2.9*4.11+2.13*2.15+2.82*2.21+1.22*1.83+1.22*1.83+1.76*0.6+1.41*0.6+1.2*1.22+1*2.82+0.75*2.9+0.75*2.13)*10.764</f>
        <v>399.9299615999999</v>
      </c>
      <c r="E209" s="21">
        <v>0</v>
      </c>
      <c r="F209" s="21">
        <f>D209*(($F$117)+1)+(IF(E209&lt;101,E209,IF(E209&lt;201,E209/2,IF(E209&lt;=301,E209/3,E209/4))))</f>
        <v>619.89144047999991</v>
      </c>
      <c r="G209" s="83" t="str">
        <f>G208</f>
        <v>11th to 28th Floor</v>
      </c>
      <c r="H209" s="84"/>
      <c r="I209" s="51"/>
      <c r="J209" s="50">
        <f>28-11</f>
        <v>17</v>
      </c>
      <c r="N209" s="50" t="str">
        <f ca="1">O209&amp;""&amp;",..,"&amp;""&amp;P209</f>
        <v>1103,..,2803</v>
      </c>
      <c r="O209" s="50">
        <f t="shared" ref="O209:P209" ca="1" si="47">O208+1</f>
        <v>1103</v>
      </c>
      <c r="P209" s="50">
        <f t="shared" ca="1" si="47"/>
        <v>2803</v>
      </c>
    </row>
    <row r="210" spans="1:16" s="50" customFormat="1" x14ac:dyDescent="0.25">
      <c r="A210" s="83">
        <v>4</v>
      </c>
      <c r="B210" s="84"/>
      <c r="C210" s="21" t="s">
        <v>190</v>
      </c>
      <c r="D210" s="21">
        <f>(4.12*2.9+1.83*1.22+2.13*2.59+3.2*2.82+1.22*1.83+0.9*2.59+0.6*1.22+5.71*0.75)*10.764</f>
        <v>412.25474159999993</v>
      </c>
      <c r="E210" s="21">
        <v>0</v>
      </c>
      <c r="F210" s="21">
        <f>D210*(($F$117)+1)+(IF(E210&lt;101,E210,IF(E210&lt;201,E210/2,IF(E210&lt;=301,E210/3,E210/4))))</f>
        <v>638.99484947999986</v>
      </c>
      <c r="G210" s="83" t="str">
        <f>G209</f>
        <v>11th to 28th Floor</v>
      </c>
      <c r="H210" s="84"/>
      <c r="I210" s="51"/>
      <c r="N210" s="50" t="str">
        <f ca="1">O210&amp;""&amp;",..,"&amp;""&amp;P210</f>
        <v>1104,..,2804</v>
      </c>
      <c r="O210" s="50">
        <f t="shared" ref="O210:P210" ca="1" si="48">O209+1</f>
        <v>1104</v>
      </c>
      <c r="P210" s="50">
        <f t="shared" ca="1" si="48"/>
        <v>2804</v>
      </c>
    </row>
    <row r="211" spans="1:16" s="50" customFormat="1" ht="15.75" customHeight="1" x14ac:dyDescent="0.25">
      <c r="A211" s="94" t="s">
        <v>204</v>
      </c>
      <c r="B211" s="95"/>
      <c r="C211" s="95"/>
      <c r="D211" s="95"/>
      <c r="E211" s="95"/>
      <c r="F211" s="95"/>
      <c r="G211" s="95"/>
      <c r="H211" s="96"/>
      <c r="I211" s="51"/>
    </row>
    <row r="212" spans="1:16" s="50" customFormat="1" x14ac:dyDescent="0.25">
      <c r="A212" s="21">
        <v>1</v>
      </c>
      <c r="B212" s="21" t="s">
        <v>205</v>
      </c>
      <c r="C212" s="21" t="s">
        <v>190</v>
      </c>
      <c r="D212" s="21">
        <f>(4.12*2.9+1.83*1.22+2.13*2.59+3.2*2.82+1.22*1.83+0.9*2.59+0.6*1.22+5.71*0.75)*10.764</f>
        <v>412.25474159999993</v>
      </c>
      <c r="E212" s="21">
        <v>0</v>
      </c>
      <c r="F212" s="21">
        <f>D212*(($F$117)+1)+(IF(E212&lt;101,E212,IF(E212&lt;201,E212/2,IF(E212&lt;=301,E212/3,E212/4))))</f>
        <v>638.99484947999986</v>
      </c>
      <c r="G212" s="83" t="str">
        <f>A211</f>
        <v>29th Floor</v>
      </c>
      <c r="H212" s="84"/>
      <c r="I212" s="51"/>
      <c r="N212" s="50" t="str">
        <f ca="1">O212&amp;""&amp;",..,"&amp;""&amp;P212</f>
        <v>201,..,2901</v>
      </c>
      <c r="O212" s="50">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10^ROW(INDIRECT("1:"&amp;LEN((LEFT(A211,SUM(LEN(A211)-LEN(SUBSTITUTE(A211,{0,1,2},""))))))))/10))*100+1</f>
        <v>201</v>
      </c>
      <c r="P212" s="50">
        <f ca="1">(SUMPRODUCT(MID(0&amp;(--TRIM(RIGHT(SUBSTITUTE(LEFT(A211,_xlfn.AGGREGATE(16,6,FIND({0,1,2,3,4,5,6,7,8,9},A211,ROW(INDIRECT("1:"&amp;LEN(A211)))),1)),"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",LEN(A211))),LEN(A211)))))))/10))*100+1</f>
        <v>2901</v>
      </c>
    </row>
    <row r="213" spans="1:16" s="50" customFormat="1" x14ac:dyDescent="0.25">
      <c r="A213" s="21">
        <v>2</v>
      </c>
      <c r="B213" s="21" t="s">
        <v>205</v>
      </c>
      <c r="C213" s="21" t="s">
        <v>190</v>
      </c>
      <c r="D213" s="21">
        <f>(2.9*4.11+2.13*2.15+2.82*2.21+1.22*1.83+1.22*1.83+1.76*0.6+1.41*0.6+1.2*1.22+1*2.82+0.75*2.9+0.75*2.13)*10.764</f>
        <v>399.9299615999999</v>
      </c>
      <c r="E213" s="21">
        <v>0</v>
      </c>
      <c r="F213" s="21">
        <f>D213*(($F$117)+1)+(IF(E213&lt;101,E213,IF(E213&lt;201,E213/2,IF(E213&lt;=301,E213/3,E213/4))))</f>
        <v>619.89144047999991</v>
      </c>
      <c r="G213" s="83" t="str">
        <f>G212</f>
        <v>29th Floor</v>
      </c>
      <c r="H213" s="84"/>
      <c r="I213" s="51"/>
      <c r="N213" s="50" t="str">
        <f ca="1">O213&amp;""&amp;",..,"&amp;""&amp;P213</f>
        <v>202,..,2902</v>
      </c>
      <c r="O213" s="50">
        <f t="shared" ref="O213:P213" ca="1" si="49">O212+1</f>
        <v>202</v>
      </c>
      <c r="P213" s="50">
        <f t="shared" ca="1" si="49"/>
        <v>2902</v>
      </c>
    </row>
    <row r="214" spans="1:16" s="50" customFormat="1" x14ac:dyDescent="0.25">
      <c r="A214" s="21">
        <v>3</v>
      </c>
      <c r="B214" s="21" t="s">
        <v>205</v>
      </c>
      <c r="C214" s="21" t="s">
        <v>190</v>
      </c>
      <c r="D214" s="21">
        <f>(2.9*4.11+2.13*2.15+2.82*2.21+1.22*1.83+1.22*1.83+1.76*0.6+1.41*0.6+1.2*1.22+1*2.82+0.75*2.9+0.75*2.13)*10.764</f>
        <v>399.9299615999999</v>
      </c>
      <c r="E214" s="21">
        <v>0</v>
      </c>
      <c r="F214" s="21">
        <f>D214*(($F$117)+1)+(IF(E214&lt;101,E214,IF(E214&lt;201,E214/2,IF(E214&lt;=301,E214/3,E214/4))))</f>
        <v>619.89144047999991</v>
      </c>
      <c r="G214" s="83" t="str">
        <f>G213</f>
        <v>29th Floor</v>
      </c>
      <c r="H214" s="84"/>
      <c r="I214" s="51"/>
      <c r="N214" s="50" t="str">
        <f ca="1">O214&amp;""&amp;",..,"&amp;""&amp;P214</f>
        <v>203,..,2903</v>
      </c>
      <c r="O214" s="50">
        <f t="shared" ref="O214:P214" ca="1" si="50">O213+1</f>
        <v>203</v>
      </c>
      <c r="P214" s="50">
        <f t="shared" ca="1" si="50"/>
        <v>2903</v>
      </c>
    </row>
    <row r="215" spans="1:16" s="50" customFormat="1" x14ac:dyDescent="0.25">
      <c r="A215" s="21">
        <v>4</v>
      </c>
      <c r="B215" s="21" t="s">
        <v>205</v>
      </c>
      <c r="C215" s="21" t="s">
        <v>190</v>
      </c>
      <c r="D215" s="21">
        <f>(4.12*2.9+1.83*1.22+2.13*2.59+3.2*2.82+1.22*1.83+0.9*2.59+0.6*1.22+5.71*0.75)*10.764</f>
        <v>412.25474159999993</v>
      </c>
      <c r="E215" s="21">
        <v>0</v>
      </c>
      <c r="F215" s="21">
        <f>D215*(($F$117)+1)+(IF(E215&lt;101,E215,IF(E215&lt;201,E215/2,IF(E215&lt;=301,E215/3,E215/4))))</f>
        <v>638.99484947999986</v>
      </c>
      <c r="G215" s="83" t="str">
        <f>G214</f>
        <v>29th Floor</v>
      </c>
      <c r="H215" s="84"/>
      <c r="I215" s="51"/>
      <c r="N215" s="50" t="str">
        <f ca="1">O215&amp;""&amp;",..,"&amp;""&amp;P215</f>
        <v>204,..,2904</v>
      </c>
      <c r="O215" s="50">
        <f t="shared" ref="O215:P215" ca="1" si="51">O214+1</f>
        <v>204</v>
      </c>
      <c r="P215" s="50">
        <f t="shared" ca="1" si="51"/>
        <v>2904</v>
      </c>
    </row>
    <row r="216" spans="1:16" s="50" customFormat="1" ht="15.75" customHeight="1" x14ac:dyDescent="0.25">
      <c r="A216" s="94" t="s">
        <v>207</v>
      </c>
      <c r="B216" s="95"/>
      <c r="C216" s="95"/>
      <c r="D216" s="95"/>
      <c r="E216" s="95"/>
      <c r="F216" s="95"/>
      <c r="G216" s="95"/>
      <c r="H216" s="96"/>
      <c r="I216" s="51"/>
    </row>
    <row r="217" spans="1:16" s="50" customFormat="1" x14ac:dyDescent="0.25">
      <c r="A217" s="21">
        <v>1</v>
      </c>
      <c r="B217" s="21" t="s">
        <v>205</v>
      </c>
      <c r="C217" s="21" t="s">
        <v>190</v>
      </c>
      <c r="D217" s="21">
        <f>(4.12*2.9+1.83*1.22+2.13*2.59+3.2*2.82+1.22*1.83+0.9*2.59+0.6*1.22+5.71*0.75)*10.764</f>
        <v>412.25474159999993</v>
      </c>
      <c r="E217" s="21">
        <v>0</v>
      </c>
      <c r="F217" s="21">
        <f>D217*(($F$117)+1)+(IF(E217&lt;101,E217,IF(E217&lt;201,E217/2,IF(E217&lt;=301,E217/3,E217/4))))</f>
        <v>638.99484947999986</v>
      </c>
      <c r="G217" s="83" t="str">
        <f>A216</f>
        <v>30th Floor</v>
      </c>
      <c r="H217" s="84"/>
      <c r="I217" s="51"/>
      <c r="N217" s="50" t="str">
        <f ca="1">O217&amp;""&amp;",..,"&amp;""&amp;P217</f>
        <v>301,..,3001</v>
      </c>
      <c r="O217" s="50">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10^ROW(INDIRECT("1:"&amp;LEN((LEFT(A216,SUM(LEN(A216)-LEN(SUBSTITUTE(A216,{0,1,2},""))))))))/10))*100+1</f>
        <v>301</v>
      </c>
      <c r="P217" s="50">
        <f ca="1">(SUMPRODUCT(MID(0&amp;(--TRIM(RIGHT(SUBSTITUTE(LEFT(A216,_xlfn.AGGREGATE(16,6,FIND({0,1,2,3,4,5,6,7,8,9},A216,ROW(INDIRECT("1:"&amp;LEN(A216)))),1)),"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",LEN(A216))),LEN(A216)))))))/10))*100+1</f>
        <v>3001</v>
      </c>
    </row>
    <row r="218" spans="1:16" s="50" customFormat="1" x14ac:dyDescent="0.25">
      <c r="A218" s="21">
        <v>2</v>
      </c>
      <c r="B218" s="21" t="s">
        <v>205</v>
      </c>
      <c r="C218" s="21" t="s">
        <v>190</v>
      </c>
      <c r="D218" s="21">
        <f>(2.9*4.11+2.13*2.15+2.82*2.21+1.22*1.83+1.22*1.83+1.76*0.6+1.41*0.6+1.2*1.22+1*2.82+0.75*2.9+0.75*2.13)*10.764</f>
        <v>399.9299615999999</v>
      </c>
      <c r="E218" s="21">
        <v>0</v>
      </c>
      <c r="F218" s="21">
        <f>D218*(($F$117)+1)+(IF(E218&lt;101,E218,IF(E218&lt;201,E218/2,IF(E218&lt;=301,E218/3,E218/4))))</f>
        <v>619.89144047999991</v>
      </c>
      <c r="G218" s="83" t="str">
        <f>G217</f>
        <v>30th Floor</v>
      </c>
      <c r="H218" s="84"/>
      <c r="I218" s="51"/>
      <c r="N218" s="50" t="str">
        <f ca="1">O218&amp;""&amp;",..,"&amp;""&amp;P218</f>
        <v>302,..,3002</v>
      </c>
      <c r="O218" s="50">
        <f t="shared" ref="O218:P218" ca="1" si="52">O217+1</f>
        <v>302</v>
      </c>
      <c r="P218" s="50">
        <f t="shared" ca="1" si="52"/>
        <v>3002</v>
      </c>
    </row>
    <row r="219" spans="1:16" s="50" customFormat="1" x14ac:dyDescent="0.25">
      <c r="A219" s="21">
        <v>3</v>
      </c>
      <c r="B219" s="21" t="s">
        <v>205</v>
      </c>
      <c r="C219" s="21" t="s">
        <v>190</v>
      </c>
      <c r="D219" s="21">
        <f>(2.9*4.11+2.13*2.15+2.82*2.21+1.22*1.83+1.22*1.83+1.76*0.6+1.41*0.6+1.2*1.22+1*2.82+0.75*2.9+0.75*2.13)*10.764</f>
        <v>399.9299615999999</v>
      </c>
      <c r="E219" s="21">
        <v>0</v>
      </c>
      <c r="F219" s="21">
        <f>D219*(($F$117)+1)+(IF(E219&lt;101,E219,IF(E219&lt;201,E219/2,IF(E219&lt;=301,E219/3,E219/4))))</f>
        <v>619.89144047999991</v>
      </c>
      <c r="G219" s="83" t="str">
        <f>G218</f>
        <v>30th Floor</v>
      </c>
      <c r="H219" s="84"/>
      <c r="I219" s="51"/>
      <c r="N219" s="50" t="str">
        <f ca="1">O219&amp;""&amp;",..,"&amp;""&amp;P219</f>
        <v>303,..,3003</v>
      </c>
      <c r="O219" s="50">
        <f t="shared" ref="O219:P219" ca="1" si="53">O218+1</f>
        <v>303</v>
      </c>
      <c r="P219" s="50">
        <f t="shared" ca="1" si="53"/>
        <v>3003</v>
      </c>
    </row>
    <row r="220" spans="1:16" s="50" customFormat="1" x14ac:dyDescent="0.25">
      <c r="A220" s="21">
        <v>4</v>
      </c>
      <c r="B220" s="21" t="s">
        <v>205</v>
      </c>
      <c r="C220" s="21" t="s">
        <v>190</v>
      </c>
      <c r="D220" s="21">
        <f>(4.12*2.9+1.83*1.22+2.13*2.59+3.2*2.82+1.22*1.83+0.9*2.59+0.6*1.22+5.71*0.75)*10.764</f>
        <v>412.25474159999993</v>
      </c>
      <c r="E220" s="21">
        <v>0</v>
      </c>
      <c r="F220" s="21">
        <f>D220*(($F$117)+1)+(IF(E220&lt;101,E220,IF(E220&lt;201,E220/2,IF(E220&lt;=301,E220/3,E220/4))))</f>
        <v>638.99484947999986</v>
      </c>
      <c r="G220" s="83" t="str">
        <f>G219</f>
        <v>30th Floor</v>
      </c>
      <c r="H220" s="84"/>
      <c r="I220" s="51"/>
      <c r="N220" s="50" t="str">
        <f ca="1">O220&amp;""&amp;",..,"&amp;""&amp;P220</f>
        <v>304,..,3004</v>
      </c>
      <c r="O220" s="50">
        <f t="shared" ref="O220:P220" ca="1" si="54">O219+1</f>
        <v>304</v>
      </c>
      <c r="P220" s="50">
        <f t="shared" ca="1" si="54"/>
        <v>3004</v>
      </c>
    </row>
    <row r="221" spans="1:16" s="49" customFormat="1" x14ac:dyDescent="0.25">
      <c r="A221" s="151" t="s">
        <v>75</v>
      </c>
      <c r="B221" s="151"/>
      <c r="C221" s="151"/>
      <c r="D221" s="151"/>
      <c r="E221" s="151"/>
      <c r="F221" s="151"/>
      <c r="G221" s="151"/>
      <c r="H221" s="151"/>
    </row>
    <row r="222" spans="1:16" s="49" customFormat="1" x14ac:dyDescent="0.25">
      <c r="A222" s="26" t="s">
        <v>234</v>
      </c>
      <c r="B222" s="61" t="s">
        <v>264</v>
      </c>
      <c r="C222" s="62"/>
      <c r="D222" s="62"/>
      <c r="E222" s="62"/>
      <c r="F222" s="62"/>
      <c r="G222" s="62"/>
      <c r="H222" s="63"/>
    </row>
    <row r="223" spans="1:16" s="49" customFormat="1" x14ac:dyDescent="0.25">
      <c r="A223" s="26" t="s">
        <v>234</v>
      </c>
      <c r="B223" s="61" t="s">
        <v>141</v>
      </c>
      <c r="C223" s="62"/>
      <c r="D223" s="62"/>
      <c r="E223" s="62"/>
      <c r="F223" s="62"/>
      <c r="G223" s="62"/>
      <c r="H223" s="63"/>
    </row>
    <row r="224" spans="1:16" s="49" customFormat="1" x14ac:dyDescent="0.25">
      <c r="A224" s="26" t="s">
        <v>234</v>
      </c>
      <c r="B224" s="119" t="str">
        <f>(IF(F129="Saleable area Loading :","We have considered Saleable area of Flats as per our Calculation.","We considered Saleable area of Flat as per Builder area Sheet."))</f>
        <v>We have considered Saleable area of Flats as per our Calculation.</v>
      </c>
      <c r="C224" s="120"/>
      <c r="D224" s="120"/>
      <c r="E224" s="120"/>
      <c r="F224" s="120"/>
      <c r="G224" s="120"/>
      <c r="H224" s="121"/>
    </row>
    <row r="225" spans="1:8" s="49" customFormat="1" x14ac:dyDescent="0.25">
      <c r="A225" s="26" t="s">
        <v>234</v>
      </c>
      <c r="B225" s="119" t="str">
        <f>(IF(F116="Saleable area Loading :","We have considered Saleable area of Commercial as per our Calculation.","We considered Saleable area of Commercial as per Builder area Sheet."))</f>
        <v>We have considered Saleable area of Commercial as per our Calculation.</v>
      </c>
      <c r="C225" s="120"/>
      <c r="D225" s="120"/>
      <c r="E225" s="120"/>
      <c r="F225" s="120"/>
      <c r="G225" s="120"/>
      <c r="H225" s="121"/>
    </row>
    <row r="226" spans="1:8" s="49" customFormat="1" x14ac:dyDescent="0.25">
      <c r="A226" s="26" t="s">
        <v>234</v>
      </c>
      <c r="B226" s="61" t="s">
        <v>139</v>
      </c>
      <c r="C226" s="62"/>
      <c r="D226" s="62"/>
      <c r="E226" s="62"/>
      <c r="F226" s="62"/>
      <c r="G226" s="62"/>
      <c r="H226" s="63"/>
    </row>
    <row r="227" spans="1:8" s="49" customFormat="1" x14ac:dyDescent="0.25">
      <c r="A227" s="26" t="s">
        <v>234</v>
      </c>
      <c r="B227" s="61" t="s">
        <v>235</v>
      </c>
      <c r="C227" s="62"/>
      <c r="D227" s="62"/>
      <c r="E227" s="62"/>
      <c r="F227" s="62"/>
      <c r="G227" s="62"/>
      <c r="H227" s="63"/>
    </row>
    <row r="228" spans="1:8" s="49" customFormat="1" x14ac:dyDescent="0.25">
      <c r="A228" s="26" t="s">
        <v>234</v>
      </c>
      <c r="B228" s="61" t="s">
        <v>140</v>
      </c>
      <c r="C228" s="62"/>
      <c r="D228" s="62"/>
      <c r="E228" s="62"/>
      <c r="F228" s="62"/>
      <c r="G228" s="62"/>
      <c r="H228" s="63"/>
    </row>
    <row r="229" spans="1:8" s="49" customFormat="1" x14ac:dyDescent="0.25">
      <c r="A229" s="26" t="s">
        <v>234</v>
      </c>
      <c r="B229" s="61" t="s">
        <v>141</v>
      </c>
      <c r="C229" s="62"/>
      <c r="D229" s="62"/>
      <c r="E229" s="62"/>
      <c r="F229" s="62"/>
      <c r="G229" s="62"/>
      <c r="H229" s="63"/>
    </row>
    <row r="230" spans="1:8" s="49" customFormat="1" hidden="1" x14ac:dyDescent="0.25">
      <c r="A230" s="26" t="s">
        <v>234</v>
      </c>
      <c r="B230" s="119" t="s">
        <v>213</v>
      </c>
      <c r="C230" s="120"/>
      <c r="D230" s="120"/>
      <c r="E230" s="120"/>
      <c r="F230" s="120"/>
      <c r="G230" s="120"/>
      <c r="H230" s="121"/>
    </row>
    <row r="231" spans="1:8" s="49" customFormat="1" x14ac:dyDescent="0.25">
      <c r="A231" s="26" t="s">
        <v>234</v>
      </c>
      <c r="B231" s="61" t="s">
        <v>236</v>
      </c>
      <c r="C231" s="62"/>
      <c r="D231" s="62"/>
      <c r="E231" s="62"/>
      <c r="F231" s="62"/>
      <c r="G231" s="62"/>
      <c r="H231" s="63"/>
    </row>
    <row r="232" spans="1:8" s="49" customFormat="1" ht="66.75" customHeight="1" x14ac:dyDescent="0.25">
      <c r="A232" s="26" t="s">
        <v>234</v>
      </c>
      <c r="B232" s="61" t="s">
        <v>241</v>
      </c>
      <c r="C232" s="62"/>
      <c r="D232" s="62"/>
      <c r="E232" s="62"/>
      <c r="F232" s="62"/>
      <c r="G232" s="62"/>
      <c r="H232" s="63"/>
    </row>
    <row r="233" spans="1:8" s="49" customFormat="1" ht="33" customHeight="1" x14ac:dyDescent="0.25">
      <c r="A233" s="26" t="s">
        <v>234</v>
      </c>
      <c r="B233" s="61" t="s">
        <v>257</v>
      </c>
      <c r="C233" s="62"/>
      <c r="D233" s="62"/>
      <c r="E233" s="62"/>
      <c r="F233" s="62"/>
      <c r="G233" s="62"/>
      <c r="H233" s="63"/>
    </row>
    <row r="234" spans="1:8" s="49" customFormat="1" x14ac:dyDescent="0.25">
      <c r="A234" s="26" t="s">
        <v>234</v>
      </c>
      <c r="B234" s="61" t="s">
        <v>236</v>
      </c>
      <c r="C234" s="62"/>
      <c r="D234" s="62"/>
      <c r="E234" s="62"/>
      <c r="F234" s="62"/>
      <c r="G234" s="62"/>
      <c r="H234" s="63"/>
    </row>
    <row r="235" spans="1:8" s="29" customFormat="1" x14ac:dyDescent="0.25">
      <c r="A235" s="104" t="s">
        <v>214</v>
      </c>
      <c r="B235" s="104"/>
      <c r="C235" s="105" t="s">
        <v>215</v>
      </c>
      <c r="D235" s="105"/>
      <c r="E235" s="105"/>
      <c r="F235" s="105" t="s">
        <v>216</v>
      </c>
      <c r="G235" s="105"/>
      <c r="H235" s="105"/>
    </row>
    <row r="236" spans="1:8" s="29" customFormat="1" x14ac:dyDescent="0.25">
      <c r="A236" s="98" t="s">
        <v>217</v>
      </c>
      <c r="B236" s="99"/>
      <c r="C236" s="97" t="s">
        <v>218</v>
      </c>
      <c r="D236" s="97"/>
      <c r="E236" s="97"/>
      <c r="F236" s="97" t="s">
        <v>223</v>
      </c>
      <c r="G236" s="97"/>
      <c r="H236" s="97"/>
    </row>
    <row r="237" spans="1:8" x14ac:dyDescent="0.25">
      <c r="A237" s="100"/>
      <c r="B237" s="101"/>
      <c r="C237" s="97" t="s">
        <v>220</v>
      </c>
      <c r="D237" s="97"/>
      <c r="E237" s="97"/>
      <c r="F237" s="97" t="s">
        <v>222</v>
      </c>
      <c r="G237" s="97"/>
      <c r="H237" s="97"/>
    </row>
    <row r="238" spans="1:8" s="29" customFormat="1" x14ac:dyDescent="0.25">
      <c r="A238" s="102"/>
      <c r="B238" s="103"/>
      <c r="C238" s="97" t="s">
        <v>221</v>
      </c>
      <c r="D238" s="97"/>
      <c r="E238" s="97"/>
      <c r="F238" s="97" t="s">
        <v>219</v>
      </c>
      <c r="G238" s="97"/>
      <c r="H238" s="97"/>
    </row>
    <row r="239" spans="1:8" s="29" customFormat="1" x14ac:dyDescent="0.25">
      <c r="A239" s="98" t="s">
        <v>224</v>
      </c>
      <c r="B239" s="99"/>
      <c r="C239" s="97" t="s">
        <v>225</v>
      </c>
      <c r="D239" s="97"/>
      <c r="E239" s="97"/>
      <c r="F239" s="97" t="s">
        <v>219</v>
      </c>
      <c r="G239" s="97"/>
      <c r="H239" s="97"/>
    </row>
    <row r="240" spans="1:8" x14ac:dyDescent="0.25">
      <c r="A240" s="100"/>
      <c r="B240" s="101"/>
      <c r="C240" s="97" t="s">
        <v>226</v>
      </c>
      <c r="D240" s="97"/>
      <c r="E240" s="97"/>
      <c r="F240" s="97" t="s">
        <v>222</v>
      </c>
      <c r="G240" s="97"/>
      <c r="H240" s="97"/>
    </row>
    <row r="241" spans="1:8" s="29" customFormat="1" x14ac:dyDescent="0.25">
      <c r="A241" s="102"/>
      <c r="B241" s="103"/>
      <c r="C241" s="97" t="s">
        <v>227</v>
      </c>
      <c r="D241" s="97"/>
      <c r="E241" s="97"/>
      <c r="F241" s="97" t="s">
        <v>223</v>
      </c>
      <c r="G241" s="97"/>
      <c r="H241" s="97"/>
    </row>
    <row r="242" spans="1:8" s="29" customFormat="1" x14ac:dyDescent="0.25">
      <c r="A242" s="98" t="s">
        <v>228</v>
      </c>
      <c r="B242" s="99"/>
      <c r="C242" s="97" t="s">
        <v>229</v>
      </c>
      <c r="D242" s="97"/>
      <c r="E242" s="97"/>
      <c r="F242" s="97" t="s">
        <v>219</v>
      </c>
      <c r="G242" s="97"/>
      <c r="H242" s="97"/>
    </row>
    <row r="243" spans="1:8" x14ac:dyDescent="0.25">
      <c r="A243" s="100"/>
      <c r="B243" s="101"/>
      <c r="C243" s="97" t="s">
        <v>230</v>
      </c>
      <c r="D243" s="97"/>
      <c r="E243" s="97"/>
      <c r="F243" s="97" t="s">
        <v>222</v>
      </c>
      <c r="G243" s="97"/>
      <c r="H243" s="97"/>
    </row>
    <row r="244" spans="1:8" s="29" customFormat="1" x14ac:dyDescent="0.25">
      <c r="A244" s="100"/>
      <c r="B244" s="101"/>
      <c r="C244" s="97" t="s">
        <v>231</v>
      </c>
      <c r="D244" s="97"/>
      <c r="E244" s="97"/>
      <c r="F244" s="97" t="s">
        <v>223</v>
      </c>
      <c r="G244" s="97"/>
      <c r="H244" s="97"/>
    </row>
    <row r="245" spans="1:8" s="29" customFormat="1" x14ac:dyDescent="0.25">
      <c r="A245" s="102"/>
      <c r="B245" s="103"/>
      <c r="C245" s="97" t="s">
        <v>232</v>
      </c>
      <c r="D245" s="97"/>
      <c r="E245" s="97"/>
      <c r="F245" s="97" t="s">
        <v>233</v>
      </c>
      <c r="G245" s="97"/>
      <c r="H245" s="97"/>
    </row>
    <row r="246" spans="1:8" s="49" customFormat="1" ht="36.6" customHeight="1" x14ac:dyDescent="0.25">
      <c r="A246" s="26" t="s">
        <v>234</v>
      </c>
      <c r="B246" s="61" t="s">
        <v>263</v>
      </c>
      <c r="C246" s="62"/>
      <c r="D246" s="62"/>
      <c r="E246" s="62"/>
      <c r="F246" s="62"/>
      <c r="G246" s="62"/>
      <c r="H246" s="63"/>
    </row>
    <row r="247" spans="1:8" x14ac:dyDescent="0.25">
      <c r="A247" s="152" t="s">
        <v>68</v>
      </c>
      <c r="B247" s="152"/>
      <c r="C247" s="152"/>
      <c r="D247" s="152"/>
      <c r="E247" s="152"/>
      <c r="F247" s="152"/>
      <c r="G247" s="152"/>
      <c r="H247" s="152"/>
    </row>
    <row r="248" spans="1:8" x14ac:dyDescent="0.25">
      <c r="A248" s="113" t="s">
        <v>69</v>
      </c>
      <c r="B248" s="113"/>
      <c r="C248" s="113"/>
      <c r="D248" s="113"/>
      <c r="E248" s="113"/>
      <c r="F248" s="113"/>
      <c r="G248" s="113"/>
      <c r="H248" s="113"/>
    </row>
    <row r="249" spans="1:8" ht="15.75" customHeight="1" x14ac:dyDescent="0.25">
      <c r="A249" s="164" t="s">
        <v>70</v>
      </c>
      <c r="B249" s="164"/>
      <c r="C249" s="164"/>
      <c r="D249" s="164"/>
      <c r="E249" s="164"/>
      <c r="F249" s="164"/>
      <c r="G249" s="164"/>
      <c r="H249" s="164"/>
    </row>
    <row r="250" spans="1:8" x14ac:dyDescent="0.25">
      <c r="A250" s="113" t="s">
        <v>71</v>
      </c>
      <c r="B250" s="113"/>
      <c r="C250" s="113"/>
      <c r="D250" s="113"/>
      <c r="E250" s="113"/>
      <c r="F250" s="113"/>
      <c r="G250" s="113"/>
      <c r="H250" s="113"/>
    </row>
    <row r="251" spans="1:8" x14ac:dyDescent="0.25">
      <c r="A251" s="113" t="s">
        <v>72</v>
      </c>
      <c r="B251" s="113"/>
      <c r="C251" s="113"/>
      <c r="D251" s="113"/>
      <c r="E251" s="113"/>
      <c r="F251" s="113"/>
      <c r="G251" s="113"/>
      <c r="H251" s="113"/>
    </row>
    <row r="252" spans="1:8" x14ac:dyDescent="0.25">
      <c r="A252" s="113" t="s">
        <v>142</v>
      </c>
      <c r="B252" s="113"/>
      <c r="C252" s="113"/>
      <c r="D252" s="113"/>
      <c r="E252" s="113"/>
      <c r="F252" s="113"/>
      <c r="G252" s="113"/>
      <c r="H252" s="113"/>
    </row>
    <row r="253" spans="1:8" ht="18.75" customHeight="1" x14ac:dyDescent="0.25">
      <c r="A253" s="142" t="s">
        <v>143</v>
      </c>
      <c r="B253" s="142"/>
      <c r="C253" s="142"/>
      <c r="D253" s="142"/>
      <c r="E253" s="142"/>
      <c r="F253" s="142"/>
      <c r="G253" s="142"/>
      <c r="H253" s="142"/>
    </row>
    <row r="254" spans="1:8" x14ac:dyDescent="0.25">
      <c r="A254" s="150" t="s">
        <v>86</v>
      </c>
      <c r="B254" s="150"/>
      <c r="C254" s="150" t="s">
        <v>266</v>
      </c>
      <c r="D254" s="150"/>
      <c r="E254" s="150" t="s">
        <v>119</v>
      </c>
      <c r="F254" s="150"/>
      <c r="G254" s="150" t="s">
        <v>265</v>
      </c>
      <c r="H254" s="150"/>
    </row>
    <row r="255" spans="1:8" x14ac:dyDescent="0.25">
      <c r="A255" s="149" t="s">
        <v>88</v>
      </c>
      <c r="B255" s="149"/>
      <c r="C255" s="149"/>
      <c r="D255" s="149"/>
      <c r="E255" s="149"/>
      <c r="F255" s="149"/>
      <c r="G255" s="149"/>
      <c r="H255" s="149"/>
    </row>
    <row r="256" spans="1:8" x14ac:dyDescent="0.25">
      <c r="A256" s="149"/>
      <c r="B256" s="149"/>
      <c r="C256" s="149"/>
      <c r="D256" s="149"/>
      <c r="E256" s="149"/>
      <c r="F256" s="149"/>
      <c r="G256" s="149"/>
      <c r="H256" s="149"/>
    </row>
    <row r="257" spans="1:8" x14ac:dyDescent="0.25">
      <c r="A257" s="149"/>
      <c r="B257" s="149"/>
      <c r="C257" s="149"/>
      <c r="D257" s="149"/>
      <c r="E257" s="149"/>
      <c r="F257" s="149"/>
      <c r="G257" s="149"/>
      <c r="H257" s="149"/>
    </row>
    <row r="258" spans="1:8" x14ac:dyDescent="0.25">
      <c r="A258" s="149"/>
      <c r="B258" s="149"/>
      <c r="C258" s="149"/>
      <c r="D258" s="149"/>
      <c r="E258" s="149"/>
      <c r="F258" s="149"/>
      <c r="G258" s="149"/>
      <c r="H258" s="149"/>
    </row>
    <row r="259" spans="1:8" x14ac:dyDescent="0.25">
      <c r="A259" s="52" t="s">
        <v>73</v>
      </c>
      <c r="B259" s="53"/>
      <c r="C259" s="53"/>
      <c r="D259" s="52" t="str">
        <f>E8</f>
        <v>Shanti Luxuria</v>
      </c>
      <c r="F259" s="53"/>
      <c r="G259" s="53"/>
      <c r="H259" s="53"/>
    </row>
    <row r="260" spans="1:8" x14ac:dyDescent="0.25">
      <c r="A260" s="53"/>
      <c r="B260" s="53"/>
      <c r="C260" s="53"/>
      <c r="D260" s="53"/>
      <c r="E260" s="53"/>
      <c r="F260" s="53"/>
      <c r="G260" s="53"/>
      <c r="H260" s="53"/>
    </row>
    <row r="261" spans="1:8" x14ac:dyDescent="0.25">
      <c r="A261" s="53"/>
      <c r="B261" s="53"/>
      <c r="C261" s="53"/>
      <c r="D261" s="53"/>
      <c r="E261" s="53"/>
      <c r="F261" s="53"/>
      <c r="G261" s="53"/>
      <c r="H261" s="53"/>
    </row>
    <row r="262" spans="1:8" ht="15" customHeight="1" x14ac:dyDescent="0.25"/>
    <row r="302" spans="1:8" x14ac:dyDescent="0.25">
      <c r="A302" s="52" t="s">
        <v>242</v>
      </c>
      <c r="B302" s="53"/>
      <c r="C302" s="53"/>
      <c r="D302" s="52"/>
      <c r="F302" s="53"/>
      <c r="G302" s="53"/>
      <c r="H302" s="53"/>
    </row>
    <row r="303" spans="1:8" x14ac:dyDescent="0.25">
      <c r="A303" s="53"/>
      <c r="B303" s="53"/>
      <c r="C303" s="53"/>
      <c r="D303" s="53"/>
      <c r="E303" s="53"/>
      <c r="F303" s="53"/>
      <c r="G303" s="53"/>
      <c r="H303" s="53"/>
    </row>
    <row r="304" spans="1:8" x14ac:dyDescent="0.25">
      <c r="A304" s="53"/>
      <c r="B304" s="53"/>
      <c r="C304" s="53"/>
      <c r="D304" s="53"/>
      <c r="E304" s="53"/>
      <c r="F304" s="53"/>
      <c r="G304" s="53"/>
      <c r="H304" s="53"/>
    </row>
    <row r="305" ht="15" customHeight="1" x14ac:dyDescent="0.25"/>
    <row r="335" spans="1:8" x14ac:dyDescent="0.25">
      <c r="A335" s="52" t="s">
        <v>243</v>
      </c>
      <c r="B335" s="53"/>
      <c r="C335" s="53"/>
      <c r="D335" s="52"/>
      <c r="F335" s="53"/>
      <c r="G335" s="53"/>
      <c r="H335" s="53"/>
    </row>
    <row r="336" spans="1:8" x14ac:dyDescent="0.25">
      <c r="A336" s="53"/>
      <c r="B336" s="53"/>
      <c r="C336" s="53"/>
      <c r="D336" s="53"/>
      <c r="E336" s="53"/>
      <c r="F336" s="53"/>
      <c r="G336" s="53"/>
      <c r="H336" s="53"/>
    </row>
    <row r="337" spans="1:8" x14ac:dyDescent="0.25">
      <c r="A337" s="53"/>
      <c r="B337" s="53"/>
      <c r="C337" s="53"/>
      <c r="D337" s="53"/>
      <c r="E337" s="53"/>
      <c r="F337" s="53"/>
      <c r="G337" s="53"/>
      <c r="H337" s="53"/>
    </row>
    <row r="338" spans="1:8" ht="15" customHeight="1" x14ac:dyDescent="0.25"/>
    <row r="376" spans="1:1" x14ac:dyDescent="0.25">
      <c r="A376" s="55" t="s">
        <v>74</v>
      </c>
    </row>
  </sheetData>
  <mergeCells count="468">
    <mergeCell ref="I10:L10"/>
    <mergeCell ref="B234:H234"/>
    <mergeCell ref="A101:E101"/>
    <mergeCell ref="F101:H101"/>
    <mergeCell ref="E40:H40"/>
    <mergeCell ref="A40:D40"/>
    <mergeCell ref="A252:H252"/>
    <mergeCell ref="A249:H249"/>
    <mergeCell ref="G220:H220"/>
    <mergeCell ref="A187:B187"/>
    <mergeCell ref="A108:B108"/>
    <mergeCell ref="D129:D130"/>
    <mergeCell ref="E129:E130"/>
    <mergeCell ref="G129:H130"/>
    <mergeCell ref="A72:B72"/>
    <mergeCell ref="F92:H92"/>
    <mergeCell ref="A91:H91"/>
    <mergeCell ref="G106:H106"/>
    <mergeCell ref="A46:B46"/>
    <mergeCell ref="C46:E46"/>
    <mergeCell ref="G46:H46"/>
    <mergeCell ref="G48:H48"/>
    <mergeCell ref="D52:H52"/>
    <mergeCell ref="C48:E48"/>
    <mergeCell ref="A55:C55"/>
    <mergeCell ref="D55:H55"/>
    <mergeCell ref="C47:E47"/>
    <mergeCell ref="A50:B50"/>
    <mergeCell ref="C50:E50"/>
    <mergeCell ref="A47:B47"/>
    <mergeCell ref="A51:H51"/>
    <mergeCell ref="A52:C52"/>
    <mergeCell ref="A53:C53"/>
    <mergeCell ref="D53:H53"/>
    <mergeCell ref="G50:H50"/>
    <mergeCell ref="C49:H49"/>
    <mergeCell ref="G47:H47"/>
    <mergeCell ref="A247:H247"/>
    <mergeCell ref="A48:B49"/>
    <mergeCell ref="A73:B73"/>
    <mergeCell ref="A66:B66"/>
    <mergeCell ref="A69:B69"/>
    <mergeCell ref="A61:C61"/>
    <mergeCell ref="D61:H61"/>
    <mergeCell ref="A67:B67"/>
    <mergeCell ref="G66:H66"/>
    <mergeCell ref="A65:B65"/>
    <mergeCell ref="A63:B63"/>
    <mergeCell ref="C63:H63"/>
    <mergeCell ref="A71:B71"/>
    <mergeCell ref="A58:C58"/>
    <mergeCell ref="D58:H58"/>
    <mergeCell ref="C65:H65"/>
    <mergeCell ref="A68:B68"/>
    <mergeCell ref="A70:B70"/>
    <mergeCell ref="E66:F66"/>
    <mergeCell ref="A59:C59"/>
    <mergeCell ref="D59:H59"/>
    <mergeCell ref="A62:C62"/>
    <mergeCell ref="D62:H62"/>
    <mergeCell ref="A60:C60"/>
    <mergeCell ref="A248:H248"/>
    <mergeCell ref="E108:F108"/>
    <mergeCell ref="E105:F105"/>
    <mergeCell ref="A114:H114"/>
    <mergeCell ref="G189:H189"/>
    <mergeCell ref="A105:B105"/>
    <mergeCell ref="C105:D105"/>
    <mergeCell ref="G218:H218"/>
    <mergeCell ref="A193:B193"/>
    <mergeCell ref="A115:H115"/>
    <mergeCell ref="G105:H105"/>
    <mergeCell ref="C106:D106"/>
    <mergeCell ref="E106:F106"/>
    <mergeCell ref="G188:H188"/>
    <mergeCell ref="B116:B117"/>
    <mergeCell ref="A116:A117"/>
    <mergeCell ref="C129:C130"/>
    <mergeCell ref="B229:H229"/>
    <mergeCell ref="B230:H230"/>
    <mergeCell ref="B228:H228"/>
    <mergeCell ref="B227:H227"/>
    <mergeCell ref="B226:H226"/>
    <mergeCell ref="G133:H133"/>
    <mergeCell ref="G135:H135"/>
    <mergeCell ref="A255:H258"/>
    <mergeCell ref="A254:B254"/>
    <mergeCell ref="E254:F254"/>
    <mergeCell ref="C254:D254"/>
    <mergeCell ref="G254:H254"/>
    <mergeCell ref="A104:H104"/>
    <mergeCell ref="A102:E102"/>
    <mergeCell ref="F102:H102"/>
    <mergeCell ref="A103:E103"/>
    <mergeCell ref="F103:H103"/>
    <mergeCell ref="A186:H186"/>
    <mergeCell ref="A109:B109"/>
    <mergeCell ref="A194:B194"/>
    <mergeCell ref="A106:B106"/>
    <mergeCell ref="A250:H250"/>
    <mergeCell ref="A107:H107"/>
    <mergeCell ref="A253:H253"/>
    <mergeCell ref="A251:H251"/>
    <mergeCell ref="A221:H221"/>
    <mergeCell ref="G219:H219"/>
    <mergeCell ref="C116:C117"/>
    <mergeCell ref="B129:B130"/>
    <mergeCell ref="A216:H216"/>
    <mergeCell ref="A191:H191"/>
    <mergeCell ref="D60:H60"/>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E24:H24"/>
    <mergeCell ref="A26:D26"/>
    <mergeCell ref="E26:H26"/>
    <mergeCell ref="A23:D23"/>
    <mergeCell ref="E23:H23"/>
    <mergeCell ref="A27:D27"/>
    <mergeCell ref="E27:H27"/>
    <mergeCell ref="A24:D24"/>
    <mergeCell ref="A28:D28"/>
    <mergeCell ref="E28:H28"/>
    <mergeCell ref="A29:D29"/>
    <mergeCell ref="E29:H29"/>
    <mergeCell ref="A25:D25"/>
    <mergeCell ref="E25:H25"/>
    <mergeCell ref="F31:H31"/>
    <mergeCell ref="F32:H32"/>
    <mergeCell ref="C30:E30"/>
    <mergeCell ref="F34:H34"/>
    <mergeCell ref="A36:B36"/>
    <mergeCell ref="E36:F36"/>
    <mergeCell ref="C36:D36"/>
    <mergeCell ref="G36:H36"/>
    <mergeCell ref="F30:H30"/>
    <mergeCell ref="A31:B31"/>
    <mergeCell ref="A30:B30"/>
    <mergeCell ref="C31:E31"/>
    <mergeCell ref="A32:B32"/>
    <mergeCell ref="C32:E32"/>
    <mergeCell ref="A35:H35"/>
    <mergeCell ref="A34:B34"/>
    <mergeCell ref="C34:E34"/>
    <mergeCell ref="A33:B33"/>
    <mergeCell ref="C33:E33"/>
    <mergeCell ref="F33:H33"/>
    <mergeCell ref="L186:M186"/>
    <mergeCell ref="A128:H128"/>
    <mergeCell ref="A129:A130"/>
    <mergeCell ref="A120:B120"/>
    <mergeCell ref="A121:B121"/>
    <mergeCell ref="A122:B122"/>
    <mergeCell ref="A74:B74"/>
    <mergeCell ref="C109:D109"/>
    <mergeCell ref="E109:F109"/>
    <mergeCell ref="G109:H109"/>
    <mergeCell ref="F97:H97"/>
    <mergeCell ref="A92:E92"/>
    <mergeCell ref="A119:H119"/>
    <mergeCell ref="E116:E117"/>
    <mergeCell ref="G116:H117"/>
    <mergeCell ref="F93:H93"/>
    <mergeCell ref="A93:E93"/>
    <mergeCell ref="A100:E100"/>
    <mergeCell ref="C108:D108"/>
    <mergeCell ref="G108:H108"/>
    <mergeCell ref="A95:E95"/>
    <mergeCell ref="F95:H95"/>
    <mergeCell ref="F94:H94"/>
    <mergeCell ref="F100:H100"/>
    <mergeCell ref="F99:H99"/>
    <mergeCell ref="G193:H193"/>
    <mergeCell ref="G190:H190"/>
    <mergeCell ref="G187:H187"/>
    <mergeCell ref="D116:D117"/>
    <mergeCell ref="A174:B174"/>
    <mergeCell ref="G174:H174"/>
    <mergeCell ref="A175:B175"/>
    <mergeCell ref="A125:B125"/>
    <mergeCell ref="A126:B126"/>
    <mergeCell ref="A171:B171"/>
    <mergeCell ref="G156:H156"/>
    <mergeCell ref="A133:B133"/>
    <mergeCell ref="G122:H122"/>
    <mergeCell ref="G120:H120"/>
    <mergeCell ref="G126:H126"/>
    <mergeCell ref="G125:H125"/>
    <mergeCell ref="G121:H121"/>
    <mergeCell ref="G124:H124"/>
    <mergeCell ref="G123:H123"/>
    <mergeCell ref="A188:B188"/>
    <mergeCell ref="A189:B189"/>
    <mergeCell ref="A190:B190"/>
    <mergeCell ref="A136:B136"/>
    <mergeCell ref="G136:H136"/>
    <mergeCell ref="G155:H155"/>
    <mergeCell ref="G217:H217"/>
    <mergeCell ref="A170:B170"/>
    <mergeCell ref="A135:B135"/>
    <mergeCell ref="A195:B195"/>
    <mergeCell ref="A192:B192"/>
    <mergeCell ref="G194:H194"/>
    <mergeCell ref="G192:H192"/>
    <mergeCell ref="G175:H175"/>
    <mergeCell ref="A199:B199"/>
    <mergeCell ref="G199:H199"/>
    <mergeCell ref="A211:H211"/>
    <mergeCell ref="A208:B208"/>
    <mergeCell ref="G208:H208"/>
    <mergeCell ref="A209:B209"/>
    <mergeCell ref="G209:H209"/>
    <mergeCell ref="A210:B210"/>
    <mergeCell ref="G210:H210"/>
    <mergeCell ref="A206:H206"/>
    <mergeCell ref="A207:B207"/>
    <mergeCell ref="G207:H207"/>
    <mergeCell ref="A204:B204"/>
    <mergeCell ref="G140:H140"/>
    <mergeCell ref="B225:H225"/>
    <mergeCell ref="B224:H224"/>
    <mergeCell ref="A94:E94"/>
    <mergeCell ref="F98:H98"/>
    <mergeCell ref="A99:E99"/>
    <mergeCell ref="A39:D39"/>
    <mergeCell ref="E39:H39"/>
    <mergeCell ref="A38:H38"/>
    <mergeCell ref="A37:B37"/>
    <mergeCell ref="A56:C56"/>
    <mergeCell ref="A57:C57"/>
    <mergeCell ref="D56:H56"/>
    <mergeCell ref="E67:F76"/>
    <mergeCell ref="G67:H76"/>
    <mergeCell ref="A75:B75"/>
    <mergeCell ref="A76:B76"/>
    <mergeCell ref="D57:H57"/>
    <mergeCell ref="A41:D41"/>
    <mergeCell ref="E41:H41"/>
    <mergeCell ref="E42:H42"/>
    <mergeCell ref="E43:H43"/>
    <mergeCell ref="E44:H44"/>
    <mergeCell ref="A42:D42"/>
    <mergeCell ref="A43:D43"/>
    <mergeCell ref="A44:D44"/>
    <mergeCell ref="A118:H118"/>
    <mergeCell ref="A127:B127"/>
    <mergeCell ref="G127:H127"/>
    <mergeCell ref="L127:M127"/>
    <mergeCell ref="A137:B137"/>
    <mergeCell ref="G137:H137"/>
    <mergeCell ref="C37:H37"/>
    <mergeCell ref="A123:B123"/>
    <mergeCell ref="A124:B124"/>
    <mergeCell ref="A96:E96"/>
    <mergeCell ref="F96:H96"/>
    <mergeCell ref="A97:E97"/>
    <mergeCell ref="A98:E98"/>
    <mergeCell ref="L126:M126"/>
    <mergeCell ref="L125:M125"/>
    <mergeCell ref="L124:M124"/>
    <mergeCell ref="L123:M123"/>
    <mergeCell ref="L122:M122"/>
    <mergeCell ref="L121:M121"/>
    <mergeCell ref="L120:M120"/>
    <mergeCell ref="A45:H45"/>
    <mergeCell ref="D54:H54"/>
    <mergeCell ref="A54:C54"/>
    <mergeCell ref="A196:H196"/>
    <mergeCell ref="A197:B197"/>
    <mergeCell ref="G197:H197"/>
    <mergeCell ref="A198:B198"/>
    <mergeCell ref="G198:H198"/>
    <mergeCell ref="A173:H173"/>
    <mergeCell ref="A176:B176"/>
    <mergeCell ref="G176:H176"/>
    <mergeCell ref="A177:H177"/>
    <mergeCell ref="G178:H178"/>
    <mergeCell ref="G179:H179"/>
    <mergeCell ref="G180:H180"/>
    <mergeCell ref="A181:H181"/>
    <mergeCell ref="G182:H182"/>
    <mergeCell ref="G183:H183"/>
    <mergeCell ref="G184:H184"/>
    <mergeCell ref="G195:H195"/>
    <mergeCell ref="A110:B110"/>
    <mergeCell ref="C110:D110"/>
    <mergeCell ref="E110:F110"/>
    <mergeCell ref="G110:H110"/>
    <mergeCell ref="A131:H131"/>
    <mergeCell ref="L131:M131"/>
    <mergeCell ref="A158:H158"/>
    <mergeCell ref="L158:M158"/>
    <mergeCell ref="G152:H152"/>
    <mergeCell ref="G153:H153"/>
    <mergeCell ref="G151:H151"/>
    <mergeCell ref="A147:B147"/>
    <mergeCell ref="G147:H147"/>
    <mergeCell ref="A148:B148"/>
    <mergeCell ref="G148:H148"/>
    <mergeCell ref="A143:B143"/>
    <mergeCell ref="G143:H143"/>
    <mergeCell ref="A144:B144"/>
    <mergeCell ref="G144:H144"/>
    <mergeCell ref="A145:B145"/>
    <mergeCell ref="G145:H145"/>
    <mergeCell ref="A139:B139"/>
    <mergeCell ref="G139:H139"/>
    <mergeCell ref="A140:B140"/>
    <mergeCell ref="L185:M185"/>
    <mergeCell ref="A154:H154"/>
    <mergeCell ref="A150:H150"/>
    <mergeCell ref="A146:H146"/>
    <mergeCell ref="A142:H142"/>
    <mergeCell ref="A138:H138"/>
    <mergeCell ref="A134:H134"/>
    <mergeCell ref="A132:H132"/>
    <mergeCell ref="L132:M132"/>
    <mergeCell ref="A159:H159"/>
    <mergeCell ref="L159:M159"/>
    <mergeCell ref="A160:B160"/>
    <mergeCell ref="G160:H160"/>
    <mergeCell ref="A161:H161"/>
    <mergeCell ref="G162:H162"/>
    <mergeCell ref="G163:H163"/>
    <mergeCell ref="G157:H157"/>
    <mergeCell ref="A166:B166"/>
    <mergeCell ref="A167:B167"/>
    <mergeCell ref="G164:H164"/>
    <mergeCell ref="A165:H165"/>
    <mergeCell ref="G166:H166"/>
    <mergeCell ref="G167:H167"/>
    <mergeCell ref="A168:B168"/>
    <mergeCell ref="B233:H233"/>
    <mergeCell ref="A235:B235"/>
    <mergeCell ref="C235:E235"/>
    <mergeCell ref="F235:H235"/>
    <mergeCell ref="C236:E236"/>
    <mergeCell ref="F236:H236"/>
    <mergeCell ref="C237:E237"/>
    <mergeCell ref="F237:H237"/>
    <mergeCell ref="A185:H185"/>
    <mergeCell ref="G212:H212"/>
    <mergeCell ref="G213:H213"/>
    <mergeCell ref="G214:H214"/>
    <mergeCell ref="G215:H215"/>
    <mergeCell ref="G204:H204"/>
    <mergeCell ref="A205:B205"/>
    <mergeCell ref="G205:H205"/>
    <mergeCell ref="A201:H201"/>
    <mergeCell ref="A202:B202"/>
    <mergeCell ref="G202:H202"/>
    <mergeCell ref="A203:B203"/>
    <mergeCell ref="G203:H203"/>
    <mergeCell ref="A200:B200"/>
    <mergeCell ref="G200:H200"/>
    <mergeCell ref="B223:H223"/>
    <mergeCell ref="C238:E238"/>
    <mergeCell ref="F238:H238"/>
    <mergeCell ref="C239:E239"/>
    <mergeCell ref="F239:H239"/>
    <mergeCell ref="A236:B238"/>
    <mergeCell ref="A239:B241"/>
    <mergeCell ref="C240:E240"/>
    <mergeCell ref="F240:H240"/>
    <mergeCell ref="C241:E241"/>
    <mergeCell ref="F241:H241"/>
    <mergeCell ref="C242:E242"/>
    <mergeCell ref="F242:H242"/>
    <mergeCell ref="C243:E243"/>
    <mergeCell ref="F243:H243"/>
    <mergeCell ref="C244:E244"/>
    <mergeCell ref="F244:H244"/>
    <mergeCell ref="C245:E245"/>
    <mergeCell ref="F245:H245"/>
    <mergeCell ref="A242:B245"/>
    <mergeCell ref="A163:B163"/>
    <mergeCell ref="A164:B164"/>
    <mergeCell ref="G170:H170"/>
    <mergeCell ref="G171:H171"/>
    <mergeCell ref="A172:B172"/>
    <mergeCell ref="G172:H172"/>
    <mergeCell ref="C111:D111"/>
    <mergeCell ref="E111:F111"/>
    <mergeCell ref="G111:H111"/>
    <mergeCell ref="A112:B112"/>
    <mergeCell ref="C112:D112"/>
    <mergeCell ref="E112:F112"/>
    <mergeCell ref="G112:H112"/>
    <mergeCell ref="A113:B113"/>
    <mergeCell ref="C113:D113"/>
    <mergeCell ref="E113:F113"/>
    <mergeCell ref="G113:H113"/>
    <mergeCell ref="A141:B141"/>
    <mergeCell ref="G141:H141"/>
    <mergeCell ref="A149:B149"/>
    <mergeCell ref="G149:H149"/>
    <mergeCell ref="G168:H168"/>
    <mergeCell ref="A169:H169"/>
    <mergeCell ref="A162:B162"/>
    <mergeCell ref="B246:H246"/>
    <mergeCell ref="A77:B77"/>
    <mergeCell ref="C77:H77"/>
    <mergeCell ref="A79:B79"/>
    <mergeCell ref="C79:H79"/>
    <mergeCell ref="A80:B80"/>
    <mergeCell ref="E80:F80"/>
    <mergeCell ref="G80:H80"/>
    <mergeCell ref="A81:B81"/>
    <mergeCell ref="E81:F90"/>
    <mergeCell ref="G81:H90"/>
    <mergeCell ref="A82:B82"/>
    <mergeCell ref="A83:B83"/>
    <mergeCell ref="A84:B84"/>
    <mergeCell ref="A85:B85"/>
    <mergeCell ref="A86:B86"/>
    <mergeCell ref="A87:B87"/>
    <mergeCell ref="A88:B88"/>
    <mergeCell ref="A89:B89"/>
    <mergeCell ref="A90:B90"/>
    <mergeCell ref="B222:H222"/>
    <mergeCell ref="B231:H231"/>
    <mergeCell ref="B232:H232"/>
    <mergeCell ref="A111:B111"/>
  </mergeCells>
  <hyperlinks>
    <hyperlink ref="C37" r:id="rId1" xr:uid="{00000000-0004-0000-0000-000000000000}"/>
  </hyperlinks>
  <printOptions horizontalCentered="1"/>
  <pageMargins left="0.39370078740157483" right="0.39370078740157483" top="0.98425196850393704" bottom="0.59055118110236227" header="0.19685039370078741"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37" max="16383" man="1"/>
    <brk id="90" max="16383" man="1"/>
    <brk id="258" max="16383" man="1"/>
    <brk id="301" max="7" man="1"/>
    <brk id="333" max="16383" man="1"/>
    <brk id="37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
  <sheetViews>
    <sheetView workbookViewId="0">
      <selection activeCell="J14" sqref="J14"/>
    </sheetView>
  </sheetViews>
  <sheetFormatPr defaultRowHeight="15" x14ac:dyDescent="0.25"/>
  <cols>
    <col min="2" max="2" width="10.7109375" bestFit="1" customWidth="1"/>
    <col min="3" max="3" width="12.28515625" customWidth="1"/>
  </cols>
  <sheetData>
    <row r="2" spans="1:4" ht="15.75" x14ac:dyDescent="0.25">
      <c r="A2" s="28" t="s">
        <v>255</v>
      </c>
      <c r="B2" s="28"/>
      <c r="C2" s="33">
        <v>45525</v>
      </c>
      <c r="D2" s="28" t="s">
        <v>256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66" t="s">
        <v>120</v>
      </c>
      <c r="C3" s="166"/>
      <c r="D3" s="166"/>
      <c r="E3" s="166"/>
      <c r="F3" s="166"/>
      <c r="G3" s="166"/>
      <c r="H3" s="166"/>
    </row>
    <row r="4" spans="1:9" x14ac:dyDescent="0.25">
      <c r="A4" s="2"/>
      <c r="B4" s="3" t="s">
        <v>121</v>
      </c>
      <c r="C4" s="3" t="s">
        <v>122</v>
      </c>
      <c r="D4" s="3" t="s">
        <v>76</v>
      </c>
      <c r="E4" s="3" t="s">
        <v>123</v>
      </c>
      <c r="F4" s="3" t="s">
        <v>129</v>
      </c>
      <c r="G4" s="3" t="s">
        <v>130</v>
      </c>
      <c r="H4" s="3" t="s">
        <v>124</v>
      </c>
    </row>
    <row r="5" spans="1:9" ht="15" customHeight="1" x14ac:dyDescent="0.25">
      <c r="A5" s="2"/>
      <c r="B5" s="5" t="s">
        <v>125</v>
      </c>
      <c r="C5" s="6"/>
      <c r="D5" s="5"/>
      <c r="E5" s="5"/>
      <c r="F5" s="7">
        <f>E5*1.6</f>
        <v>0</v>
      </c>
      <c r="G5" s="7" t="e">
        <f>H5/F5</f>
        <v>#DIV/0!</v>
      </c>
      <c r="H5" s="8"/>
    </row>
    <row r="6" spans="1:9" x14ac:dyDescent="0.25">
      <c r="A6" s="2"/>
      <c r="B6" s="5" t="s">
        <v>125</v>
      </c>
      <c r="C6" s="9"/>
      <c r="D6" s="5"/>
      <c r="E6" s="5"/>
      <c r="F6" s="7">
        <f t="shared" ref="F6:F11" si="0">E6*1.6</f>
        <v>0</v>
      </c>
      <c r="G6" s="7" t="e">
        <f t="shared" ref="G6:G11" si="1">H6/F6</f>
        <v>#DIV/0!</v>
      </c>
      <c r="H6" s="8"/>
    </row>
    <row r="7" spans="1:9" ht="15" customHeight="1" x14ac:dyDescent="0.25">
      <c r="A7" s="2"/>
      <c r="B7" s="5" t="s">
        <v>125</v>
      </c>
      <c r="C7" s="6"/>
      <c r="D7" s="5"/>
      <c r="E7" s="5"/>
      <c r="F7" s="7">
        <f t="shared" si="0"/>
        <v>0</v>
      </c>
      <c r="G7" s="7" t="e">
        <f t="shared" si="1"/>
        <v>#DIV/0!</v>
      </c>
      <c r="H7" s="8"/>
    </row>
    <row r="8" spans="1:9" x14ac:dyDescent="0.25">
      <c r="A8" s="2"/>
      <c r="B8" s="5" t="s">
        <v>125</v>
      </c>
      <c r="C8" s="9"/>
      <c r="D8" s="5"/>
      <c r="E8" s="5"/>
      <c r="F8" s="7">
        <f t="shared" si="0"/>
        <v>0</v>
      </c>
      <c r="G8" s="7" t="e">
        <f t="shared" si="1"/>
        <v>#DIV/0!</v>
      </c>
      <c r="H8" s="8"/>
    </row>
    <row r="9" spans="1:9" ht="15" customHeight="1" x14ac:dyDescent="0.25">
      <c r="A9" s="2"/>
      <c r="B9" s="5" t="s">
        <v>125</v>
      </c>
      <c r="C9" s="9"/>
      <c r="D9" s="5"/>
      <c r="E9" s="5"/>
      <c r="F9" s="7">
        <f t="shared" si="0"/>
        <v>0</v>
      </c>
      <c r="G9" s="7" t="e">
        <f t="shared" si="1"/>
        <v>#DIV/0!</v>
      </c>
      <c r="H9" s="8"/>
    </row>
    <row r="10" spans="1:9" ht="15" customHeight="1" x14ac:dyDescent="0.25">
      <c r="A10" s="2"/>
      <c r="B10" s="5" t="s">
        <v>126</v>
      </c>
      <c r="C10" s="6"/>
      <c r="D10" s="5"/>
      <c r="E10" s="5"/>
      <c r="F10" s="7">
        <f t="shared" si="0"/>
        <v>0</v>
      </c>
      <c r="G10" s="7" t="e">
        <f t="shared" si="1"/>
        <v>#DIV/0!</v>
      </c>
      <c r="H10" s="8"/>
    </row>
    <row r="11" spans="1:9" ht="15" customHeight="1" x14ac:dyDescent="0.25">
      <c r="A11" s="2"/>
      <c r="B11" s="5" t="s">
        <v>126</v>
      </c>
      <c r="C11" s="6"/>
      <c r="D11" s="5"/>
      <c r="E11" s="5"/>
      <c r="F11" s="7">
        <f t="shared" si="0"/>
        <v>0</v>
      </c>
      <c r="G11" s="7" t="e">
        <f t="shared" si="1"/>
        <v>#DIV/0!</v>
      </c>
      <c r="H11" s="8"/>
    </row>
    <row r="12" spans="1:9" ht="15" customHeight="1" x14ac:dyDescent="0.25">
      <c r="A12" s="2"/>
      <c r="B12" s="10" t="s">
        <v>127</v>
      </c>
      <c r="C12" s="5"/>
      <c r="D12" s="5"/>
      <c r="E12" s="5"/>
      <c r="F12" s="5"/>
      <c r="G12" s="11" t="e">
        <f>AVERAGE(G5:G11)</f>
        <v>#DIV/0!</v>
      </c>
      <c r="H12" s="5"/>
    </row>
    <row r="13" spans="1:9" ht="15" customHeight="1" x14ac:dyDescent="0.25">
      <c r="B13" s="10" t="s">
        <v>128</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Cost Sheet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2025-09-11T05:52:30Z</cp:lastPrinted>
  <dcterms:created xsi:type="dcterms:W3CDTF">2019-07-16T09:29:46Z</dcterms:created>
  <dcterms:modified xsi:type="dcterms:W3CDTF">2025-09-11T08:00:47Z</dcterms:modified>
</cp:coreProperties>
</file>